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4. 30 มิ.ย. 67\"/>
    </mc:Choice>
  </mc:AlternateContent>
  <xr:revisionPtr revIDLastSave="0" documentId="13_ncr:1_{B866570D-FD82-42B8-9610-B631E844CEC2}" xr6:coauthVersionLast="47" xr6:coauthVersionMax="47" xr10:uidLastSave="{00000000-0000-0000-0000-000000000000}"/>
  <bookViews>
    <workbookView xWindow="-120" yWindow="-120" windowWidth="24240" windowHeight="13020" firstSheet="13" activeTab="21" xr2:uid="{00000000-000D-0000-FFFF-FFFF00000000}"/>
  </bookViews>
  <sheets>
    <sheet name="รวมกลาง" sheetId="1" r:id="rId1"/>
    <sheet name="กาญจนบุรี" sheetId="17" r:id="rId2"/>
    <sheet name="จันทบุรี" sheetId="18" r:id="rId3"/>
    <sheet name="ฉะเชิงเทรา" sheetId="19" r:id="rId4"/>
    <sheet name="ชลบุรี" sheetId="20" r:id="rId5"/>
    <sheet name="ชัยนาท" sheetId="21" r:id="rId6"/>
    <sheet name="ตราด" sheetId="22" r:id="rId7"/>
    <sheet name="นครนายก" sheetId="23" r:id="rId8"/>
    <sheet name="นครปฐม" sheetId="24" r:id="rId9"/>
    <sheet name="ปทุมธานี" sheetId="25" r:id="rId10"/>
    <sheet name="ประจวบคีรีขันธ์" sheetId="26" r:id="rId11"/>
    <sheet name="ปราจีนบุรี" sheetId="27" r:id="rId12"/>
    <sheet name="พระนครศรีอยุธยา" sheetId="28" r:id="rId13"/>
    <sheet name="เพชรบุรี" sheetId="29" r:id="rId14"/>
    <sheet name="ระยอง" sheetId="30" r:id="rId15"/>
    <sheet name="ราชบุรี" sheetId="31" r:id="rId16"/>
    <sheet name="ลพบุรี" sheetId="32" r:id="rId17"/>
    <sheet name="สระแก้ว" sheetId="33" r:id="rId18"/>
    <sheet name="สระบุรี" sheetId="34" r:id="rId19"/>
    <sheet name="สิงห์บุรี" sheetId="35" r:id="rId20"/>
    <sheet name="สุพรรณบุรี" sheetId="36" r:id="rId21"/>
    <sheet name="อ่างทอง" sheetId="37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  <definedName name="ฟ117">สระแก้ว!$1:$779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37" l="1"/>
  <c r="M22" i="37"/>
  <c r="M19" i="37" s="1"/>
  <c r="N22" i="37"/>
  <c r="Q22" i="37"/>
  <c r="R22" i="37"/>
  <c r="S22" i="37"/>
  <c r="L25" i="37"/>
  <c r="L19" i="37" s="1"/>
  <c r="M25" i="37"/>
  <c r="N25" i="37"/>
  <c r="Q25" i="37"/>
  <c r="T25" i="37" s="1"/>
  <c r="R25" i="37"/>
  <c r="S25" i="37"/>
  <c r="L45" i="37"/>
  <c r="O45" i="37" s="1"/>
  <c r="M45" i="37"/>
  <c r="N45" i="37"/>
  <c r="Q45" i="37"/>
  <c r="Q44" i="37" s="1"/>
  <c r="T44" i="37" s="1"/>
  <c r="R45" i="37"/>
  <c r="U45" i="37" s="1"/>
  <c r="S45" i="37"/>
  <c r="T45" i="37"/>
  <c r="Q46" i="37"/>
  <c r="T46" i="37" s="1"/>
  <c r="R46" i="37"/>
  <c r="S46" i="37"/>
  <c r="U46" i="37"/>
  <c r="Q47" i="37"/>
  <c r="T47" i="37" s="1"/>
  <c r="R47" i="37"/>
  <c r="U47" i="37" s="1"/>
  <c r="S47" i="37"/>
  <c r="O48" i="37"/>
  <c r="P48" i="37"/>
  <c r="T48" i="37"/>
  <c r="U48" i="37"/>
  <c r="L49" i="37"/>
  <c r="M49" i="37"/>
  <c r="N49" i="37"/>
  <c r="T49" i="37"/>
  <c r="U49" i="37"/>
  <c r="Q50" i="37"/>
  <c r="T50" i="37" s="1"/>
  <c r="R50" i="37"/>
  <c r="S50" i="37"/>
  <c r="U50" i="37"/>
  <c r="O51" i="37"/>
  <c r="P51" i="37"/>
  <c r="T51" i="37"/>
  <c r="U51" i="37"/>
  <c r="L52" i="37"/>
  <c r="M52" i="37"/>
  <c r="N52" i="37"/>
  <c r="N50" i="37" s="1"/>
  <c r="T52" i="37"/>
  <c r="U52" i="37"/>
  <c r="L60" i="37"/>
  <c r="O60" i="37" s="1"/>
  <c r="M60" i="37"/>
  <c r="N60" i="37"/>
  <c r="Q60" i="37"/>
  <c r="Q59" i="37" s="1"/>
  <c r="T59" i="37" s="1"/>
  <c r="R60" i="37"/>
  <c r="R59" i="37" s="1"/>
  <c r="U59" i="37" s="1"/>
  <c r="S60" i="37"/>
  <c r="S59" i="37" s="1"/>
  <c r="T60" i="37"/>
  <c r="U60" i="37"/>
  <c r="Q61" i="37"/>
  <c r="T61" i="37" s="1"/>
  <c r="R61" i="37"/>
  <c r="S61" i="37"/>
  <c r="U61" i="37"/>
  <c r="Q62" i="37"/>
  <c r="T62" i="37" s="1"/>
  <c r="R62" i="37"/>
  <c r="U62" i="37" s="1"/>
  <c r="S62" i="37"/>
  <c r="O63" i="37"/>
  <c r="P63" i="37"/>
  <c r="T63" i="37"/>
  <c r="U63" i="37"/>
  <c r="L64" i="37"/>
  <c r="L62" i="37" s="1"/>
  <c r="M64" i="37"/>
  <c r="M62" i="37" s="1"/>
  <c r="N64" i="37"/>
  <c r="T64" i="37"/>
  <c r="U64" i="37"/>
  <c r="Q65" i="37"/>
  <c r="T65" i="37" s="1"/>
  <c r="R65" i="37"/>
  <c r="U65" i="37" s="1"/>
  <c r="S65" i="37"/>
  <c r="O66" i="37"/>
  <c r="P66" i="37"/>
  <c r="T66" i="37"/>
  <c r="U66" i="37"/>
  <c r="L67" i="37"/>
  <c r="M67" i="37"/>
  <c r="N67" i="37"/>
  <c r="N65" i="37" s="1"/>
  <c r="T67" i="37"/>
  <c r="U67" i="37"/>
  <c r="L73" i="37"/>
  <c r="M73" i="37"/>
  <c r="N73" i="37"/>
  <c r="O73" i="37"/>
  <c r="Q73" i="37"/>
  <c r="T73" i="37" s="1"/>
  <c r="R73" i="37"/>
  <c r="U73" i="37" s="1"/>
  <c r="S73" i="37"/>
  <c r="O76" i="37"/>
  <c r="P76" i="37"/>
  <c r="T76" i="37"/>
  <c r="U76" i="37"/>
  <c r="L77" i="37"/>
  <c r="O77" i="37" s="1"/>
  <c r="M77" i="37"/>
  <c r="M75" i="37" s="1"/>
  <c r="P75" i="37" s="1"/>
  <c r="N77" i="37"/>
  <c r="Q77" i="37"/>
  <c r="Q75" i="37" s="1"/>
  <c r="T75" i="37" s="1"/>
  <c r="R77" i="37"/>
  <c r="R75" i="37" s="1"/>
  <c r="U75" i="37" s="1"/>
  <c r="S77" i="37"/>
  <c r="S75" i="37" s="1"/>
  <c r="O79" i="37"/>
  <c r="P79" i="37"/>
  <c r="T79" i="37"/>
  <c r="U79" i="37"/>
  <c r="L80" i="37"/>
  <c r="L78" i="37" s="1"/>
  <c r="O78" i="37" s="1"/>
  <c r="M80" i="37"/>
  <c r="M78" i="37" s="1"/>
  <c r="P78" i="37" s="1"/>
  <c r="N80" i="37"/>
  <c r="N78" i="37" s="1"/>
  <c r="Q80" i="37"/>
  <c r="Q78" i="37" s="1"/>
  <c r="T78" i="37" s="1"/>
  <c r="R80" i="37"/>
  <c r="R78" i="37" s="1"/>
  <c r="U78" i="37" s="1"/>
  <c r="S80" i="37"/>
  <c r="S78" i="37" s="1"/>
  <c r="J82" i="37"/>
  <c r="J70" i="37" s="1"/>
  <c r="J83" i="37"/>
  <c r="J71" i="37" s="1"/>
  <c r="I84" i="37"/>
  <c r="K84" i="37" s="1"/>
  <c r="I85" i="37"/>
  <c r="K85" i="37" s="1"/>
  <c r="I86" i="37"/>
  <c r="K86" i="37" s="1"/>
  <c r="I87" i="37"/>
  <c r="I88" i="37"/>
  <c r="K88" i="37" s="1"/>
  <c r="I89" i="37"/>
  <c r="K89" i="37" s="1"/>
  <c r="I90" i="37"/>
  <c r="K90" i="37" s="1"/>
  <c r="J92" i="37"/>
  <c r="J93" i="37"/>
  <c r="L95" i="37"/>
  <c r="M95" i="37"/>
  <c r="P95" i="37" s="1"/>
  <c r="N95" i="37"/>
  <c r="Q95" i="37"/>
  <c r="R95" i="37"/>
  <c r="S95" i="37"/>
  <c r="O98" i="37"/>
  <c r="P98" i="37"/>
  <c r="T98" i="37"/>
  <c r="U98" i="37"/>
  <c r="L99" i="37"/>
  <c r="M99" i="37"/>
  <c r="N99" i="37"/>
  <c r="N97" i="37" s="1"/>
  <c r="Q99" i="37"/>
  <c r="Q97" i="37" s="1"/>
  <c r="T97" i="37" s="1"/>
  <c r="R99" i="37"/>
  <c r="U99" i="37" s="1"/>
  <c r="S99" i="37"/>
  <c r="Q100" i="37"/>
  <c r="R100" i="37"/>
  <c r="S100" i="37"/>
  <c r="T100" i="37"/>
  <c r="U100" i="37"/>
  <c r="O101" i="37"/>
  <c r="P101" i="37"/>
  <c r="T101" i="37"/>
  <c r="U101" i="37"/>
  <c r="L102" i="37"/>
  <c r="O102" i="37" s="1"/>
  <c r="M102" i="37"/>
  <c r="N102" i="37"/>
  <c r="N100" i="37" s="1"/>
  <c r="T102" i="37"/>
  <c r="U102" i="37"/>
  <c r="I108" i="37"/>
  <c r="I92" i="37" s="1"/>
  <c r="K92" i="37" s="1"/>
  <c r="I109" i="37"/>
  <c r="I93" i="37" s="1"/>
  <c r="K93" i="37" s="1"/>
  <c r="I114" i="37"/>
  <c r="K114" i="37" s="1"/>
  <c r="J116" i="37"/>
  <c r="L118" i="37"/>
  <c r="M118" i="37"/>
  <c r="P118" i="37" s="1"/>
  <c r="N118" i="37"/>
  <c r="Q118" i="37"/>
  <c r="R118" i="37"/>
  <c r="S118" i="37"/>
  <c r="O121" i="37"/>
  <c r="P121" i="37"/>
  <c r="T121" i="37"/>
  <c r="U121" i="37"/>
  <c r="L122" i="37"/>
  <c r="O122" i="37" s="1"/>
  <c r="M122" i="37"/>
  <c r="N122" i="37"/>
  <c r="N120" i="37" s="1"/>
  <c r="Q122" i="37"/>
  <c r="Q120" i="37" s="1"/>
  <c r="T120" i="37" s="1"/>
  <c r="R122" i="37"/>
  <c r="S122" i="37"/>
  <c r="O124" i="37"/>
  <c r="P124" i="37"/>
  <c r="T124" i="37"/>
  <c r="U124" i="37"/>
  <c r="L125" i="37"/>
  <c r="O125" i="37" s="1"/>
  <c r="M125" i="37"/>
  <c r="N125" i="37"/>
  <c r="N123" i="37" s="1"/>
  <c r="Q125" i="37"/>
  <c r="Q123" i="37" s="1"/>
  <c r="T123" i="37" s="1"/>
  <c r="R125" i="37"/>
  <c r="U125" i="37" s="1"/>
  <c r="S125" i="37"/>
  <c r="S123" i="37" s="1"/>
  <c r="I127" i="37"/>
  <c r="I116" i="37" s="1"/>
  <c r="K116" i="37" s="1"/>
  <c r="I128" i="37"/>
  <c r="K128" i="37" s="1"/>
  <c r="I129" i="37"/>
  <c r="K129" i="37" s="1"/>
  <c r="I130" i="37"/>
  <c r="K130" i="37" s="1"/>
  <c r="J136" i="37"/>
  <c r="J137" i="37"/>
  <c r="J138" i="37"/>
  <c r="L140" i="37"/>
  <c r="M140" i="37"/>
  <c r="N140" i="37"/>
  <c r="Q140" i="37"/>
  <c r="T140" i="37" s="1"/>
  <c r="R140" i="37"/>
  <c r="S140" i="37"/>
  <c r="O143" i="37"/>
  <c r="P143" i="37"/>
  <c r="T143" i="37"/>
  <c r="U143" i="37"/>
  <c r="L144" i="37"/>
  <c r="M144" i="37"/>
  <c r="P144" i="37" s="1"/>
  <c r="N144" i="37"/>
  <c r="Q144" i="37"/>
  <c r="T144" i="37" s="1"/>
  <c r="R144" i="37"/>
  <c r="S144" i="37"/>
  <c r="O146" i="37"/>
  <c r="P146" i="37"/>
  <c r="T146" i="37"/>
  <c r="U146" i="37"/>
  <c r="L147" i="37"/>
  <c r="M147" i="37"/>
  <c r="N147" i="37"/>
  <c r="N145" i="37" s="1"/>
  <c r="Q147" i="37"/>
  <c r="T147" i="37" s="1"/>
  <c r="R147" i="37"/>
  <c r="R145" i="37" s="1"/>
  <c r="U145" i="37" s="1"/>
  <c r="S147" i="37"/>
  <c r="S145" i="37" s="1"/>
  <c r="I150" i="37"/>
  <c r="K150" i="37" s="1"/>
  <c r="I151" i="37"/>
  <c r="K151" i="37" s="1"/>
  <c r="I152" i="37"/>
  <c r="I137" i="37" s="1"/>
  <c r="K137" i="37" s="1"/>
  <c r="I153" i="37"/>
  <c r="I154" i="37"/>
  <c r="I136" i="37" s="1"/>
  <c r="K136" i="37" s="1"/>
  <c r="J156" i="37"/>
  <c r="L158" i="37"/>
  <c r="M158" i="37"/>
  <c r="P158" i="37" s="1"/>
  <c r="N158" i="37"/>
  <c r="Q158" i="37"/>
  <c r="R158" i="37"/>
  <c r="S158" i="37"/>
  <c r="O161" i="37"/>
  <c r="P161" i="37"/>
  <c r="T161" i="37"/>
  <c r="U161" i="37"/>
  <c r="L162" i="37"/>
  <c r="O162" i="37" s="1"/>
  <c r="M162" i="37"/>
  <c r="N162" i="37"/>
  <c r="N160" i="37" s="1"/>
  <c r="Q162" i="37"/>
  <c r="R162" i="37"/>
  <c r="U162" i="37" s="1"/>
  <c r="S162" i="37"/>
  <c r="Q163" i="37"/>
  <c r="T163" i="37" s="1"/>
  <c r="R163" i="37"/>
  <c r="S163" i="37"/>
  <c r="U163" i="37"/>
  <c r="O164" i="37"/>
  <c r="P164" i="37"/>
  <c r="T164" i="37"/>
  <c r="U164" i="37"/>
  <c r="L165" i="37"/>
  <c r="O165" i="37" s="1"/>
  <c r="M165" i="37"/>
  <c r="N165" i="37"/>
  <c r="T165" i="37"/>
  <c r="U165" i="37"/>
  <c r="I167" i="37"/>
  <c r="K167" i="37" s="1"/>
  <c r="I168" i="37"/>
  <c r="K168" i="37" s="1"/>
  <c r="I169" i="37"/>
  <c r="J172" i="37"/>
  <c r="L174" i="37"/>
  <c r="M174" i="37"/>
  <c r="N174" i="37"/>
  <c r="P174" i="37"/>
  <c r="Q174" i="37"/>
  <c r="R174" i="37"/>
  <c r="S174" i="37"/>
  <c r="O177" i="37"/>
  <c r="P177" i="37"/>
  <c r="T177" i="37"/>
  <c r="U177" i="37"/>
  <c r="L178" i="37"/>
  <c r="M178" i="37"/>
  <c r="N178" i="37"/>
  <c r="N176" i="37" s="1"/>
  <c r="Q178" i="37"/>
  <c r="Q176" i="37" s="1"/>
  <c r="T176" i="37" s="1"/>
  <c r="R178" i="37"/>
  <c r="U178" i="37" s="1"/>
  <c r="S178" i="37"/>
  <c r="Q179" i="37"/>
  <c r="R179" i="37"/>
  <c r="S179" i="37"/>
  <c r="T179" i="37"/>
  <c r="U179" i="37"/>
  <c r="O180" i="37"/>
  <c r="P180" i="37"/>
  <c r="T180" i="37"/>
  <c r="U180" i="37"/>
  <c r="L181" i="37"/>
  <c r="O181" i="37" s="1"/>
  <c r="M181" i="37"/>
  <c r="N181" i="37"/>
  <c r="N179" i="37" s="1"/>
  <c r="T181" i="37"/>
  <c r="U181" i="37"/>
  <c r="I183" i="37"/>
  <c r="I172" i="37" s="1"/>
  <c r="K172" i="37" s="1"/>
  <c r="K184" i="37"/>
  <c r="L187" i="37"/>
  <c r="M187" i="37"/>
  <c r="P187" i="37" s="1"/>
  <c r="N187" i="37"/>
  <c r="Q187" i="37"/>
  <c r="T187" i="37" s="1"/>
  <c r="R187" i="37"/>
  <c r="S187" i="37"/>
  <c r="O190" i="37"/>
  <c r="P190" i="37"/>
  <c r="T190" i="37"/>
  <c r="U190" i="37"/>
  <c r="L191" i="37"/>
  <c r="L189" i="37" s="1"/>
  <c r="M191" i="37"/>
  <c r="N191" i="37"/>
  <c r="Q191" i="37"/>
  <c r="Q189" i="37" s="1"/>
  <c r="T189" i="37" s="1"/>
  <c r="R191" i="37"/>
  <c r="U191" i="37" s="1"/>
  <c r="S191" i="37"/>
  <c r="S189" i="37" s="1"/>
  <c r="O193" i="37"/>
  <c r="P193" i="37"/>
  <c r="T193" i="37"/>
  <c r="U193" i="37"/>
  <c r="L194" i="37"/>
  <c r="L192" i="37" s="1"/>
  <c r="O192" i="37" s="1"/>
  <c r="M194" i="37"/>
  <c r="N194" i="37"/>
  <c r="N192" i="37" s="1"/>
  <c r="Q194" i="37"/>
  <c r="Q192" i="37" s="1"/>
  <c r="T192" i="37" s="1"/>
  <c r="R194" i="37"/>
  <c r="R192" i="37" s="1"/>
  <c r="U192" i="37" s="1"/>
  <c r="S194" i="37"/>
  <c r="S192" i="37" s="1"/>
  <c r="J195" i="37"/>
  <c r="L196" i="37"/>
  <c r="O196" i="37" s="1"/>
  <c r="P196" i="37"/>
  <c r="I198" i="37"/>
  <c r="I195" i="37" s="1"/>
  <c r="J199" i="37"/>
  <c r="J202" i="37"/>
  <c r="N203" i="37"/>
  <c r="P203" i="37"/>
  <c r="S203" i="37"/>
  <c r="U203" i="37"/>
  <c r="L204" i="37"/>
  <c r="L205" i="37"/>
  <c r="L206" i="37"/>
  <c r="Q206" i="37"/>
  <c r="Q203" i="37" s="1"/>
  <c r="T203" i="37" s="1"/>
  <c r="L207" i="37"/>
  <c r="I209" i="37"/>
  <c r="K209" i="37" s="1"/>
  <c r="I211" i="37"/>
  <c r="K211" i="37" s="1"/>
  <c r="I212" i="37"/>
  <c r="K212" i="37" s="1"/>
  <c r="J213" i="37"/>
  <c r="N214" i="37"/>
  <c r="P214" i="37"/>
  <c r="S214" i="37"/>
  <c r="U214" i="37"/>
  <c r="L215" i="37"/>
  <c r="L216" i="37"/>
  <c r="L217" i="37"/>
  <c r="Q217" i="37"/>
  <c r="Q214" i="37" s="1"/>
  <c r="T214" i="37" s="1"/>
  <c r="I219" i="37"/>
  <c r="K219" i="37" s="1"/>
  <c r="I220" i="37"/>
  <c r="I213" i="37" s="1"/>
  <c r="K213" i="37" s="1"/>
  <c r="J221" i="37"/>
  <c r="N222" i="37"/>
  <c r="P222" i="37"/>
  <c r="L223" i="37"/>
  <c r="L224" i="37"/>
  <c r="L225" i="37"/>
  <c r="I228" i="37"/>
  <c r="K228" i="37" s="1"/>
  <c r="I229" i="37"/>
  <c r="I230" i="37"/>
  <c r="K230" i="37" s="1"/>
  <c r="N233" i="37"/>
  <c r="N234" i="37"/>
  <c r="N235" i="37"/>
  <c r="N236" i="37"/>
  <c r="J238" i="37"/>
  <c r="I240" i="37"/>
  <c r="K240" i="37" s="1"/>
  <c r="J240" i="37"/>
  <c r="I241" i="37"/>
  <c r="K241" i="37" s="1"/>
  <c r="J241" i="37"/>
  <c r="J242" i="37"/>
  <c r="J231" i="37" s="1"/>
  <c r="J185" i="37" s="1"/>
  <c r="N243" i="37"/>
  <c r="N232" i="37" s="1"/>
  <c r="P243" i="37"/>
  <c r="L244" i="37"/>
  <c r="L245" i="37"/>
  <c r="L246" i="37"/>
  <c r="L247" i="37"/>
  <c r="I249" i="37"/>
  <c r="I242" i="37" s="1"/>
  <c r="K251" i="37"/>
  <c r="K252" i="37"/>
  <c r="J253" i="37"/>
  <c r="N254" i="37"/>
  <c r="P254" i="37"/>
  <c r="L255" i="37"/>
  <c r="L256" i="37"/>
  <c r="L257" i="37"/>
  <c r="L258" i="37"/>
  <c r="I260" i="37"/>
  <c r="I253" i="37" s="1"/>
  <c r="K253" i="37" s="1"/>
  <c r="K262" i="37"/>
  <c r="K263" i="37"/>
  <c r="J265" i="37"/>
  <c r="L267" i="37"/>
  <c r="M267" i="37"/>
  <c r="P267" i="37" s="1"/>
  <c r="N267" i="37"/>
  <c r="Q267" i="37"/>
  <c r="R267" i="37"/>
  <c r="S267" i="37"/>
  <c r="O270" i="37"/>
  <c r="P270" i="37"/>
  <c r="T270" i="37"/>
  <c r="U270" i="37"/>
  <c r="L271" i="37"/>
  <c r="M271" i="37"/>
  <c r="N271" i="37"/>
  <c r="N269" i="37" s="1"/>
  <c r="Q271" i="37"/>
  <c r="R271" i="37"/>
  <c r="R268" i="37" s="1"/>
  <c r="S271" i="37"/>
  <c r="S269" i="37" s="1"/>
  <c r="Q272" i="37"/>
  <c r="R272" i="37"/>
  <c r="U272" i="37" s="1"/>
  <c r="S272" i="37"/>
  <c r="T272" i="37"/>
  <c r="O273" i="37"/>
  <c r="P273" i="37"/>
  <c r="T273" i="37"/>
  <c r="U273" i="37"/>
  <c r="L274" i="37"/>
  <c r="M274" i="37"/>
  <c r="N274" i="37"/>
  <c r="N272" i="37" s="1"/>
  <c r="T274" i="37"/>
  <c r="U274" i="37"/>
  <c r="I276" i="37"/>
  <c r="J281" i="37"/>
  <c r="L283" i="37"/>
  <c r="M283" i="37"/>
  <c r="N283" i="37"/>
  <c r="Q283" i="37"/>
  <c r="T283" i="37" s="1"/>
  <c r="R283" i="37"/>
  <c r="S283" i="37"/>
  <c r="Q284" i="37"/>
  <c r="R284" i="37"/>
  <c r="U284" i="37" s="1"/>
  <c r="S284" i="37"/>
  <c r="T284" i="37"/>
  <c r="Q285" i="37"/>
  <c r="T285" i="37" s="1"/>
  <c r="R285" i="37"/>
  <c r="U285" i="37" s="1"/>
  <c r="S285" i="37"/>
  <c r="O286" i="37"/>
  <c r="P286" i="37"/>
  <c r="T286" i="37"/>
  <c r="U286" i="37"/>
  <c r="L287" i="37"/>
  <c r="L285" i="37" s="1"/>
  <c r="O285" i="37" s="1"/>
  <c r="M287" i="37"/>
  <c r="N287" i="37"/>
  <c r="T287" i="37"/>
  <c r="U287" i="37"/>
  <c r="Q288" i="37"/>
  <c r="R288" i="37"/>
  <c r="U288" i="37" s="1"/>
  <c r="S288" i="37"/>
  <c r="T288" i="37"/>
  <c r="O289" i="37"/>
  <c r="P289" i="37"/>
  <c r="T289" i="37"/>
  <c r="U289" i="37"/>
  <c r="L290" i="37"/>
  <c r="O290" i="37" s="1"/>
  <c r="M290" i="37"/>
  <c r="N290" i="37"/>
  <c r="N288" i="37" s="1"/>
  <c r="T290" i="37"/>
  <c r="U290" i="37"/>
  <c r="I292" i="37"/>
  <c r="I293" i="37"/>
  <c r="J293" i="37"/>
  <c r="J280" i="37" s="1"/>
  <c r="I295" i="37"/>
  <c r="K295" i="37" s="1"/>
  <c r="I296" i="37"/>
  <c r="K296" i="37" s="1"/>
  <c r="J302" i="37"/>
  <c r="L304" i="37"/>
  <c r="M304" i="37"/>
  <c r="N304" i="37"/>
  <c r="Q304" i="37"/>
  <c r="T304" i="37" s="1"/>
  <c r="R304" i="37"/>
  <c r="S304" i="37"/>
  <c r="O307" i="37"/>
  <c r="P307" i="37"/>
  <c r="T307" i="37"/>
  <c r="U307" i="37"/>
  <c r="L308" i="37"/>
  <c r="L306" i="37" s="1"/>
  <c r="O306" i="37" s="1"/>
  <c r="M308" i="37"/>
  <c r="N308" i="37"/>
  <c r="N306" i="37" s="1"/>
  <c r="Q308" i="37"/>
  <c r="Q306" i="37" s="1"/>
  <c r="T306" i="37" s="1"/>
  <c r="R308" i="37"/>
  <c r="S308" i="37"/>
  <c r="S306" i="37" s="1"/>
  <c r="Q309" i="37"/>
  <c r="T309" i="37" s="1"/>
  <c r="R309" i="37"/>
  <c r="U309" i="37" s="1"/>
  <c r="S309" i="37"/>
  <c r="O310" i="37"/>
  <c r="P310" i="37"/>
  <c r="T310" i="37"/>
  <c r="U310" i="37"/>
  <c r="L311" i="37"/>
  <c r="L309" i="37" s="1"/>
  <c r="O309" i="37" s="1"/>
  <c r="M311" i="37"/>
  <c r="N311" i="37"/>
  <c r="N309" i="37" s="1"/>
  <c r="T311" i="37"/>
  <c r="U311" i="37"/>
  <c r="I314" i="37"/>
  <c r="I302" i="37" s="1"/>
  <c r="K302" i="37" s="1"/>
  <c r="J319" i="37"/>
  <c r="S320" i="37"/>
  <c r="L321" i="37"/>
  <c r="O321" i="37" s="1"/>
  <c r="M321" i="37"/>
  <c r="P321" i="37" s="1"/>
  <c r="N321" i="37"/>
  <c r="Q321" i="37"/>
  <c r="R321" i="37"/>
  <c r="U321" i="37" s="1"/>
  <c r="S321" i="37"/>
  <c r="Q322" i="37"/>
  <c r="T322" i="37" s="1"/>
  <c r="R322" i="37"/>
  <c r="U322" i="37" s="1"/>
  <c r="S322" i="37"/>
  <c r="Q323" i="37"/>
  <c r="R323" i="37"/>
  <c r="S323" i="37"/>
  <c r="T323" i="37"/>
  <c r="U323" i="37"/>
  <c r="O324" i="37"/>
  <c r="P324" i="37"/>
  <c r="T324" i="37"/>
  <c r="U324" i="37"/>
  <c r="L325" i="37"/>
  <c r="M325" i="37"/>
  <c r="P325" i="37" s="1"/>
  <c r="N325" i="37"/>
  <c r="T325" i="37"/>
  <c r="U325" i="37"/>
  <c r="Q326" i="37"/>
  <c r="T326" i="37" s="1"/>
  <c r="R326" i="37"/>
  <c r="U326" i="37" s="1"/>
  <c r="S326" i="37"/>
  <c r="O327" i="37"/>
  <c r="P327" i="37"/>
  <c r="T327" i="37"/>
  <c r="U327" i="37"/>
  <c r="L328" i="37"/>
  <c r="O328" i="37" s="1"/>
  <c r="M328" i="37"/>
  <c r="M326" i="37" s="1"/>
  <c r="P326" i="37" s="1"/>
  <c r="N328" i="37"/>
  <c r="N326" i="37" s="1"/>
  <c r="T328" i="37"/>
  <c r="U328" i="37"/>
  <c r="I330" i="37"/>
  <c r="I319" i="37" s="1"/>
  <c r="K319" i="37" s="1"/>
  <c r="L334" i="37"/>
  <c r="M334" i="37"/>
  <c r="P334" i="37" s="1"/>
  <c r="N334" i="37"/>
  <c r="Q334" i="37"/>
  <c r="R334" i="37"/>
  <c r="S334" i="37"/>
  <c r="Q335" i="37"/>
  <c r="T335" i="37" s="1"/>
  <c r="R335" i="37"/>
  <c r="U335" i="37" s="1"/>
  <c r="S335" i="37"/>
  <c r="Q336" i="37"/>
  <c r="T336" i="37" s="1"/>
  <c r="R336" i="37"/>
  <c r="S336" i="37"/>
  <c r="U336" i="37"/>
  <c r="O337" i="37"/>
  <c r="P337" i="37"/>
  <c r="T337" i="37"/>
  <c r="U337" i="37"/>
  <c r="L338" i="37"/>
  <c r="M338" i="37"/>
  <c r="N338" i="37"/>
  <c r="N336" i="37" s="1"/>
  <c r="T338" i="37"/>
  <c r="U338" i="37"/>
  <c r="Q339" i="37"/>
  <c r="T339" i="37" s="1"/>
  <c r="R339" i="37"/>
  <c r="U339" i="37" s="1"/>
  <c r="S339" i="37"/>
  <c r="O340" i="37"/>
  <c r="P340" i="37"/>
  <c r="T340" i="37"/>
  <c r="U340" i="37"/>
  <c r="L341" i="37"/>
  <c r="M341" i="37"/>
  <c r="N341" i="37"/>
  <c r="N339" i="37" s="1"/>
  <c r="T341" i="37"/>
  <c r="U341" i="37"/>
  <c r="I344" i="37"/>
  <c r="J344" i="37"/>
  <c r="I346" i="37"/>
  <c r="J346" i="37"/>
  <c r="J347" i="37"/>
  <c r="J348" i="37"/>
  <c r="J349" i="37"/>
  <c r="D350" i="37"/>
  <c r="J352" i="37"/>
  <c r="J353" i="37"/>
  <c r="J354" i="37"/>
  <c r="R356" i="37"/>
  <c r="U356" i="37" s="1"/>
  <c r="L357" i="37"/>
  <c r="M357" i="37"/>
  <c r="P357" i="37" s="1"/>
  <c r="N357" i="37"/>
  <c r="O357" i="37"/>
  <c r="Q357" i="37"/>
  <c r="T357" i="37" s="1"/>
  <c r="R357" i="37"/>
  <c r="S357" i="37"/>
  <c r="S356" i="37" s="1"/>
  <c r="U357" i="37"/>
  <c r="Q358" i="37"/>
  <c r="R358" i="37"/>
  <c r="U358" i="37" s="1"/>
  <c r="S358" i="37"/>
  <c r="Q359" i="37"/>
  <c r="T359" i="37" s="1"/>
  <c r="R359" i="37"/>
  <c r="U359" i="37" s="1"/>
  <c r="S359" i="37"/>
  <c r="O360" i="37"/>
  <c r="P360" i="37"/>
  <c r="T360" i="37"/>
  <c r="U360" i="37"/>
  <c r="L361" i="37"/>
  <c r="M361" i="37"/>
  <c r="M359" i="37" s="1"/>
  <c r="N361" i="37"/>
  <c r="T361" i="37"/>
  <c r="U361" i="37"/>
  <c r="Q362" i="37"/>
  <c r="R362" i="37"/>
  <c r="S362" i="37"/>
  <c r="T362" i="37"/>
  <c r="U362" i="37"/>
  <c r="O363" i="37"/>
  <c r="P363" i="37"/>
  <c r="T363" i="37"/>
  <c r="U363" i="37"/>
  <c r="L364" i="37"/>
  <c r="M364" i="37"/>
  <c r="N364" i="37"/>
  <c r="N362" i="37" s="1"/>
  <c r="T364" i="37"/>
  <c r="U364" i="37"/>
  <c r="J367" i="37"/>
  <c r="K367" i="37"/>
  <c r="I368" i="37"/>
  <c r="K368" i="37" s="1"/>
  <c r="J368" i="37"/>
  <c r="I369" i="37"/>
  <c r="K369" i="37" s="1"/>
  <c r="J369" i="37"/>
  <c r="J370" i="37"/>
  <c r="K370" i="37"/>
  <c r="I371" i="37"/>
  <c r="K371" i="37" s="1"/>
  <c r="J371" i="37"/>
  <c r="J365" i="37" s="1"/>
  <c r="J372" i="37"/>
  <c r="K372" i="37"/>
  <c r="D373" i="37"/>
  <c r="J374" i="37"/>
  <c r="L376" i="37"/>
  <c r="M376" i="37"/>
  <c r="N376" i="37"/>
  <c r="P376" i="37"/>
  <c r="Q376" i="37"/>
  <c r="R376" i="37"/>
  <c r="S376" i="37"/>
  <c r="O379" i="37"/>
  <c r="P379" i="37"/>
  <c r="T379" i="37"/>
  <c r="U379" i="37"/>
  <c r="L380" i="37"/>
  <c r="O380" i="37" s="1"/>
  <c r="M380" i="37"/>
  <c r="N380" i="37"/>
  <c r="N378" i="37" s="1"/>
  <c r="Q380" i="37"/>
  <c r="Q377" i="37" s="1"/>
  <c r="T377" i="37" s="1"/>
  <c r="R380" i="37"/>
  <c r="U380" i="37" s="1"/>
  <c r="S380" i="37"/>
  <c r="Q381" i="37"/>
  <c r="T381" i="37" s="1"/>
  <c r="R381" i="37"/>
  <c r="S381" i="37"/>
  <c r="U381" i="37"/>
  <c r="O382" i="37"/>
  <c r="P382" i="37"/>
  <c r="T382" i="37"/>
  <c r="U382" i="37"/>
  <c r="L383" i="37"/>
  <c r="O383" i="37" s="1"/>
  <c r="M383" i="37"/>
  <c r="N383" i="37"/>
  <c r="N381" i="37" s="1"/>
  <c r="T383" i="37"/>
  <c r="U383" i="37"/>
  <c r="I385" i="37"/>
  <c r="K385" i="37" s="1"/>
  <c r="I386" i="37"/>
  <c r="K386" i="37" s="1"/>
  <c r="K387" i="37"/>
  <c r="K388" i="37"/>
  <c r="I391" i="37"/>
  <c r="K391" i="37" s="1"/>
  <c r="J391" i="37"/>
  <c r="L393" i="37"/>
  <c r="M393" i="37"/>
  <c r="N393" i="37"/>
  <c r="P393" i="37"/>
  <c r="Q393" i="37"/>
  <c r="R393" i="37"/>
  <c r="S393" i="37"/>
  <c r="L394" i="37"/>
  <c r="O394" i="37" s="1"/>
  <c r="M394" i="37"/>
  <c r="P394" i="37" s="1"/>
  <c r="N394" i="37"/>
  <c r="N392" i="37" s="1"/>
  <c r="L395" i="37"/>
  <c r="M395" i="37"/>
  <c r="N395" i="37"/>
  <c r="O395" i="37"/>
  <c r="P395" i="37"/>
  <c r="O396" i="37"/>
  <c r="P396" i="37"/>
  <c r="T396" i="37"/>
  <c r="U396" i="37"/>
  <c r="O397" i="37"/>
  <c r="P397" i="37"/>
  <c r="Q397" i="37"/>
  <c r="R397" i="37"/>
  <c r="R395" i="37" s="1"/>
  <c r="U395" i="37" s="1"/>
  <c r="S397" i="37"/>
  <c r="S395" i="37" s="1"/>
  <c r="L398" i="37"/>
  <c r="O398" i="37" s="1"/>
  <c r="M398" i="37"/>
  <c r="P398" i="37" s="1"/>
  <c r="N398" i="37"/>
  <c r="Q398" i="37"/>
  <c r="T398" i="37" s="1"/>
  <c r="R398" i="37"/>
  <c r="U398" i="37" s="1"/>
  <c r="S398" i="37"/>
  <c r="O399" i="37"/>
  <c r="P399" i="37"/>
  <c r="T399" i="37"/>
  <c r="U399" i="37"/>
  <c r="O400" i="37"/>
  <c r="P400" i="37"/>
  <c r="T400" i="37"/>
  <c r="U400" i="37"/>
  <c r="L414" i="37"/>
  <c r="M414" i="37"/>
  <c r="N414" i="37"/>
  <c r="P414" i="37"/>
  <c r="Q414" i="37"/>
  <c r="R414" i="37"/>
  <c r="S414" i="37"/>
  <c r="O417" i="37"/>
  <c r="P417" i="37"/>
  <c r="T417" i="37"/>
  <c r="U417" i="37"/>
  <c r="L418" i="37"/>
  <c r="M418" i="37"/>
  <c r="N418" i="37"/>
  <c r="N416" i="37" s="1"/>
  <c r="Q418" i="37"/>
  <c r="Q415" i="37" s="1"/>
  <c r="T415" i="37" s="1"/>
  <c r="R418" i="37"/>
  <c r="S418" i="37"/>
  <c r="Q419" i="37"/>
  <c r="R419" i="37"/>
  <c r="S419" i="37"/>
  <c r="T419" i="37"/>
  <c r="U419" i="37"/>
  <c r="O420" i="37"/>
  <c r="P420" i="37"/>
  <c r="T420" i="37"/>
  <c r="U420" i="37"/>
  <c r="L421" i="37"/>
  <c r="M421" i="37"/>
  <c r="N421" i="37"/>
  <c r="N419" i="37" s="1"/>
  <c r="T421" i="37"/>
  <c r="U421" i="37"/>
  <c r="J423" i="37"/>
  <c r="J412" i="37" s="1"/>
  <c r="I424" i="37"/>
  <c r="K424" i="37" s="1"/>
  <c r="J424" i="37"/>
  <c r="I425" i="37"/>
  <c r="K425" i="37" s="1"/>
  <c r="J425" i="37"/>
  <c r="I432" i="37"/>
  <c r="K432" i="37" s="1"/>
  <c r="J432" i="37"/>
  <c r="I433" i="37"/>
  <c r="K433" i="37" s="1"/>
  <c r="J433" i="37"/>
  <c r="I440" i="37"/>
  <c r="I423" i="37" s="1"/>
  <c r="I441" i="37"/>
  <c r="K441" i="37" s="1"/>
  <c r="J446" i="37"/>
  <c r="J440" i="37" s="1"/>
  <c r="J447" i="37"/>
  <c r="J441" i="37" s="1"/>
  <c r="I457" i="37"/>
  <c r="I458" i="37"/>
  <c r="K458" i="37" s="1"/>
  <c r="J459" i="37"/>
  <c r="J457" i="37" s="1"/>
  <c r="J456" i="37" s="1"/>
  <c r="J460" i="37"/>
  <c r="J467" i="37"/>
  <c r="J468" i="37"/>
  <c r="J458" i="37" s="1"/>
  <c r="J475" i="37"/>
  <c r="K475" i="37"/>
  <c r="J476" i="37"/>
  <c r="K476" i="37"/>
  <c r="J477" i="37"/>
  <c r="K477" i="37"/>
  <c r="J482" i="37"/>
  <c r="J483" i="37"/>
  <c r="I484" i="37"/>
  <c r="K484" i="37" s="1"/>
  <c r="J484" i="37"/>
  <c r="I485" i="37"/>
  <c r="J485" i="37"/>
  <c r="K485" i="37"/>
  <c r="L494" i="37"/>
  <c r="M494" i="37"/>
  <c r="N494" i="37"/>
  <c r="O494" i="37"/>
  <c r="P494" i="37"/>
  <c r="Q494" i="37"/>
  <c r="R494" i="37"/>
  <c r="S494" i="37"/>
  <c r="T494" i="37"/>
  <c r="U494" i="37"/>
  <c r="O497" i="37"/>
  <c r="P497" i="37"/>
  <c r="T497" i="37"/>
  <c r="U497" i="37"/>
  <c r="L498" i="37"/>
  <c r="M498" i="37"/>
  <c r="M496" i="37" s="1"/>
  <c r="P496" i="37" s="1"/>
  <c r="N498" i="37"/>
  <c r="Q498" i="37"/>
  <c r="Q495" i="37" s="1"/>
  <c r="T495" i="37" s="1"/>
  <c r="R498" i="37"/>
  <c r="U498" i="37" s="1"/>
  <c r="S498" i="37"/>
  <c r="S495" i="37" s="1"/>
  <c r="S493" i="37" s="1"/>
  <c r="Q499" i="37"/>
  <c r="R499" i="37"/>
  <c r="U499" i="37" s="1"/>
  <c r="S499" i="37"/>
  <c r="T499" i="37"/>
  <c r="O500" i="37"/>
  <c r="P500" i="37"/>
  <c r="T500" i="37"/>
  <c r="U500" i="37"/>
  <c r="L501" i="37"/>
  <c r="O501" i="37" s="1"/>
  <c r="M501" i="37"/>
  <c r="M499" i="37" s="1"/>
  <c r="P499" i="37" s="1"/>
  <c r="N501" i="37"/>
  <c r="N499" i="37" s="1"/>
  <c r="T501" i="37"/>
  <c r="U501" i="37"/>
  <c r="I503" i="37"/>
  <c r="I492" i="37" s="1"/>
  <c r="K492" i="37" s="1"/>
  <c r="I504" i="37"/>
  <c r="I505" i="37"/>
  <c r="K505" i="37" s="1"/>
  <c r="I506" i="37"/>
  <c r="K506" i="37" s="1"/>
  <c r="I507" i="37"/>
  <c r="K507" i="37" s="1"/>
  <c r="K508" i="37"/>
  <c r="I509" i="37"/>
  <c r="K509" i="37" s="1"/>
  <c r="I512" i="37"/>
  <c r="K512" i="37" s="1"/>
  <c r="J512" i="37"/>
  <c r="L514" i="37"/>
  <c r="O514" i="37" s="1"/>
  <c r="M514" i="37"/>
  <c r="N514" i="37"/>
  <c r="Q514" i="37"/>
  <c r="R514" i="37"/>
  <c r="U514" i="37" s="1"/>
  <c r="S514" i="37"/>
  <c r="Q515" i="37"/>
  <c r="T515" i="37" s="1"/>
  <c r="R515" i="37"/>
  <c r="U515" i="37" s="1"/>
  <c r="S515" i="37"/>
  <c r="Q516" i="37"/>
  <c r="T516" i="37" s="1"/>
  <c r="R516" i="37"/>
  <c r="U516" i="37" s="1"/>
  <c r="S516" i="37"/>
  <c r="O517" i="37"/>
  <c r="P517" i="37"/>
  <c r="T517" i="37"/>
  <c r="U517" i="37"/>
  <c r="L518" i="37"/>
  <c r="L516" i="37" s="1"/>
  <c r="O516" i="37" s="1"/>
  <c r="M518" i="37"/>
  <c r="M516" i="37" s="1"/>
  <c r="P516" i="37" s="1"/>
  <c r="N518" i="37"/>
  <c r="T518" i="37"/>
  <c r="U518" i="37"/>
  <c r="Q519" i="37"/>
  <c r="R519" i="37"/>
  <c r="S519" i="37"/>
  <c r="T519" i="37"/>
  <c r="U519" i="37"/>
  <c r="O520" i="37"/>
  <c r="P520" i="37"/>
  <c r="T520" i="37"/>
  <c r="U520" i="37"/>
  <c r="L521" i="37"/>
  <c r="M521" i="37"/>
  <c r="P521" i="37" s="1"/>
  <c r="N521" i="37"/>
  <c r="N519" i="37" s="1"/>
  <c r="T521" i="37"/>
  <c r="U521" i="37"/>
  <c r="K523" i="37"/>
  <c r="K524" i="37"/>
  <c r="I533" i="37"/>
  <c r="K533" i="37" s="1"/>
  <c r="J533" i="37"/>
  <c r="S534" i="37"/>
  <c r="L535" i="37"/>
  <c r="O535" i="37" s="1"/>
  <c r="M535" i="37"/>
  <c r="P535" i="37" s="1"/>
  <c r="N535" i="37"/>
  <c r="Q535" i="37"/>
  <c r="R535" i="37"/>
  <c r="U535" i="37" s="1"/>
  <c r="S535" i="37"/>
  <c r="Q536" i="37"/>
  <c r="T536" i="37" s="1"/>
  <c r="R536" i="37"/>
  <c r="U536" i="37" s="1"/>
  <c r="S536" i="37"/>
  <c r="Q537" i="37"/>
  <c r="T537" i="37" s="1"/>
  <c r="R537" i="37"/>
  <c r="U537" i="37" s="1"/>
  <c r="S537" i="37"/>
  <c r="O538" i="37"/>
  <c r="P538" i="37"/>
  <c r="T538" i="37"/>
  <c r="U538" i="37"/>
  <c r="L539" i="37"/>
  <c r="L537" i="37" s="1"/>
  <c r="O537" i="37" s="1"/>
  <c r="M539" i="37"/>
  <c r="M537" i="37" s="1"/>
  <c r="P537" i="37" s="1"/>
  <c r="N539" i="37"/>
  <c r="N537" i="37" s="1"/>
  <c r="T539" i="37"/>
  <c r="U539" i="37"/>
  <c r="Q540" i="37"/>
  <c r="R540" i="37"/>
  <c r="S540" i="37"/>
  <c r="T540" i="37"/>
  <c r="U540" i="37"/>
  <c r="O541" i="37"/>
  <c r="P541" i="37"/>
  <c r="T541" i="37"/>
  <c r="U541" i="37"/>
  <c r="L542" i="37"/>
  <c r="M542" i="37"/>
  <c r="N542" i="37"/>
  <c r="N540" i="37" s="1"/>
  <c r="T542" i="37"/>
  <c r="U542" i="37"/>
  <c r="I554" i="37"/>
  <c r="K554" i="37" s="1"/>
  <c r="J554" i="37"/>
  <c r="L556" i="37"/>
  <c r="M556" i="37"/>
  <c r="N556" i="37"/>
  <c r="P556" i="37"/>
  <c r="Q556" i="37"/>
  <c r="R556" i="37"/>
  <c r="S556" i="37"/>
  <c r="Q557" i="37"/>
  <c r="T557" i="37" s="1"/>
  <c r="R557" i="37"/>
  <c r="U557" i="37" s="1"/>
  <c r="S557" i="37"/>
  <c r="Q558" i="37"/>
  <c r="R558" i="37"/>
  <c r="S558" i="37"/>
  <c r="T558" i="37"/>
  <c r="U558" i="37"/>
  <c r="O559" i="37"/>
  <c r="P559" i="37"/>
  <c r="T559" i="37"/>
  <c r="U559" i="37"/>
  <c r="L560" i="37"/>
  <c r="M560" i="37"/>
  <c r="N560" i="37"/>
  <c r="N558" i="37" s="1"/>
  <c r="T560" i="37"/>
  <c r="U560" i="37"/>
  <c r="Q561" i="37"/>
  <c r="T561" i="37" s="1"/>
  <c r="R561" i="37"/>
  <c r="U561" i="37" s="1"/>
  <c r="S561" i="37"/>
  <c r="O562" i="37"/>
  <c r="P562" i="37"/>
  <c r="T562" i="37"/>
  <c r="U562" i="37"/>
  <c r="L563" i="37"/>
  <c r="L561" i="37" s="1"/>
  <c r="O561" i="37" s="1"/>
  <c r="M563" i="37"/>
  <c r="P563" i="37" s="1"/>
  <c r="N563" i="37"/>
  <c r="N561" i="37" s="1"/>
  <c r="T563" i="37"/>
  <c r="U563" i="37"/>
  <c r="I575" i="37"/>
  <c r="J575" i="37"/>
  <c r="K575" i="37"/>
  <c r="L577" i="37"/>
  <c r="M577" i="37"/>
  <c r="P577" i="37" s="1"/>
  <c r="N577" i="37"/>
  <c r="O577" i="37"/>
  <c r="Q577" i="37"/>
  <c r="T577" i="37" s="1"/>
  <c r="R577" i="37"/>
  <c r="R576" i="37" s="1"/>
  <c r="U576" i="37" s="1"/>
  <c r="S577" i="37"/>
  <c r="Q578" i="37"/>
  <c r="R578" i="37"/>
  <c r="U578" i="37" s="1"/>
  <c r="S578" i="37"/>
  <c r="Q579" i="37"/>
  <c r="T579" i="37" s="1"/>
  <c r="R579" i="37"/>
  <c r="U579" i="37" s="1"/>
  <c r="S579" i="37"/>
  <c r="O580" i="37"/>
  <c r="P580" i="37"/>
  <c r="T580" i="37"/>
  <c r="U580" i="37"/>
  <c r="L581" i="37"/>
  <c r="L579" i="37" s="1"/>
  <c r="O579" i="37" s="1"/>
  <c r="M581" i="37"/>
  <c r="M579" i="37" s="1"/>
  <c r="P579" i="37" s="1"/>
  <c r="N581" i="37"/>
  <c r="N579" i="37" s="1"/>
  <c r="T581" i="37"/>
  <c r="U581" i="37"/>
  <c r="Q582" i="37"/>
  <c r="R582" i="37"/>
  <c r="S582" i="37"/>
  <c r="T582" i="37"/>
  <c r="U582" i="37"/>
  <c r="O583" i="37"/>
  <c r="P583" i="37"/>
  <c r="T583" i="37"/>
  <c r="U583" i="37"/>
  <c r="L584" i="37"/>
  <c r="M584" i="37"/>
  <c r="N584" i="37"/>
  <c r="N582" i="37" s="1"/>
  <c r="T584" i="37"/>
  <c r="U584" i="37"/>
  <c r="L600" i="37"/>
  <c r="O600" i="37" s="1"/>
  <c r="M600" i="37"/>
  <c r="N600" i="37"/>
  <c r="Q600" i="37"/>
  <c r="R600" i="37"/>
  <c r="S600" i="37"/>
  <c r="T600" i="37"/>
  <c r="U600" i="37"/>
  <c r="O603" i="37"/>
  <c r="P603" i="37"/>
  <c r="T603" i="37"/>
  <c r="U603" i="37"/>
  <c r="L604" i="37"/>
  <c r="M604" i="37"/>
  <c r="N604" i="37"/>
  <c r="N602" i="37" s="1"/>
  <c r="Q604" i="37"/>
  <c r="T604" i="37" s="1"/>
  <c r="R604" i="37"/>
  <c r="U604" i="37" s="1"/>
  <c r="S604" i="37"/>
  <c r="O606" i="37"/>
  <c r="P606" i="37"/>
  <c r="T606" i="37"/>
  <c r="U606" i="37"/>
  <c r="L607" i="37"/>
  <c r="O607" i="37" s="1"/>
  <c r="M607" i="37"/>
  <c r="N607" i="37"/>
  <c r="N605" i="37" s="1"/>
  <c r="Q607" i="37"/>
  <c r="T607" i="37" s="1"/>
  <c r="R607" i="37"/>
  <c r="S607" i="37"/>
  <c r="S605" i="37" s="1"/>
  <c r="N616" i="37"/>
  <c r="L617" i="37"/>
  <c r="M617" i="37"/>
  <c r="N617" i="37"/>
  <c r="Q617" i="37"/>
  <c r="T617" i="37" s="1"/>
  <c r="R617" i="37"/>
  <c r="S617" i="37"/>
  <c r="L618" i="37"/>
  <c r="O618" i="37" s="1"/>
  <c r="M618" i="37"/>
  <c r="P618" i="37" s="1"/>
  <c r="N618" i="37"/>
  <c r="L619" i="37"/>
  <c r="O619" i="37" s="1"/>
  <c r="M619" i="37"/>
  <c r="P619" i="37" s="1"/>
  <c r="N619" i="37"/>
  <c r="O620" i="37"/>
  <c r="P620" i="37"/>
  <c r="T620" i="37"/>
  <c r="U620" i="37"/>
  <c r="O621" i="37"/>
  <c r="P621" i="37"/>
  <c r="Q621" i="37"/>
  <c r="Q619" i="37" s="1"/>
  <c r="R621" i="37"/>
  <c r="S621" i="37"/>
  <c r="S619" i="37" s="1"/>
  <c r="L622" i="37"/>
  <c r="O622" i="37" s="1"/>
  <c r="M622" i="37"/>
  <c r="P622" i="37" s="1"/>
  <c r="N622" i="37"/>
  <c r="Q622" i="37"/>
  <c r="T622" i="37" s="1"/>
  <c r="R622" i="37"/>
  <c r="U622" i="37" s="1"/>
  <c r="S622" i="37"/>
  <c r="O623" i="37"/>
  <c r="P623" i="37"/>
  <c r="T623" i="37"/>
  <c r="U623" i="37"/>
  <c r="O624" i="37"/>
  <c r="P624" i="37"/>
  <c r="T624" i="37"/>
  <c r="U624" i="37"/>
  <c r="I626" i="37"/>
  <c r="K630" i="37" s="1"/>
  <c r="J626" i="37"/>
  <c r="J615" i="37" s="1"/>
  <c r="I627" i="37"/>
  <c r="K627" i="37" s="1"/>
  <c r="I628" i="37"/>
  <c r="K628" i="37" s="1"/>
  <c r="J632" i="37"/>
  <c r="I635" i="37"/>
  <c r="K635" i="37" s="1"/>
  <c r="J635" i="37"/>
  <c r="J636" i="37"/>
  <c r="L643" i="37"/>
  <c r="M643" i="37"/>
  <c r="P643" i="37" s="1"/>
  <c r="N643" i="37"/>
  <c r="O643" i="37"/>
  <c r="Q643" i="37"/>
  <c r="R643" i="37"/>
  <c r="S643" i="37"/>
  <c r="U643" i="37"/>
  <c r="L644" i="37"/>
  <c r="O644" i="37" s="1"/>
  <c r="M644" i="37"/>
  <c r="N644" i="37"/>
  <c r="L645" i="37"/>
  <c r="O645" i="37" s="1"/>
  <c r="M645" i="37"/>
  <c r="P645" i="37" s="1"/>
  <c r="N645" i="37"/>
  <c r="O646" i="37"/>
  <c r="P646" i="37"/>
  <c r="T646" i="37"/>
  <c r="U646" i="37"/>
  <c r="O647" i="37"/>
  <c r="P647" i="37"/>
  <c r="Q647" i="37"/>
  <c r="R647" i="37"/>
  <c r="S647" i="37"/>
  <c r="S645" i="37" s="1"/>
  <c r="L648" i="37"/>
  <c r="O648" i="37" s="1"/>
  <c r="M648" i="37"/>
  <c r="P648" i="37" s="1"/>
  <c r="N648" i="37"/>
  <c r="Q648" i="37"/>
  <c r="T648" i="37" s="1"/>
  <c r="R648" i="37"/>
  <c r="U648" i="37" s="1"/>
  <c r="S648" i="37"/>
  <c r="O649" i="37"/>
  <c r="P649" i="37"/>
  <c r="T649" i="37"/>
  <c r="U649" i="37"/>
  <c r="O650" i="37"/>
  <c r="P650" i="37"/>
  <c r="T650" i="37"/>
  <c r="U650" i="37"/>
  <c r="I652" i="37"/>
  <c r="K652" i="37" s="1"/>
  <c r="J652" i="37"/>
  <c r="I653" i="37"/>
  <c r="J653" i="37"/>
  <c r="I654" i="37"/>
  <c r="K654" i="37" s="1"/>
  <c r="J654" i="37"/>
  <c r="I657" i="37"/>
  <c r="I660" i="37"/>
  <c r="I661" i="37"/>
  <c r="J661" i="37"/>
  <c r="J671" i="37"/>
  <c r="J672" i="37"/>
  <c r="I673" i="37"/>
  <c r="K673" i="37" s="1"/>
  <c r="J673" i="37"/>
  <c r="I674" i="37"/>
  <c r="I675" i="37"/>
  <c r="I676" i="37"/>
  <c r="J676" i="37"/>
  <c r="J677" i="37"/>
  <c r="I678" i="37"/>
  <c r="J678" i="37"/>
  <c r="I679" i="37"/>
  <c r="K679" i="37" s="1"/>
  <c r="J679" i="37"/>
  <c r="J680" i="37"/>
  <c r="I681" i="37"/>
  <c r="K681" i="37" s="1"/>
  <c r="J681" i="37"/>
  <c r="I682" i="37"/>
  <c r="K682" i="37" s="1"/>
  <c r="J682" i="37"/>
  <c r="L691" i="37"/>
  <c r="M691" i="37"/>
  <c r="N691" i="37"/>
  <c r="Q691" i="37"/>
  <c r="R691" i="37"/>
  <c r="S691" i="37"/>
  <c r="L692" i="37"/>
  <c r="O692" i="37" s="1"/>
  <c r="M692" i="37"/>
  <c r="P692" i="37" s="1"/>
  <c r="N692" i="37"/>
  <c r="L693" i="37"/>
  <c r="M693" i="37"/>
  <c r="P693" i="37" s="1"/>
  <c r="N693" i="37"/>
  <c r="O693" i="37"/>
  <c r="O694" i="37"/>
  <c r="P694" i="37"/>
  <c r="T694" i="37"/>
  <c r="U694" i="37"/>
  <c r="O695" i="37"/>
  <c r="P695" i="37"/>
  <c r="Q695" i="37"/>
  <c r="Q693" i="37" s="1"/>
  <c r="T693" i="37" s="1"/>
  <c r="R695" i="37"/>
  <c r="S695" i="37"/>
  <c r="S693" i="37" s="1"/>
  <c r="L696" i="37"/>
  <c r="O696" i="37" s="1"/>
  <c r="M696" i="37"/>
  <c r="P696" i="37" s="1"/>
  <c r="N696" i="37"/>
  <c r="Q696" i="37"/>
  <c r="T696" i="37" s="1"/>
  <c r="R696" i="37"/>
  <c r="U696" i="37" s="1"/>
  <c r="S696" i="37"/>
  <c r="O697" i="37"/>
  <c r="P697" i="37"/>
  <c r="T697" i="37"/>
  <c r="U697" i="37"/>
  <c r="O698" i="37"/>
  <c r="P698" i="37"/>
  <c r="T698" i="37"/>
  <c r="U698" i="37"/>
  <c r="I700" i="37"/>
  <c r="K700" i="37" s="1"/>
  <c r="K702" i="37"/>
  <c r="I703" i="37"/>
  <c r="J703" i="37"/>
  <c r="J704" i="37"/>
  <c r="K704" i="37"/>
  <c r="I705" i="37"/>
  <c r="K705" i="37" s="1"/>
  <c r="J705" i="37"/>
  <c r="J706" i="37"/>
  <c r="K706" i="37"/>
  <c r="I707" i="37"/>
  <c r="I689" i="37" s="1"/>
  <c r="K689" i="37" s="1"/>
  <c r="J707" i="37"/>
  <c r="J689" i="37" s="1"/>
  <c r="J708" i="37"/>
  <c r="K708" i="37"/>
  <c r="I709" i="37"/>
  <c r="K709" i="37" s="1"/>
  <c r="J709" i="37"/>
  <c r="J710" i="37"/>
  <c r="K710" i="37"/>
  <c r="J712" i="37"/>
  <c r="K712" i="37"/>
  <c r="N714" i="37"/>
  <c r="Q714" i="37"/>
  <c r="T714" i="37" s="1"/>
  <c r="L715" i="37"/>
  <c r="M715" i="37"/>
  <c r="P715" i="37" s="1"/>
  <c r="N715" i="37"/>
  <c r="O715" i="37"/>
  <c r="Q715" i="37"/>
  <c r="T715" i="37" s="1"/>
  <c r="R715" i="37"/>
  <c r="U715" i="37" s="1"/>
  <c r="S715" i="37"/>
  <c r="L716" i="37"/>
  <c r="L714" i="37" s="1"/>
  <c r="O714" i="37" s="1"/>
  <c r="M716" i="37"/>
  <c r="N716" i="37"/>
  <c r="Q716" i="37"/>
  <c r="T716" i="37" s="1"/>
  <c r="R716" i="37"/>
  <c r="S716" i="37"/>
  <c r="U716" i="37"/>
  <c r="L717" i="37"/>
  <c r="O717" i="37" s="1"/>
  <c r="M717" i="37"/>
  <c r="P717" i="37" s="1"/>
  <c r="N717" i="37"/>
  <c r="Q717" i="37"/>
  <c r="T717" i="37" s="1"/>
  <c r="R717" i="37"/>
  <c r="U717" i="37" s="1"/>
  <c r="S717" i="37"/>
  <c r="O718" i="37"/>
  <c r="P718" i="37"/>
  <c r="T718" i="37"/>
  <c r="U718" i="37"/>
  <c r="O719" i="37"/>
  <c r="P719" i="37"/>
  <c r="T719" i="37"/>
  <c r="U719" i="37"/>
  <c r="L720" i="37"/>
  <c r="O720" i="37" s="1"/>
  <c r="M720" i="37"/>
  <c r="P720" i="37" s="1"/>
  <c r="N720" i="37"/>
  <c r="Q720" i="37"/>
  <c r="T720" i="37" s="1"/>
  <c r="R720" i="37"/>
  <c r="U720" i="37" s="1"/>
  <c r="S720" i="37"/>
  <c r="O721" i="37"/>
  <c r="P721" i="37"/>
  <c r="T721" i="37"/>
  <c r="U721" i="37"/>
  <c r="O722" i="37"/>
  <c r="P722" i="37"/>
  <c r="T722" i="37"/>
  <c r="U722" i="37"/>
  <c r="I726" i="37"/>
  <c r="K726" i="37" s="1"/>
  <c r="J726" i="37"/>
  <c r="I727" i="37"/>
  <c r="K727" i="37" s="1"/>
  <c r="J727" i="37"/>
  <c r="M728" i="37"/>
  <c r="P728" i="37" s="1"/>
  <c r="L729" i="37"/>
  <c r="M729" i="37"/>
  <c r="N729" i="37"/>
  <c r="N728" i="37" s="1"/>
  <c r="O729" i="37"/>
  <c r="P729" i="37"/>
  <c r="Q729" i="37"/>
  <c r="R729" i="37"/>
  <c r="S729" i="37"/>
  <c r="T729" i="37"/>
  <c r="U729" i="37"/>
  <c r="L730" i="37"/>
  <c r="O730" i="37" s="1"/>
  <c r="M730" i="37"/>
  <c r="P730" i="37" s="1"/>
  <c r="N730" i="37"/>
  <c r="L731" i="37"/>
  <c r="O731" i="37" s="1"/>
  <c r="M731" i="37"/>
  <c r="P731" i="37" s="1"/>
  <c r="N731" i="37"/>
  <c r="O732" i="37"/>
  <c r="P732" i="37"/>
  <c r="T732" i="37"/>
  <c r="U732" i="37"/>
  <c r="O733" i="37"/>
  <c r="P733" i="37"/>
  <c r="Q733" i="37"/>
  <c r="Q731" i="37" s="1"/>
  <c r="T731" i="37" s="1"/>
  <c r="R733" i="37"/>
  <c r="R731" i="37" s="1"/>
  <c r="U731" i="37" s="1"/>
  <c r="S733" i="37"/>
  <c r="S730" i="37" s="1"/>
  <c r="S728" i="37" s="1"/>
  <c r="L734" i="37"/>
  <c r="M734" i="37"/>
  <c r="N734" i="37"/>
  <c r="O734" i="37"/>
  <c r="P734" i="37"/>
  <c r="Q734" i="37"/>
  <c r="T734" i="37" s="1"/>
  <c r="R734" i="37"/>
  <c r="S734" i="37"/>
  <c r="U734" i="37"/>
  <c r="O735" i="37"/>
  <c r="P735" i="37"/>
  <c r="T735" i="37"/>
  <c r="U735" i="37"/>
  <c r="O736" i="37"/>
  <c r="P736" i="37"/>
  <c r="T736" i="37"/>
  <c r="U736" i="37"/>
  <c r="I740" i="37"/>
  <c r="K740" i="37" s="1"/>
  <c r="I742" i="37"/>
  <c r="K742" i="37" s="1"/>
  <c r="I744" i="37"/>
  <c r="K744" i="37" s="1"/>
  <c r="I746" i="37"/>
  <c r="K746" i="37" s="1"/>
  <c r="I749" i="37"/>
  <c r="K749" i="37" s="1"/>
  <c r="I752" i="37"/>
  <c r="K752" i="37" s="1"/>
  <c r="I755" i="37"/>
  <c r="K755" i="37" s="1"/>
  <c r="J758" i="37"/>
  <c r="J759" i="37"/>
  <c r="L760" i="37"/>
  <c r="O760" i="37" s="1"/>
  <c r="L761" i="37"/>
  <c r="M761" i="37"/>
  <c r="P761" i="37" s="1"/>
  <c r="N761" i="37"/>
  <c r="N760" i="37" s="1"/>
  <c r="O761" i="37"/>
  <c r="Q761" i="37"/>
  <c r="R761" i="37"/>
  <c r="S761" i="37"/>
  <c r="U761" i="37"/>
  <c r="L762" i="37"/>
  <c r="O762" i="37" s="1"/>
  <c r="M762" i="37"/>
  <c r="P762" i="37" s="1"/>
  <c r="N762" i="37"/>
  <c r="L763" i="37"/>
  <c r="O763" i="37" s="1"/>
  <c r="M763" i="37"/>
  <c r="P763" i="37" s="1"/>
  <c r="N763" i="37"/>
  <c r="O764" i="37"/>
  <c r="P764" i="37"/>
  <c r="T764" i="37"/>
  <c r="U764" i="37"/>
  <c r="O765" i="37"/>
  <c r="P765" i="37"/>
  <c r="Q765" i="37"/>
  <c r="Q763" i="37" s="1"/>
  <c r="R765" i="37"/>
  <c r="R763" i="37" s="1"/>
  <c r="S765" i="37"/>
  <c r="S763" i="37" s="1"/>
  <c r="L766" i="37"/>
  <c r="O766" i="37" s="1"/>
  <c r="M766" i="37"/>
  <c r="P766" i="37" s="1"/>
  <c r="N766" i="37"/>
  <c r="Q766" i="37"/>
  <c r="T766" i="37" s="1"/>
  <c r="R766" i="37"/>
  <c r="U766" i="37" s="1"/>
  <c r="S766" i="37"/>
  <c r="O767" i="37"/>
  <c r="P767" i="37"/>
  <c r="T767" i="37"/>
  <c r="U767" i="37"/>
  <c r="O768" i="37"/>
  <c r="P768" i="37"/>
  <c r="T768" i="37"/>
  <c r="U768" i="37"/>
  <c r="I770" i="37"/>
  <c r="K770" i="37" s="1"/>
  <c r="I772" i="37"/>
  <c r="I758" i="37" s="1"/>
  <c r="K758" i="37" s="1"/>
  <c r="I774" i="37"/>
  <c r="I759" i="37" s="1"/>
  <c r="I775" i="37"/>
  <c r="I776" i="37"/>
  <c r="H777" i="37"/>
  <c r="I778" i="37"/>
  <c r="K778" i="37" s="1"/>
  <c r="J778" i="37"/>
  <c r="I779" i="37"/>
  <c r="K779" i="37" s="1"/>
  <c r="J779" i="37"/>
  <c r="I780" i="37"/>
  <c r="K780" i="37" s="1"/>
  <c r="J780" i="37"/>
  <c r="I781" i="37"/>
  <c r="K781" i="37" s="1"/>
  <c r="J781" i="37"/>
  <c r="I782" i="37"/>
  <c r="J782" i="37"/>
  <c r="I783" i="37"/>
  <c r="J783" i="37"/>
  <c r="I784" i="37"/>
  <c r="J784" i="37"/>
  <c r="I785" i="37"/>
  <c r="J785" i="37"/>
  <c r="A788" i="37"/>
  <c r="A789" i="37"/>
  <c r="L22" i="36"/>
  <c r="L19" i="36" s="1"/>
  <c r="M22" i="36"/>
  <c r="N22" i="36"/>
  <c r="Q22" i="36"/>
  <c r="Q19" i="36" s="1"/>
  <c r="T19" i="36" s="1"/>
  <c r="R22" i="36"/>
  <c r="S22" i="36"/>
  <c r="L25" i="36"/>
  <c r="M25" i="36"/>
  <c r="N25" i="36"/>
  <c r="Q25" i="36"/>
  <c r="R25" i="36"/>
  <c r="S25" i="36"/>
  <c r="T25" i="36"/>
  <c r="L45" i="36"/>
  <c r="M45" i="36"/>
  <c r="N45" i="36"/>
  <c r="O45" i="36"/>
  <c r="Q45" i="36"/>
  <c r="Q44" i="36" s="1"/>
  <c r="T44" i="36" s="1"/>
  <c r="R45" i="36"/>
  <c r="U45" i="36" s="1"/>
  <c r="S45" i="36"/>
  <c r="T45" i="36"/>
  <c r="Q46" i="36"/>
  <c r="T46" i="36" s="1"/>
  <c r="R46" i="36"/>
  <c r="U46" i="36" s="1"/>
  <c r="S46" i="36"/>
  <c r="Q47" i="36"/>
  <c r="T47" i="36" s="1"/>
  <c r="R47" i="36"/>
  <c r="U47" i="36" s="1"/>
  <c r="S47" i="36"/>
  <c r="O48" i="36"/>
  <c r="P48" i="36"/>
  <c r="T48" i="36"/>
  <c r="U48" i="36"/>
  <c r="L49" i="36"/>
  <c r="L47" i="36" s="1"/>
  <c r="M49" i="36"/>
  <c r="M47" i="36" s="1"/>
  <c r="N49" i="36"/>
  <c r="N47" i="36" s="1"/>
  <c r="T49" i="36"/>
  <c r="U49" i="36"/>
  <c r="Q50" i="36"/>
  <c r="T50" i="36" s="1"/>
  <c r="R50" i="36"/>
  <c r="S50" i="36"/>
  <c r="U50" i="36"/>
  <c r="O51" i="36"/>
  <c r="P51" i="36"/>
  <c r="T51" i="36"/>
  <c r="U51" i="36"/>
  <c r="L52" i="36"/>
  <c r="M52" i="36"/>
  <c r="N52" i="36"/>
  <c r="N50" i="36" s="1"/>
  <c r="T52" i="36"/>
  <c r="U52" i="36"/>
  <c r="Q59" i="36"/>
  <c r="T59" i="36" s="1"/>
  <c r="L60" i="36"/>
  <c r="O60" i="36" s="1"/>
  <c r="M60" i="36"/>
  <c r="N60" i="36"/>
  <c r="Q60" i="36"/>
  <c r="T60" i="36" s="1"/>
  <c r="R60" i="36"/>
  <c r="R59" i="36" s="1"/>
  <c r="U59" i="36" s="1"/>
  <c r="S60" i="36"/>
  <c r="S59" i="36" s="1"/>
  <c r="U60" i="36"/>
  <c r="Q61" i="36"/>
  <c r="T61" i="36" s="1"/>
  <c r="R61" i="36"/>
  <c r="U61" i="36" s="1"/>
  <c r="S61" i="36"/>
  <c r="Q62" i="36"/>
  <c r="T62" i="36" s="1"/>
  <c r="R62" i="36"/>
  <c r="U62" i="36" s="1"/>
  <c r="S62" i="36"/>
  <c r="O63" i="36"/>
  <c r="P63" i="36"/>
  <c r="T63" i="36"/>
  <c r="U63" i="36"/>
  <c r="L64" i="36"/>
  <c r="L62" i="36" s="1"/>
  <c r="M64" i="36"/>
  <c r="N64" i="36"/>
  <c r="N62" i="36" s="1"/>
  <c r="T64" i="36"/>
  <c r="U64" i="36"/>
  <c r="Q65" i="36"/>
  <c r="R65" i="36"/>
  <c r="U65" i="36" s="1"/>
  <c r="S65" i="36"/>
  <c r="T65" i="36"/>
  <c r="O66" i="36"/>
  <c r="P66" i="36"/>
  <c r="T66" i="36"/>
  <c r="U66" i="36"/>
  <c r="L67" i="36"/>
  <c r="M67" i="36"/>
  <c r="N67" i="36"/>
  <c r="N65" i="36" s="1"/>
  <c r="T67" i="36"/>
  <c r="U67" i="36"/>
  <c r="L73" i="36"/>
  <c r="O73" i="36" s="1"/>
  <c r="M73" i="36"/>
  <c r="N73" i="36"/>
  <c r="Q73" i="36"/>
  <c r="R73" i="36"/>
  <c r="U73" i="36" s="1"/>
  <c r="S73" i="36"/>
  <c r="T73" i="36"/>
  <c r="O76" i="36"/>
  <c r="P76" i="36"/>
  <c r="T76" i="36"/>
  <c r="U76" i="36"/>
  <c r="L77" i="36"/>
  <c r="M77" i="36"/>
  <c r="N77" i="36"/>
  <c r="N75" i="36" s="1"/>
  <c r="Q77" i="36"/>
  <c r="Q75" i="36" s="1"/>
  <c r="R77" i="36"/>
  <c r="S77" i="36"/>
  <c r="S75" i="36" s="1"/>
  <c r="O79" i="36"/>
  <c r="P79" i="36"/>
  <c r="T79" i="36"/>
  <c r="U79" i="36"/>
  <c r="L80" i="36"/>
  <c r="O80" i="36" s="1"/>
  <c r="M80" i="36"/>
  <c r="M78" i="36" s="1"/>
  <c r="P78" i="36" s="1"/>
  <c r="N80" i="36"/>
  <c r="N78" i="36" s="1"/>
  <c r="Q80" i="36"/>
  <c r="Q78" i="36" s="1"/>
  <c r="R80" i="36"/>
  <c r="R78" i="36" s="1"/>
  <c r="S80" i="36"/>
  <c r="S78" i="36" s="1"/>
  <c r="J82" i="36"/>
  <c r="J70" i="36" s="1"/>
  <c r="J83" i="36"/>
  <c r="J71" i="36" s="1"/>
  <c r="I84" i="36"/>
  <c r="K84" i="36" s="1"/>
  <c r="I85" i="36"/>
  <c r="I86" i="36"/>
  <c r="K86" i="36" s="1"/>
  <c r="I87" i="36"/>
  <c r="K87" i="36" s="1"/>
  <c r="I88" i="36"/>
  <c r="K88" i="36" s="1"/>
  <c r="I89" i="36"/>
  <c r="K89" i="36" s="1"/>
  <c r="I90" i="36"/>
  <c r="K90" i="36" s="1"/>
  <c r="J92" i="36"/>
  <c r="J93" i="36"/>
  <c r="L95" i="36"/>
  <c r="M95" i="36"/>
  <c r="N95" i="36"/>
  <c r="P95" i="36"/>
  <c r="Q95" i="36"/>
  <c r="R95" i="36"/>
  <c r="S95" i="36"/>
  <c r="O98" i="36"/>
  <c r="P98" i="36"/>
  <c r="T98" i="36"/>
  <c r="U98" i="36"/>
  <c r="L99" i="36"/>
  <c r="O99" i="36" s="1"/>
  <c r="M99" i="36"/>
  <c r="N99" i="36"/>
  <c r="Q99" i="36"/>
  <c r="Q97" i="36" s="1"/>
  <c r="T97" i="36" s="1"/>
  <c r="R99" i="36"/>
  <c r="U99" i="36" s="1"/>
  <c r="S99" i="36"/>
  <c r="Q100" i="36"/>
  <c r="T100" i="36" s="1"/>
  <c r="R100" i="36"/>
  <c r="S100" i="36"/>
  <c r="U100" i="36"/>
  <c r="O101" i="36"/>
  <c r="P101" i="36"/>
  <c r="T101" i="36"/>
  <c r="U101" i="36"/>
  <c r="L102" i="36"/>
  <c r="O102" i="36" s="1"/>
  <c r="M102" i="36"/>
  <c r="N102" i="36"/>
  <c r="T102" i="36"/>
  <c r="U102" i="36"/>
  <c r="I108" i="36"/>
  <c r="I92" i="36" s="1"/>
  <c r="K92" i="36" s="1"/>
  <c r="I109" i="36"/>
  <c r="K109" i="36" s="1"/>
  <c r="I114" i="36"/>
  <c r="K114" i="36" s="1"/>
  <c r="J116" i="36"/>
  <c r="L118" i="36"/>
  <c r="M118" i="36"/>
  <c r="P118" i="36" s="1"/>
  <c r="N118" i="36"/>
  <c r="Q118" i="36"/>
  <c r="R118" i="36"/>
  <c r="S118" i="36"/>
  <c r="O121" i="36"/>
  <c r="P121" i="36"/>
  <c r="T121" i="36"/>
  <c r="U121" i="36"/>
  <c r="L122" i="36"/>
  <c r="O122" i="36" s="1"/>
  <c r="M122" i="36"/>
  <c r="N122" i="36"/>
  <c r="N120" i="36" s="1"/>
  <c r="Q122" i="36"/>
  <c r="Q120" i="36" s="1"/>
  <c r="R122" i="36"/>
  <c r="S122" i="36"/>
  <c r="O124" i="36"/>
  <c r="P124" i="36"/>
  <c r="T124" i="36"/>
  <c r="U124" i="36"/>
  <c r="L125" i="36"/>
  <c r="O125" i="36" s="1"/>
  <c r="M125" i="36"/>
  <c r="N125" i="36"/>
  <c r="N123" i="36" s="1"/>
  <c r="Q125" i="36"/>
  <c r="R125" i="36"/>
  <c r="U125" i="36" s="1"/>
  <c r="S125" i="36"/>
  <c r="S123" i="36" s="1"/>
  <c r="I127" i="36"/>
  <c r="K127" i="36" s="1"/>
  <c r="I128" i="36"/>
  <c r="K128" i="36" s="1"/>
  <c r="I129" i="36"/>
  <c r="K129" i="36" s="1"/>
  <c r="I130" i="36"/>
  <c r="K130" i="36" s="1"/>
  <c r="J136" i="36"/>
  <c r="J137" i="36"/>
  <c r="J138" i="36"/>
  <c r="L140" i="36"/>
  <c r="M140" i="36"/>
  <c r="N140" i="36"/>
  <c r="Q140" i="36"/>
  <c r="T140" i="36" s="1"/>
  <c r="R140" i="36"/>
  <c r="S140" i="36"/>
  <c r="O143" i="36"/>
  <c r="P143" i="36"/>
  <c r="T143" i="36"/>
  <c r="U143" i="36"/>
  <c r="L144" i="36"/>
  <c r="L142" i="36" s="1"/>
  <c r="O142" i="36" s="1"/>
  <c r="M144" i="36"/>
  <c r="P144" i="36" s="1"/>
  <c r="N144" i="36"/>
  <c r="N142" i="36" s="1"/>
  <c r="Q144" i="36"/>
  <c r="R144" i="36"/>
  <c r="R142" i="36" s="1"/>
  <c r="U142" i="36" s="1"/>
  <c r="S144" i="36"/>
  <c r="S142" i="36" s="1"/>
  <c r="O146" i="36"/>
  <c r="P146" i="36"/>
  <c r="T146" i="36"/>
  <c r="U146" i="36"/>
  <c r="L147" i="36"/>
  <c r="M147" i="36"/>
  <c r="P147" i="36" s="1"/>
  <c r="N147" i="36"/>
  <c r="N145" i="36" s="1"/>
  <c r="Q147" i="36"/>
  <c r="Q145" i="36" s="1"/>
  <c r="T145" i="36" s="1"/>
  <c r="R147" i="36"/>
  <c r="S147" i="36"/>
  <c r="S145" i="36" s="1"/>
  <c r="I150" i="36"/>
  <c r="K150" i="36" s="1"/>
  <c r="I151" i="36"/>
  <c r="K151" i="36" s="1"/>
  <c r="I152" i="36"/>
  <c r="I137" i="36" s="1"/>
  <c r="K137" i="36" s="1"/>
  <c r="I153" i="36"/>
  <c r="I138" i="36" s="1"/>
  <c r="K138" i="36" s="1"/>
  <c r="I154" i="36"/>
  <c r="I136" i="36" s="1"/>
  <c r="K136" i="36" s="1"/>
  <c r="J156" i="36"/>
  <c r="L158" i="36"/>
  <c r="M158" i="36"/>
  <c r="P158" i="36" s="1"/>
  <c r="N158" i="36"/>
  <c r="Q158" i="36"/>
  <c r="R158" i="36"/>
  <c r="S158" i="36"/>
  <c r="O161" i="36"/>
  <c r="P161" i="36"/>
  <c r="T161" i="36"/>
  <c r="U161" i="36"/>
  <c r="L162" i="36"/>
  <c r="M162" i="36"/>
  <c r="N162" i="36"/>
  <c r="N160" i="36" s="1"/>
  <c r="Q162" i="36"/>
  <c r="R162" i="36"/>
  <c r="U162" i="36" s="1"/>
  <c r="S162" i="36"/>
  <c r="Q163" i="36"/>
  <c r="T163" i="36" s="1"/>
  <c r="R163" i="36"/>
  <c r="U163" i="36" s="1"/>
  <c r="S163" i="36"/>
  <c r="O164" i="36"/>
  <c r="P164" i="36"/>
  <c r="T164" i="36"/>
  <c r="U164" i="36"/>
  <c r="L165" i="36"/>
  <c r="O165" i="36" s="1"/>
  <c r="M165" i="36"/>
  <c r="N165" i="36"/>
  <c r="N163" i="36" s="1"/>
  <c r="T165" i="36"/>
  <c r="U165" i="36"/>
  <c r="I167" i="36"/>
  <c r="K167" i="36" s="1"/>
  <c r="J172" i="36"/>
  <c r="L174" i="36"/>
  <c r="M174" i="36"/>
  <c r="N174" i="36"/>
  <c r="P174" i="36"/>
  <c r="Q174" i="36"/>
  <c r="R174" i="36"/>
  <c r="S174" i="36"/>
  <c r="O177" i="36"/>
  <c r="P177" i="36"/>
  <c r="T177" i="36"/>
  <c r="U177" i="36"/>
  <c r="L178" i="36"/>
  <c r="M178" i="36"/>
  <c r="N178" i="36"/>
  <c r="Q178" i="36"/>
  <c r="R178" i="36"/>
  <c r="S178" i="36"/>
  <c r="S175" i="36" s="1"/>
  <c r="Q179" i="36"/>
  <c r="T179" i="36" s="1"/>
  <c r="R179" i="36"/>
  <c r="S179" i="36"/>
  <c r="U179" i="36"/>
  <c r="O180" i="36"/>
  <c r="P180" i="36"/>
  <c r="T180" i="36"/>
  <c r="U180" i="36"/>
  <c r="L181" i="36"/>
  <c r="M181" i="36"/>
  <c r="P181" i="36" s="1"/>
  <c r="N181" i="36"/>
  <c r="N179" i="36" s="1"/>
  <c r="T181" i="36"/>
  <c r="U181" i="36"/>
  <c r="I183" i="36"/>
  <c r="K184" i="36"/>
  <c r="L187" i="36"/>
  <c r="M187" i="36"/>
  <c r="N187" i="36"/>
  <c r="Q187" i="36"/>
  <c r="R187" i="36"/>
  <c r="S187" i="36"/>
  <c r="T187" i="36"/>
  <c r="O190" i="36"/>
  <c r="P190" i="36"/>
  <c r="T190" i="36"/>
  <c r="U190" i="36"/>
  <c r="L191" i="36"/>
  <c r="M191" i="36"/>
  <c r="N191" i="36"/>
  <c r="Q191" i="36"/>
  <c r="Q189" i="36" s="1"/>
  <c r="R191" i="36"/>
  <c r="S191" i="36"/>
  <c r="O193" i="36"/>
  <c r="P193" i="36"/>
  <c r="T193" i="36"/>
  <c r="U193" i="36"/>
  <c r="L194" i="36"/>
  <c r="O194" i="36" s="1"/>
  <c r="M194" i="36"/>
  <c r="N194" i="36"/>
  <c r="N192" i="36" s="1"/>
  <c r="Q194" i="36"/>
  <c r="R194" i="36"/>
  <c r="U194" i="36" s="1"/>
  <c r="S194" i="36"/>
  <c r="S192" i="36" s="1"/>
  <c r="J195" i="36"/>
  <c r="L196" i="36"/>
  <c r="O196" i="36" s="1"/>
  <c r="P196" i="36"/>
  <c r="I198" i="36"/>
  <c r="J199" i="36"/>
  <c r="J202" i="36"/>
  <c r="N203" i="36"/>
  <c r="P203" i="36"/>
  <c r="S203" i="36"/>
  <c r="U203" i="36"/>
  <c r="L204" i="36"/>
  <c r="L205" i="36"/>
  <c r="L206" i="36"/>
  <c r="Q206" i="36"/>
  <c r="Q203" i="36" s="1"/>
  <c r="L207" i="36"/>
  <c r="I209" i="36"/>
  <c r="K209" i="36" s="1"/>
  <c r="I211" i="36"/>
  <c r="K211" i="36" s="1"/>
  <c r="I212" i="36"/>
  <c r="K212" i="36" s="1"/>
  <c r="J213" i="36"/>
  <c r="N214" i="36"/>
  <c r="P214" i="36"/>
  <c r="S214" i="36"/>
  <c r="U214" i="36"/>
  <c r="L215" i="36"/>
  <c r="L216" i="36"/>
  <c r="L217" i="36"/>
  <c r="Q217" i="36"/>
  <c r="Q214" i="36" s="1"/>
  <c r="T214" i="36" s="1"/>
  <c r="I219" i="36"/>
  <c r="K219" i="36" s="1"/>
  <c r="I220" i="36"/>
  <c r="J221" i="36"/>
  <c r="N222" i="36"/>
  <c r="P222" i="36"/>
  <c r="L223" i="36"/>
  <c r="L224" i="36"/>
  <c r="L225" i="36"/>
  <c r="I228" i="36"/>
  <c r="K228" i="36" s="1"/>
  <c r="I229" i="36"/>
  <c r="I221" i="36" s="1"/>
  <c r="K221" i="36" s="1"/>
  <c r="I230" i="36"/>
  <c r="N233" i="36"/>
  <c r="N234" i="36"/>
  <c r="N235" i="36"/>
  <c r="N236" i="36"/>
  <c r="J238" i="36"/>
  <c r="I240" i="36"/>
  <c r="K240" i="36" s="1"/>
  <c r="J240" i="36"/>
  <c r="I241" i="36"/>
  <c r="K241" i="36" s="1"/>
  <c r="J241" i="36"/>
  <c r="J242" i="36"/>
  <c r="N243" i="36"/>
  <c r="P243" i="36"/>
  <c r="L244" i="36"/>
  <c r="L245" i="36"/>
  <c r="L246" i="36"/>
  <c r="L247" i="36"/>
  <c r="I249" i="36"/>
  <c r="K249" i="36" s="1"/>
  <c r="K251" i="36"/>
  <c r="K252" i="36"/>
  <c r="J253" i="36"/>
  <c r="N254" i="36"/>
  <c r="N232" i="36" s="1"/>
  <c r="P254" i="36"/>
  <c r="L255" i="36"/>
  <c r="L256" i="36"/>
  <c r="L257" i="36"/>
  <c r="L258" i="36"/>
  <c r="I260" i="36"/>
  <c r="K260" i="36" s="1"/>
  <c r="K262" i="36"/>
  <c r="K263" i="36"/>
  <c r="J265" i="36"/>
  <c r="L267" i="36"/>
  <c r="M267" i="36"/>
  <c r="N267" i="36"/>
  <c r="Q267" i="36"/>
  <c r="R267" i="36"/>
  <c r="S267" i="36"/>
  <c r="O270" i="36"/>
  <c r="P270" i="36"/>
  <c r="T270" i="36"/>
  <c r="U270" i="36"/>
  <c r="L271" i="36"/>
  <c r="M271" i="36"/>
  <c r="N271" i="36"/>
  <c r="Q271" i="36"/>
  <c r="Q268" i="36" s="1"/>
  <c r="R271" i="36"/>
  <c r="R268" i="36" s="1"/>
  <c r="S271" i="36"/>
  <c r="S268" i="36" s="1"/>
  <c r="Q272" i="36"/>
  <c r="T272" i="36" s="1"/>
  <c r="R272" i="36"/>
  <c r="S272" i="36"/>
  <c r="U272" i="36"/>
  <c r="O273" i="36"/>
  <c r="P273" i="36"/>
  <c r="T273" i="36"/>
  <c r="U273" i="36"/>
  <c r="L274" i="36"/>
  <c r="O274" i="36" s="1"/>
  <c r="M274" i="36"/>
  <c r="N274" i="36"/>
  <c r="N272" i="36" s="1"/>
  <c r="T274" i="36"/>
  <c r="U274" i="36"/>
  <c r="I276" i="36"/>
  <c r="J281" i="36"/>
  <c r="L283" i="36"/>
  <c r="O283" i="36" s="1"/>
  <c r="M283" i="36"/>
  <c r="P283" i="36" s="1"/>
  <c r="N283" i="36"/>
  <c r="Q283" i="36"/>
  <c r="T283" i="36" s="1"/>
  <c r="R283" i="36"/>
  <c r="S283" i="36"/>
  <c r="S282" i="36" s="1"/>
  <c r="U283" i="36"/>
  <c r="Q284" i="36"/>
  <c r="R284" i="36"/>
  <c r="S284" i="36"/>
  <c r="U284" i="36"/>
  <c r="Q285" i="36"/>
  <c r="T285" i="36" s="1"/>
  <c r="R285" i="36"/>
  <c r="U285" i="36" s="1"/>
  <c r="S285" i="36"/>
  <c r="O286" i="36"/>
  <c r="P286" i="36"/>
  <c r="T286" i="36"/>
  <c r="U286" i="36"/>
  <c r="L287" i="36"/>
  <c r="L285" i="36" s="1"/>
  <c r="M287" i="36"/>
  <c r="M285" i="36" s="1"/>
  <c r="N287" i="36"/>
  <c r="T287" i="36"/>
  <c r="U287" i="36"/>
  <c r="Q288" i="36"/>
  <c r="T288" i="36" s="1"/>
  <c r="R288" i="36"/>
  <c r="S288" i="36"/>
  <c r="U288" i="36"/>
  <c r="O289" i="36"/>
  <c r="P289" i="36"/>
  <c r="T289" i="36"/>
  <c r="U289" i="36"/>
  <c r="L290" i="36"/>
  <c r="M290" i="36"/>
  <c r="P290" i="36" s="1"/>
  <c r="N290" i="36"/>
  <c r="N288" i="36" s="1"/>
  <c r="T290" i="36"/>
  <c r="U290" i="36"/>
  <c r="I292" i="36"/>
  <c r="I293" i="36"/>
  <c r="I280" i="36" s="1"/>
  <c r="J293" i="36"/>
  <c r="J280" i="36" s="1"/>
  <c r="I295" i="36"/>
  <c r="K295" i="36" s="1"/>
  <c r="I296" i="36"/>
  <c r="K296" i="36" s="1"/>
  <c r="J302" i="36"/>
  <c r="L304" i="36"/>
  <c r="M304" i="36"/>
  <c r="P304" i="36" s="1"/>
  <c r="N304" i="36"/>
  <c r="Q304" i="36"/>
  <c r="R304" i="36"/>
  <c r="S304" i="36"/>
  <c r="T304" i="36"/>
  <c r="O307" i="36"/>
  <c r="P307" i="36"/>
  <c r="T307" i="36"/>
  <c r="U307" i="36"/>
  <c r="L308" i="36"/>
  <c r="L306" i="36" s="1"/>
  <c r="M308" i="36"/>
  <c r="M306" i="36" s="1"/>
  <c r="N308" i="36"/>
  <c r="Q308" i="36"/>
  <c r="R308" i="36"/>
  <c r="S308" i="36"/>
  <c r="S305" i="36" s="1"/>
  <c r="Q309" i="36"/>
  <c r="T309" i="36" s="1"/>
  <c r="R309" i="36"/>
  <c r="U309" i="36" s="1"/>
  <c r="S309" i="36"/>
  <c r="O310" i="36"/>
  <c r="P310" i="36"/>
  <c r="T310" i="36"/>
  <c r="U310" i="36"/>
  <c r="L311" i="36"/>
  <c r="L309" i="36" s="1"/>
  <c r="O309" i="36" s="1"/>
  <c r="M311" i="36"/>
  <c r="N311" i="36"/>
  <c r="N309" i="36" s="1"/>
  <c r="T311" i="36"/>
  <c r="U311" i="36"/>
  <c r="I314" i="36"/>
  <c r="I302" i="36" s="1"/>
  <c r="J319" i="36"/>
  <c r="L321" i="36"/>
  <c r="M321" i="36"/>
  <c r="P321" i="36" s="1"/>
  <c r="N321" i="36"/>
  <c r="Q321" i="36"/>
  <c r="T321" i="36" s="1"/>
  <c r="R321" i="36"/>
  <c r="S321" i="36"/>
  <c r="Q322" i="36"/>
  <c r="T322" i="36" s="1"/>
  <c r="R322" i="36"/>
  <c r="U322" i="36" s="1"/>
  <c r="S322" i="36"/>
  <c r="Q323" i="36"/>
  <c r="T323" i="36" s="1"/>
  <c r="R323" i="36"/>
  <c r="S323" i="36"/>
  <c r="U323" i="36"/>
  <c r="O324" i="36"/>
  <c r="P324" i="36"/>
  <c r="T324" i="36"/>
  <c r="U324" i="36"/>
  <c r="L325" i="36"/>
  <c r="M325" i="36"/>
  <c r="N325" i="36"/>
  <c r="N323" i="36" s="1"/>
  <c r="T325" i="36"/>
  <c r="U325" i="36"/>
  <c r="Q326" i="36"/>
  <c r="T326" i="36" s="1"/>
  <c r="R326" i="36"/>
  <c r="U326" i="36" s="1"/>
  <c r="S326" i="36"/>
  <c r="O327" i="36"/>
  <c r="P327" i="36"/>
  <c r="T327" i="36"/>
  <c r="U327" i="36"/>
  <c r="L328" i="36"/>
  <c r="M328" i="36"/>
  <c r="M326" i="36" s="1"/>
  <c r="P326" i="36" s="1"/>
  <c r="N328" i="36"/>
  <c r="N326" i="36" s="1"/>
  <c r="T328" i="36"/>
  <c r="U328" i="36"/>
  <c r="I330" i="36"/>
  <c r="K330" i="36" s="1"/>
  <c r="L334" i="36"/>
  <c r="O334" i="36" s="1"/>
  <c r="M334" i="36"/>
  <c r="N334" i="36"/>
  <c r="Q334" i="36"/>
  <c r="Q333" i="36" s="1"/>
  <c r="T333" i="36" s="1"/>
  <c r="R334" i="36"/>
  <c r="U334" i="36" s="1"/>
  <c r="S334" i="36"/>
  <c r="Q335" i="36"/>
  <c r="R335" i="36"/>
  <c r="U335" i="36" s="1"/>
  <c r="S335" i="36"/>
  <c r="T335" i="36"/>
  <c r="Q336" i="36"/>
  <c r="T336" i="36" s="1"/>
  <c r="R336" i="36"/>
  <c r="U336" i="36" s="1"/>
  <c r="S336" i="36"/>
  <c r="O337" i="36"/>
  <c r="P337" i="36"/>
  <c r="T337" i="36"/>
  <c r="U337" i="36"/>
  <c r="L338" i="36"/>
  <c r="M338" i="36"/>
  <c r="N338" i="36"/>
  <c r="N336" i="36" s="1"/>
  <c r="T338" i="36"/>
  <c r="U338" i="36"/>
  <c r="Q339" i="36"/>
  <c r="R339" i="36"/>
  <c r="U339" i="36" s="1"/>
  <c r="S339" i="36"/>
  <c r="T339" i="36"/>
  <c r="O340" i="36"/>
  <c r="P340" i="36"/>
  <c r="T340" i="36"/>
  <c r="U340" i="36"/>
  <c r="L341" i="36"/>
  <c r="M341" i="36"/>
  <c r="N341" i="36"/>
  <c r="N339" i="36" s="1"/>
  <c r="T341" i="36"/>
  <c r="U341" i="36"/>
  <c r="I344" i="36"/>
  <c r="I332" i="36" s="1"/>
  <c r="J344" i="36"/>
  <c r="I346" i="36"/>
  <c r="J346" i="36"/>
  <c r="J347" i="36"/>
  <c r="J348" i="36"/>
  <c r="J349" i="36"/>
  <c r="D350" i="36"/>
  <c r="J352" i="36"/>
  <c r="J353" i="36"/>
  <c r="J354" i="36"/>
  <c r="L357" i="36"/>
  <c r="M357" i="36"/>
  <c r="P357" i="36" s="1"/>
  <c r="N357" i="36"/>
  <c r="Q357" i="36"/>
  <c r="R357" i="36"/>
  <c r="S357" i="36"/>
  <c r="Q358" i="36"/>
  <c r="R358" i="36"/>
  <c r="U358" i="36" s="1"/>
  <c r="S358" i="36"/>
  <c r="T358" i="36"/>
  <c r="Q359" i="36"/>
  <c r="R359" i="36"/>
  <c r="S359" i="36"/>
  <c r="T359" i="36"/>
  <c r="U359" i="36"/>
  <c r="O360" i="36"/>
  <c r="P360" i="36"/>
  <c r="T360" i="36"/>
  <c r="U360" i="36"/>
  <c r="L361" i="36"/>
  <c r="M361" i="36"/>
  <c r="N361" i="36"/>
  <c r="T361" i="36"/>
  <c r="U361" i="36"/>
  <c r="Q362" i="36"/>
  <c r="T362" i="36" s="1"/>
  <c r="R362" i="36"/>
  <c r="U362" i="36" s="1"/>
  <c r="S362" i="36"/>
  <c r="O363" i="36"/>
  <c r="P363" i="36"/>
  <c r="T363" i="36"/>
  <c r="U363" i="36"/>
  <c r="L364" i="36"/>
  <c r="O364" i="36" s="1"/>
  <c r="M364" i="36"/>
  <c r="M362" i="36" s="1"/>
  <c r="P362" i="36" s="1"/>
  <c r="N364" i="36"/>
  <c r="N362" i="36" s="1"/>
  <c r="T364" i="36"/>
  <c r="U364" i="36"/>
  <c r="J367" i="36"/>
  <c r="K367" i="36"/>
  <c r="I368" i="36"/>
  <c r="J368" i="36"/>
  <c r="I369" i="36"/>
  <c r="J369" i="36"/>
  <c r="J370" i="36"/>
  <c r="K370" i="36"/>
  <c r="I371" i="36"/>
  <c r="J371" i="36"/>
  <c r="J365" i="36" s="1"/>
  <c r="J372" i="36"/>
  <c r="K372" i="36"/>
  <c r="D373" i="36"/>
  <c r="L376" i="36"/>
  <c r="M376" i="36"/>
  <c r="N376" i="36"/>
  <c r="Q376" i="36"/>
  <c r="R376" i="36"/>
  <c r="S376" i="36"/>
  <c r="O379" i="36"/>
  <c r="P379" i="36"/>
  <c r="T379" i="36"/>
  <c r="U379" i="36"/>
  <c r="L380" i="36"/>
  <c r="L378" i="36" s="1"/>
  <c r="O378" i="36" s="1"/>
  <c r="M380" i="36"/>
  <c r="M378" i="36" s="1"/>
  <c r="P378" i="36" s="1"/>
  <c r="N380" i="36"/>
  <c r="Q380" i="36"/>
  <c r="Q377" i="36" s="1"/>
  <c r="R380" i="36"/>
  <c r="R377" i="36" s="1"/>
  <c r="S380" i="36"/>
  <c r="S377" i="36" s="1"/>
  <c r="Q381" i="36"/>
  <c r="T381" i="36" s="1"/>
  <c r="R381" i="36"/>
  <c r="U381" i="36" s="1"/>
  <c r="S381" i="36"/>
  <c r="O382" i="36"/>
  <c r="P382" i="36"/>
  <c r="T382" i="36"/>
  <c r="U382" i="36"/>
  <c r="L383" i="36"/>
  <c r="M383" i="36"/>
  <c r="N383" i="36"/>
  <c r="N381" i="36" s="1"/>
  <c r="T383" i="36"/>
  <c r="U383" i="36"/>
  <c r="J385" i="36"/>
  <c r="K385" i="36"/>
  <c r="I386" i="36"/>
  <c r="J386" i="36"/>
  <c r="J387" i="36"/>
  <c r="K387" i="36"/>
  <c r="I388" i="36"/>
  <c r="K388" i="36" s="1"/>
  <c r="J388" i="36"/>
  <c r="I391" i="36"/>
  <c r="K391" i="36" s="1"/>
  <c r="J391" i="36"/>
  <c r="L393" i="36"/>
  <c r="M393" i="36"/>
  <c r="M392" i="36" s="1"/>
  <c r="P392" i="36" s="1"/>
  <c r="N393" i="36"/>
  <c r="Q393" i="36"/>
  <c r="R393" i="36"/>
  <c r="S393" i="36"/>
  <c r="T393" i="36"/>
  <c r="L394" i="36"/>
  <c r="O394" i="36" s="1"/>
  <c r="M394" i="36"/>
  <c r="N394" i="36"/>
  <c r="P394" i="36"/>
  <c r="L395" i="36"/>
  <c r="O395" i="36" s="1"/>
  <c r="M395" i="36"/>
  <c r="P395" i="36" s="1"/>
  <c r="N395" i="36"/>
  <c r="O396" i="36"/>
  <c r="P396" i="36"/>
  <c r="T396" i="36"/>
  <c r="U396" i="36"/>
  <c r="O397" i="36"/>
  <c r="P397" i="36"/>
  <c r="Q397" i="36"/>
  <c r="Q395" i="36" s="1"/>
  <c r="T395" i="36" s="1"/>
  <c r="R397" i="36"/>
  <c r="R394" i="36" s="1"/>
  <c r="U394" i="36" s="1"/>
  <c r="S397" i="36"/>
  <c r="L398" i="36"/>
  <c r="M398" i="36"/>
  <c r="N398" i="36"/>
  <c r="O398" i="36"/>
  <c r="P398" i="36"/>
  <c r="Q398" i="36"/>
  <c r="T398" i="36" s="1"/>
  <c r="R398" i="36"/>
  <c r="S398" i="36"/>
  <c r="U398" i="36"/>
  <c r="O399" i="36"/>
  <c r="P399" i="36"/>
  <c r="T399" i="36"/>
  <c r="U399" i="36"/>
  <c r="O400" i="36"/>
  <c r="P400" i="36"/>
  <c r="T400" i="36"/>
  <c r="U400" i="36"/>
  <c r="L414" i="36"/>
  <c r="M414" i="36"/>
  <c r="N414" i="36"/>
  <c r="O414" i="36"/>
  <c r="P414" i="36"/>
  <c r="Q414" i="36"/>
  <c r="T414" i="36" s="1"/>
  <c r="R414" i="36"/>
  <c r="S414" i="36"/>
  <c r="U414" i="36"/>
  <c r="O417" i="36"/>
  <c r="P417" i="36"/>
  <c r="T417" i="36"/>
  <c r="U417" i="36"/>
  <c r="L418" i="36"/>
  <c r="M418" i="36"/>
  <c r="N418" i="36"/>
  <c r="Q418" i="36"/>
  <c r="Q415" i="36" s="1"/>
  <c r="R418" i="36"/>
  <c r="S418" i="36"/>
  <c r="S415" i="36" s="1"/>
  <c r="S413" i="36" s="1"/>
  <c r="Q419" i="36"/>
  <c r="T419" i="36" s="1"/>
  <c r="R419" i="36"/>
  <c r="U419" i="36" s="1"/>
  <c r="S419" i="36"/>
  <c r="O420" i="36"/>
  <c r="P420" i="36"/>
  <c r="T420" i="36"/>
  <c r="U420" i="36"/>
  <c r="L421" i="36"/>
  <c r="O421" i="36" s="1"/>
  <c r="M421" i="36"/>
  <c r="N421" i="36"/>
  <c r="N419" i="36" s="1"/>
  <c r="T421" i="36"/>
  <c r="U421" i="36"/>
  <c r="I424" i="36"/>
  <c r="K424" i="36" s="1"/>
  <c r="J424" i="36"/>
  <c r="I425" i="36"/>
  <c r="K425" i="36" s="1"/>
  <c r="J425" i="36"/>
  <c r="I432" i="36"/>
  <c r="K432" i="36" s="1"/>
  <c r="J432" i="36"/>
  <c r="I433" i="36"/>
  <c r="K433" i="36" s="1"/>
  <c r="J433" i="36"/>
  <c r="I440" i="36"/>
  <c r="I441" i="36"/>
  <c r="K441" i="36" s="1"/>
  <c r="J446" i="36"/>
  <c r="J440" i="36" s="1"/>
  <c r="J423" i="36" s="1"/>
  <c r="J412" i="36" s="1"/>
  <c r="J447" i="36"/>
  <c r="J441" i="36" s="1"/>
  <c r="I457" i="36"/>
  <c r="I456" i="36" s="1"/>
  <c r="I458" i="36"/>
  <c r="K458" i="36" s="1"/>
  <c r="J459" i="36"/>
  <c r="J457" i="36" s="1"/>
  <c r="J460" i="36"/>
  <c r="J467" i="36"/>
  <c r="J468" i="36"/>
  <c r="J475" i="36"/>
  <c r="K475" i="36"/>
  <c r="J476" i="36"/>
  <c r="K476" i="36"/>
  <c r="J477" i="36"/>
  <c r="K477" i="36"/>
  <c r="J482" i="36"/>
  <c r="J483" i="36"/>
  <c r="I484" i="36"/>
  <c r="K484" i="36" s="1"/>
  <c r="J484" i="36"/>
  <c r="I485" i="36"/>
  <c r="K485" i="36" s="1"/>
  <c r="J485" i="36"/>
  <c r="L494" i="36"/>
  <c r="O494" i="36" s="1"/>
  <c r="M494" i="36"/>
  <c r="N494" i="36"/>
  <c r="Q494" i="36"/>
  <c r="R494" i="36"/>
  <c r="U494" i="36" s="1"/>
  <c r="S494" i="36"/>
  <c r="T494" i="36"/>
  <c r="O497" i="36"/>
  <c r="P497" i="36"/>
  <c r="T497" i="36"/>
  <c r="U497" i="36"/>
  <c r="L498" i="36"/>
  <c r="M498" i="36"/>
  <c r="M496" i="36" s="1"/>
  <c r="P496" i="36" s="1"/>
  <c r="N498" i="36"/>
  <c r="Q498" i="36"/>
  <c r="Q495" i="36" s="1"/>
  <c r="T495" i="36" s="1"/>
  <c r="R498" i="36"/>
  <c r="R495" i="36" s="1"/>
  <c r="U495" i="36" s="1"/>
  <c r="S498" i="36"/>
  <c r="S496" i="36" s="1"/>
  <c r="Q499" i="36"/>
  <c r="T499" i="36" s="1"/>
  <c r="R499" i="36"/>
  <c r="U499" i="36" s="1"/>
  <c r="S499" i="36"/>
  <c r="O500" i="36"/>
  <c r="P500" i="36"/>
  <c r="T500" i="36"/>
  <c r="U500" i="36"/>
  <c r="L501" i="36"/>
  <c r="O501" i="36" s="1"/>
  <c r="M501" i="36"/>
  <c r="M499" i="36" s="1"/>
  <c r="P499" i="36" s="1"/>
  <c r="N501" i="36"/>
  <c r="N499" i="36" s="1"/>
  <c r="T501" i="36"/>
  <c r="U501" i="36"/>
  <c r="I503" i="36"/>
  <c r="I492" i="36" s="1"/>
  <c r="K492" i="36" s="1"/>
  <c r="I504" i="36"/>
  <c r="K504" i="36" s="1"/>
  <c r="I505" i="36"/>
  <c r="K505" i="36" s="1"/>
  <c r="I506" i="36"/>
  <c r="K506" i="36" s="1"/>
  <c r="I507" i="36"/>
  <c r="K507" i="36" s="1"/>
  <c r="K508" i="36"/>
  <c r="I509" i="36"/>
  <c r="K509" i="36" s="1"/>
  <c r="I512" i="36"/>
  <c r="K512" i="36" s="1"/>
  <c r="J512" i="36"/>
  <c r="L514" i="36"/>
  <c r="M514" i="36"/>
  <c r="P514" i="36" s="1"/>
  <c r="N514" i="36"/>
  <c r="Q514" i="36"/>
  <c r="R514" i="36"/>
  <c r="S514" i="36"/>
  <c r="S513" i="36" s="1"/>
  <c r="Q515" i="36"/>
  <c r="T515" i="36" s="1"/>
  <c r="R515" i="36"/>
  <c r="U515" i="36" s="1"/>
  <c r="S515" i="36"/>
  <c r="Q516" i="36"/>
  <c r="T516" i="36" s="1"/>
  <c r="R516" i="36"/>
  <c r="U516" i="36" s="1"/>
  <c r="S516" i="36"/>
  <c r="O517" i="36"/>
  <c r="P517" i="36"/>
  <c r="T517" i="36"/>
  <c r="U517" i="36"/>
  <c r="L518" i="36"/>
  <c r="M518" i="36"/>
  <c r="N518" i="36"/>
  <c r="N516" i="36" s="1"/>
  <c r="T518" i="36"/>
  <c r="U518" i="36"/>
  <c r="Q519" i="36"/>
  <c r="T519" i="36" s="1"/>
  <c r="R519" i="36"/>
  <c r="U519" i="36" s="1"/>
  <c r="S519" i="36"/>
  <c r="O520" i="36"/>
  <c r="P520" i="36"/>
  <c r="T520" i="36"/>
  <c r="U520" i="36"/>
  <c r="L521" i="36"/>
  <c r="M521" i="36"/>
  <c r="M519" i="36" s="1"/>
  <c r="P519" i="36" s="1"/>
  <c r="N521" i="36"/>
  <c r="N519" i="36" s="1"/>
  <c r="T521" i="36"/>
  <c r="U521" i="36"/>
  <c r="K523" i="36"/>
  <c r="K524" i="36"/>
  <c r="I533" i="36"/>
  <c r="K533" i="36" s="1"/>
  <c r="J533" i="36"/>
  <c r="L535" i="36"/>
  <c r="M535" i="36"/>
  <c r="N535" i="36"/>
  <c r="Q535" i="36"/>
  <c r="R535" i="36"/>
  <c r="S535" i="36"/>
  <c r="Q536" i="36"/>
  <c r="R536" i="36"/>
  <c r="U536" i="36" s="1"/>
  <c r="S536" i="36"/>
  <c r="T536" i="36"/>
  <c r="Q537" i="36"/>
  <c r="T537" i="36" s="1"/>
  <c r="R537" i="36"/>
  <c r="U537" i="36" s="1"/>
  <c r="S537" i="36"/>
  <c r="O538" i="36"/>
  <c r="P538" i="36"/>
  <c r="T538" i="36"/>
  <c r="U538" i="36"/>
  <c r="L539" i="36"/>
  <c r="O539" i="36" s="1"/>
  <c r="M539" i="36"/>
  <c r="M537" i="36" s="1"/>
  <c r="P537" i="36" s="1"/>
  <c r="N539" i="36"/>
  <c r="N537" i="36" s="1"/>
  <c r="T539" i="36"/>
  <c r="U539" i="36"/>
  <c r="Q540" i="36"/>
  <c r="T540" i="36" s="1"/>
  <c r="R540" i="36"/>
  <c r="S540" i="36"/>
  <c r="U540" i="36"/>
  <c r="O541" i="36"/>
  <c r="P541" i="36"/>
  <c r="T541" i="36"/>
  <c r="U541" i="36"/>
  <c r="L542" i="36"/>
  <c r="M542" i="36"/>
  <c r="P542" i="36" s="1"/>
  <c r="N542" i="36"/>
  <c r="N540" i="36" s="1"/>
  <c r="T542" i="36"/>
  <c r="U542" i="36"/>
  <c r="I554" i="36"/>
  <c r="K554" i="36" s="1"/>
  <c r="J554" i="36"/>
  <c r="S555" i="36"/>
  <c r="L556" i="36"/>
  <c r="O556" i="36" s="1"/>
  <c r="M556" i="36"/>
  <c r="N556" i="36"/>
  <c r="P556" i="36"/>
  <c r="Q556" i="36"/>
  <c r="R556" i="36"/>
  <c r="U556" i="36" s="1"/>
  <c r="S556" i="36"/>
  <c r="Q557" i="36"/>
  <c r="T557" i="36" s="1"/>
  <c r="R557" i="36"/>
  <c r="S557" i="36"/>
  <c r="Q558" i="36"/>
  <c r="R558" i="36"/>
  <c r="U558" i="36" s="1"/>
  <c r="S558" i="36"/>
  <c r="T558" i="36"/>
  <c r="O559" i="36"/>
  <c r="P559" i="36"/>
  <c r="T559" i="36"/>
  <c r="U559" i="36"/>
  <c r="L560" i="36"/>
  <c r="M560" i="36"/>
  <c r="P560" i="36" s="1"/>
  <c r="N560" i="36"/>
  <c r="N558" i="36" s="1"/>
  <c r="T560" i="36"/>
  <c r="U560" i="36"/>
  <c r="Q561" i="36"/>
  <c r="T561" i="36" s="1"/>
  <c r="R561" i="36"/>
  <c r="U561" i="36" s="1"/>
  <c r="S561" i="36"/>
  <c r="O562" i="36"/>
  <c r="P562" i="36"/>
  <c r="T562" i="36"/>
  <c r="U562" i="36"/>
  <c r="L563" i="36"/>
  <c r="O563" i="36" s="1"/>
  <c r="M563" i="36"/>
  <c r="M561" i="36" s="1"/>
  <c r="P561" i="36" s="1"/>
  <c r="N563" i="36"/>
  <c r="N561" i="36" s="1"/>
  <c r="T563" i="36"/>
  <c r="U563" i="36"/>
  <c r="I575" i="36"/>
  <c r="J575" i="36"/>
  <c r="L577" i="36"/>
  <c r="O577" i="36" s="1"/>
  <c r="M577" i="36"/>
  <c r="N577" i="36"/>
  <c r="Q577" i="36"/>
  <c r="Q576" i="36" s="1"/>
  <c r="T576" i="36" s="1"/>
  <c r="R577" i="36"/>
  <c r="U577" i="36" s="1"/>
  <c r="S577" i="36"/>
  <c r="T577" i="36"/>
  <c r="Q578" i="36"/>
  <c r="T578" i="36" s="1"/>
  <c r="R578" i="36"/>
  <c r="S578" i="36"/>
  <c r="U578" i="36"/>
  <c r="Q579" i="36"/>
  <c r="T579" i="36" s="1"/>
  <c r="R579" i="36"/>
  <c r="U579" i="36" s="1"/>
  <c r="S579" i="36"/>
  <c r="O580" i="36"/>
  <c r="P580" i="36"/>
  <c r="T580" i="36"/>
  <c r="U580" i="36"/>
  <c r="L581" i="36"/>
  <c r="L579" i="36" s="1"/>
  <c r="M581" i="36"/>
  <c r="M579" i="36" s="1"/>
  <c r="N581" i="36"/>
  <c r="N579" i="36" s="1"/>
  <c r="T581" i="36"/>
  <c r="U581" i="36"/>
  <c r="Q582" i="36"/>
  <c r="R582" i="36"/>
  <c r="U582" i="36" s="1"/>
  <c r="S582" i="36"/>
  <c r="T582" i="36"/>
  <c r="O583" i="36"/>
  <c r="P583" i="36"/>
  <c r="T583" i="36"/>
  <c r="U583" i="36"/>
  <c r="L584" i="36"/>
  <c r="M584" i="36"/>
  <c r="P584" i="36" s="1"/>
  <c r="N584" i="36"/>
  <c r="N582" i="36" s="1"/>
  <c r="T584" i="36"/>
  <c r="U584" i="36"/>
  <c r="K586" i="36"/>
  <c r="K587" i="36"/>
  <c r="L600" i="36"/>
  <c r="M600" i="36"/>
  <c r="N600" i="36"/>
  <c r="P600" i="36"/>
  <c r="Q600" i="36"/>
  <c r="R600" i="36"/>
  <c r="S600" i="36"/>
  <c r="O603" i="36"/>
  <c r="P603" i="36"/>
  <c r="T603" i="36"/>
  <c r="U603" i="36"/>
  <c r="L604" i="36"/>
  <c r="M604" i="36"/>
  <c r="N604" i="36"/>
  <c r="N602" i="36" s="1"/>
  <c r="Q604" i="36"/>
  <c r="Q602" i="36" s="1"/>
  <c r="T602" i="36" s="1"/>
  <c r="R604" i="36"/>
  <c r="S604" i="36"/>
  <c r="S602" i="36" s="1"/>
  <c r="O606" i="36"/>
  <c r="P606" i="36"/>
  <c r="T606" i="36"/>
  <c r="U606" i="36"/>
  <c r="L607" i="36"/>
  <c r="M607" i="36"/>
  <c r="N607" i="36"/>
  <c r="Q607" i="36"/>
  <c r="Q605" i="36" s="1"/>
  <c r="T605" i="36" s="1"/>
  <c r="R607" i="36"/>
  <c r="S607" i="36"/>
  <c r="S605" i="36" s="1"/>
  <c r="L617" i="36"/>
  <c r="M617" i="36"/>
  <c r="P617" i="36" s="1"/>
  <c r="N617" i="36"/>
  <c r="O617" i="36"/>
  <c r="Q617" i="36"/>
  <c r="R617" i="36"/>
  <c r="S617" i="36"/>
  <c r="T617" i="36"/>
  <c r="U617" i="36"/>
  <c r="L618" i="36"/>
  <c r="O618" i="36" s="1"/>
  <c r="M618" i="36"/>
  <c r="N618" i="36"/>
  <c r="P618" i="36"/>
  <c r="L619" i="36"/>
  <c r="O619" i="36" s="1"/>
  <c r="M619" i="36"/>
  <c r="P619" i="36" s="1"/>
  <c r="N619" i="36"/>
  <c r="O620" i="36"/>
  <c r="P620" i="36"/>
  <c r="T620" i="36"/>
  <c r="U620" i="36"/>
  <c r="O621" i="36"/>
  <c r="P621" i="36"/>
  <c r="Q621" i="36"/>
  <c r="R621" i="36"/>
  <c r="R619" i="36" s="1"/>
  <c r="S621" i="36"/>
  <c r="S618" i="36" s="1"/>
  <c r="L622" i="36"/>
  <c r="M622" i="36"/>
  <c r="P622" i="36" s="1"/>
  <c r="N622" i="36"/>
  <c r="O622" i="36"/>
  <c r="Q622" i="36"/>
  <c r="R622" i="36"/>
  <c r="S622" i="36"/>
  <c r="T622" i="36"/>
  <c r="U622" i="36"/>
  <c r="O623" i="36"/>
  <c r="P623" i="36"/>
  <c r="T623" i="36"/>
  <c r="U623" i="36"/>
  <c r="O624" i="36"/>
  <c r="P624" i="36"/>
  <c r="T624" i="36"/>
  <c r="U624" i="36"/>
  <c r="I626" i="36"/>
  <c r="K630" i="36" s="1"/>
  <c r="I627" i="36"/>
  <c r="K627" i="36" s="1"/>
  <c r="I628" i="36"/>
  <c r="K628" i="36" s="1"/>
  <c r="J632" i="36"/>
  <c r="J626" i="36" s="1"/>
  <c r="J615" i="36" s="1"/>
  <c r="I635" i="36"/>
  <c r="K635" i="36" s="1"/>
  <c r="J636" i="36"/>
  <c r="J635" i="36" s="1"/>
  <c r="L643" i="36"/>
  <c r="O643" i="36" s="1"/>
  <c r="M643" i="36"/>
  <c r="N643" i="36"/>
  <c r="Q643" i="36"/>
  <c r="R643" i="36"/>
  <c r="U643" i="36" s="1"/>
  <c r="S643" i="36"/>
  <c r="T643" i="36"/>
  <c r="L644" i="36"/>
  <c r="M644" i="36"/>
  <c r="P644" i="36" s="1"/>
  <c r="N644" i="36"/>
  <c r="O644" i="36"/>
  <c r="L645" i="36"/>
  <c r="O645" i="36" s="1"/>
  <c r="M645" i="36"/>
  <c r="P645" i="36" s="1"/>
  <c r="N645" i="36"/>
  <c r="O646" i="36"/>
  <c r="P646" i="36"/>
  <c r="T646" i="36"/>
  <c r="U646" i="36"/>
  <c r="O647" i="36"/>
  <c r="P647" i="36"/>
  <c r="Q647" i="36"/>
  <c r="Q645" i="36" s="1"/>
  <c r="R647" i="36"/>
  <c r="R645" i="36" s="1"/>
  <c r="S647" i="36"/>
  <c r="L648" i="36"/>
  <c r="M648" i="36"/>
  <c r="P648" i="36" s="1"/>
  <c r="N648" i="36"/>
  <c r="O648" i="36"/>
  <c r="Q648" i="36"/>
  <c r="R648" i="36"/>
  <c r="U648" i="36" s="1"/>
  <c r="S648" i="36"/>
  <c r="T648" i="36"/>
  <c r="O649" i="36"/>
  <c r="P649" i="36"/>
  <c r="T649" i="36"/>
  <c r="U649" i="36"/>
  <c r="O650" i="36"/>
  <c r="P650" i="36"/>
  <c r="T650" i="36"/>
  <c r="U650" i="36"/>
  <c r="I652" i="36"/>
  <c r="K652" i="36" s="1"/>
  <c r="J652" i="36"/>
  <c r="I653" i="36"/>
  <c r="K653" i="36" s="1"/>
  <c r="J653" i="36"/>
  <c r="I654" i="36"/>
  <c r="K654" i="36" s="1"/>
  <c r="J654" i="36"/>
  <c r="I657" i="36"/>
  <c r="I660" i="36"/>
  <c r="I661" i="36"/>
  <c r="K661" i="36" s="1"/>
  <c r="J661" i="36"/>
  <c r="J671" i="36"/>
  <c r="J672" i="36"/>
  <c r="I673" i="36"/>
  <c r="J673" i="36"/>
  <c r="I674" i="36"/>
  <c r="I675" i="36"/>
  <c r="I676" i="36"/>
  <c r="J676" i="36"/>
  <c r="J677" i="36"/>
  <c r="I678" i="36"/>
  <c r="J678" i="36"/>
  <c r="I679" i="36"/>
  <c r="K679" i="36" s="1"/>
  <c r="J679" i="36"/>
  <c r="J680" i="36"/>
  <c r="I681" i="36"/>
  <c r="K681" i="36" s="1"/>
  <c r="J681" i="36"/>
  <c r="I682" i="36"/>
  <c r="J682" i="36"/>
  <c r="L691" i="36"/>
  <c r="O691" i="36" s="1"/>
  <c r="M691" i="36"/>
  <c r="N691" i="36"/>
  <c r="Q691" i="36"/>
  <c r="T691" i="36" s="1"/>
  <c r="R691" i="36"/>
  <c r="U691" i="36" s="1"/>
  <c r="S691" i="36"/>
  <c r="L692" i="36"/>
  <c r="O692" i="36" s="1"/>
  <c r="M692" i="36"/>
  <c r="P692" i="36" s="1"/>
  <c r="N692" i="36"/>
  <c r="L693" i="36"/>
  <c r="O693" i="36" s="1"/>
  <c r="M693" i="36"/>
  <c r="N693" i="36"/>
  <c r="P693" i="36"/>
  <c r="O694" i="36"/>
  <c r="P694" i="36"/>
  <c r="T694" i="36"/>
  <c r="U694" i="36"/>
  <c r="O695" i="36"/>
  <c r="P695" i="36"/>
  <c r="Q695" i="36"/>
  <c r="Q693" i="36" s="1"/>
  <c r="R695" i="36"/>
  <c r="R693" i="36" s="1"/>
  <c r="S695" i="36"/>
  <c r="L696" i="36"/>
  <c r="M696" i="36"/>
  <c r="P696" i="36" s="1"/>
  <c r="N696" i="36"/>
  <c r="O696" i="36"/>
  <c r="Q696" i="36"/>
  <c r="R696" i="36"/>
  <c r="U696" i="36" s="1"/>
  <c r="S696" i="36"/>
  <c r="T696" i="36"/>
  <c r="O697" i="36"/>
  <c r="P697" i="36"/>
  <c r="T697" i="36"/>
  <c r="U697" i="36"/>
  <c r="O698" i="36"/>
  <c r="P698" i="36"/>
  <c r="T698" i="36"/>
  <c r="U698" i="36"/>
  <c r="I700" i="36"/>
  <c r="K700" i="36" s="1"/>
  <c r="K702" i="36"/>
  <c r="I703" i="36"/>
  <c r="J703" i="36"/>
  <c r="J704" i="36"/>
  <c r="K704" i="36"/>
  <c r="I705" i="36"/>
  <c r="J705" i="36"/>
  <c r="J706" i="36"/>
  <c r="K706" i="36"/>
  <c r="I707" i="36"/>
  <c r="I689" i="36" s="1"/>
  <c r="J707" i="36"/>
  <c r="J689" i="36" s="1"/>
  <c r="J708" i="36"/>
  <c r="K708" i="36"/>
  <c r="I709" i="36"/>
  <c r="K709" i="36" s="1"/>
  <c r="J709" i="36"/>
  <c r="J710" i="36"/>
  <c r="K710" i="36"/>
  <c r="J712" i="36"/>
  <c r="K712" i="36"/>
  <c r="L715" i="36"/>
  <c r="M715" i="36"/>
  <c r="N715" i="36"/>
  <c r="P715" i="36"/>
  <c r="Q715" i="36"/>
  <c r="R715" i="36"/>
  <c r="S715" i="36"/>
  <c r="L716" i="36"/>
  <c r="O716" i="36" s="1"/>
  <c r="M716" i="36"/>
  <c r="N716" i="36"/>
  <c r="N714" i="36" s="1"/>
  <c r="Q716" i="36"/>
  <c r="T716" i="36" s="1"/>
  <c r="R716" i="36"/>
  <c r="U716" i="36" s="1"/>
  <c r="S716" i="36"/>
  <c r="S714" i="36" s="1"/>
  <c r="L717" i="36"/>
  <c r="M717" i="36"/>
  <c r="P717" i="36" s="1"/>
  <c r="N717" i="36"/>
  <c r="O717" i="36"/>
  <c r="Q717" i="36"/>
  <c r="R717" i="36"/>
  <c r="S717" i="36"/>
  <c r="T717" i="36"/>
  <c r="U717" i="36"/>
  <c r="O718" i="36"/>
  <c r="P718" i="36"/>
  <c r="T718" i="36"/>
  <c r="U718" i="36"/>
  <c r="O719" i="36"/>
  <c r="P719" i="36"/>
  <c r="T719" i="36"/>
  <c r="U719" i="36"/>
  <c r="L720" i="36"/>
  <c r="M720" i="36"/>
  <c r="P720" i="36" s="1"/>
  <c r="N720" i="36"/>
  <c r="O720" i="36"/>
  <c r="Q720" i="36"/>
  <c r="R720" i="36"/>
  <c r="S720" i="36"/>
  <c r="T720" i="36"/>
  <c r="U720" i="36"/>
  <c r="O721" i="36"/>
  <c r="P721" i="36"/>
  <c r="T721" i="36"/>
  <c r="U721" i="36"/>
  <c r="O722" i="36"/>
  <c r="P722" i="36"/>
  <c r="T722" i="36"/>
  <c r="U722" i="36"/>
  <c r="I726" i="36"/>
  <c r="K726" i="36" s="1"/>
  <c r="J726" i="36"/>
  <c r="I727" i="36"/>
  <c r="J727" i="36"/>
  <c r="L729" i="36"/>
  <c r="M729" i="36"/>
  <c r="P729" i="36" s="1"/>
  <c r="N729" i="36"/>
  <c r="N728" i="36" s="1"/>
  <c r="Q729" i="36"/>
  <c r="R729" i="36"/>
  <c r="S729" i="36"/>
  <c r="L730" i="36"/>
  <c r="O730" i="36" s="1"/>
  <c r="M730" i="36"/>
  <c r="N730" i="36"/>
  <c r="L731" i="36"/>
  <c r="M731" i="36"/>
  <c r="P731" i="36" s="1"/>
  <c r="N731" i="36"/>
  <c r="O731" i="36"/>
  <c r="O732" i="36"/>
  <c r="P732" i="36"/>
  <c r="T732" i="36"/>
  <c r="U732" i="36"/>
  <c r="O733" i="36"/>
  <c r="P733" i="36"/>
  <c r="Q733" i="36"/>
  <c r="R733" i="36"/>
  <c r="S733" i="36"/>
  <c r="S731" i="36" s="1"/>
  <c r="L734" i="36"/>
  <c r="O734" i="36" s="1"/>
  <c r="M734" i="36"/>
  <c r="P734" i="36" s="1"/>
  <c r="N734" i="36"/>
  <c r="Q734" i="36"/>
  <c r="T734" i="36" s="1"/>
  <c r="R734" i="36"/>
  <c r="U734" i="36" s="1"/>
  <c r="S734" i="36"/>
  <c r="O735" i="36"/>
  <c r="P735" i="36"/>
  <c r="T735" i="36"/>
  <c r="U735" i="36"/>
  <c r="O736" i="36"/>
  <c r="P736" i="36"/>
  <c r="T736" i="36"/>
  <c r="U736" i="36"/>
  <c r="I740" i="36"/>
  <c r="K740" i="36" s="1"/>
  <c r="I742" i="36"/>
  <c r="K742" i="36" s="1"/>
  <c r="I744" i="36"/>
  <c r="K744" i="36" s="1"/>
  <c r="I746" i="36"/>
  <c r="K746" i="36" s="1"/>
  <c r="I749" i="36"/>
  <c r="K749" i="36" s="1"/>
  <c r="I752" i="36"/>
  <c r="K752" i="36" s="1"/>
  <c r="I755" i="36"/>
  <c r="K755" i="36" s="1"/>
  <c r="J758" i="36"/>
  <c r="J759" i="36"/>
  <c r="L761" i="36"/>
  <c r="M761" i="36"/>
  <c r="N761" i="36"/>
  <c r="Q761" i="36"/>
  <c r="T761" i="36" s="1"/>
  <c r="R761" i="36"/>
  <c r="S761" i="36"/>
  <c r="U761" i="36"/>
  <c r="L762" i="36"/>
  <c r="M762" i="36"/>
  <c r="P762" i="36" s="1"/>
  <c r="N762" i="36"/>
  <c r="O762" i="36"/>
  <c r="L763" i="36"/>
  <c r="M763" i="36"/>
  <c r="P763" i="36" s="1"/>
  <c r="N763" i="36"/>
  <c r="O763" i="36"/>
  <c r="O764" i="36"/>
  <c r="P764" i="36"/>
  <c r="T764" i="36"/>
  <c r="U764" i="36"/>
  <c r="O765" i="36"/>
  <c r="P765" i="36"/>
  <c r="Q765" i="36"/>
  <c r="Q763" i="36" s="1"/>
  <c r="R765" i="36"/>
  <c r="S765" i="36"/>
  <c r="L766" i="36"/>
  <c r="O766" i="36" s="1"/>
  <c r="M766" i="36"/>
  <c r="P766" i="36" s="1"/>
  <c r="N766" i="36"/>
  <c r="Q766" i="36"/>
  <c r="T766" i="36" s="1"/>
  <c r="R766" i="36"/>
  <c r="U766" i="36" s="1"/>
  <c r="S766" i="36"/>
  <c r="O767" i="36"/>
  <c r="P767" i="36"/>
  <c r="T767" i="36"/>
  <c r="U767" i="36"/>
  <c r="O768" i="36"/>
  <c r="P768" i="36"/>
  <c r="T768" i="36"/>
  <c r="U768" i="36"/>
  <c r="I770" i="36"/>
  <c r="K770" i="36" s="1"/>
  <c r="I772" i="36"/>
  <c r="I774" i="36"/>
  <c r="K774" i="36" s="1"/>
  <c r="I775" i="36"/>
  <c r="I776" i="36"/>
  <c r="H777" i="36"/>
  <c r="I778" i="36"/>
  <c r="J778" i="36"/>
  <c r="I779" i="36"/>
  <c r="J779" i="36"/>
  <c r="I780" i="36"/>
  <c r="J780" i="36"/>
  <c r="I781" i="36"/>
  <c r="J781" i="36"/>
  <c r="I782" i="36"/>
  <c r="J782" i="36"/>
  <c r="I783" i="36"/>
  <c r="J783" i="36"/>
  <c r="I784" i="36"/>
  <c r="J784" i="36"/>
  <c r="I785" i="36"/>
  <c r="J785" i="36"/>
  <c r="A788" i="36"/>
  <c r="A789" i="36"/>
  <c r="L22" i="35"/>
  <c r="O22" i="35" s="1"/>
  <c r="M22" i="35"/>
  <c r="N22" i="35"/>
  <c r="Q22" i="35"/>
  <c r="T22" i="35" s="1"/>
  <c r="R22" i="35"/>
  <c r="R19" i="35" s="1"/>
  <c r="S22" i="35"/>
  <c r="L25" i="35"/>
  <c r="M25" i="35"/>
  <c r="N25" i="35"/>
  <c r="O25" i="35"/>
  <c r="Q25" i="35"/>
  <c r="T25" i="35" s="1"/>
  <c r="R25" i="35"/>
  <c r="U25" i="35" s="1"/>
  <c r="S25" i="35"/>
  <c r="L45" i="35"/>
  <c r="O45" i="35" s="1"/>
  <c r="M45" i="35"/>
  <c r="P45" i="35" s="1"/>
  <c r="N45" i="35"/>
  <c r="Q45" i="35"/>
  <c r="Q44" i="35" s="1"/>
  <c r="T44" i="35" s="1"/>
  <c r="R45" i="35"/>
  <c r="U45" i="35" s="1"/>
  <c r="S45" i="35"/>
  <c r="Q46" i="35"/>
  <c r="R46" i="35"/>
  <c r="U46" i="35" s="1"/>
  <c r="S46" i="35"/>
  <c r="S44" i="35" s="1"/>
  <c r="T46" i="35"/>
  <c r="Q47" i="35"/>
  <c r="R47" i="35"/>
  <c r="U47" i="35" s="1"/>
  <c r="S47" i="35"/>
  <c r="T47" i="35"/>
  <c r="O48" i="35"/>
  <c r="P48" i="35"/>
  <c r="T48" i="35"/>
  <c r="U48" i="35"/>
  <c r="L49" i="35"/>
  <c r="M49" i="35"/>
  <c r="M47" i="35" s="1"/>
  <c r="N49" i="35"/>
  <c r="N47" i="35" s="1"/>
  <c r="T49" i="35"/>
  <c r="U49" i="35"/>
  <c r="Q50" i="35"/>
  <c r="T50" i="35" s="1"/>
  <c r="R50" i="35"/>
  <c r="S50" i="35"/>
  <c r="U50" i="35"/>
  <c r="O51" i="35"/>
  <c r="P51" i="35"/>
  <c r="T51" i="35"/>
  <c r="U51" i="35"/>
  <c r="L52" i="35"/>
  <c r="M52" i="35"/>
  <c r="N52" i="35"/>
  <c r="T52" i="35"/>
  <c r="U52" i="35"/>
  <c r="L60" i="35"/>
  <c r="O60" i="35" s="1"/>
  <c r="M60" i="35"/>
  <c r="N60" i="35"/>
  <c r="P60" i="35"/>
  <c r="Q60" i="35"/>
  <c r="R60" i="35"/>
  <c r="U60" i="35" s="1"/>
  <c r="S60" i="35"/>
  <c r="T60" i="35"/>
  <c r="Q61" i="35"/>
  <c r="T61" i="35" s="1"/>
  <c r="R61" i="35"/>
  <c r="U61" i="35" s="1"/>
  <c r="S61" i="35"/>
  <c r="Q62" i="35"/>
  <c r="T62" i="35" s="1"/>
  <c r="R62" i="35"/>
  <c r="U62" i="35" s="1"/>
  <c r="S62" i="35"/>
  <c r="O63" i="35"/>
  <c r="P63" i="35"/>
  <c r="T63" i="35"/>
  <c r="U63" i="35"/>
  <c r="L64" i="35"/>
  <c r="M64" i="35"/>
  <c r="M62" i="35" s="1"/>
  <c r="N64" i="35"/>
  <c r="N62" i="35" s="1"/>
  <c r="T64" i="35"/>
  <c r="U64" i="35"/>
  <c r="Q65" i="35"/>
  <c r="T65" i="35" s="1"/>
  <c r="R65" i="35"/>
  <c r="S65" i="35"/>
  <c r="U65" i="35"/>
  <c r="O66" i="35"/>
  <c r="P66" i="35"/>
  <c r="T66" i="35"/>
  <c r="U66" i="35"/>
  <c r="L67" i="35"/>
  <c r="O67" i="35" s="1"/>
  <c r="M67" i="35"/>
  <c r="N67" i="35"/>
  <c r="N65" i="35" s="1"/>
  <c r="T67" i="35"/>
  <c r="U67" i="35"/>
  <c r="L73" i="35"/>
  <c r="O73" i="35" s="1"/>
  <c r="M73" i="35"/>
  <c r="P73" i="35" s="1"/>
  <c r="N73" i="35"/>
  <c r="Q73" i="35"/>
  <c r="R73" i="35"/>
  <c r="U73" i="35" s="1"/>
  <c r="S73" i="35"/>
  <c r="T73" i="35"/>
  <c r="O76" i="35"/>
  <c r="P76" i="35"/>
  <c r="T76" i="35"/>
  <c r="U76" i="35"/>
  <c r="L77" i="35"/>
  <c r="M77" i="35"/>
  <c r="M75" i="35" s="1"/>
  <c r="P75" i="35" s="1"/>
  <c r="N77" i="35"/>
  <c r="N75" i="35" s="1"/>
  <c r="Q77" i="35"/>
  <c r="R77" i="35"/>
  <c r="S77" i="35"/>
  <c r="S75" i="35" s="1"/>
  <c r="O79" i="35"/>
  <c r="P79" i="35"/>
  <c r="T79" i="35"/>
  <c r="U79" i="35"/>
  <c r="L80" i="35"/>
  <c r="L78" i="35" s="1"/>
  <c r="O78" i="35" s="1"/>
  <c r="M80" i="35"/>
  <c r="M78" i="35" s="1"/>
  <c r="P78" i="35" s="1"/>
  <c r="N80" i="35"/>
  <c r="N78" i="35" s="1"/>
  <c r="Q80" i="35"/>
  <c r="T80" i="35" s="1"/>
  <c r="R80" i="35"/>
  <c r="R78" i="35" s="1"/>
  <c r="U78" i="35" s="1"/>
  <c r="S80" i="35"/>
  <c r="S78" i="35" s="1"/>
  <c r="J82" i="35"/>
  <c r="J70" i="35" s="1"/>
  <c r="J83" i="35"/>
  <c r="J71" i="35" s="1"/>
  <c r="I84" i="35"/>
  <c r="K84" i="35" s="1"/>
  <c r="I85" i="35"/>
  <c r="K85" i="35" s="1"/>
  <c r="I86" i="35"/>
  <c r="K86" i="35" s="1"/>
  <c r="I87" i="35"/>
  <c r="I88" i="35"/>
  <c r="K88" i="35" s="1"/>
  <c r="I89" i="35"/>
  <c r="K89" i="35" s="1"/>
  <c r="I90" i="35"/>
  <c r="K90" i="35" s="1"/>
  <c r="J92" i="35"/>
  <c r="J93" i="35"/>
  <c r="L95" i="35"/>
  <c r="M95" i="35"/>
  <c r="N95" i="35"/>
  <c r="P95" i="35"/>
  <c r="Q95" i="35"/>
  <c r="T95" i="35" s="1"/>
  <c r="R95" i="35"/>
  <c r="S95" i="35"/>
  <c r="O98" i="35"/>
  <c r="P98" i="35"/>
  <c r="T98" i="35"/>
  <c r="U98" i="35"/>
  <c r="L99" i="35"/>
  <c r="O99" i="35" s="1"/>
  <c r="M99" i="35"/>
  <c r="N99" i="35"/>
  <c r="N97" i="35" s="1"/>
  <c r="Q99" i="35"/>
  <c r="Q97" i="35" s="1"/>
  <c r="T97" i="35" s="1"/>
  <c r="R99" i="35"/>
  <c r="U99" i="35" s="1"/>
  <c r="S99" i="35"/>
  <c r="S96" i="35" s="1"/>
  <c r="S94" i="35" s="1"/>
  <c r="Q100" i="35"/>
  <c r="R100" i="35"/>
  <c r="U100" i="35" s="1"/>
  <c r="S100" i="35"/>
  <c r="T100" i="35"/>
  <c r="O101" i="35"/>
  <c r="P101" i="35"/>
  <c r="T101" i="35"/>
  <c r="U101" i="35"/>
  <c r="L102" i="35"/>
  <c r="O102" i="35" s="1"/>
  <c r="M102" i="35"/>
  <c r="M100" i="35" s="1"/>
  <c r="P100" i="35" s="1"/>
  <c r="N102" i="35"/>
  <c r="N100" i="35" s="1"/>
  <c r="T102" i="35"/>
  <c r="U102" i="35"/>
  <c r="I108" i="35"/>
  <c r="I109" i="35"/>
  <c r="I93" i="35" s="1"/>
  <c r="K93" i="35" s="1"/>
  <c r="I114" i="35"/>
  <c r="K114" i="35" s="1"/>
  <c r="J116" i="35"/>
  <c r="L118" i="35"/>
  <c r="O118" i="35" s="1"/>
  <c r="M118" i="35"/>
  <c r="N118" i="35"/>
  <c r="P118" i="35"/>
  <c r="Q118" i="35"/>
  <c r="T118" i="35" s="1"/>
  <c r="R118" i="35"/>
  <c r="U118" i="35" s="1"/>
  <c r="S118" i="35"/>
  <c r="O121" i="35"/>
  <c r="P121" i="35"/>
  <c r="T121" i="35"/>
  <c r="U121" i="35"/>
  <c r="L122" i="35"/>
  <c r="M122" i="35"/>
  <c r="P122" i="35" s="1"/>
  <c r="N122" i="35"/>
  <c r="Q122" i="35"/>
  <c r="R122" i="35"/>
  <c r="S122" i="35"/>
  <c r="S120" i="35" s="1"/>
  <c r="O124" i="35"/>
  <c r="P124" i="35"/>
  <c r="T124" i="35"/>
  <c r="U124" i="35"/>
  <c r="L125" i="35"/>
  <c r="M125" i="35"/>
  <c r="P125" i="35" s="1"/>
  <c r="N125" i="35"/>
  <c r="N123" i="35" s="1"/>
  <c r="Q125" i="35"/>
  <c r="R125" i="35"/>
  <c r="S125" i="35"/>
  <c r="S123" i="35" s="1"/>
  <c r="I127" i="35"/>
  <c r="I128" i="35"/>
  <c r="K128" i="35" s="1"/>
  <c r="I129" i="35"/>
  <c r="K129" i="35" s="1"/>
  <c r="I130" i="35"/>
  <c r="K130" i="35" s="1"/>
  <c r="J136" i="35"/>
  <c r="J137" i="35"/>
  <c r="J138" i="35"/>
  <c r="L140" i="35"/>
  <c r="O140" i="35" s="1"/>
  <c r="M140" i="35"/>
  <c r="N140" i="35"/>
  <c r="Q140" i="35"/>
  <c r="T140" i="35" s="1"/>
  <c r="R140" i="35"/>
  <c r="U140" i="35" s="1"/>
  <c r="S140" i="35"/>
  <c r="O143" i="35"/>
  <c r="P143" i="35"/>
  <c r="T143" i="35"/>
  <c r="U143" i="35"/>
  <c r="L144" i="35"/>
  <c r="M144" i="35"/>
  <c r="N144" i="35"/>
  <c r="Q144" i="35"/>
  <c r="Q142" i="35" s="1"/>
  <c r="T142" i="35" s="1"/>
  <c r="R144" i="35"/>
  <c r="S144" i="35"/>
  <c r="S142" i="35" s="1"/>
  <c r="O146" i="35"/>
  <c r="P146" i="35"/>
  <c r="T146" i="35"/>
  <c r="U146" i="35"/>
  <c r="L147" i="35"/>
  <c r="M147" i="35"/>
  <c r="P147" i="35" s="1"/>
  <c r="N147" i="35"/>
  <c r="N145" i="35" s="1"/>
  <c r="Q147" i="35"/>
  <c r="T147" i="35" s="1"/>
  <c r="R147" i="35"/>
  <c r="R145" i="35" s="1"/>
  <c r="U145" i="35" s="1"/>
  <c r="S147" i="35"/>
  <c r="S145" i="35" s="1"/>
  <c r="I150" i="35"/>
  <c r="K150" i="35" s="1"/>
  <c r="I151" i="35"/>
  <c r="K151" i="35" s="1"/>
  <c r="I152" i="35"/>
  <c r="I137" i="35" s="1"/>
  <c r="K137" i="35" s="1"/>
  <c r="I153" i="35"/>
  <c r="I138" i="35" s="1"/>
  <c r="K138" i="35" s="1"/>
  <c r="I154" i="35"/>
  <c r="I136" i="35" s="1"/>
  <c r="K136" i="35" s="1"/>
  <c r="J156" i="35"/>
  <c r="L158" i="35"/>
  <c r="M158" i="35"/>
  <c r="P158" i="35" s="1"/>
  <c r="N158" i="35"/>
  <c r="O158" i="35"/>
  <c r="Q158" i="35"/>
  <c r="R158" i="35"/>
  <c r="S158" i="35"/>
  <c r="T158" i="35"/>
  <c r="U158" i="35"/>
  <c r="O161" i="35"/>
  <c r="P161" i="35"/>
  <c r="T161" i="35"/>
  <c r="U161" i="35"/>
  <c r="L162" i="35"/>
  <c r="O162" i="35" s="1"/>
  <c r="M162" i="35"/>
  <c r="N162" i="35"/>
  <c r="N160" i="35" s="1"/>
  <c r="Q162" i="35"/>
  <c r="R162" i="35"/>
  <c r="U162" i="35" s="1"/>
  <c r="S162" i="35"/>
  <c r="S159" i="35" s="1"/>
  <c r="Q163" i="35"/>
  <c r="R163" i="35"/>
  <c r="U163" i="35" s="1"/>
  <c r="S163" i="35"/>
  <c r="T163" i="35"/>
  <c r="O164" i="35"/>
  <c r="P164" i="35"/>
  <c r="T164" i="35"/>
  <c r="U164" i="35"/>
  <c r="L165" i="35"/>
  <c r="O165" i="35" s="1"/>
  <c r="M165" i="35"/>
  <c r="N165" i="35"/>
  <c r="N163" i="35" s="1"/>
  <c r="T165" i="35"/>
  <c r="U165" i="35"/>
  <c r="I167" i="35"/>
  <c r="K167" i="35" s="1"/>
  <c r="I168" i="35"/>
  <c r="K168" i="35" s="1"/>
  <c r="I169" i="35"/>
  <c r="I156" i="35" s="1"/>
  <c r="K156" i="35" s="1"/>
  <c r="J172" i="35"/>
  <c r="L174" i="35"/>
  <c r="M174" i="35"/>
  <c r="N174" i="35"/>
  <c r="O174" i="35"/>
  <c r="P174" i="35"/>
  <c r="Q174" i="35"/>
  <c r="R174" i="35"/>
  <c r="S174" i="35"/>
  <c r="T174" i="35"/>
  <c r="U174" i="35"/>
  <c r="O177" i="35"/>
  <c r="P177" i="35"/>
  <c r="T177" i="35"/>
  <c r="U177" i="35"/>
  <c r="L178" i="35"/>
  <c r="M178" i="35"/>
  <c r="N178" i="35"/>
  <c r="Q178" i="35"/>
  <c r="Q176" i="35" s="1"/>
  <c r="T176" i="35" s="1"/>
  <c r="R178" i="35"/>
  <c r="U178" i="35" s="1"/>
  <c r="S178" i="35"/>
  <c r="Q179" i="35"/>
  <c r="T179" i="35" s="1"/>
  <c r="R179" i="35"/>
  <c r="U179" i="35" s="1"/>
  <c r="S179" i="35"/>
  <c r="O180" i="35"/>
  <c r="P180" i="35"/>
  <c r="T180" i="35"/>
  <c r="U180" i="35"/>
  <c r="L181" i="35"/>
  <c r="O181" i="35" s="1"/>
  <c r="M181" i="35"/>
  <c r="M179" i="35" s="1"/>
  <c r="P179" i="35" s="1"/>
  <c r="N181" i="35"/>
  <c r="N179" i="35" s="1"/>
  <c r="T181" i="35"/>
  <c r="U181" i="35"/>
  <c r="I183" i="35"/>
  <c r="I172" i="35" s="1"/>
  <c r="K184" i="35"/>
  <c r="L187" i="35"/>
  <c r="M187" i="35"/>
  <c r="N187" i="35"/>
  <c r="Q187" i="35"/>
  <c r="T187" i="35" s="1"/>
  <c r="R187" i="35"/>
  <c r="S187" i="35"/>
  <c r="O190" i="35"/>
  <c r="P190" i="35"/>
  <c r="T190" i="35"/>
  <c r="U190" i="35"/>
  <c r="L191" i="35"/>
  <c r="L189" i="35" s="1"/>
  <c r="M191" i="35"/>
  <c r="N191" i="35"/>
  <c r="Q191" i="35"/>
  <c r="R191" i="35"/>
  <c r="S191" i="35"/>
  <c r="S189" i="35" s="1"/>
  <c r="O193" i="35"/>
  <c r="P193" i="35"/>
  <c r="T193" i="35"/>
  <c r="U193" i="35"/>
  <c r="L194" i="35"/>
  <c r="M194" i="35"/>
  <c r="N194" i="35"/>
  <c r="N192" i="35" s="1"/>
  <c r="Q194" i="35"/>
  <c r="T194" i="35" s="1"/>
  <c r="R194" i="35"/>
  <c r="R192" i="35" s="1"/>
  <c r="U192" i="35" s="1"/>
  <c r="S194" i="35"/>
  <c r="S192" i="35" s="1"/>
  <c r="J195" i="35"/>
  <c r="L196" i="35"/>
  <c r="O196" i="35" s="1"/>
  <c r="P196" i="35"/>
  <c r="I198" i="35"/>
  <c r="I195" i="35" s="1"/>
  <c r="K195" i="35" s="1"/>
  <c r="J199" i="35"/>
  <c r="J202" i="35"/>
  <c r="N203" i="35"/>
  <c r="P203" i="35"/>
  <c r="S203" i="35"/>
  <c r="U203" i="35"/>
  <c r="L204" i="35"/>
  <c r="L205" i="35"/>
  <c r="L206" i="35"/>
  <c r="Q206" i="35"/>
  <c r="Q203" i="35" s="1"/>
  <c r="T203" i="35" s="1"/>
  <c r="L207" i="35"/>
  <c r="I209" i="35"/>
  <c r="K209" i="35" s="1"/>
  <c r="I211" i="35"/>
  <c r="K211" i="35" s="1"/>
  <c r="I212" i="35"/>
  <c r="K212" i="35" s="1"/>
  <c r="J213" i="35"/>
  <c r="N214" i="35"/>
  <c r="P214" i="35"/>
  <c r="S214" i="35"/>
  <c r="U214" i="35"/>
  <c r="L215" i="35"/>
  <c r="L216" i="35"/>
  <c r="L217" i="35"/>
  <c r="Q217" i="35"/>
  <c r="Q214" i="35" s="1"/>
  <c r="T214" i="35" s="1"/>
  <c r="I219" i="35"/>
  <c r="K219" i="35" s="1"/>
  <c r="I220" i="35"/>
  <c r="I213" i="35" s="1"/>
  <c r="K213" i="35" s="1"/>
  <c r="J221" i="35"/>
  <c r="N222" i="35"/>
  <c r="P222" i="35"/>
  <c r="L223" i="35"/>
  <c r="L224" i="35"/>
  <c r="L225" i="35"/>
  <c r="I228" i="35"/>
  <c r="K228" i="35" s="1"/>
  <c r="I229" i="35"/>
  <c r="I221" i="35" s="1"/>
  <c r="K221" i="35" s="1"/>
  <c r="I230" i="35"/>
  <c r="K230" i="35" s="1"/>
  <c r="N232" i="35"/>
  <c r="N233" i="35"/>
  <c r="N234" i="35"/>
  <c r="N235" i="35"/>
  <c r="N236" i="35"/>
  <c r="J238" i="35"/>
  <c r="I240" i="35"/>
  <c r="K240" i="35" s="1"/>
  <c r="J240" i="35"/>
  <c r="I241" i="35"/>
  <c r="J241" i="35"/>
  <c r="K241" i="35"/>
  <c r="J242" i="35"/>
  <c r="N243" i="35"/>
  <c r="P243" i="35"/>
  <c r="L244" i="35"/>
  <c r="L245" i="35"/>
  <c r="L246" i="35"/>
  <c r="L247" i="35"/>
  <c r="I249" i="35"/>
  <c r="K249" i="35" s="1"/>
  <c r="K251" i="35"/>
  <c r="K252" i="35"/>
  <c r="J253" i="35"/>
  <c r="N254" i="35"/>
  <c r="P254" i="35"/>
  <c r="L255" i="35"/>
  <c r="L256" i="35"/>
  <c r="L257" i="35"/>
  <c r="L258" i="35"/>
  <c r="I260" i="35"/>
  <c r="I253" i="35" s="1"/>
  <c r="K253" i="35" s="1"/>
  <c r="K262" i="35"/>
  <c r="K263" i="35"/>
  <c r="J265" i="35"/>
  <c r="L267" i="35"/>
  <c r="M267" i="35"/>
  <c r="P267" i="35" s="1"/>
  <c r="N267" i="35"/>
  <c r="Q267" i="35"/>
  <c r="R267" i="35"/>
  <c r="S267" i="35"/>
  <c r="O270" i="35"/>
  <c r="P270" i="35"/>
  <c r="T270" i="35"/>
  <c r="U270" i="35"/>
  <c r="L271" i="35"/>
  <c r="M271" i="35"/>
  <c r="N271" i="35"/>
  <c r="Q271" i="35"/>
  <c r="Q268" i="35" s="1"/>
  <c r="R271" i="35"/>
  <c r="R268" i="35" s="1"/>
  <c r="S271" i="35"/>
  <c r="S269" i="35" s="1"/>
  <c r="Q272" i="35"/>
  <c r="R272" i="35"/>
  <c r="S272" i="35"/>
  <c r="T272" i="35"/>
  <c r="U272" i="35"/>
  <c r="O273" i="35"/>
  <c r="P273" i="35"/>
  <c r="T273" i="35"/>
  <c r="U273" i="35"/>
  <c r="L274" i="35"/>
  <c r="M274" i="35"/>
  <c r="N274" i="35"/>
  <c r="N272" i="35" s="1"/>
  <c r="T274" i="35"/>
  <c r="U274" i="35"/>
  <c r="I276" i="35"/>
  <c r="I265" i="35" s="1"/>
  <c r="K265" i="35" s="1"/>
  <c r="J281" i="35"/>
  <c r="L283" i="35"/>
  <c r="M283" i="35"/>
  <c r="N283" i="35"/>
  <c r="Q283" i="35"/>
  <c r="T283" i="35" s="1"/>
  <c r="R283" i="35"/>
  <c r="S283" i="35"/>
  <c r="Q284" i="35"/>
  <c r="T284" i="35" s="1"/>
  <c r="R284" i="35"/>
  <c r="S284" i="35"/>
  <c r="U284" i="35"/>
  <c r="Q285" i="35"/>
  <c r="T285" i="35" s="1"/>
  <c r="R285" i="35"/>
  <c r="S285" i="35"/>
  <c r="U285" i="35"/>
  <c r="O286" i="35"/>
  <c r="P286" i="35"/>
  <c r="T286" i="35"/>
  <c r="U286" i="35"/>
  <c r="L287" i="35"/>
  <c r="M287" i="35"/>
  <c r="N287" i="35"/>
  <c r="N285" i="35" s="1"/>
  <c r="T287" i="35"/>
  <c r="U287" i="35"/>
  <c r="Q288" i="35"/>
  <c r="T288" i="35" s="1"/>
  <c r="R288" i="35"/>
  <c r="U288" i="35" s="1"/>
  <c r="S288" i="35"/>
  <c r="O289" i="35"/>
  <c r="P289" i="35"/>
  <c r="T289" i="35"/>
  <c r="U289" i="35"/>
  <c r="L290" i="35"/>
  <c r="O290" i="35" s="1"/>
  <c r="M290" i="35"/>
  <c r="M288" i="35" s="1"/>
  <c r="P288" i="35" s="1"/>
  <c r="N290" i="35"/>
  <c r="N288" i="35" s="1"/>
  <c r="T290" i="35"/>
  <c r="U290" i="35"/>
  <c r="I292" i="35"/>
  <c r="K292" i="35" s="1"/>
  <c r="I293" i="35"/>
  <c r="I280" i="35" s="1"/>
  <c r="K280" i="35" s="1"/>
  <c r="J293" i="35"/>
  <c r="J280" i="35" s="1"/>
  <c r="I295" i="35"/>
  <c r="K295" i="35" s="1"/>
  <c r="I296" i="35"/>
  <c r="K296" i="35" s="1"/>
  <c r="J302" i="35"/>
  <c r="L304" i="35"/>
  <c r="M304" i="35"/>
  <c r="N304" i="35"/>
  <c r="Q304" i="35"/>
  <c r="T304" i="35" s="1"/>
  <c r="R304" i="35"/>
  <c r="S304" i="35"/>
  <c r="O307" i="35"/>
  <c r="P307" i="35"/>
  <c r="T307" i="35"/>
  <c r="U307" i="35"/>
  <c r="L308" i="35"/>
  <c r="M308" i="35"/>
  <c r="N308" i="35"/>
  <c r="N306" i="35" s="1"/>
  <c r="Q308" i="35"/>
  <c r="Q305" i="35" s="1"/>
  <c r="T305" i="35" s="1"/>
  <c r="R308" i="35"/>
  <c r="S308" i="35"/>
  <c r="S306" i="35" s="1"/>
  <c r="Q309" i="35"/>
  <c r="T309" i="35" s="1"/>
  <c r="R309" i="35"/>
  <c r="S309" i="35"/>
  <c r="U309" i="35"/>
  <c r="O310" i="35"/>
  <c r="P310" i="35"/>
  <c r="T310" i="35"/>
  <c r="U310" i="35"/>
  <c r="L311" i="35"/>
  <c r="L309" i="35" s="1"/>
  <c r="O309" i="35" s="1"/>
  <c r="M311" i="35"/>
  <c r="N311" i="35"/>
  <c r="N309" i="35" s="1"/>
  <c r="T311" i="35"/>
  <c r="U311" i="35"/>
  <c r="I314" i="35"/>
  <c r="K314" i="35" s="1"/>
  <c r="J319" i="35"/>
  <c r="L321" i="35"/>
  <c r="M321" i="35"/>
  <c r="P321" i="35" s="1"/>
  <c r="N321" i="35"/>
  <c r="O321" i="35"/>
  <c r="Q321" i="35"/>
  <c r="R321" i="35"/>
  <c r="S321" i="35"/>
  <c r="U321" i="35"/>
  <c r="Q322" i="35"/>
  <c r="T322" i="35" s="1"/>
  <c r="R322" i="35"/>
  <c r="U322" i="35" s="1"/>
  <c r="S322" i="35"/>
  <c r="S320" i="35" s="1"/>
  <c r="Q323" i="35"/>
  <c r="T323" i="35" s="1"/>
  <c r="R323" i="35"/>
  <c r="U323" i="35" s="1"/>
  <c r="S323" i="35"/>
  <c r="O324" i="35"/>
  <c r="P324" i="35"/>
  <c r="T324" i="35"/>
  <c r="U324" i="35"/>
  <c r="L325" i="35"/>
  <c r="M325" i="35"/>
  <c r="P325" i="35" s="1"/>
  <c r="N325" i="35"/>
  <c r="N323" i="35" s="1"/>
  <c r="T325" i="35"/>
  <c r="U325" i="35"/>
  <c r="Q326" i="35"/>
  <c r="T326" i="35" s="1"/>
  <c r="R326" i="35"/>
  <c r="U326" i="35" s="1"/>
  <c r="S326" i="35"/>
  <c r="O327" i="35"/>
  <c r="P327" i="35"/>
  <c r="T327" i="35"/>
  <c r="U327" i="35"/>
  <c r="L328" i="35"/>
  <c r="L326" i="35" s="1"/>
  <c r="O326" i="35" s="1"/>
  <c r="M328" i="35"/>
  <c r="M326" i="35" s="1"/>
  <c r="P326" i="35" s="1"/>
  <c r="N328" i="35"/>
  <c r="N326" i="35" s="1"/>
  <c r="T328" i="35"/>
  <c r="U328" i="35"/>
  <c r="I330" i="35"/>
  <c r="I319" i="35" s="1"/>
  <c r="K319" i="35" s="1"/>
  <c r="L334" i="35"/>
  <c r="M334" i="35"/>
  <c r="P334" i="35" s="1"/>
  <c r="N334" i="35"/>
  <c r="Q334" i="35"/>
  <c r="T334" i="35" s="1"/>
  <c r="R334" i="35"/>
  <c r="S334" i="35"/>
  <c r="Q335" i="35"/>
  <c r="T335" i="35" s="1"/>
  <c r="R335" i="35"/>
  <c r="U335" i="35" s="1"/>
  <c r="S335" i="35"/>
  <c r="Q336" i="35"/>
  <c r="T336" i="35" s="1"/>
  <c r="R336" i="35"/>
  <c r="U336" i="35" s="1"/>
  <c r="S336" i="35"/>
  <c r="O337" i="35"/>
  <c r="P337" i="35"/>
  <c r="T337" i="35"/>
  <c r="U337" i="35"/>
  <c r="L338" i="35"/>
  <c r="L336" i="35" s="1"/>
  <c r="M338" i="35"/>
  <c r="N338" i="35"/>
  <c r="T338" i="35"/>
  <c r="U338" i="35"/>
  <c r="Q339" i="35"/>
  <c r="R339" i="35"/>
  <c r="S339" i="35"/>
  <c r="T339" i="35"/>
  <c r="U339" i="35"/>
  <c r="O340" i="35"/>
  <c r="P340" i="35"/>
  <c r="T340" i="35"/>
  <c r="U340" i="35"/>
  <c r="L341" i="35"/>
  <c r="O341" i="35" s="1"/>
  <c r="M341" i="35"/>
  <c r="P341" i="35" s="1"/>
  <c r="N341" i="35"/>
  <c r="N339" i="35" s="1"/>
  <c r="T341" i="35"/>
  <c r="U341" i="35"/>
  <c r="I344" i="35"/>
  <c r="J344" i="35"/>
  <c r="I346" i="35"/>
  <c r="J346" i="35"/>
  <c r="J347" i="35"/>
  <c r="J348" i="35"/>
  <c r="J349" i="35"/>
  <c r="D350" i="35"/>
  <c r="J352" i="35"/>
  <c r="J353" i="35"/>
  <c r="J354" i="35"/>
  <c r="L357" i="35"/>
  <c r="O357" i="35" s="1"/>
  <c r="M357" i="35"/>
  <c r="P357" i="35" s="1"/>
  <c r="N357" i="35"/>
  <c r="Q357" i="35"/>
  <c r="R357" i="35"/>
  <c r="U357" i="35" s="1"/>
  <c r="S357" i="35"/>
  <c r="Q358" i="35"/>
  <c r="T358" i="35" s="1"/>
  <c r="R358" i="35"/>
  <c r="U358" i="35" s="1"/>
  <c r="S358" i="35"/>
  <c r="S356" i="35" s="1"/>
  <c r="Q359" i="35"/>
  <c r="R359" i="35"/>
  <c r="S359" i="35"/>
  <c r="T359" i="35"/>
  <c r="U359" i="35"/>
  <c r="O360" i="35"/>
  <c r="P360" i="35"/>
  <c r="T360" i="35"/>
  <c r="U360" i="35"/>
  <c r="L361" i="35"/>
  <c r="M361" i="35"/>
  <c r="N361" i="35"/>
  <c r="N359" i="35" s="1"/>
  <c r="T361" i="35"/>
  <c r="U361" i="35"/>
  <c r="Q362" i="35"/>
  <c r="T362" i="35" s="1"/>
  <c r="R362" i="35"/>
  <c r="U362" i="35" s="1"/>
  <c r="S362" i="35"/>
  <c r="O363" i="35"/>
  <c r="P363" i="35"/>
  <c r="T363" i="35"/>
  <c r="U363" i="35"/>
  <c r="L364" i="35"/>
  <c r="M364" i="35"/>
  <c r="M362" i="35" s="1"/>
  <c r="P362" i="35" s="1"/>
  <c r="N364" i="35"/>
  <c r="N362" i="35" s="1"/>
  <c r="T364" i="35"/>
  <c r="U364" i="35"/>
  <c r="J367" i="35"/>
  <c r="K367" i="35"/>
  <c r="I368" i="35"/>
  <c r="K368" i="35" s="1"/>
  <c r="J368" i="35"/>
  <c r="I369" i="35"/>
  <c r="K369" i="35" s="1"/>
  <c r="J369" i="35"/>
  <c r="J370" i="35"/>
  <c r="K370" i="35"/>
  <c r="I371" i="35"/>
  <c r="J371" i="35"/>
  <c r="J365" i="35" s="1"/>
  <c r="J372" i="35"/>
  <c r="K372" i="35"/>
  <c r="D373" i="35"/>
  <c r="J374" i="35"/>
  <c r="L376" i="35"/>
  <c r="M376" i="35"/>
  <c r="N376" i="35"/>
  <c r="Q376" i="35"/>
  <c r="T376" i="35" s="1"/>
  <c r="R376" i="35"/>
  <c r="S376" i="35"/>
  <c r="O379" i="35"/>
  <c r="P379" i="35"/>
  <c r="T379" i="35"/>
  <c r="U379" i="35"/>
  <c r="L380" i="35"/>
  <c r="L378" i="35" s="1"/>
  <c r="O378" i="35" s="1"/>
  <c r="M380" i="35"/>
  <c r="N380" i="35"/>
  <c r="N378" i="35" s="1"/>
  <c r="Q380" i="35"/>
  <c r="Q377" i="35" s="1"/>
  <c r="T377" i="35" s="1"/>
  <c r="R380" i="35"/>
  <c r="R378" i="35" s="1"/>
  <c r="U378" i="35" s="1"/>
  <c r="S380" i="35"/>
  <c r="Q381" i="35"/>
  <c r="T381" i="35" s="1"/>
  <c r="R381" i="35"/>
  <c r="U381" i="35" s="1"/>
  <c r="S381" i="35"/>
  <c r="O382" i="35"/>
  <c r="P382" i="35"/>
  <c r="T382" i="35"/>
  <c r="U382" i="35"/>
  <c r="L383" i="35"/>
  <c r="L381" i="35" s="1"/>
  <c r="O381" i="35" s="1"/>
  <c r="M383" i="35"/>
  <c r="N383" i="35"/>
  <c r="T383" i="35"/>
  <c r="U383" i="35"/>
  <c r="I385" i="35"/>
  <c r="K385" i="35" s="1"/>
  <c r="I386" i="35"/>
  <c r="K386" i="35" s="1"/>
  <c r="K387" i="35"/>
  <c r="K388" i="35"/>
  <c r="I391" i="35"/>
  <c r="K391" i="35" s="1"/>
  <c r="J391" i="35"/>
  <c r="L393" i="35"/>
  <c r="M393" i="35"/>
  <c r="N393" i="35"/>
  <c r="Q393" i="35"/>
  <c r="T393" i="35" s="1"/>
  <c r="R393" i="35"/>
  <c r="S393" i="35"/>
  <c r="L394" i="35"/>
  <c r="O394" i="35" s="1"/>
  <c r="M394" i="35"/>
  <c r="P394" i="35" s="1"/>
  <c r="N394" i="35"/>
  <c r="N392" i="35" s="1"/>
  <c r="L395" i="35"/>
  <c r="O395" i="35" s="1"/>
  <c r="M395" i="35"/>
  <c r="P395" i="35" s="1"/>
  <c r="N395" i="35"/>
  <c r="O396" i="35"/>
  <c r="P396" i="35"/>
  <c r="T396" i="35"/>
  <c r="U396" i="35"/>
  <c r="O397" i="35"/>
  <c r="P397" i="35"/>
  <c r="Q397" i="35"/>
  <c r="R397" i="35"/>
  <c r="S397" i="35"/>
  <c r="S395" i="35" s="1"/>
  <c r="L398" i="35"/>
  <c r="O398" i="35" s="1"/>
  <c r="M398" i="35"/>
  <c r="P398" i="35" s="1"/>
  <c r="N398" i="35"/>
  <c r="Q398" i="35"/>
  <c r="T398" i="35" s="1"/>
  <c r="R398" i="35"/>
  <c r="U398" i="35" s="1"/>
  <c r="S398" i="35"/>
  <c r="O399" i="35"/>
  <c r="P399" i="35"/>
  <c r="T399" i="35"/>
  <c r="U399" i="35"/>
  <c r="O400" i="35"/>
  <c r="P400" i="35"/>
  <c r="T400" i="35"/>
  <c r="U400" i="35"/>
  <c r="L414" i="35"/>
  <c r="M414" i="35"/>
  <c r="N414" i="35"/>
  <c r="Q414" i="35"/>
  <c r="T414" i="35" s="1"/>
  <c r="R414" i="35"/>
  <c r="S414" i="35"/>
  <c r="O417" i="35"/>
  <c r="P417" i="35"/>
  <c r="T417" i="35"/>
  <c r="U417" i="35"/>
  <c r="L418" i="35"/>
  <c r="O418" i="35" s="1"/>
  <c r="M418" i="35"/>
  <c r="N418" i="35"/>
  <c r="N416" i="35" s="1"/>
  <c r="Q418" i="35"/>
  <c r="Q415" i="35" s="1"/>
  <c r="T415" i="35" s="1"/>
  <c r="R418" i="35"/>
  <c r="S418" i="35"/>
  <c r="Q419" i="35"/>
  <c r="T419" i="35" s="1"/>
  <c r="R419" i="35"/>
  <c r="S419" i="35"/>
  <c r="U419" i="35"/>
  <c r="O420" i="35"/>
  <c r="P420" i="35"/>
  <c r="T420" i="35"/>
  <c r="U420" i="35"/>
  <c r="L421" i="35"/>
  <c r="L419" i="35" s="1"/>
  <c r="O419" i="35" s="1"/>
  <c r="M421" i="35"/>
  <c r="N421" i="35"/>
  <c r="N419" i="35" s="1"/>
  <c r="T421" i="35"/>
  <c r="U421" i="35"/>
  <c r="I424" i="35"/>
  <c r="K424" i="35" s="1"/>
  <c r="J424" i="35"/>
  <c r="I425" i="35"/>
  <c r="K425" i="35" s="1"/>
  <c r="J425" i="35"/>
  <c r="I432" i="35"/>
  <c r="K432" i="35" s="1"/>
  <c r="J432" i="35"/>
  <c r="I433" i="35"/>
  <c r="K433" i="35" s="1"/>
  <c r="J433" i="35"/>
  <c r="I440" i="35"/>
  <c r="I423" i="35" s="1"/>
  <c r="I441" i="35"/>
  <c r="K441" i="35" s="1"/>
  <c r="J441" i="35"/>
  <c r="J446" i="35"/>
  <c r="J440" i="35" s="1"/>
  <c r="J423" i="35" s="1"/>
  <c r="J412" i="35" s="1"/>
  <c r="J447" i="35"/>
  <c r="I457" i="35"/>
  <c r="K457" i="35" s="1"/>
  <c r="I458" i="35"/>
  <c r="K458" i="35" s="1"/>
  <c r="J458" i="35"/>
  <c r="J459" i="35"/>
  <c r="J457" i="35" s="1"/>
  <c r="J456" i="35" s="1"/>
  <c r="J460" i="35"/>
  <c r="J467" i="35"/>
  <c r="J468" i="35"/>
  <c r="J475" i="35"/>
  <c r="K475" i="35"/>
  <c r="J476" i="35"/>
  <c r="K476" i="35"/>
  <c r="J477" i="35"/>
  <c r="K477" i="35"/>
  <c r="J482" i="35"/>
  <c r="J483" i="35"/>
  <c r="I484" i="35"/>
  <c r="K484" i="35" s="1"/>
  <c r="J484" i="35"/>
  <c r="I485" i="35"/>
  <c r="J485" i="35"/>
  <c r="K485" i="35"/>
  <c r="L494" i="35"/>
  <c r="O494" i="35" s="1"/>
  <c r="M494" i="35"/>
  <c r="P494" i="35" s="1"/>
  <c r="N494" i="35"/>
  <c r="Q494" i="35"/>
  <c r="R494" i="35"/>
  <c r="U494" i="35" s="1"/>
  <c r="S494" i="35"/>
  <c r="O497" i="35"/>
  <c r="P497" i="35"/>
  <c r="T497" i="35"/>
  <c r="U497" i="35"/>
  <c r="L498" i="35"/>
  <c r="O498" i="35" s="1"/>
  <c r="M498" i="35"/>
  <c r="M496" i="35" s="1"/>
  <c r="P496" i="35" s="1"/>
  <c r="N498" i="35"/>
  <c r="N496" i="35" s="1"/>
  <c r="Q498" i="35"/>
  <c r="R498" i="35"/>
  <c r="S498" i="35"/>
  <c r="S495" i="35" s="1"/>
  <c r="Q499" i="35"/>
  <c r="R499" i="35"/>
  <c r="S499" i="35"/>
  <c r="T499" i="35"/>
  <c r="U499" i="35"/>
  <c r="O500" i="35"/>
  <c r="P500" i="35"/>
  <c r="T500" i="35"/>
  <c r="U500" i="35"/>
  <c r="L501" i="35"/>
  <c r="O501" i="35" s="1"/>
  <c r="M501" i="35"/>
  <c r="N501" i="35"/>
  <c r="N499" i="35" s="1"/>
  <c r="T501" i="35"/>
  <c r="U501" i="35"/>
  <c r="I503" i="35"/>
  <c r="I504" i="35"/>
  <c r="K504" i="35" s="1"/>
  <c r="I505" i="35"/>
  <c r="K505" i="35" s="1"/>
  <c r="I506" i="35"/>
  <c r="K506" i="35" s="1"/>
  <c r="I507" i="35"/>
  <c r="K507" i="35" s="1"/>
  <c r="K508" i="35"/>
  <c r="I509" i="35"/>
  <c r="K509" i="35" s="1"/>
  <c r="I512" i="35"/>
  <c r="K512" i="35" s="1"/>
  <c r="J512" i="35"/>
  <c r="L514" i="35"/>
  <c r="M514" i="35"/>
  <c r="P514" i="35" s="1"/>
  <c r="N514" i="35"/>
  <c r="O514" i="35"/>
  <c r="Q514" i="35"/>
  <c r="Q513" i="35" s="1"/>
  <c r="T513" i="35" s="1"/>
  <c r="R514" i="35"/>
  <c r="S514" i="35"/>
  <c r="T514" i="35"/>
  <c r="U514" i="35"/>
  <c r="Q515" i="35"/>
  <c r="T515" i="35" s="1"/>
  <c r="R515" i="35"/>
  <c r="R513" i="35" s="1"/>
  <c r="U513" i="35" s="1"/>
  <c r="S515" i="35"/>
  <c r="Q516" i="35"/>
  <c r="T516" i="35" s="1"/>
  <c r="R516" i="35"/>
  <c r="U516" i="35" s="1"/>
  <c r="S516" i="35"/>
  <c r="O517" i="35"/>
  <c r="P517" i="35"/>
  <c r="T517" i="35"/>
  <c r="U517" i="35"/>
  <c r="L518" i="35"/>
  <c r="L516" i="35" s="1"/>
  <c r="O516" i="35" s="1"/>
  <c r="M518" i="35"/>
  <c r="N518" i="35"/>
  <c r="N516" i="35" s="1"/>
  <c r="T518" i="35"/>
  <c r="U518" i="35"/>
  <c r="Q519" i="35"/>
  <c r="T519" i="35" s="1"/>
  <c r="R519" i="35"/>
  <c r="U519" i="35" s="1"/>
  <c r="S519" i="35"/>
  <c r="O520" i="35"/>
  <c r="P520" i="35"/>
  <c r="T520" i="35"/>
  <c r="U520" i="35"/>
  <c r="L521" i="35"/>
  <c r="L519" i="35" s="1"/>
  <c r="O519" i="35" s="1"/>
  <c r="M521" i="35"/>
  <c r="M519" i="35" s="1"/>
  <c r="P519" i="35" s="1"/>
  <c r="N521" i="35"/>
  <c r="N519" i="35" s="1"/>
  <c r="T521" i="35"/>
  <c r="U521" i="35"/>
  <c r="K523" i="35"/>
  <c r="K524" i="35"/>
  <c r="I533" i="35"/>
  <c r="K533" i="35" s="1"/>
  <c r="J533" i="35"/>
  <c r="L535" i="35"/>
  <c r="O535" i="35" s="1"/>
  <c r="M535" i="35"/>
  <c r="N535" i="35"/>
  <c r="P535" i="35"/>
  <c r="Q535" i="35"/>
  <c r="R535" i="35"/>
  <c r="U535" i="35" s="1"/>
  <c r="S535" i="35"/>
  <c r="Q536" i="35"/>
  <c r="T536" i="35" s="1"/>
  <c r="R536" i="35"/>
  <c r="U536" i="35" s="1"/>
  <c r="S536" i="35"/>
  <c r="Q537" i="35"/>
  <c r="R537" i="35"/>
  <c r="S537" i="35"/>
  <c r="T537" i="35"/>
  <c r="U537" i="35"/>
  <c r="O538" i="35"/>
  <c r="P538" i="35"/>
  <c r="T538" i="35"/>
  <c r="U538" i="35"/>
  <c r="L539" i="35"/>
  <c r="O539" i="35" s="1"/>
  <c r="M539" i="35"/>
  <c r="M537" i="35" s="1"/>
  <c r="P537" i="35" s="1"/>
  <c r="N539" i="35"/>
  <c r="T539" i="35"/>
  <c r="U539" i="35"/>
  <c r="Q540" i="35"/>
  <c r="T540" i="35" s="1"/>
  <c r="R540" i="35"/>
  <c r="U540" i="35" s="1"/>
  <c r="S540" i="35"/>
  <c r="O541" i="35"/>
  <c r="P541" i="35"/>
  <c r="T541" i="35"/>
  <c r="U541" i="35"/>
  <c r="L542" i="35"/>
  <c r="M542" i="35"/>
  <c r="M540" i="35" s="1"/>
  <c r="P540" i="35" s="1"/>
  <c r="N542" i="35"/>
  <c r="N540" i="35" s="1"/>
  <c r="T542" i="35"/>
  <c r="U542" i="35"/>
  <c r="I554" i="35"/>
  <c r="J554" i="35"/>
  <c r="K554" i="35"/>
  <c r="L556" i="35"/>
  <c r="O556" i="35" s="1"/>
  <c r="M556" i="35"/>
  <c r="N556" i="35"/>
  <c r="Q556" i="35"/>
  <c r="Q555" i="35" s="1"/>
  <c r="T555" i="35" s="1"/>
  <c r="R556" i="35"/>
  <c r="U556" i="35" s="1"/>
  <c r="S556" i="35"/>
  <c r="Q557" i="35"/>
  <c r="R557" i="35"/>
  <c r="U557" i="35" s="1"/>
  <c r="S557" i="35"/>
  <c r="T557" i="35"/>
  <c r="Q558" i="35"/>
  <c r="T558" i="35" s="1"/>
  <c r="R558" i="35"/>
  <c r="U558" i="35" s="1"/>
  <c r="S558" i="35"/>
  <c r="O559" i="35"/>
  <c r="P559" i="35"/>
  <c r="T559" i="35"/>
  <c r="U559" i="35"/>
  <c r="L560" i="35"/>
  <c r="M560" i="35"/>
  <c r="M558" i="35" s="1"/>
  <c r="P558" i="35" s="1"/>
  <c r="N560" i="35"/>
  <c r="N558" i="35" s="1"/>
  <c r="T560" i="35"/>
  <c r="U560" i="35"/>
  <c r="Q561" i="35"/>
  <c r="T561" i="35" s="1"/>
  <c r="R561" i="35"/>
  <c r="U561" i="35" s="1"/>
  <c r="S561" i="35"/>
  <c r="O562" i="35"/>
  <c r="P562" i="35"/>
  <c r="T562" i="35"/>
  <c r="U562" i="35"/>
  <c r="L563" i="35"/>
  <c r="O563" i="35" s="1"/>
  <c r="M563" i="35"/>
  <c r="M561" i="35" s="1"/>
  <c r="P561" i="35" s="1"/>
  <c r="N563" i="35"/>
  <c r="N561" i="35" s="1"/>
  <c r="T563" i="35"/>
  <c r="U563" i="35"/>
  <c r="I575" i="35"/>
  <c r="K575" i="35" s="1"/>
  <c r="J575" i="35"/>
  <c r="L577" i="35"/>
  <c r="M577" i="35"/>
  <c r="N577" i="35"/>
  <c r="O577" i="35"/>
  <c r="P577" i="35"/>
  <c r="Q577" i="35"/>
  <c r="Q576" i="35" s="1"/>
  <c r="T576" i="35" s="1"/>
  <c r="R577" i="35"/>
  <c r="S577" i="35"/>
  <c r="U577" i="35"/>
  <c r="Q578" i="35"/>
  <c r="T578" i="35" s="1"/>
  <c r="R578" i="35"/>
  <c r="U578" i="35" s="1"/>
  <c r="S578" i="35"/>
  <c r="Q579" i="35"/>
  <c r="R579" i="35"/>
  <c r="U579" i="35" s="1"/>
  <c r="S579" i="35"/>
  <c r="T579" i="35"/>
  <c r="O580" i="35"/>
  <c r="P580" i="35"/>
  <c r="T580" i="35"/>
  <c r="U580" i="35"/>
  <c r="L581" i="35"/>
  <c r="O581" i="35" s="1"/>
  <c r="M581" i="35"/>
  <c r="M579" i="35" s="1"/>
  <c r="P579" i="35" s="1"/>
  <c r="N581" i="35"/>
  <c r="N579" i="35" s="1"/>
  <c r="T581" i="35"/>
  <c r="U581" i="35"/>
  <c r="Q582" i="35"/>
  <c r="T582" i="35" s="1"/>
  <c r="R582" i="35"/>
  <c r="S582" i="35"/>
  <c r="U582" i="35"/>
  <c r="O583" i="35"/>
  <c r="P583" i="35"/>
  <c r="T583" i="35"/>
  <c r="U583" i="35"/>
  <c r="L584" i="35"/>
  <c r="L582" i="35" s="1"/>
  <c r="O582" i="35" s="1"/>
  <c r="M584" i="35"/>
  <c r="M582" i="35" s="1"/>
  <c r="P582" i="35" s="1"/>
  <c r="N584" i="35"/>
  <c r="N582" i="35" s="1"/>
  <c r="T584" i="35"/>
  <c r="U584" i="35"/>
  <c r="L600" i="35"/>
  <c r="M600" i="35"/>
  <c r="P600" i="35" s="1"/>
  <c r="N600" i="35"/>
  <c r="O600" i="35"/>
  <c r="Q600" i="35"/>
  <c r="R600" i="35"/>
  <c r="S600" i="35"/>
  <c r="U600" i="35"/>
  <c r="O603" i="35"/>
  <c r="P603" i="35"/>
  <c r="T603" i="35"/>
  <c r="U603" i="35"/>
  <c r="L604" i="35"/>
  <c r="O604" i="35" s="1"/>
  <c r="M604" i="35"/>
  <c r="M602" i="35" s="1"/>
  <c r="P602" i="35" s="1"/>
  <c r="N604" i="35"/>
  <c r="Q604" i="35"/>
  <c r="T604" i="35" s="1"/>
  <c r="R604" i="35"/>
  <c r="U604" i="35" s="1"/>
  <c r="S604" i="35"/>
  <c r="S602" i="35" s="1"/>
  <c r="O606" i="35"/>
  <c r="P606" i="35"/>
  <c r="T606" i="35"/>
  <c r="U606" i="35"/>
  <c r="L607" i="35"/>
  <c r="O607" i="35" s="1"/>
  <c r="M607" i="35"/>
  <c r="M605" i="35" s="1"/>
  <c r="P605" i="35" s="1"/>
  <c r="N607" i="35"/>
  <c r="N605" i="35" s="1"/>
  <c r="Q607" i="35"/>
  <c r="T607" i="35" s="1"/>
  <c r="R607" i="35"/>
  <c r="U607" i="35" s="1"/>
  <c r="S607" i="35"/>
  <c r="S605" i="35" s="1"/>
  <c r="L617" i="35"/>
  <c r="O617" i="35" s="1"/>
  <c r="M617" i="35"/>
  <c r="N617" i="35"/>
  <c r="Q617" i="35"/>
  <c r="T617" i="35" s="1"/>
  <c r="R617" i="35"/>
  <c r="U617" i="35" s="1"/>
  <c r="S617" i="35"/>
  <c r="L618" i="35"/>
  <c r="M618" i="35"/>
  <c r="P618" i="35" s="1"/>
  <c r="N618" i="35"/>
  <c r="O618" i="35"/>
  <c r="L619" i="35"/>
  <c r="M619" i="35"/>
  <c r="N619" i="35"/>
  <c r="O619" i="35"/>
  <c r="P619" i="35"/>
  <c r="O620" i="35"/>
  <c r="P620" i="35"/>
  <c r="T620" i="35"/>
  <c r="U620" i="35"/>
  <c r="O621" i="35"/>
  <c r="P621" i="35"/>
  <c r="Q621" i="35"/>
  <c r="Q618" i="35" s="1"/>
  <c r="R621" i="35"/>
  <c r="R619" i="35" s="1"/>
  <c r="S621" i="35"/>
  <c r="S619" i="35" s="1"/>
  <c r="L622" i="35"/>
  <c r="O622" i="35" s="1"/>
  <c r="M622" i="35"/>
  <c r="P622" i="35" s="1"/>
  <c r="N622" i="35"/>
  <c r="Q622" i="35"/>
  <c r="T622" i="35" s="1"/>
  <c r="R622" i="35"/>
  <c r="U622" i="35" s="1"/>
  <c r="S622" i="35"/>
  <c r="O623" i="35"/>
  <c r="P623" i="35"/>
  <c r="T623" i="35"/>
  <c r="U623" i="35"/>
  <c r="O624" i="35"/>
  <c r="P624" i="35"/>
  <c r="T624" i="35"/>
  <c r="U624" i="35"/>
  <c r="I626" i="35"/>
  <c r="I615" i="35" s="1"/>
  <c r="K615" i="35" s="1"/>
  <c r="I627" i="35"/>
  <c r="K627" i="35" s="1"/>
  <c r="I628" i="35"/>
  <c r="K628" i="35" s="1"/>
  <c r="J632" i="35"/>
  <c r="J626" i="35" s="1"/>
  <c r="J615" i="35" s="1"/>
  <c r="I635" i="35"/>
  <c r="K635" i="35" s="1"/>
  <c r="J636" i="35"/>
  <c r="J635" i="35" s="1"/>
  <c r="L643" i="35"/>
  <c r="M643" i="35"/>
  <c r="N643" i="35"/>
  <c r="N642" i="35" s="1"/>
  <c r="Q643" i="35"/>
  <c r="T643" i="35" s="1"/>
  <c r="R643" i="35"/>
  <c r="S643" i="35"/>
  <c r="L644" i="35"/>
  <c r="O644" i="35" s="1"/>
  <c r="M644" i="35"/>
  <c r="P644" i="35" s="1"/>
  <c r="N644" i="35"/>
  <c r="L645" i="35"/>
  <c r="M645" i="35"/>
  <c r="N645" i="35"/>
  <c r="O645" i="35"/>
  <c r="P645" i="35"/>
  <c r="O646" i="35"/>
  <c r="P646" i="35"/>
  <c r="T646" i="35"/>
  <c r="U646" i="35"/>
  <c r="O647" i="35"/>
  <c r="P647" i="35"/>
  <c r="Q647" i="35"/>
  <c r="Q645" i="35" s="1"/>
  <c r="R647" i="35"/>
  <c r="R645" i="35" s="1"/>
  <c r="S647" i="35"/>
  <c r="S645" i="35" s="1"/>
  <c r="L648" i="35"/>
  <c r="O648" i="35" s="1"/>
  <c r="M648" i="35"/>
  <c r="P648" i="35" s="1"/>
  <c r="N648" i="35"/>
  <c r="Q648" i="35"/>
  <c r="T648" i="35" s="1"/>
  <c r="R648" i="35"/>
  <c r="U648" i="35" s="1"/>
  <c r="S648" i="35"/>
  <c r="O649" i="35"/>
  <c r="P649" i="35"/>
  <c r="T649" i="35"/>
  <c r="U649" i="35"/>
  <c r="O650" i="35"/>
  <c r="P650" i="35"/>
  <c r="T650" i="35"/>
  <c r="U650" i="35"/>
  <c r="I652" i="35"/>
  <c r="K652" i="35" s="1"/>
  <c r="J652" i="35"/>
  <c r="I653" i="35"/>
  <c r="J653" i="35"/>
  <c r="I654" i="35"/>
  <c r="K654" i="35" s="1"/>
  <c r="J654" i="35"/>
  <c r="I657" i="35"/>
  <c r="I660" i="35"/>
  <c r="I661" i="35"/>
  <c r="K661" i="35" s="1"/>
  <c r="J661" i="35"/>
  <c r="J671" i="35"/>
  <c r="J672" i="35"/>
  <c r="I673" i="35"/>
  <c r="J673" i="35"/>
  <c r="I674" i="35"/>
  <c r="I675" i="35"/>
  <c r="I676" i="35"/>
  <c r="J676" i="35"/>
  <c r="J677" i="35"/>
  <c r="I678" i="35"/>
  <c r="J678" i="35"/>
  <c r="I679" i="35"/>
  <c r="J679" i="35"/>
  <c r="J680" i="35"/>
  <c r="I681" i="35"/>
  <c r="J681" i="35"/>
  <c r="I682" i="35"/>
  <c r="K682" i="35" s="1"/>
  <c r="J682" i="35"/>
  <c r="L691" i="35"/>
  <c r="M691" i="35"/>
  <c r="N691" i="35"/>
  <c r="Q691" i="35"/>
  <c r="T691" i="35" s="1"/>
  <c r="R691" i="35"/>
  <c r="S691" i="35"/>
  <c r="L692" i="35"/>
  <c r="O692" i="35" s="1"/>
  <c r="M692" i="35"/>
  <c r="P692" i="35" s="1"/>
  <c r="N692" i="35"/>
  <c r="N690" i="35" s="1"/>
  <c r="L693" i="35"/>
  <c r="M693" i="35"/>
  <c r="N693" i="35"/>
  <c r="O693" i="35"/>
  <c r="P693" i="35"/>
  <c r="O694" i="35"/>
  <c r="P694" i="35"/>
  <c r="T694" i="35"/>
  <c r="U694" i="35"/>
  <c r="O695" i="35"/>
  <c r="P695" i="35"/>
  <c r="Q695" i="35"/>
  <c r="Q693" i="35" s="1"/>
  <c r="T693" i="35" s="1"/>
  <c r="R695" i="35"/>
  <c r="R693" i="35" s="1"/>
  <c r="U693" i="35" s="1"/>
  <c r="S695" i="35"/>
  <c r="S693" i="35" s="1"/>
  <c r="L696" i="35"/>
  <c r="O696" i="35" s="1"/>
  <c r="M696" i="35"/>
  <c r="P696" i="35" s="1"/>
  <c r="N696" i="35"/>
  <c r="Q696" i="35"/>
  <c r="R696" i="35"/>
  <c r="U696" i="35" s="1"/>
  <c r="S696" i="35"/>
  <c r="T696" i="35"/>
  <c r="O697" i="35"/>
  <c r="P697" i="35"/>
  <c r="T697" i="35"/>
  <c r="U697" i="35"/>
  <c r="O698" i="35"/>
  <c r="P698" i="35"/>
  <c r="T698" i="35"/>
  <c r="U698" i="35"/>
  <c r="I700" i="35"/>
  <c r="K700" i="35" s="1"/>
  <c r="K702" i="35"/>
  <c r="I703" i="35"/>
  <c r="K703" i="35" s="1"/>
  <c r="J703" i="35"/>
  <c r="J704" i="35"/>
  <c r="K704" i="35"/>
  <c r="I705" i="35"/>
  <c r="K705" i="35" s="1"/>
  <c r="J705" i="35"/>
  <c r="J706" i="35"/>
  <c r="K706" i="35"/>
  <c r="I707" i="35"/>
  <c r="I689" i="35" s="1"/>
  <c r="K689" i="35" s="1"/>
  <c r="J707" i="35"/>
  <c r="J689" i="35" s="1"/>
  <c r="J708" i="35"/>
  <c r="K708" i="35"/>
  <c r="I709" i="35"/>
  <c r="K709" i="35" s="1"/>
  <c r="J709" i="35"/>
  <c r="J710" i="35"/>
  <c r="K710" i="35"/>
  <c r="J712" i="35"/>
  <c r="K712" i="35"/>
  <c r="L715" i="35"/>
  <c r="O715" i="35" s="1"/>
  <c r="M715" i="35"/>
  <c r="P715" i="35" s="1"/>
  <c r="N715" i="35"/>
  <c r="Q715" i="35"/>
  <c r="R715" i="35"/>
  <c r="U715" i="35" s="1"/>
  <c r="S715" i="35"/>
  <c r="L716" i="35"/>
  <c r="O716" i="35" s="1"/>
  <c r="M716" i="35"/>
  <c r="N716" i="35"/>
  <c r="N714" i="35" s="1"/>
  <c r="Q716" i="35"/>
  <c r="T716" i="35" s="1"/>
  <c r="R716" i="35"/>
  <c r="U716" i="35" s="1"/>
  <c r="S716" i="35"/>
  <c r="L717" i="35"/>
  <c r="O717" i="35" s="1"/>
  <c r="M717" i="35"/>
  <c r="P717" i="35" s="1"/>
  <c r="N717" i="35"/>
  <c r="Q717" i="35"/>
  <c r="T717" i="35" s="1"/>
  <c r="R717" i="35"/>
  <c r="U717" i="35" s="1"/>
  <c r="S717" i="35"/>
  <c r="O718" i="35"/>
  <c r="P718" i="35"/>
  <c r="T718" i="35"/>
  <c r="U718" i="35"/>
  <c r="O719" i="35"/>
  <c r="P719" i="35"/>
  <c r="T719" i="35"/>
  <c r="U719" i="35"/>
  <c r="L720" i="35"/>
  <c r="O720" i="35" s="1"/>
  <c r="M720" i="35"/>
  <c r="P720" i="35" s="1"/>
  <c r="N720" i="35"/>
  <c r="Q720" i="35"/>
  <c r="T720" i="35" s="1"/>
  <c r="R720" i="35"/>
  <c r="U720" i="35" s="1"/>
  <c r="S720" i="35"/>
  <c r="O721" i="35"/>
  <c r="P721" i="35"/>
  <c r="T721" i="35"/>
  <c r="U721" i="35"/>
  <c r="O722" i="35"/>
  <c r="P722" i="35"/>
  <c r="T722" i="35"/>
  <c r="U722" i="35"/>
  <c r="I726" i="35"/>
  <c r="K726" i="35" s="1"/>
  <c r="J726" i="35"/>
  <c r="I727" i="35"/>
  <c r="K727" i="35" s="1"/>
  <c r="J727" i="35"/>
  <c r="L729" i="35"/>
  <c r="M729" i="35"/>
  <c r="N729" i="35"/>
  <c r="N728" i="35" s="1"/>
  <c r="O729" i="35"/>
  <c r="Q729" i="35"/>
  <c r="R729" i="35"/>
  <c r="S729" i="35"/>
  <c r="U729" i="35"/>
  <c r="L730" i="35"/>
  <c r="L728" i="35" s="1"/>
  <c r="O728" i="35" s="1"/>
  <c r="M730" i="35"/>
  <c r="P730" i="35" s="1"/>
  <c r="N730" i="35"/>
  <c r="L731" i="35"/>
  <c r="O731" i="35" s="1"/>
  <c r="M731" i="35"/>
  <c r="P731" i="35" s="1"/>
  <c r="N731" i="35"/>
  <c r="O732" i="35"/>
  <c r="P732" i="35"/>
  <c r="T732" i="35"/>
  <c r="U732" i="35"/>
  <c r="O733" i="35"/>
  <c r="P733" i="35"/>
  <c r="Q733" i="35"/>
  <c r="T733" i="35" s="1"/>
  <c r="R733" i="35"/>
  <c r="R730" i="35" s="1"/>
  <c r="S733" i="35"/>
  <c r="S731" i="35" s="1"/>
  <c r="L734" i="35"/>
  <c r="M734" i="35"/>
  <c r="N734" i="35"/>
  <c r="O734" i="35"/>
  <c r="P734" i="35"/>
  <c r="Q734" i="35"/>
  <c r="R734" i="35"/>
  <c r="S734" i="35"/>
  <c r="T734" i="35"/>
  <c r="U734" i="35"/>
  <c r="O735" i="35"/>
  <c r="P735" i="35"/>
  <c r="T735" i="35"/>
  <c r="U735" i="35"/>
  <c r="O736" i="35"/>
  <c r="P736" i="35"/>
  <c r="T736" i="35"/>
  <c r="U736" i="35"/>
  <c r="I740" i="35"/>
  <c r="K740" i="35" s="1"/>
  <c r="I742" i="35"/>
  <c r="K742" i="35" s="1"/>
  <c r="I744" i="35"/>
  <c r="K744" i="35" s="1"/>
  <c r="I746" i="35"/>
  <c r="K746" i="35" s="1"/>
  <c r="I749" i="35"/>
  <c r="K749" i="35" s="1"/>
  <c r="I752" i="35"/>
  <c r="K752" i="35" s="1"/>
  <c r="I755" i="35"/>
  <c r="K755" i="35" s="1"/>
  <c r="J758" i="35"/>
  <c r="J759" i="35"/>
  <c r="L760" i="35"/>
  <c r="O760" i="35" s="1"/>
  <c r="M760" i="35"/>
  <c r="P760" i="35" s="1"/>
  <c r="L761" i="35"/>
  <c r="M761" i="35"/>
  <c r="N761" i="35"/>
  <c r="N760" i="35" s="1"/>
  <c r="O761" i="35"/>
  <c r="P761" i="35"/>
  <c r="Q761" i="35"/>
  <c r="R761" i="35"/>
  <c r="S761" i="35"/>
  <c r="T761" i="35"/>
  <c r="U761" i="35"/>
  <c r="L762" i="35"/>
  <c r="O762" i="35" s="1"/>
  <c r="M762" i="35"/>
  <c r="P762" i="35" s="1"/>
  <c r="N762" i="35"/>
  <c r="L763" i="35"/>
  <c r="O763" i="35" s="1"/>
  <c r="M763" i="35"/>
  <c r="P763" i="35" s="1"/>
  <c r="N763" i="35"/>
  <c r="O764" i="35"/>
  <c r="P764" i="35"/>
  <c r="T764" i="35"/>
  <c r="U764" i="35"/>
  <c r="O765" i="35"/>
  <c r="P765" i="35"/>
  <c r="Q765" i="35"/>
  <c r="Q763" i="35" s="1"/>
  <c r="T763" i="35" s="1"/>
  <c r="R765" i="35"/>
  <c r="U765" i="35" s="1"/>
  <c r="S765" i="35"/>
  <c r="S762" i="35" s="1"/>
  <c r="S760" i="35" s="1"/>
  <c r="L766" i="35"/>
  <c r="O766" i="35" s="1"/>
  <c r="M766" i="35"/>
  <c r="N766" i="35"/>
  <c r="P766" i="35"/>
  <c r="Q766" i="35"/>
  <c r="T766" i="35" s="1"/>
  <c r="R766" i="35"/>
  <c r="U766" i="35" s="1"/>
  <c r="S766" i="35"/>
  <c r="O767" i="35"/>
  <c r="P767" i="35"/>
  <c r="T767" i="35"/>
  <c r="U767" i="35"/>
  <c r="O768" i="35"/>
  <c r="P768" i="35"/>
  <c r="T768" i="35"/>
  <c r="U768" i="35"/>
  <c r="I770" i="35"/>
  <c r="K770" i="35" s="1"/>
  <c r="I772" i="35"/>
  <c r="I758" i="35" s="1"/>
  <c r="K758" i="35" s="1"/>
  <c r="I774" i="35"/>
  <c r="K774" i="35" s="1"/>
  <c r="I775" i="35"/>
  <c r="I776" i="35"/>
  <c r="H777" i="35"/>
  <c r="I778" i="35"/>
  <c r="K778" i="35" s="1"/>
  <c r="J778" i="35"/>
  <c r="I779" i="35"/>
  <c r="K779" i="35" s="1"/>
  <c r="J779" i="35"/>
  <c r="I780" i="35"/>
  <c r="K780" i="35" s="1"/>
  <c r="J780" i="35"/>
  <c r="I781" i="35"/>
  <c r="K781" i="35" s="1"/>
  <c r="J781" i="35"/>
  <c r="I782" i="35"/>
  <c r="J782" i="35"/>
  <c r="I783" i="35"/>
  <c r="J783" i="35"/>
  <c r="I784" i="35"/>
  <c r="J784" i="35"/>
  <c r="I785" i="35"/>
  <c r="J785" i="35"/>
  <c r="A788" i="35"/>
  <c r="A789" i="35"/>
  <c r="L22" i="34"/>
  <c r="M22" i="34"/>
  <c r="N22" i="34"/>
  <c r="O22" i="34"/>
  <c r="Q22" i="34"/>
  <c r="T22" i="34" s="1"/>
  <c r="R22" i="34"/>
  <c r="U22" i="34" s="1"/>
  <c r="S22" i="34"/>
  <c r="L25" i="34"/>
  <c r="M25" i="34"/>
  <c r="N25" i="34"/>
  <c r="O25" i="34"/>
  <c r="Q25" i="34"/>
  <c r="T25" i="34" s="1"/>
  <c r="R25" i="34"/>
  <c r="U25" i="34" s="1"/>
  <c r="S25" i="34"/>
  <c r="R44" i="34"/>
  <c r="U44" i="34" s="1"/>
  <c r="L45" i="34"/>
  <c r="M45" i="34"/>
  <c r="N45" i="34"/>
  <c r="O45" i="34"/>
  <c r="P45" i="34"/>
  <c r="Q45" i="34"/>
  <c r="R45" i="34"/>
  <c r="S45" i="34"/>
  <c r="S44" i="34" s="1"/>
  <c r="T45" i="34"/>
  <c r="U45" i="34"/>
  <c r="Q46" i="34"/>
  <c r="T46" i="34" s="1"/>
  <c r="R46" i="34"/>
  <c r="U46" i="34" s="1"/>
  <c r="S46" i="34"/>
  <c r="Q47" i="34"/>
  <c r="R47" i="34"/>
  <c r="U47" i="34" s="1"/>
  <c r="S47" i="34"/>
  <c r="T47" i="34"/>
  <c r="O48" i="34"/>
  <c r="P48" i="34"/>
  <c r="T48" i="34"/>
  <c r="U48" i="34"/>
  <c r="L49" i="34"/>
  <c r="M49" i="34"/>
  <c r="M47" i="34" s="1"/>
  <c r="N49" i="34"/>
  <c r="N47" i="34" s="1"/>
  <c r="T49" i="34"/>
  <c r="U49" i="34"/>
  <c r="Q50" i="34"/>
  <c r="T50" i="34" s="1"/>
  <c r="R50" i="34"/>
  <c r="S50" i="34"/>
  <c r="U50" i="34"/>
  <c r="O51" i="34"/>
  <c r="P51" i="34"/>
  <c r="T51" i="34"/>
  <c r="U51" i="34"/>
  <c r="L52" i="34"/>
  <c r="L50" i="34" s="1"/>
  <c r="O50" i="34" s="1"/>
  <c r="M52" i="34"/>
  <c r="N52" i="34"/>
  <c r="T52" i="34"/>
  <c r="U52" i="34"/>
  <c r="S59" i="34"/>
  <c r="L60" i="34"/>
  <c r="O60" i="34" s="1"/>
  <c r="M60" i="34"/>
  <c r="P60" i="34" s="1"/>
  <c r="N60" i="34"/>
  <c r="Q60" i="34"/>
  <c r="T60" i="34" s="1"/>
  <c r="R60" i="34"/>
  <c r="U60" i="34" s="1"/>
  <c r="S60" i="34"/>
  <c r="Q61" i="34"/>
  <c r="T61" i="34" s="1"/>
  <c r="R61" i="34"/>
  <c r="U61" i="34" s="1"/>
  <c r="S61" i="34"/>
  <c r="Q62" i="34"/>
  <c r="R62" i="34"/>
  <c r="U62" i="34" s="1"/>
  <c r="S62" i="34"/>
  <c r="T62" i="34"/>
  <c r="O63" i="34"/>
  <c r="P63" i="34"/>
  <c r="T63" i="34"/>
  <c r="U63" i="34"/>
  <c r="L64" i="34"/>
  <c r="M64" i="34"/>
  <c r="N64" i="34"/>
  <c r="N62" i="34" s="1"/>
  <c r="T64" i="34"/>
  <c r="U64" i="34"/>
  <c r="Q65" i="34"/>
  <c r="T65" i="34" s="1"/>
  <c r="R65" i="34"/>
  <c r="U65" i="34" s="1"/>
  <c r="S65" i="34"/>
  <c r="O66" i="34"/>
  <c r="P66" i="34"/>
  <c r="T66" i="34"/>
  <c r="U66" i="34"/>
  <c r="L67" i="34"/>
  <c r="L65" i="34" s="1"/>
  <c r="O65" i="34" s="1"/>
  <c r="M67" i="34"/>
  <c r="N67" i="34"/>
  <c r="N65" i="34" s="1"/>
  <c r="T67" i="34"/>
  <c r="U67" i="34"/>
  <c r="L73" i="34"/>
  <c r="M73" i="34"/>
  <c r="P73" i="34" s="1"/>
  <c r="N73" i="34"/>
  <c r="O73" i="34"/>
  <c r="Q73" i="34"/>
  <c r="T73" i="34" s="1"/>
  <c r="R73" i="34"/>
  <c r="S73" i="34"/>
  <c r="U73" i="34"/>
  <c r="O76" i="34"/>
  <c r="P76" i="34"/>
  <c r="T76" i="34"/>
  <c r="U76" i="34"/>
  <c r="L77" i="34"/>
  <c r="O77" i="34" s="1"/>
  <c r="M77" i="34"/>
  <c r="P77" i="34" s="1"/>
  <c r="N77" i="34"/>
  <c r="N75" i="34" s="1"/>
  <c r="Q77" i="34"/>
  <c r="R77" i="34"/>
  <c r="U77" i="34" s="1"/>
  <c r="S77" i="34"/>
  <c r="O79" i="34"/>
  <c r="P79" i="34"/>
  <c r="T79" i="34"/>
  <c r="U79" i="34"/>
  <c r="L80" i="34"/>
  <c r="O80" i="34" s="1"/>
  <c r="M80" i="34"/>
  <c r="M78" i="34" s="1"/>
  <c r="P78" i="34" s="1"/>
  <c r="N80" i="34"/>
  <c r="N78" i="34" s="1"/>
  <c r="Q80" i="34"/>
  <c r="R80" i="34"/>
  <c r="R78" i="34" s="1"/>
  <c r="U78" i="34" s="1"/>
  <c r="S80" i="34"/>
  <c r="S78" i="34" s="1"/>
  <c r="J82" i="34"/>
  <c r="J70" i="34" s="1"/>
  <c r="J83" i="34"/>
  <c r="J71" i="34" s="1"/>
  <c r="I84" i="34"/>
  <c r="I85" i="34"/>
  <c r="I86" i="34"/>
  <c r="K86" i="34" s="1"/>
  <c r="I87" i="34"/>
  <c r="K87" i="34" s="1"/>
  <c r="I88" i="34"/>
  <c r="K88" i="34" s="1"/>
  <c r="I89" i="34"/>
  <c r="K89" i="34" s="1"/>
  <c r="I90" i="34"/>
  <c r="K90" i="34" s="1"/>
  <c r="J92" i="34"/>
  <c r="J93" i="34"/>
  <c r="L95" i="34"/>
  <c r="M95" i="34"/>
  <c r="N95" i="34"/>
  <c r="Q95" i="34"/>
  <c r="T95" i="34" s="1"/>
  <c r="R95" i="34"/>
  <c r="S95" i="34"/>
  <c r="O98" i="34"/>
  <c r="P98" i="34"/>
  <c r="T98" i="34"/>
  <c r="U98" i="34"/>
  <c r="L99" i="34"/>
  <c r="L97" i="34" s="1"/>
  <c r="O97" i="34" s="1"/>
  <c r="M99" i="34"/>
  <c r="P99" i="34" s="1"/>
  <c r="N99" i="34"/>
  <c r="N97" i="34" s="1"/>
  <c r="Q99" i="34"/>
  <c r="Q96" i="34" s="1"/>
  <c r="T96" i="34" s="1"/>
  <c r="R99" i="34"/>
  <c r="R97" i="34" s="1"/>
  <c r="U97" i="34" s="1"/>
  <c r="S99" i="34"/>
  <c r="S97" i="34" s="1"/>
  <c r="Q100" i="34"/>
  <c r="T100" i="34" s="1"/>
  <c r="R100" i="34"/>
  <c r="S100" i="34"/>
  <c r="U100" i="34"/>
  <c r="O101" i="34"/>
  <c r="P101" i="34"/>
  <c r="T101" i="34"/>
  <c r="U101" i="34"/>
  <c r="L102" i="34"/>
  <c r="L100" i="34" s="1"/>
  <c r="O100" i="34" s="1"/>
  <c r="M102" i="34"/>
  <c r="P102" i="34" s="1"/>
  <c r="N102" i="34"/>
  <c r="N100" i="34" s="1"/>
  <c r="T102" i="34"/>
  <c r="U102" i="34"/>
  <c r="I108" i="34"/>
  <c r="I92" i="34" s="1"/>
  <c r="K92" i="34" s="1"/>
  <c r="I109" i="34"/>
  <c r="I114" i="34"/>
  <c r="K114" i="34" s="1"/>
  <c r="J116" i="34"/>
  <c r="L118" i="34"/>
  <c r="M118" i="34"/>
  <c r="N118" i="34"/>
  <c r="Q118" i="34"/>
  <c r="T118" i="34" s="1"/>
  <c r="R118" i="34"/>
  <c r="S118" i="34"/>
  <c r="O121" i="34"/>
  <c r="P121" i="34"/>
  <c r="T121" i="34"/>
  <c r="U121" i="34"/>
  <c r="L122" i="34"/>
  <c r="L120" i="34" s="1"/>
  <c r="O120" i="34" s="1"/>
  <c r="M122" i="34"/>
  <c r="P122" i="34" s="1"/>
  <c r="N122" i="34"/>
  <c r="N120" i="34" s="1"/>
  <c r="Q122" i="34"/>
  <c r="R122" i="34"/>
  <c r="R120" i="34" s="1"/>
  <c r="S122" i="34"/>
  <c r="S120" i="34" s="1"/>
  <c r="O124" i="34"/>
  <c r="P124" i="34"/>
  <c r="T124" i="34"/>
  <c r="U124" i="34"/>
  <c r="L125" i="34"/>
  <c r="L123" i="34" s="1"/>
  <c r="O123" i="34" s="1"/>
  <c r="M125" i="34"/>
  <c r="P125" i="34" s="1"/>
  <c r="N125" i="34"/>
  <c r="N123" i="34" s="1"/>
  <c r="Q125" i="34"/>
  <c r="Q123" i="34" s="1"/>
  <c r="T123" i="34" s="1"/>
  <c r="R125" i="34"/>
  <c r="R123" i="34" s="1"/>
  <c r="U123" i="34" s="1"/>
  <c r="S125" i="34"/>
  <c r="S123" i="34" s="1"/>
  <c r="I127" i="34"/>
  <c r="I116" i="34" s="1"/>
  <c r="K116" i="34" s="1"/>
  <c r="I128" i="34"/>
  <c r="K128" i="34" s="1"/>
  <c r="I129" i="34"/>
  <c r="K129" i="34" s="1"/>
  <c r="I130" i="34"/>
  <c r="K130" i="34" s="1"/>
  <c r="J136" i="34"/>
  <c r="J137" i="34"/>
  <c r="J138" i="34"/>
  <c r="L140" i="34"/>
  <c r="O140" i="34" s="1"/>
  <c r="M140" i="34"/>
  <c r="N140" i="34"/>
  <c r="Q140" i="34"/>
  <c r="R140" i="34"/>
  <c r="U140" i="34" s="1"/>
  <c r="S140" i="34"/>
  <c r="T140" i="34"/>
  <c r="O143" i="34"/>
  <c r="P143" i="34"/>
  <c r="T143" i="34"/>
  <c r="U143" i="34"/>
  <c r="L144" i="34"/>
  <c r="M144" i="34"/>
  <c r="M142" i="34" s="1"/>
  <c r="N144" i="34"/>
  <c r="N142" i="34" s="1"/>
  <c r="Q144" i="34"/>
  <c r="Q142" i="34" s="1"/>
  <c r="R144" i="34"/>
  <c r="R142" i="34" s="1"/>
  <c r="S144" i="34"/>
  <c r="S142" i="34" s="1"/>
  <c r="O146" i="34"/>
  <c r="P146" i="34"/>
  <c r="T146" i="34"/>
  <c r="U146" i="34"/>
  <c r="L147" i="34"/>
  <c r="L145" i="34" s="1"/>
  <c r="O145" i="34" s="1"/>
  <c r="M147" i="34"/>
  <c r="M145" i="34" s="1"/>
  <c r="P145" i="34" s="1"/>
  <c r="N147" i="34"/>
  <c r="N145" i="34" s="1"/>
  <c r="Q147" i="34"/>
  <c r="Q145" i="34" s="1"/>
  <c r="T145" i="34" s="1"/>
  <c r="R147" i="34"/>
  <c r="R145" i="34" s="1"/>
  <c r="U145" i="34" s="1"/>
  <c r="S147" i="34"/>
  <c r="S145" i="34" s="1"/>
  <c r="I150" i="34"/>
  <c r="K150" i="34" s="1"/>
  <c r="I151" i="34"/>
  <c r="K151" i="34" s="1"/>
  <c r="I152" i="34"/>
  <c r="I137" i="34" s="1"/>
  <c r="K137" i="34" s="1"/>
  <c r="I153" i="34"/>
  <c r="I154" i="34"/>
  <c r="I136" i="34" s="1"/>
  <c r="K136" i="34" s="1"/>
  <c r="J156" i="34"/>
  <c r="L158" i="34"/>
  <c r="M158" i="34"/>
  <c r="N158" i="34"/>
  <c r="Q158" i="34"/>
  <c r="T158" i="34" s="1"/>
  <c r="R158" i="34"/>
  <c r="S158" i="34"/>
  <c r="O161" i="34"/>
  <c r="P161" i="34"/>
  <c r="T161" i="34"/>
  <c r="U161" i="34"/>
  <c r="L162" i="34"/>
  <c r="L160" i="34" s="1"/>
  <c r="M162" i="34"/>
  <c r="N162" i="34"/>
  <c r="Q162" i="34"/>
  <c r="Q159" i="34" s="1"/>
  <c r="Q157" i="34" s="1"/>
  <c r="T157" i="34" s="1"/>
  <c r="R162" i="34"/>
  <c r="R160" i="34" s="1"/>
  <c r="U160" i="34" s="1"/>
  <c r="S162" i="34"/>
  <c r="S160" i="34" s="1"/>
  <c r="Q163" i="34"/>
  <c r="T163" i="34" s="1"/>
  <c r="R163" i="34"/>
  <c r="S163" i="34"/>
  <c r="U163" i="34"/>
  <c r="O164" i="34"/>
  <c r="P164" i="34"/>
  <c r="T164" i="34"/>
  <c r="U164" i="34"/>
  <c r="L165" i="34"/>
  <c r="L163" i="34" s="1"/>
  <c r="O163" i="34" s="1"/>
  <c r="M165" i="34"/>
  <c r="P165" i="34" s="1"/>
  <c r="N165" i="34"/>
  <c r="N163" i="34" s="1"/>
  <c r="T165" i="34"/>
  <c r="U165" i="34"/>
  <c r="I167" i="34"/>
  <c r="I169" i="34" s="1"/>
  <c r="K169" i="34" s="1"/>
  <c r="J172" i="34"/>
  <c r="L174" i="34"/>
  <c r="M174" i="34"/>
  <c r="N174" i="34"/>
  <c r="Q174" i="34"/>
  <c r="T174" i="34" s="1"/>
  <c r="R174" i="34"/>
  <c r="S174" i="34"/>
  <c r="O177" i="34"/>
  <c r="P177" i="34"/>
  <c r="T177" i="34"/>
  <c r="U177" i="34"/>
  <c r="L178" i="34"/>
  <c r="M178" i="34"/>
  <c r="N178" i="34"/>
  <c r="N176" i="34" s="1"/>
  <c r="Q178" i="34"/>
  <c r="Q175" i="34" s="1"/>
  <c r="R178" i="34"/>
  <c r="S178" i="34"/>
  <c r="Q179" i="34"/>
  <c r="T179" i="34" s="1"/>
  <c r="R179" i="34"/>
  <c r="U179" i="34" s="1"/>
  <c r="S179" i="34"/>
  <c r="O180" i="34"/>
  <c r="P180" i="34"/>
  <c r="T180" i="34"/>
  <c r="U180" i="34"/>
  <c r="L181" i="34"/>
  <c r="L179" i="34" s="1"/>
  <c r="O179" i="34" s="1"/>
  <c r="M181" i="34"/>
  <c r="P181" i="34" s="1"/>
  <c r="N181" i="34"/>
  <c r="N179" i="34" s="1"/>
  <c r="T181" i="34"/>
  <c r="U181" i="34"/>
  <c r="I183" i="34"/>
  <c r="I172" i="34" s="1"/>
  <c r="K172" i="34" s="1"/>
  <c r="K184" i="34"/>
  <c r="L187" i="34"/>
  <c r="M187" i="34"/>
  <c r="P187" i="34" s="1"/>
  <c r="N187" i="34"/>
  <c r="Q187" i="34"/>
  <c r="R187" i="34"/>
  <c r="U187" i="34" s="1"/>
  <c r="S187" i="34"/>
  <c r="O190" i="34"/>
  <c r="P190" i="34"/>
  <c r="T190" i="34"/>
  <c r="U190" i="34"/>
  <c r="L191" i="34"/>
  <c r="L189" i="34" s="1"/>
  <c r="M191" i="34"/>
  <c r="N191" i="34"/>
  <c r="Q191" i="34"/>
  <c r="Q189" i="34" s="1"/>
  <c r="R191" i="34"/>
  <c r="R189" i="34" s="1"/>
  <c r="S191" i="34"/>
  <c r="O193" i="34"/>
  <c r="P193" i="34"/>
  <c r="T193" i="34"/>
  <c r="U193" i="34"/>
  <c r="L194" i="34"/>
  <c r="L192" i="34" s="1"/>
  <c r="O192" i="34" s="1"/>
  <c r="M194" i="34"/>
  <c r="P194" i="34" s="1"/>
  <c r="N194" i="34"/>
  <c r="N192" i="34" s="1"/>
  <c r="Q194" i="34"/>
  <c r="T194" i="34" s="1"/>
  <c r="R194" i="34"/>
  <c r="U194" i="34" s="1"/>
  <c r="S194" i="34"/>
  <c r="S192" i="34" s="1"/>
  <c r="J195" i="34"/>
  <c r="L196" i="34"/>
  <c r="O196" i="34" s="1"/>
  <c r="P196" i="34"/>
  <c r="I198" i="34"/>
  <c r="I195" i="34" s="1"/>
  <c r="K195" i="34" s="1"/>
  <c r="J199" i="34"/>
  <c r="J202" i="34"/>
  <c r="N203" i="34"/>
  <c r="P203" i="34"/>
  <c r="S203" i="34"/>
  <c r="U203" i="34"/>
  <c r="L204" i="34"/>
  <c r="L205" i="34"/>
  <c r="L206" i="34"/>
  <c r="Q206" i="34"/>
  <c r="Q203" i="34" s="1"/>
  <c r="T203" i="34" s="1"/>
  <c r="L207" i="34"/>
  <c r="I209" i="34"/>
  <c r="I202" i="34" s="1"/>
  <c r="I211" i="34"/>
  <c r="K211" i="34" s="1"/>
  <c r="I212" i="34"/>
  <c r="K212" i="34" s="1"/>
  <c r="J213" i="34"/>
  <c r="N214" i="34"/>
  <c r="P214" i="34"/>
  <c r="S214" i="34"/>
  <c r="U214" i="34"/>
  <c r="L215" i="34"/>
  <c r="L216" i="34"/>
  <c r="L217" i="34"/>
  <c r="Q217" i="34"/>
  <c r="Q214" i="34" s="1"/>
  <c r="T214" i="34" s="1"/>
  <c r="I219" i="34"/>
  <c r="K219" i="34" s="1"/>
  <c r="I220" i="34"/>
  <c r="K220" i="34" s="1"/>
  <c r="J221" i="34"/>
  <c r="N222" i="34"/>
  <c r="P222" i="34"/>
  <c r="L223" i="34"/>
  <c r="L224" i="34"/>
  <c r="L225" i="34"/>
  <c r="I228" i="34"/>
  <c r="K228" i="34" s="1"/>
  <c r="I229" i="34"/>
  <c r="K229" i="34" s="1"/>
  <c r="I230" i="34"/>
  <c r="N233" i="34"/>
  <c r="N234" i="34"/>
  <c r="N235" i="34"/>
  <c r="N236" i="34"/>
  <c r="J238" i="34"/>
  <c r="I240" i="34"/>
  <c r="K240" i="34" s="1"/>
  <c r="J240" i="34"/>
  <c r="I241" i="34"/>
  <c r="K241" i="34" s="1"/>
  <c r="J241" i="34"/>
  <c r="J242" i="34"/>
  <c r="N243" i="34"/>
  <c r="P243" i="34"/>
  <c r="L244" i="34"/>
  <c r="L245" i="34"/>
  <c r="L246" i="34"/>
  <c r="L247" i="34"/>
  <c r="I249" i="34"/>
  <c r="K249" i="34" s="1"/>
  <c r="K251" i="34"/>
  <c r="K252" i="34"/>
  <c r="J253" i="34"/>
  <c r="J231" i="34" s="1"/>
  <c r="J185" i="34" s="1"/>
  <c r="N254" i="34"/>
  <c r="P254" i="34"/>
  <c r="L255" i="34"/>
  <c r="L256" i="34"/>
  <c r="L257" i="34"/>
  <c r="L258" i="34"/>
  <c r="I260" i="34"/>
  <c r="I253" i="34" s="1"/>
  <c r="K253" i="34" s="1"/>
  <c r="K262" i="34"/>
  <c r="K263" i="34"/>
  <c r="J265" i="34"/>
  <c r="L267" i="34"/>
  <c r="O267" i="34" s="1"/>
  <c r="M267" i="34"/>
  <c r="N267" i="34"/>
  <c r="P267" i="34"/>
  <c r="Q267" i="34"/>
  <c r="R267" i="34"/>
  <c r="S267" i="34"/>
  <c r="T267" i="34"/>
  <c r="O270" i="34"/>
  <c r="P270" i="34"/>
  <c r="T270" i="34"/>
  <c r="U270" i="34"/>
  <c r="L271" i="34"/>
  <c r="L269" i="34" s="1"/>
  <c r="M271" i="34"/>
  <c r="N271" i="34"/>
  <c r="N269" i="34" s="1"/>
  <c r="Q271" i="34"/>
  <c r="Q269" i="34" s="1"/>
  <c r="R271" i="34"/>
  <c r="S271" i="34"/>
  <c r="S268" i="34" s="1"/>
  <c r="Q272" i="34"/>
  <c r="R272" i="34"/>
  <c r="U272" i="34" s="1"/>
  <c r="S272" i="34"/>
  <c r="T272" i="34"/>
  <c r="O273" i="34"/>
  <c r="P273" i="34"/>
  <c r="T273" i="34"/>
  <c r="U273" i="34"/>
  <c r="L274" i="34"/>
  <c r="O274" i="34" s="1"/>
  <c r="M274" i="34"/>
  <c r="M272" i="34" s="1"/>
  <c r="P272" i="34" s="1"/>
  <c r="N274" i="34"/>
  <c r="T274" i="34"/>
  <c r="U274" i="34"/>
  <c r="I276" i="34"/>
  <c r="K276" i="34" s="1"/>
  <c r="J281" i="34"/>
  <c r="L283" i="34"/>
  <c r="M283" i="34"/>
  <c r="N283" i="34"/>
  <c r="P283" i="34"/>
  <c r="Q283" i="34"/>
  <c r="R283" i="34"/>
  <c r="S283" i="34"/>
  <c r="Q284" i="34"/>
  <c r="T284" i="34" s="1"/>
  <c r="R284" i="34"/>
  <c r="U284" i="34" s="1"/>
  <c r="S284" i="34"/>
  <c r="S282" i="34" s="1"/>
  <c r="Q285" i="34"/>
  <c r="T285" i="34" s="1"/>
  <c r="R285" i="34"/>
  <c r="U285" i="34" s="1"/>
  <c r="S285" i="34"/>
  <c r="O286" i="34"/>
  <c r="P286" i="34"/>
  <c r="T286" i="34"/>
  <c r="U286" i="34"/>
  <c r="L287" i="34"/>
  <c r="L285" i="34" s="1"/>
  <c r="O285" i="34" s="1"/>
  <c r="M287" i="34"/>
  <c r="P287" i="34" s="1"/>
  <c r="N287" i="34"/>
  <c r="N285" i="34" s="1"/>
  <c r="T287" i="34"/>
  <c r="U287" i="34"/>
  <c r="Q288" i="34"/>
  <c r="T288" i="34" s="1"/>
  <c r="R288" i="34"/>
  <c r="U288" i="34" s="1"/>
  <c r="S288" i="34"/>
  <c r="O289" i="34"/>
  <c r="P289" i="34"/>
  <c r="T289" i="34"/>
  <c r="U289" i="34"/>
  <c r="L290" i="34"/>
  <c r="L288" i="34" s="1"/>
  <c r="O288" i="34" s="1"/>
  <c r="M290" i="34"/>
  <c r="P290" i="34" s="1"/>
  <c r="N290" i="34"/>
  <c r="T290" i="34"/>
  <c r="U290" i="34"/>
  <c r="I292" i="34"/>
  <c r="K292" i="34" s="1"/>
  <c r="I293" i="34"/>
  <c r="I280" i="34" s="1"/>
  <c r="K280" i="34" s="1"/>
  <c r="J293" i="34"/>
  <c r="J280" i="34" s="1"/>
  <c r="I295" i="34"/>
  <c r="K295" i="34" s="1"/>
  <c r="I296" i="34"/>
  <c r="K296" i="34" s="1"/>
  <c r="J302" i="34"/>
  <c r="L304" i="34"/>
  <c r="O304" i="34" s="1"/>
  <c r="M304" i="34"/>
  <c r="N304" i="34"/>
  <c r="P304" i="34"/>
  <c r="Q304" i="34"/>
  <c r="T304" i="34" s="1"/>
  <c r="R304" i="34"/>
  <c r="S304" i="34"/>
  <c r="O307" i="34"/>
  <c r="P307" i="34"/>
  <c r="T307" i="34"/>
  <c r="U307" i="34"/>
  <c r="L308" i="34"/>
  <c r="L306" i="34" s="1"/>
  <c r="O306" i="34" s="1"/>
  <c r="M308" i="34"/>
  <c r="N308" i="34"/>
  <c r="Q308" i="34"/>
  <c r="Q306" i="34" s="1"/>
  <c r="R308" i="34"/>
  <c r="R306" i="34" s="1"/>
  <c r="S308" i="34"/>
  <c r="S306" i="34" s="1"/>
  <c r="Q309" i="34"/>
  <c r="R309" i="34"/>
  <c r="S309" i="34"/>
  <c r="T309" i="34"/>
  <c r="U309" i="34"/>
  <c r="O310" i="34"/>
  <c r="P310" i="34"/>
  <c r="T310" i="34"/>
  <c r="U310" i="34"/>
  <c r="L311" i="34"/>
  <c r="L309" i="34" s="1"/>
  <c r="O309" i="34" s="1"/>
  <c r="M311" i="34"/>
  <c r="P311" i="34" s="1"/>
  <c r="N311" i="34"/>
  <c r="N309" i="34" s="1"/>
  <c r="T311" i="34"/>
  <c r="U311" i="34"/>
  <c r="I314" i="34"/>
  <c r="K314" i="34" s="1"/>
  <c r="J319" i="34"/>
  <c r="L321" i="34"/>
  <c r="O321" i="34" s="1"/>
  <c r="M321" i="34"/>
  <c r="P321" i="34" s="1"/>
  <c r="N321" i="34"/>
  <c r="Q321" i="34"/>
  <c r="T321" i="34" s="1"/>
  <c r="R321" i="34"/>
  <c r="U321" i="34" s="1"/>
  <c r="S321" i="34"/>
  <c r="Q322" i="34"/>
  <c r="T322" i="34" s="1"/>
  <c r="R322" i="34"/>
  <c r="U322" i="34" s="1"/>
  <c r="S322" i="34"/>
  <c r="Q323" i="34"/>
  <c r="R323" i="34"/>
  <c r="S323" i="34"/>
  <c r="T323" i="34"/>
  <c r="U323" i="34"/>
  <c r="O324" i="34"/>
  <c r="P324" i="34"/>
  <c r="T324" i="34"/>
  <c r="U324" i="34"/>
  <c r="L325" i="34"/>
  <c r="M325" i="34"/>
  <c r="N325" i="34"/>
  <c r="T325" i="34"/>
  <c r="U325" i="34"/>
  <c r="Q326" i="34"/>
  <c r="T326" i="34" s="1"/>
  <c r="R326" i="34"/>
  <c r="U326" i="34" s="1"/>
  <c r="S326" i="34"/>
  <c r="O327" i="34"/>
  <c r="P327" i="34"/>
  <c r="T327" i="34"/>
  <c r="U327" i="34"/>
  <c r="L328" i="34"/>
  <c r="O328" i="34" s="1"/>
  <c r="M328" i="34"/>
  <c r="M326" i="34" s="1"/>
  <c r="P326" i="34" s="1"/>
  <c r="N328" i="34"/>
  <c r="N326" i="34" s="1"/>
  <c r="T328" i="34"/>
  <c r="U328" i="34"/>
  <c r="I330" i="34"/>
  <c r="L334" i="34"/>
  <c r="O334" i="34" s="1"/>
  <c r="M334" i="34"/>
  <c r="P334" i="34" s="1"/>
  <c r="N334" i="34"/>
  <c r="Q334" i="34"/>
  <c r="T334" i="34" s="1"/>
  <c r="R334" i="34"/>
  <c r="U334" i="34" s="1"/>
  <c r="S334" i="34"/>
  <c r="Q335" i="34"/>
  <c r="T335" i="34" s="1"/>
  <c r="R335" i="34"/>
  <c r="U335" i="34" s="1"/>
  <c r="S335" i="34"/>
  <c r="S333" i="34" s="1"/>
  <c r="Q336" i="34"/>
  <c r="R336" i="34"/>
  <c r="S336" i="34"/>
  <c r="T336" i="34"/>
  <c r="U336" i="34"/>
  <c r="O337" i="34"/>
  <c r="P337" i="34"/>
  <c r="T337" i="34"/>
  <c r="U337" i="34"/>
  <c r="L338" i="34"/>
  <c r="M338" i="34"/>
  <c r="N338" i="34"/>
  <c r="N336" i="34" s="1"/>
  <c r="T338" i="34"/>
  <c r="U338" i="34"/>
  <c r="Q339" i="34"/>
  <c r="T339" i="34" s="1"/>
  <c r="R339" i="34"/>
  <c r="U339" i="34" s="1"/>
  <c r="S339" i="34"/>
  <c r="O340" i="34"/>
  <c r="P340" i="34"/>
  <c r="T340" i="34"/>
  <c r="U340" i="34"/>
  <c r="L341" i="34"/>
  <c r="L339" i="34" s="1"/>
  <c r="O339" i="34" s="1"/>
  <c r="M341" i="34"/>
  <c r="P341" i="34" s="1"/>
  <c r="N341" i="34"/>
  <c r="N339" i="34" s="1"/>
  <c r="T341" i="34"/>
  <c r="U341" i="34"/>
  <c r="I344" i="34"/>
  <c r="J344" i="34"/>
  <c r="I346" i="34"/>
  <c r="J346" i="34"/>
  <c r="J347" i="34"/>
  <c r="J348" i="34"/>
  <c r="J349" i="34"/>
  <c r="D350" i="34"/>
  <c r="J352" i="34"/>
  <c r="J353" i="34"/>
  <c r="J354" i="34"/>
  <c r="L357" i="34"/>
  <c r="O357" i="34" s="1"/>
  <c r="M357" i="34"/>
  <c r="N357" i="34"/>
  <c r="Q357" i="34"/>
  <c r="R357" i="34"/>
  <c r="U357" i="34" s="1"/>
  <c r="S357" i="34"/>
  <c r="T357" i="34"/>
  <c r="Q358" i="34"/>
  <c r="R358" i="34"/>
  <c r="S358" i="34"/>
  <c r="T358" i="34"/>
  <c r="U358" i="34"/>
  <c r="Q359" i="34"/>
  <c r="R359" i="34"/>
  <c r="U359" i="34" s="1"/>
  <c r="S359" i="34"/>
  <c r="T359" i="34"/>
  <c r="O360" i="34"/>
  <c r="P360" i="34"/>
  <c r="T360" i="34"/>
  <c r="U360" i="34"/>
  <c r="L361" i="34"/>
  <c r="M361" i="34"/>
  <c r="M359" i="34" s="1"/>
  <c r="N361" i="34"/>
  <c r="T361" i="34"/>
  <c r="U361" i="34"/>
  <c r="Q362" i="34"/>
  <c r="R362" i="34"/>
  <c r="U362" i="34" s="1"/>
  <c r="S362" i="34"/>
  <c r="T362" i="34"/>
  <c r="O363" i="34"/>
  <c r="P363" i="34"/>
  <c r="T363" i="34"/>
  <c r="U363" i="34"/>
  <c r="L364" i="34"/>
  <c r="M364" i="34"/>
  <c r="P364" i="34" s="1"/>
  <c r="N364" i="34"/>
  <c r="N362" i="34" s="1"/>
  <c r="T364" i="34"/>
  <c r="U364" i="34"/>
  <c r="J367" i="34"/>
  <c r="K367" i="34"/>
  <c r="I368" i="34"/>
  <c r="J368" i="34"/>
  <c r="I369" i="34"/>
  <c r="J369" i="34"/>
  <c r="J370" i="34"/>
  <c r="K370" i="34"/>
  <c r="I371" i="34"/>
  <c r="I365" i="34" s="1"/>
  <c r="J371" i="34"/>
  <c r="J372" i="34"/>
  <c r="K372" i="34"/>
  <c r="D373" i="34"/>
  <c r="L376" i="34"/>
  <c r="O376" i="34" s="1"/>
  <c r="M376" i="34"/>
  <c r="N376" i="34"/>
  <c r="Q376" i="34"/>
  <c r="R376" i="34"/>
  <c r="U376" i="34" s="1"/>
  <c r="S376" i="34"/>
  <c r="T376" i="34"/>
  <c r="O379" i="34"/>
  <c r="P379" i="34"/>
  <c r="T379" i="34"/>
  <c r="U379" i="34"/>
  <c r="L380" i="34"/>
  <c r="M380" i="34"/>
  <c r="N380" i="34"/>
  <c r="N378" i="34" s="1"/>
  <c r="Q380" i="34"/>
  <c r="Q378" i="34" s="1"/>
  <c r="R380" i="34"/>
  <c r="R378" i="34" s="1"/>
  <c r="S380" i="34"/>
  <c r="S377" i="34" s="1"/>
  <c r="S375" i="34" s="1"/>
  <c r="Q381" i="34"/>
  <c r="T381" i="34" s="1"/>
  <c r="R381" i="34"/>
  <c r="U381" i="34" s="1"/>
  <c r="S381" i="34"/>
  <c r="O382" i="34"/>
  <c r="P382" i="34"/>
  <c r="T382" i="34"/>
  <c r="U382" i="34"/>
  <c r="L383" i="34"/>
  <c r="L381" i="34" s="1"/>
  <c r="O381" i="34" s="1"/>
  <c r="M383" i="34"/>
  <c r="P383" i="34" s="1"/>
  <c r="N383" i="34"/>
  <c r="N381" i="34" s="1"/>
  <c r="T383" i="34"/>
  <c r="U383" i="34"/>
  <c r="J385" i="34"/>
  <c r="K385" i="34"/>
  <c r="I386" i="34"/>
  <c r="J386" i="34"/>
  <c r="J387" i="34"/>
  <c r="K387" i="34"/>
  <c r="I388" i="34"/>
  <c r="K388" i="34" s="1"/>
  <c r="J388" i="34"/>
  <c r="I391" i="34"/>
  <c r="K391" i="34" s="1"/>
  <c r="J391" i="34"/>
  <c r="M392" i="34"/>
  <c r="P392" i="34" s="1"/>
  <c r="L393" i="34"/>
  <c r="M393" i="34"/>
  <c r="P393" i="34" s="1"/>
  <c r="N393" i="34"/>
  <c r="Q393" i="34"/>
  <c r="T393" i="34" s="1"/>
  <c r="R393" i="34"/>
  <c r="S393" i="34"/>
  <c r="L394" i="34"/>
  <c r="O394" i="34" s="1"/>
  <c r="M394" i="34"/>
  <c r="N394" i="34"/>
  <c r="P394" i="34"/>
  <c r="L395" i="34"/>
  <c r="O395" i="34" s="1"/>
  <c r="M395" i="34"/>
  <c r="P395" i="34" s="1"/>
  <c r="N395" i="34"/>
  <c r="O396" i="34"/>
  <c r="P396" i="34"/>
  <c r="T396" i="34"/>
  <c r="U396" i="34"/>
  <c r="O397" i="34"/>
  <c r="P397" i="34"/>
  <c r="Q397" i="34"/>
  <c r="Q395" i="34" s="1"/>
  <c r="T395" i="34" s="1"/>
  <c r="R397" i="34"/>
  <c r="R395" i="34" s="1"/>
  <c r="U395" i="34" s="1"/>
  <c r="S397" i="34"/>
  <c r="S395" i="34" s="1"/>
  <c r="L398" i="34"/>
  <c r="O398" i="34" s="1"/>
  <c r="M398" i="34"/>
  <c r="N398" i="34"/>
  <c r="P398" i="34"/>
  <c r="Q398" i="34"/>
  <c r="T398" i="34" s="1"/>
  <c r="R398" i="34"/>
  <c r="U398" i="34" s="1"/>
  <c r="S398" i="34"/>
  <c r="O399" i="34"/>
  <c r="P399" i="34"/>
  <c r="T399" i="34"/>
  <c r="U399" i="34"/>
  <c r="O400" i="34"/>
  <c r="P400" i="34"/>
  <c r="T400" i="34"/>
  <c r="U400" i="34"/>
  <c r="L414" i="34"/>
  <c r="M414" i="34"/>
  <c r="N414" i="34"/>
  <c r="P414" i="34"/>
  <c r="Q414" i="34"/>
  <c r="T414" i="34" s="1"/>
  <c r="R414" i="34"/>
  <c r="S414" i="34"/>
  <c r="O417" i="34"/>
  <c r="P417" i="34"/>
  <c r="T417" i="34"/>
  <c r="U417" i="34"/>
  <c r="L418" i="34"/>
  <c r="M418" i="34"/>
  <c r="N418" i="34"/>
  <c r="N416" i="34" s="1"/>
  <c r="Q418" i="34"/>
  <c r="Q416" i="34" s="1"/>
  <c r="R418" i="34"/>
  <c r="S418" i="34"/>
  <c r="Q419" i="34"/>
  <c r="T419" i="34" s="1"/>
  <c r="R419" i="34"/>
  <c r="U419" i="34" s="1"/>
  <c r="S419" i="34"/>
  <c r="O420" i="34"/>
  <c r="P420" i="34"/>
  <c r="T420" i="34"/>
  <c r="U420" i="34"/>
  <c r="L421" i="34"/>
  <c r="O421" i="34" s="1"/>
  <c r="M421" i="34"/>
  <c r="P421" i="34" s="1"/>
  <c r="N421" i="34"/>
  <c r="N419" i="34" s="1"/>
  <c r="T421" i="34"/>
  <c r="U421" i="34"/>
  <c r="I424" i="34"/>
  <c r="K424" i="34" s="1"/>
  <c r="J424" i="34"/>
  <c r="I425" i="34"/>
  <c r="K425" i="34" s="1"/>
  <c r="J425" i="34"/>
  <c r="I432" i="34"/>
  <c r="K432" i="34" s="1"/>
  <c r="J432" i="34"/>
  <c r="I433" i="34"/>
  <c r="K433" i="34" s="1"/>
  <c r="J433" i="34"/>
  <c r="I440" i="34"/>
  <c r="I423" i="34" s="1"/>
  <c r="K423" i="34" s="1"/>
  <c r="J440" i="34"/>
  <c r="J423" i="34" s="1"/>
  <c r="J412" i="34" s="1"/>
  <c r="I441" i="34"/>
  <c r="K441" i="34" s="1"/>
  <c r="J441" i="34"/>
  <c r="J446" i="34"/>
  <c r="J447" i="34"/>
  <c r="I457" i="34"/>
  <c r="I456" i="34" s="1"/>
  <c r="I458" i="34"/>
  <c r="K458" i="34" s="1"/>
  <c r="J459" i="34"/>
  <c r="J457" i="34" s="1"/>
  <c r="J460" i="34"/>
  <c r="J458" i="34" s="1"/>
  <c r="J467" i="34"/>
  <c r="J468" i="34"/>
  <c r="J475" i="34"/>
  <c r="K475" i="34"/>
  <c r="J476" i="34"/>
  <c r="K476" i="34"/>
  <c r="J477" i="34"/>
  <c r="K477" i="34"/>
  <c r="J482" i="34"/>
  <c r="J483" i="34"/>
  <c r="I484" i="34"/>
  <c r="K484" i="34" s="1"/>
  <c r="J484" i="34"/>
  <c r="I485" i="34"/>
  <c r="K485" i="34" s="1"/>
  <c r="J485" i="34"/>
  <c r="L494" i="34"/>
  <c r="O494" i="34" s="1"/>
  <c r="M494" i="34"/>
  <c r="N494" i="34"/>
  <c r="Q494" i="34"/>
  <c r="T494" i="34" s="1"/>
  <c r="R494" i="34"/>
  <c r="S494" i="34"/>
  <c r="U494" i="34"/>
  <c r="O497" i="34"/>
  <c r="P497" i="34"/>
  <c r="T497" i="34"/>
  <c r="U497" i="34"/>
  <c r="L498" i="34"/>
  <c r="L496" i="34" s="1"/>
  <c r="O496" i="34" s="1"/>
  <c r="M498" i="34"/>
  <c r="N498" i="34"/>
  <c r="Q498" i="34"/>
  <c r="T498" i="34" s="1"/>
  <c r="R498" i="34"/>
  <c r="R496" i="34" s="1"/>
  <c r="U496" i="34" s="1"/>
  <c r="S498" i="34"/>
  <c r="S495" i="34" s="1"/>
  <c r="Q499" i="34"/>
  <c r="R499" i="34"/>
  <c r="S499" i="34"/>
  <c r="T499" i="34"/>
  <c r="U499" i="34"/>
  <c r="O500" i="34"/>
  <c r="P500" i="34"/>
  <c r="T500" i="34"/>
  <c r="U500" i="34"/>
  <c r="L501" i="34"/>
  <c r="L499" i="34" s="1"/>
  <c r="O499" i="34" s="1"/>
  <c r="M501" i="34"/>
  <c r="P501" i="34" s="1"/>
  <c r="N501" i="34"/>
  <c r="N499" i="34" s="1"/>
  <c r="T501" i="34"/>
  <c r="U501" i="34"/>
  <c r="I503" i="34"/>
  <c r="I492" i="34" s="1"/>
  <c r="K492" i="34" s="1"/>
  <c r="I504" i="34"/>
  <c r="K504" i="34" s="1"/>
  <c r="I505" i="34"/>
  <c r="I506" i="34"/>
  <c r="K506" i="34" s="1"/>
  <c r="I507" i="34"/>
  <c r="K507" i="34" s="1"/>
  <c r="K508" i="34"/>
  <c r="I509" i="34"/>
  <c r="K509" i="34" s="1"/>
  <c r="I512" i="34"/>
  <c r="K512" i="34" s="1"/>
  <c r="J512" i="34"/>
  <c r="L514" i="34"/>
  <c r="M514" i="34"/>
  <c r="N514" i="34"/>
  <c r="O514" i="34"/>
  <c r="Q514" i="34"/>
  <c r="T514" i="34" s="1"/>
  <c r="R514" i="34"/>
  <c r="S514" i="34"/>
  <c r="U514" i="34"/>
  <c r="Q515" i="34"/>
  <c r="T515" i="34" s="1"/>
  <c r="R515" i="34"/>
  <c r="R513" i="34" s="1"/>
  <c r="U513" i="34" s="1"/>
  <c r="S515" i="34"/>
  <c r="Q516" i="34"/>
  <c r="T516" i="34" s="1"/>
  <c r="R516" i="34"/>
  <c r="U516" i="34" s="1"/>
  <c r="S516" i="34"/>
  <c r="O517" i="34"/>
  <c r="P517" i="34"/>
  <c r="T517" i="34"/>
  <c r="U517" i="34"/>
  <c r="L518" i="34"/>
  <c r="L516" i="34" s="1"/>
  <c r="O516" i="34" s="1"/>
  <c r="M518" i="34"/>
  <c r="M516" i="34" s="1"/>
  <c r="P516" i="34" s="1"/>
  <c r="N518" i="34"/>
  <c r="N516" i="34" s="1"/>
  <c r="T518" i="34"/>
  <c r="U518" i="34"/>
  <c r="Q519" i="34"/>
  <c r="R519" i="34"/>
  <c r="S519" i="34"/>
  <c r="T519" i="34"/>
  <c r="U519" i="34"/>
  <c r="O520" i="34"/>
  <c r="P520" i="34"/>
  <c r="T520" i="34"/>
  <c r="U520" i="34"/>
  <c r="L521" i="34"/>
  <c r="O521" i="34" s="1"/>
  <c r="M521" i="34"/>
  <c r="M519" i="34" s="1"/>
  <c r="P519" i="34" s="1"/>
  <c r="N521" i="34"/>
  <c r="N519" i="34" s="1"/>
  <c r="T521" i="34"/>
  <c r="U521" i="34"/>
  <c r="K523" i="34"/>
  <c r="K524" i="34"/>
  <c r="I533" i="34"/>
  <c r="K533" i="34" s="1"/>
  <c r="J533" i="34"/>
  <c r="L535" i="34"/>
  <c r="M535" i="34"/>
  <c r="N535" i="34"/>
  <c r="O535" i="34"/>
  <c r="P535" i="34"/>
  <c r="Q535" i="34"/>
  <c r="R535" i="34"/>
  <c r="S535" i="34"/>
  <c r="S534" i="34" s="1"/>
  <c r="T535" i="34"/>
  <c r="U535" i="34"/>
  <c r="Q536" i="34"/>
  <c r="T536" i="34" s="1"/>
  <c r="R536" i="34"/>
  <c r="U536" i="34" s="1"/>
  <c r="S536" i="34"/>
  <c r="Q537" i="34"/>
  <c r="T537" i="34" s="1"/>
  <c r="R537" i="34"/>
  <c r="U537" i="34" s="1"/>
  <c r="S537" i="34"/>
  <c r="O538" i="34"/>
  <c r="P538" i="34"/>
  <c r="T538" i="34"/>
  <c r="U538" i="34"/>
  <c r="L539" i="34"/>
  <c r="O539" i="34" s="1"/>
  <c r="M539" i="34"/>
  <c r="M537" i="34" s="1"/>
  <c r="P537" i="34" s="1"/>
  <c r="N539" i="34"/>
  <c r="T539" i="34"/>
  <c r="U539" i="34"/>
  <c r="Q540" i="34"/>
  <c r="T540" i="34" s="1"/>
  <c r="R540" i="34"/>
  <c r="U540" i="34" s="1"/>
  <c r="S540" i="34"/>
  <c r="O541" i="34"/>
  <c r="P541" i="34"/>
  <c r="T541" i="34"/>
  <c r="U541" i="34"/>
  <c r="L542" i="34"/>
  <c r="L540" i="34" s="1"/>
  <c r="O540" i="34" s="1"/>
  <c r="M542" i="34"/>
  <c r="P542" i="34" s="1"/>
  <c r="N542" i="34"/>
  <c r="N540" i="34" s="1"/>
  <c r="T542" i="34"/>
  <c r="U542" i="34"/>
  <c r="I554" i="34"/>
  <c r="J554" i="34"/>
  <c r="K554" i="34"/>
  <c r="L556" i="34"/>
  <c r="M556" i="34"/>
  <c r="P556" i="34" s="1"/>
  <c r="N556" i="34"/>
  <c r="Q556" i="34"/>
  <c r="T556" i="34" s="1"/>
  <c r="R556" i="34"/>
  <c r="S556" i="34"/>
  <c r="Q557" i="34"/>
  <c r="T557" i="34" s="1"/>
  <c r="R557" i="34"/>
  <c r="S557" i="34"/>
  <c r="U557" i="34"/>
  <c r="Q558" i="34"/>
  <c r="T558" i="34" s="1"/>
  <c r="R558" i="34"/>
  <c r="S558" i="34"/>
  <c r="U558" i="34"/>
  <c r="O559" i="34"/>
  <c r="P559" i="34"/>
  <c r="T559" i="34"/>
  <c r="U559" i="34"/>
  <c r="L560" i="34"/>
  <c r="L558" i="34" s="1"/>
  <c r="O558" i="34" s="1"/>
  <c r="M560" i="34"/>
  <c r="P560" i="34" s="1"/>
  <c r="N560" i="34"/>
  <c r="N558" i="34" s="1"/>
  <c r="T560" i="34"/>
  <c r="U560" i="34"/>
  <c r="Q561" i="34"/>
  <c r="T561" i="34" s="1"/>
  <c r="R561" i="34"/>
  <c r="S561" i="34"/>
  <c r="U561" i="34"/>
  <c r="O562" i="34"/>
  <c r="P562" i="34"/>
  <c r="T562" i="34"/>
  <c r="U562" i="34"/>
  <c r="L563" i="34"/>
  <c r="O563" i="34" s="1"/>
  <c r="M563" i="34"/>
  <c r="P563" i="34" s="1"/>
  <c r="N563" i="34"/>
  <c r="N561" i="34" s="1"/>
  <c r="T563" i="34"/>
  <c r="U563" i="34"/>
  <c r="I575" i="34"/>
  <c r="K575" i="34" s="1"/>
  <c r="J575" i="34"/>
  <c r="L577" i="34"/>
  <c r="M577" i="34"/>
  <c r="P577" i="34" s="1"/>
  <c r="N577" i="34"/>
  <c r="Q577" i="34"/>
  <c r="T577" i="34" s="1"/>
  <c r="R577" i="34"/>
  <c r="R576" i="34" s="1"/>
  <c r="U576" i="34" s="1"/>
  <c r="S577" i="34"/>
  <c r="Q578" i="34"/>
  <c r="T578" i="34" s="1"/>
  <c r="R578" i="34"/>
  <c r="U578" i="34" s="1"/>
  <c r="S578" i="34"/>
  <c r="S576" i="34" s="1"/>
  <c r="Q579" i="34"/>
  <c r="T579" i="34" s="1"/>
  <c r="R579" i="34"/>
  <c r="U579" i="34" s="1"/>
  <c r="S579" i="34"/>
  <c r="O580" i="34"/>
  <c r="P580" i="34"/>
  <c r="T580" i="34"/>
  <c r="U580" i="34"/>
  <c r="L581" i="34"/>
  <c r="O581" i="34" s="1"/>
  <c r="M581" i="34"/>
  <c r="M579" i="34" s="1"/>
  <c r="P579" i="34" s="1"/>
  <c r="N581" i="34"/>
  <c r="T581" i="34"/>
  <c r="U581" i="34"/>
  <c r="Q582" i="34"/>
  <c r="T582" i="34" s="1"/>
  <c r="R582" i="34"/>
  <c r="U582" i="34" s="1"/>
  <c r="S582" i="34"/>
  <c r="O583" i="34"/>
  <c r="P583" i="34"/>
  <c r="T583" i="34"/>
  <c r="U583" i="34"/>
  <c r="L584" i="34"/>
  <c r="O584" i="34" s="1"/>
  <c r="M584" i="34"/>
  <c r="M582" i="34" s="1"/>
  <c r="P582" i="34" s="1"/>
  <c r="N584" i="34"/>
  <c r="N582" i="34" s="1"/>
  <c r="T584" i="34"/>
  <c r="U584" i="34"/>
  <c r="L600" i="34"/>
  <c r="M600" i="34"/>
  <c r="P600" i="34" s="1"/>
  <c r="N600" i="34"/>
  <c r="Q600" i="34"/>
  <c r="T600" i="34" s="1"/>
  <c r="R600" i="34"/>
  <c r="S600" i="34"/>
  <c r="O603" i="34"/>
  <c r="P603" i="34"/>
  <c r="T603" i="34"/>
  <c r="U603" i="34"/>
  <c r="L604" i="34"/>
  <c r="O604" i="34" s="1"/>
  <c r="M604" i="34"/>
  <c r="P604" i="34" s="1"/>
  <c r="N604" i="34"/>
  <c r="N602" i="34" s="1"/>
  <c r="Q604" i="34"/>
  <c r="Q602" i="34" s="1"/>
  <c r="T602" i="34" s="1"/>
  <c r="R604" i="34"/>
  <c r="U604" i="34" s="1"/>
  <c r="S604" i="34"/>
  <c r="O606" i="34"/>
  <c r="P606" i="34"/>
  <c r="T606" i="34"/>
  <c r="U606" i="34"/>
  <c r="L607" i="34"/>
  <c r="O607" i="34" s="1"/>
  <c r="M607" i="34"/>
  <c r="M605" i="34" s="1"/>
  <c r="P605" i="34" s="1"/>
  <c r="N607" i="34"/>
  <c r="N605" i="34" s="1"/>
  <c r="Q607" i="34"/>
  <c r="Q605" i="34" s="1"/>
  <c r="T605" i="34" s="1"/>
  <c r="R607" i="34"/>
  <c r="U607" i="34" s="1"/>
  <c r="S607" i="34"/>
  <c r="S605" i="34" s="1"/>
  <c r="L617" i="34"/>
  <c r="O617" i="34" s="1"/>
  <c r="M617" i="34"/>
  <c r="P617" i="34" s="1"/>
  <c r="N617" i="34"/>
  <c r="N616" i="34" s="1"/>
  <c r="Q617" i="34"/>
  <c r="T617" i="34" s="1"/>
  <c r="R617" i="34"/>
  <c r="S617" i="34"/>
  <c r="U617" i="34"/>
  <c r="L618" i="34"/>
  <c r="M618" i="34"/>
  <c r="P618" i="34" s="1"/>
  <c r="N618" i="34"/>
  <c r="O618" i="34"/>
  <c r="L619" i="34"/>
  <c r="O619" i="34" s="1"/>
  <c r="M619" i="34"/>
  <c r="P619" i="34" s="1"/>
  <c r="N619" i="34"/>
  <c r="O620" i="34"/>
  <c r="P620" i="34"/>
  <c r="T620" i="34"/>
  <c r="U620" i="34"/>
  <c r="O621" i="34"/>
  <c r="P621" i="34"/>
  <c r="Q621" i="34"/>
  <c r="Q619" i="34" s="1"/>
  <c r="R621" i="34"/>
  <c r="R619" i="34" s="1"/>
  <c r="S621" i="34"/>
  <c r="S619" i="34" s="1"/>
  <c r="L622" i="34"/>
  <c r="O622" i="34" s="1"/>
  <c r="M622" i="34"/>
  <c r="P622" i="34" s="1"/>
  <c r="N622" i="34"/>
  <c r="Q622" i="34"/>
  <c r="R622" i="34"/>
  <c r="U622" i="34" s="1"/>
  <c r="S622" i="34"/>
  <c r="T622" i="34"/>
  <c r="O623" i="34"/>
  <c r="P623" i="34"/>
  <c r="T623" i="34"/>
  <c r="U623" i="34"/>
  <c r="O624" i="34"/>
  <c r="P624" i="34"/>
  <c r="T624" i="34"/>
  <c r="U624" i="34"/>
  <c r="I626" i="34"/>
  <c r="K629" i="34" s="1"/>
  <c r="I627" i="34"/>
  <c r="K627" i="34" s="1"/>
  <c r="I628" i="34"/>
  <c r="K628" i="34" s="1"/>
  <c r="J632" i="34"/>
  <c r="J626" i="34" s="1"/>
  <c r="J615" i="34" s="1"/>
  <c r="I635" i="34"/>
  <c r="K635" i="34" s="1"/>
  <c r="J635" i="34"/>
  <c r="J636" i="34"/>
  <c r="L643" i="34"/>
  <c r="O643" i="34" s="1"/>
  <c r="M643" i="34"/>
  <c r="N643" i="34"/>
  <c r="Q643" i="34"/>
  <c r="T643" i="34" s="1"/>
  <c r="R643" i="34"/>
  <c r="U643" i="34" s="1"/>
  <c r="S643" i="34"/>
  <c r="L644" i="34"/>
  <c r="L642" i="34" s="1"/>
  <c r="O642" i="34" s="1"/>
  <c r="M644" i="34"/>
  <c r="P644" i="34" s="1"/>
  <c r="N644" i="34"/>
  <c r="L645" i="34"/>
  <c r="M645" i="34"/>
  <c r="P645" i="34" s="1"/>
  <c r="N645" i="34"/>
  <c r="O645" i="34"/>
  <c r="O646" i="34"/>
  <c r="P646" i="34"/>
  <c r="T646" i="34"/>
  <c r="U646" i="34"/>
  <c r="O647" i="34"/>
  <c r="P647" i="34"/>
  <c r="Q647" i="34"/>
  <c r="R647" i="34"/>
  <c r="R645" i="34" s="1"/>
  <c r="S647" i="34"/>
  <c r="S645" i="34" s="1"/>
  <c r="L648" i="34"/>
  <c r="M648" i="34"/>
  <c r="P648" i="34" s="1"/>
  <c r="N648" i="34"/>
  <c r="O648" i="34"/>
  <c r="Q648" i="34"/>
  <c r="R648" i="34"/>
  <c r="U648" i="34" s="1"/>
  <c r="S648" i="34"/>
  <c r="T648" i="34"/>
  <c r="O649" i="34"/>
  <c r="P649" i="34"/>
  <c r="T649" i="34"/>
  <c r="U649" i="34"/>
  <c r="O650" i="34"/>
  <c r="P650" i="34"/>
  <c r="T650" i="34"/>
  <c r="U650" i="34"/>
  <c r="I652" i="34"/>
  <c r="K652" i="34" s="1"/>
  <c r="J652" i="34"/>
  <c r="I653" i="34"/>
  <c r="K653" i="34" s="1"/>
  <c r="J653" i="34"/>
  <c r="I654" i="34"/>
  <c r="K654" i="34" s="1"/>
  <c r="J654" i="34"/>
  <c r="I657" i="34"/>
  <c r="I660" i="34"/>
  <c r="I661" i="34"/>
  <c r="K661" i="34" s="1"/>
  <c r="J661" i="34"/>
  <c r="J671" i="34"/>
  <c r="J672" i="34"/>
  <c r="I673" i="34"/>
  <c r="K673" i="34" s="1"/>
  <c r="J673" i="34"/>
  <c r="I674" i="34"/>
  <c r="I675" i="34"/>
  <c r="I676" i="34"/>
  <c r="J676" i="34"/>
  <c r="J677" i="34"/>
  <c r="I678" i="34"/>
  <c r="J678" i="34"/>
  <c r="I679" i="34"/>
  <c r="K679" i="34" s="1"/>
  <c r="J679" i="34"/>
  <c r="J680" i="34"/>
  <c r="I681" i="34"/>
  <c r="K681" i="34" s="1"/>
  <c r="J681" i="34"/>
  <c r="I682" i="34"/>
  <c r="K682" i="34" s="1"/>
  <c r="J682" i="34"/>
  <c r="L691" i="34"/>
  <c r="O691" i="34" s="1"/>
  <c r="M691" i="34"/>
  <c r="N691" i="34"/>
  <c r="N690" i="34" s="1"/>
  <c r="Q691" i="34"/>
  <c r="T691" i="34" s="1"/>
  <c r="R691" i="34"/>
  <c r="U691" i="34" s="1"/>
  <c r="S691" i="34"/>
  <c r="L692" i="34"/>
  <c r="M692" i="34"/>
  <c r="P692" i="34" s="1"/>
  <c r="N692" i="34"/>
  <c r="O692" i="34"/>
  <c r="L693" i="34"/>
  <c r="O693" i="34" s="1"/>
  <c r="M693" i="34"/>
  <c r="N693" i="34"/>
  <c r="P693" i="34"/>
  <c r="O694" i="34"/>
  <c r="P694" i="34"/>
  <c r="T694" i="34"/>
  <c r="U694" i="34"/>
  <c r="O695" i="34"/>
  <c r="P695" i="34"/>
  <c r="Q695" i="34"/>
  <c r="Q693" i="34" s="1"/>
  <c r="R695" i="34"/>
  <c r="R692" i="34" s="1"/>
  <c r="S695" i="34"/>
  <c r="S693" i="34" s="1"/>
  <c r="L696" i="34"/>
  <c r="O696" i="34" s="1"/>
  <c r="M696" i="34"/>
  <c r="P696" i="34" s="1"/>
  <c r="N696" i="34"/>
  <c r="Q696" i="34"/>
  <c r="T696" i="34" s="1"/>
  <c r="R696" i="34"/>
  <c r="U696" i="34" s="1"/>
  <c r="S696" i="34"/>
  <c r="O697" i="34"/>
  <c r="P697" i="34"/>
  <c r="T697" i="34"/>
  <c r="U697" i="34"/>
  <c r="O698" i="34"/>
  <c r="P698" i="34"/>
  <c r="T698" i="34"/>
  <c r="U698" i="34"/>
  <c r="I700" i="34"/>
  <c r="K700" i="34" s="1"/>
  <c r="K702" i="34"/>
  <c r="I703" i="34"/>
  <c r="J703" i="34"/>
  <c r="J704" i="34"/>
  <c r="K704" i="34"/>
  <c r="I705" i="34"/>
  <c r="J705" i="34"/>
  <c r="J706" i="34"/>
  <c r="K706" i="34"/>
  <c r="I707" i="34"/>
  <c r="J707" i="34"/>
  <c r="J689" i="34" s="1"/>
  <c r="J708" i="34"/>
  <c r="K708" i="34"/>
  <c r="I709" i="34"/>
  <c r="J709" i="34"/>
  <c r="J710" i="34"/>
  <c r="K710" i="34"/>
  <c r="J712" i="34"/>
  <c r="K712" i="34"/>
  <c r="L715" i="34"/>
  <c r="M715" i="34"/>
  <c r="P715" i="34" s="1"/>
  <c r="N715" i="34"/>
  <c r="N714" i="34" s="1"/>
  <c r="Q715" i="34"/>
  <c r="R715" i="34"/>
  <c r="S715" i="34"/>
  <c r="L716" i="34"/>
  <c r="O716" i="34" s="1"/>
  <c r="M716" i="34"/>
  <c r="P716" i="34" s="1"/>
  <c r="N716" i="34"/>
  <c r="Q716" i="34"/>
  <c r="T716" i="34" s="1"/>
  <c r="R716" i="34"/>
  <c r="U716" i="34" s="1"/>
  <c r="S716" i="34"/>
  <c r="S714" i="34" s="1"/>
  <c r="L717" i="34"/>
  <c r="O717" i="34" s="1"/>
  <c r="M717" i="34"/>
  <c r="N717" i="34"/>
  <c r="P717" i="34"/>
  <c r="Q717" i="34"/>
  <c r="T717" i="34" s="1"/>
  <c r="R717" i="34"/>
  <c r="U717" i="34" s="1"/>
  <c r="S717" i="34"/>
  <c r="O718" i="34"/>
  <c r="P718" i="34"/>
  <c r="T718" i="34"/>
  <c r="U718" i="34"/>
  <c r="O719" i="34"/>
  <c r="P719" i="34"/>
  <c r="T719" i="34"/>
  <c r="U719" i="34"/>
  <c r="L720" i="34"/>
  <c r="O720" i="34" s="1"/>
  <c r="M720" i="34"/>
  <c r="P720" i="34" s="1"/>
  <c r="N720" i="34"/>
  <c r="Q720" i="34"/>
  <c r="T720" i="34" s="1"/>
  <c r="R720" i="34"/>
  <c r="U720" i="34" s="1"/>
  <c r="S720" i="34"/>
  <c r="O721" i="34"/>
  <c r="P721" i="34"/>
  <c r="T721" i="34"/>
  <c r="U721" i="34"/>
  <c r="O722" i="34"/>
  <c r="P722" i="34"/>
  <c r="T722" i="34"/>
  <c r="U722" i="34"/>
  <c r="I726" i="34"/>
  <c r="K726" i="34" s="1"/>
  <c r="J726" i="34"/>
  <c r="I727" i="34"/>
  <c r="J727" i="34"/>
  <c r="L729" i="34"/>
  <c r="L728" i="34" s="1"/>
  <c r="O728" i="34" s="1"/>
  <c r="M729" i="34"/>
  <c r="M728" i="34" s="1"/>
  <c r="P728" i="34" s="1"/>
  <c r="N729" i="34"/>
  <c r="Q729" i="34"/>
  <c r="T729" i="34" s="1"/>
  <c r="R729" i="34"/>
  <c r="U729" i="34" s="1"/>
  <c r="S729" i="34"/>
  <c r="L730" i="34"/>
  <c r="O730" i="34" s="1"/>
  <c r="M730" i="34"/>
  <c r="P730" i="34" s="1"/>
  <c r="N730" i="34"/>
  <c r="L731" i="34"/>
  <c r="M731" i="34"/>
  <c r="N731" i="34"/>
  <c r="O731" i="34"/>
  <c r="P731" i="34"/>
  <c r="O732" i="34"/>
  <c r="P732" i="34"/>
  <c r="T732" i="34"/>
  <c r="U732" i="34"/>
  <c r="O733" i="34"/>
  <c r="P733" i="34"/>
  <c r="Q733" i="34"/>
  <c r="Q731" i="34" s="1"/>
  <c r="R733" i="34"/>
  <c r="R730" i="34" s="1"/>
  <c r="S733" i="34"/>
  <c r="L734" i="34"/>
  <c r="O734" i="34" s="1"/>
  <c r="M734" i="34"/>
  <c r="P734" i="34" s="1"/>
  <c r="N734" i="34"/>
  <c r="Q734" i="34"/>
  <c r="T734" i="34" s="1"/>
  <c r="R734" i="34"/>
  <c r="U734" i="34" s="1"/>
  <c r="S734" i="34"/>
  <c r="O735" i="34"/>
  <c r="P735" i="34"/>
  <c r="T735" i="34"/>
  <c r="U735" i="34"/>
  <c r="O736" i="34"/>
  <c r="P736" i="34"/>
  <c r="T736" i="34"/>
  <c r="U736" i="34"/>
  <c r="I740" i="34"/>
  <c r="K740" i="34" s="1"/>
  <c r="I742" i="34"/>
  <c r="K742" i="34" s="1"/>
  <c r="I744" i="34"/>
  <c r="K744" i="34" s="1"/>
  <c r="I746" i="34"/>
  <c r="K746" i="34" s="1"/>
  <c r="I749" i="34"/>
  <c r="K749" i="34" s="1"/>
  <c r="I752" i="34"/>
  <c r="K752" i="34" s="1"/>
  <c r="I755" i="34"/>
  <c r="K755" i="34" s="1"/>
  <c r="J758" i="34"/>
  <c r="J759" i="34"/>
  <c r="L761" i="34"/>
  <c r="M761" i="34"/>
  <c r="N761" i="34"/>
  <c r="P761" i="34"/>
  <c r="Q761" i="34"/>
  <c r="T761" i="34" s="1"/>
  <c r="R761" i="34"/>
  <c r="U761" i="34" s="1"/>
  <c r="S761" i="34"/>
  <c r="L762" i="34"/>
  <c r="M762" i="34"/>
  <c r="P762" i="34" s="1"/>
  <c r="N762" i="34"/>
  <c r="O762" i="34"/>
  <c r="L763" i="34"/>
  <c r="O763" i="34" s="1"/>
  <c r="M763" i="34"/>
  <c r="N763" i="34"/>
  <c r="P763" i="34"/>
  <c r="O764" i="34"/>
  <c r="P764" i="34"/>
  <c r="T764" i="34"/>
  <c r="U764" i="34"/>
  <c r="O765" i="34"/>
  <c r="P765" i="34"/>
  <c r="Q765" i="34"/>
  <c r="Q762" i="34" s="1"/>
  <c r="R765" i="34"/>
  <c r="R763" i="34" s="1"/>
  <c r="S765" i="34"/>
  <c r="S762" i="34" s="1"/>
  <c r="L766" i="34"/>
  <c r="O766" i="34" s="1"/>
  <c r="M766" i="34"/>
  <c r="P766" i="34" s="1"/>
  <c r="N766" i="34"/>
  <c r="Q766" i="34"/>
  <c r="T766" i="34" s="1"/>
  <c r="R766" i="34"/>
  <c r="U766" i="34" s="1"/>
  <c r="S766" i="34"/>
  <c r="O767" i="34"/>
  <c r="P767" i="34"/>
  <c r="T767" i="34"/>
  <c r="U767" i="34"/>
  <c r="O768" i="34"/>
  <c r="P768" i="34"/>
  <c r="T768" i="34"/>
  <c r="U768" i="34"/>
  <c r="I770" i="34"/>
  <c r="K770" i="34" s="1"/>
  <c r="I772" i="34"/>
  <c r="I774" i="34"/>
  <c r="I759" i="34" s="1"/>
  <c r="K759" i="34" s="1"/>
  <c r="I775" i="34"/>
  <c r="I776" i="34"/>
  <c r="H777" i="34"/>
  <c r="I778" i="34"/>
  <c r="J778" i="34"/>
  <c r="I779" i="34"/>
  <c r="J779" i="34"/>
  <c r="I780" i="34"/>
  <c r="J780" i="34"/>
  <c r="I781" i="34"/>
  <c r="J781" i="34"/>
  <c r="I782" i="34"/>
  <c r="J782" i="34"/>
  <c r="I783" i="34"/>
  <c r="J783" i="34"/>
  <c r="I784" i="34"/>
  <c r="J784" i="34"/>
  <c r="I785" i="34"/>
  <c r="J785" i="34"/>
  <c r="A788" i="34"/>
  <c r="A789" i="34"/>
  <c r="L22" i="33"/>
  <c r="O22" i="33" s="1"/>
  <c r="M22" i="33"/>
  <c r="N22" i="33"/>
  <c r="Q22" i="33"/>
  <c r="T22" i="33" s="1"/>
  <c r="R22" i="33"/>
  <c r="S22" i="33"/>
  <c r="L25" i="33"/>
  <c r="M25" i="33"/>
  <c r="N25" i="33"/>
  <c r="O25" i="33"/>
  <c r="Q25" i="33"/>
  <c r="T25" i="33" s="1"/>
  <c r="R25" i="33"/>
  <c r="U25" i="33" s="1"/>
  <c r="S25" i="33"/>
  <c r="L45" i="33"/>
  <c r="O45" i="33" s="1"/>
  <c r="M45" i="33"/>
  <c r="N45" i="33"/>
  <c r="P45" i="33"/>
  <c r="Q45" i="33"/>
  <c r="R45" i="33"/>
  <c r="U45" i="33" s="1"/>
  <c r="S45" i="33"/>
  <c r="T45" i="33"/>
  <c r="Q46" i="33"/>
  <c r="R46" i="33"/>
  <c r="U46" i="33" s="1"/>
  <c r="S46" i="33"/>
  <c r="T46" i="33"/>
  <c r="Q47" i="33"/>
  <c r="T47" i="33" s="1"/>
  <c r="R47" i="33"/>
  <c r="U47" i="33" s="1"/>
  <c r="S47" i="33"/>
  <c r="O48" i="33"/>
  <c r="P48" i="33"/>
  <c r="T48" i="33"/>
  <c r="U48" i="33"/>
  <c r="L49" i="33"/>
  <c r="L47" i="33" s="1"/>
  <c r="M49" i="33"/>
  <c r="M47" i="33" s="1"/>
  <c r="N49" i="33"/>
  <c r="N47" i="33" s="1"/>
  <c r="T49" i="33"/>
  <c r="U49" i="33"/>
  <c r="Q50" i="33"/>
  <c r="T50" i="33" s="1"/>
  <c r="R50" i="33"/>
  <c r="U50" i="33" s="1"/>
  <c r="S50" i="33"/>
  <c r="O51" i="33"/>
  <c r="P51" i="33"/>
  <c r="T51" i="33"/>
  <c r="U51" i="33"/>
  <c r="L52" i="33"/>
  <c r="O52" i="33" s="1"/>
  <c r="M52" i="33"/>
  <c r="N52" i="33"/>
  <c r="T52" i="33"/>
  <c r="U52" i="33"/>
  <c r="L60" i="33"/>
  <c r="O60" i="33" s="1"/>
  <c r="M60" i="33"/>
  <c r="P60" i="33" s="1"/>
  <c r="N60" i="33"/>
  <c r="Q60" i="33"/>
  <c r="R60" i="33"/>
  <c r="U60" i="33" s="1"/>
  <c r="S60" i="33"/>
  <c r="Q61" i="33"/>
  <c r="T61" i="33" s="1"/>
  <c r="R61" i="33"/>
  <c r="U61" i="33" s="1"/>
  <c r="S61" i="33"/>
  <c r="Q62" i="33"/>
  <c r="R62" i="33"/>
  <c r="U62" i="33" s="1"/>
  <c r="S62" i="33"/>
  <c r="T62" i="33"/>
  <c r="O63" i="33"/>
  <c r="P63" i="33"/>
  <c r="T63" i="33"/>
  <c r="U63" i="33"/>
  <c r="L64" i="33"/>
  <c r="M64" i="33"/>
  <c r="N64" i="33"/>
  <c r="N62" i="33" s="1"/>
  <c r="T64" i="33"/>
  <c r="U64" i="33"/>
  <c r="Q65" i="33"/>
  <c r="T65" i="33" s="1"/>
  <c r="R65" i="33"/>
  <c r="S65" i="33"/>
  <c r="U65" i="33"/>
  <c r="O66" i="33"/>
  <c r="P66" i="33"/>
  <c r="T66" i="33"/>
  <c r="U66" i="33"/>
  <c r="L67" i="33"/>
  <c r="L65" i="33" s="1"/>
  <c r="M67" i="33"/>
  <c r="N67" i="33"/>
  <c r="N65" i="33" s="1"/>
  <c r="T67" i="33"/>
  <c r="U67" i="33"/>
  <c r="L73" i="33"/>
  <c r="O73" i="33" s="1"/>
  <c r="M73" i="33"/>
  <c r="P73" i="33" s="1"/>
  <c r="N73" i="33"/>
  <c r="Q73" i="33"/>
  <c r="R73" i="33"/>
  <c r="U73" i="33" s="1"/>
  <c r="S73" i="33"/>
  <c r="T73" i="33"/>
  <c r="O76" i="33"/>
  <c r="P76" i="33"/>
  <c r="T76" i="33"/>
  <c r="U76" i="33"/>
  <c r="L77" i="33"/>
  <c r="L75" i="33" s="1"/>
  <c r="M77" i="33"/>
  <c r="M75" i="33" s="1"/>
  <c r="N77" i="33"/>
  <c r="N75" i="33" s="1"/>
  <c r="Q77" i="33"/>
  <c r="R77" i="33"/>
  <c r="S77" i="33"/>
  <c r="S75" i="33" s="1"/>
  <c r="O79" i="33"/>
  <c r="P79" i="33"/>
  <c r="T79" i="33"/>
  <c r="U79" i="33"/>
  <c r="L80" i="33"/>
  <c r="L78" i="33" s="1"/>
  <c r="O78" i="33" s="1"/>
  <c r="M80" i="33"/>
  <c r="M78" i="33" s="1"/>
  <c r="P78" i="33" s="1"/>
  <c r="N80" i="33"/>
  <c r="N78" i="33" s="1"/>
  <c r="Q80" i="33"/>
  <c r="T80" i="33" s="1"/>
  <c r="R80" i="33"/>
  <c r="R78" i="33" s="1"/>
  <c r="U78" i="33" s="1"/>
  <c r="S80" i="33"/>
  <c r="S78" i="33" s="1"/>
  <c r="J82" i="33"/>
  <c r="J70" i="33" s="1"/>
  <c r="J83" i="33"/>
  <c r="J71" i="33" s="1"/>
  <c r="I84" i="33"/>
  <c r="K84" i="33" s="1"/>
  <c r="I85" i="33"/>
  <c r="I86" i="33"/>
  <c r="K86" i="33" s="1"/>
  <c r="I87" i="33"/>
  <c r="K87" i="33" s="1"/>
  <c r="I88" i="33"/>
  <c r="K88" i="33" s="1"/>
  <c r="I89" i="33"/>
  <c r="K89" i="33" s="1"/>
  <c r="I90" i="33"/>
  <c r="K90" i="33" s="1"/>
  <c r="J92" i="33"/>
  <c r="J93" i="33"/>
  <c r="L95" i="33"/>
  <c r="M95" i="33"/>
  <c r="P95" i="33" s="1"/>
  <c r="N95" i="33"/>
  <c r="Q95" i="33"/>
  <c r="R95" i="33"/>
  <c r="S95" i="33"/>
  <c r="T95" i="33"/>
  <c r="O98" i="33"/>
  <c r="P98" i="33"/>
  <c r="T98" i="33"/>
  <c r="U98" i="33"/>
  <c r="L99" i="33"/>
  <c r="O99" i="33" s="1"/>
  <c r="M99" i="33"/>
  <c r="P99" i="33" s="1"/>
  <c r="N99" i="33"/>
  <c r="N97" i="33" s="1"/>
  <c r="Q99" i="33"/>
  <c r="R99" i="33"/>
  <c r="U99" i="33" s="1"/>
  <c r="S99" i="33"/>
  <c r="S96" i="33" s="1"/>
  <c r="S94" i="33" s="1"/>
  <c r="Q100" i="33"/>
  <c r="T100" i="33" s="1"/>
  <c r="R100" i="33"/>
  <c r="U100" i="33" s="1"/>
  <c r="S100" i="33"/>
  <c r="O101" i="33"/>
  <c r="P101" i="33"/>
  <c r="T101" i="33"/>
  <c r="U101" i="33"/>
  <c r="L102" i="33"/>
  <c r="O102" i="33" s="1"/>
  <c r="M102" i="33"/>
  <c r="P102" i="33" s="1"/>
  <c r="N102" i="33"/>
  <c r="N100" i="33" s="1"/>
  <c r="T102" i="33"/>
  <c r="U102" i="33"/>
  <c r="I108" i="33"/>
  <c r="I92" i="33" s="1"/>
  <c r="K92" i="33" s="1"/>
  <c r="I109" i="33"/>
  <c r="I93" i="33" s="1"/>
  <c r="K93" i="33" s="1"/>
  <c r="I114" i="33"/>
  <c r="K114" i="33" s="1"/>
  <c r="J116" i="33"/>
  <c r="L118" i="33"/>
  <c r="M118" i="33"/>
  <c r="N118" i="33"/>
  <c r="P118" i="33"/>
  <c r="Q118" i="33"/>
  <c r="R118" i="33"/>
  <c r="S118" i="33"/>
  <c r="T118" i="33"/>
  <c r="O121" i="33"/>
  <c r="P121" i="33"/>
  <c r="T121" i="33"/>
  <c r="U121" i="33"/>
  <c r="L122" i="33"/>
  <c r="M122" i="33"/>
  <c r="P122" i="33" s="1"/>
  <c r="N122" i="33"/>
  <c r="Q122" i="33"/>
  <c r="R122" i="33"/>
  <c r="S122" i="33"/>
  <c r="O124" i="33"/>
  <c r="P124" i="33"/>
  <c r="T124" i="33"/>
  <c r="U124" i="33"/>
  <c r="L125" i="33"/>
  <c r="M125" i="33"/>
  <c r="M123" i="33" s="1"/>
  <c r="P123" i="33" s="1"/>
  <c r="N125" i="33"/>
  <c r="N123" i="33" s="1"/>
  <c r="Q125" i="33"/>
  <c r="Q123" i="33" s="1"/>
  <c r="T123" i="33" s="1"/>
  <c r="R125" i="33"/>
  <c r="S125" i="33"/>
  <c r="S123" i="33" s="1"/>
  <c r="I127" i="33"/>
  <c r="I116" i="33" s="1"/>
  <c r="I128" i="33"/>
  <c r="K128" i="33" s="1"/>
  <c r="I129" i="33"/>
  <c r="K129" i="33" s="1"/>
  <c r="I130" i="33"/>
  <c r="K130" i="33" s="1"/>
  <c r="J136" i="33"/>
  <c r="J137" i="33"/>
  <c r="J138" i="33"/>
  <c r="L140" i="33"/>
  <c r="M140" i="33"/>
  <c r="N140" i="33"/>
  <c r="O140" i="33"/>
  <c r="Q140" i="33"/>
  <c r="T140" i="33" s="1"/>
  <c r="R140" i="33"/>
  <c r="U140" i="33" s="1"/>
  <c r="S140" i="33"/>
  <c r="O143" i="33"/>
  <c r="P143" i="33"/>
  <c r="T143" i="33"/>
  <c r="U143" i="33"/>
  <c r="L144" i="33"/>
  <c r="L142" i="33" s="1"/>
  <c r="O142" i="33" s="1"/>
  <c r="M144" i="33"/>
  <c r="N144" i="33"/>
  <c r="N142" i="33" s="1"/>
  <c r="Q144" i="33"/>
  <c r="Q142" i="33" s="1"/>
  <c r="T142" i="33" s="1"/>
  <c r="R144" i="33"/>
  <c r="R142" i="33" s="1"/>
  <c r="U142" i="33" s="1"/>
  <c r="S144" i="33"/>
  <c r="S142" i="33" s="1"/>
  <c r="O146" i="33"/>
  <c r="P146" i="33"/>
  <c r="T146" i="33"/>
  <c r="U146" i="33"/>
  <c r="L147" i="33"/>
  <c r="L145" i="33" s="1"/>
  <c r="O145" i="33" s="1"/>
  <c r="M147" i="33"/>
  <c r="N147" i="33"/>
  <c r="N145" i="33" s="1"/>
  <c r="Q147" i="33"/>
  <c r="R147" i="33"/>
  <c r="R145" i="33" s="1"/>
  <c r="U145" i="33" s="1"/>
  <c r="S147" i="33"/>
  <c r="S145" i="33" s="1"/>
  <c r="I150" i="33"/>
  <c r="K150" i="33" s="1"/>
  <c r="I151" i="33"/>
  <c r="K151" i="33" s="1"/>
  <c r="I152" i="33"/>
  <c r="I137" i="33" s="1"/>
  <c r="K137" i="33" s="1"/>
  <c r="I153" i="33"/>
  <c r="I138" i="33" s="1"/>
  <c r="K138" i="33" s="1"/>
  <c r="I154" i="33"/>
  <c r="J156" i="33"/>
  <c r="L158" i="33"/>
  <c r="M158" i="33"/>
  <c r="N158" i="33"/>
  <c r="P158" i="33"/>
  <c r="Q158" i="33"/>
  <c r="T158" i="33" s="1"/>
  <c r="R158" i="33"/>
  <c r="S158" i="33"/>
  <c r="O161" i="33"/>
  <c r="P161" i="33"/>
  <c r="T161" i="33"/>
  <c r="U161" i="33"/>
  <c r="L162" i="33"/>
  <c r="M162" i="33"/>
  <c r="P162" i="33" s="1"/>
  <c r="N162" i="33"/>
  <c r="N160" i="33" s="1"/>
  <c r="Q162" i="33"/>
  <c r="Q160" i="33" s="1"/>
  <c r="T160" i="33" s="1"/>
  <c r="R162" i="33"/>
  <c r="R159" i="33" s="1"/>
  <c r="U159" i="33" s="1"/>
  <c r="S162" i="33"/>
  <c r="S159" i="33" s="1"/>
  <c r="S157" i="33" s="1"/>
  <c r="Q163" i="33"/>
  <c r="R163" i="33"/>
  <c r="U163" i="33" s="1"/>
  <c r="S163" i="33"/>
  <c r="T163" i="33"/>
  <c r="O164" i="33"/>
  <c r="P164" i="33"/>
  <c r="T164" i="33"/>
  <c r="U164" i="33"/>
  <c r="L165" i="33"/>
  <c r="O165" i="33" s="1"/>
  <c r="M165" i="33"/>
  <c r="M163" i="33" s="1"/>
  <c r="P163" i="33" s="1"/>
  <c r="N165" i="33"/>
  <c r="N163" i="33" s="1"/>
  <c r="T165" i="33"/>
  <c r="U165" i="33"/>
  <c r="I167" i="33"/>
  <c r="K167" i="33" s="1"/>
  <c r="I168" i="33"/>
  <c r="K168" i="33" s="1"/>
  <c r="I169" i="33"/>
  <c r="J172" i="33"/>
  <c r="L174" i="33"/>
  <c r="O174" i="33" s="1"/>
  <c r="M174" i="33"/>
  <c r="N174" i="33"/>
  <c r="P174" i="33"/>
  <c r="Q174" i="33"/>
  <c r="T174" i="33" s="1"/>
  <c r="R174" i="33"/>
  <c r="U174" i="33" s="1"/>
  <c r="S174" i="33"/>
  <c r="O177" i="33"/>
  <c r="P177" i="33"/>
  <c r="T177" i="33"/>
  <c r="U177" i="33"/>
  <c r="L178" i="33"/>
  <c r="M178" i="33"/>
  <c r="N178" i="33"/>
  <c r="Q178" i="33"/>
  <c r="Q176" i="33" s="1"/>
  <c r="R178" i="33"/>
  <c r="S178" i="33"/>
  <c r="S175" i="33" s="1"/>
  <c r="S173" i="33" s="1"/>
  <c r="Q179" i="33"/>
  <c r="T179" i="33" s="1"/>
  <c r="R179" i="33"/>
  <c r="U179" i="33" s="1"/>
  <c r="S179" i="33"/>
  <c r="O180" i="33"/>
  <c r="P180" i="33"/>
  <c r="T180" i="33"/>
  <c r="U180" i="33"/>
  <c r="L181" i="33"/>
  <c r="O181" i="33" s="1"/>
  <c r="M181" i="33"/>
  <c r="M179" i="33" s="1"/>
  <c r="P179" i="33" s="1"/>
  <c r="N181" i="33"/>
  <c r="N179" i="33" s="1"/>
  <c r="T181" i="33"/>
  <c r="U181" i="33"/>
  <c r="I183" i="33"/>
  <c r="I172" i="33" s="1"/>
  <c r="K184" i="33"/>
  <c r="L187" i="33"/>
  <c r="M187" i="33"/>
  <c r="N187" i="33"/>
  <c r="P187" i="33"/>
  <c r="Q187" i="33"/>
  <c r="T187" i="33" s="1"/>
  <c r="R187" i="33"/>
  <c r="S187" i="33"/>
  <c r="O190" i="33"/>
  <c r="P190" i="33"/>
  <c r="T190" i="33"/>
  <c r="U190" i="33"/>
  <c r="L191" i="33"/>
  <c r="M191" i="33"/>
  <c r="N191" i="33"/>
  <c r="N189" i="33" s="1"/>
  <c r="Q191" i="33"/>
  <c r="R191" i="33"/>
  <c r="S191" i="33"/>
  <c r="O193" i="33"/>
  <c r="P193" i="33"/>
  <c r="T193" i="33"/>
  <c r="U193" i="33"/>
  <c r="L194" i="33"/>
  <c r="M194" i="33"/>
  <c r="P194" i="33" s="1"/>
  <c r="N194" i="33"/>
  <c r="N192" i="33" s="1"/>
  <c r="Q194" i="33"/>
  <c r="Q192" i="33" s="1"/>
  <c r="T192" i="33" s="1"/>
  <c r="R194" i="33"/>
  <c r="S194" i="33"/>
  <c r="S192" i="33" s="1"/>
  <c r="J195" i="33"/>
  <c r="L196" i="33"/>
  <c r="O196" i="33" s="1"/>
  <c r="P196" i="33"/>
  <c r="I198" i="33"/>
  <c r="I195" i="33" s="1"/>
  <c r="K195" i="33" s="1"/>
  <c r="J199" i="33"/>
  <c r="J202" i="33"/>
  <c r="N203" i="33"/>
  <c r="P203" i="33"/>
  <c r="S203" i="33"/>
  <c r="U203" i="33"/>
  <c r="L204" i="33"/>
  <c r="L205" i="33"/>
  <c r="L206" i="33"/>
  <c r="Q206" i="33"/>
  <c r="Q203" i="33" s="1"/>
  <c r="T203" i="33" s="1"/>
  <c r="L207" i="33"/>
  <c r="I209" i="33"/>
  <c r="I202" i="33" s="1"/>
  <c r="I211" i="33"/>
  <c r="K211" i="33" s="1"/>
  <c r="I212" i="33"/>
  <c r="K212" i="33" s="1"/>
  <c r="J213" i="33"/>
  <c r="N214" i="33"/>
  <c r="P214" i="33"/>
  <c r="S214" i="33"/>
  <c r="U214" i="33"/>
  <c r="L215" i="33"/>
  <c r="L216" i="33"/>
  <c r="L217" i="33"/>
  <c r="Q217" i="33"/>
  <c r="Q214" i="33" s="1"/>
  <c r="T214" i="33" s="1"/>
  <c r="I219" i="33"/>
  <c r="K219" i="33" s="1"/>
  <c r="I220" i="33"/>
  <c r="I213" i="33" s="1"/>
  <c r="J221" i="33"/>
  <c r="N222" i="33"/>
  <c r="P222" i="33"/>
  <c r="L223" i="33"/>
  <c r="L224" i="33"/>
  <c r="L225" i="33"/>
  <c r="I228" i="33"/>
  <c r="K228" i="33" s="1"/>
  <c r="I229" i="33"/>
  <c r="I230" i="33"/>
  <c r="N234" i="33"/>
  <c r="N236" i="33"/>
  <c r="J238" i="33"/>
  <c r="J240" i="33"/>
  <c r="J241" i="33"/>
  <c r="J242" i="33"/>
  <c r="N243" i="33"/>
  <c r="P243" i="33"/>
  <c r="L244" i="33"/>
  <c r="L245" i="33"/>
  <c r="L246" i="33"/>
  <c r="L247" i="33"/>
  <c r="I249" i="33"/>
  <c r="I242" i="33" s="1"/>
  <c r="I251" i="33"/>
  <c r="K251" i="33" s="1"/>
  <c r="I252" i="33"/>
  <c r="K252" i="33" s="1"/>
  <c r="J253" i="33"/>
  <c r="P254" i="33"/>
  <c r="L255" i="33"/>
  <c r="N255" i="33"/>
  <c r="L256" i="33"/>
  <c r="L257" i="33"/>
  <c r="N257" i="33"/>
  <c r="N235" i="33" s="1"/>
  <c r="L258" i="33"/>
  <c r="I260" i="33"/>
  <c r="I262" i="33"/>
  <c r="K262" i="33" s="1"/>
  <c r="I263" i="33"/>
  <c r="K263" i="33" s="1"/>
  <c r="J265" i="33"/>
  <c r="L267" i="33"/>
  <c r="M267" i="33"/>
  <c r="P267" i="33" s="1"/>
  <c r="N267" i="33"/>
  <c r="Q267" i="33"/>
  <c r="R267" i="33"/>
  <c r="S267" i="33"/>
  <c r="U267" i="33"/>
  <c r="O270" i="33"/>
  <c r="P270" i="33"/>
  <c r="T270" i="33"/>
  <c r="U270" i="33"/>
  <c r="L271" i="33"/>
  <c r="M271" i="33"/>
  <c r="N271" i="33"/>
  <c r="N269" i="33" s="1"/>
  <c r="Q271" i="33"/>
  <c r="R271" i="33"/>
  <c r="S271" i="33"/>
  <c r="S268" i="33" s="1"/>
  <c r="Q272" i="33"/>
  <c r="R272" i="33"/>
  <c r="S272" i="33"/>
  <c r="T272" i="33"/>
  <c r="U272" i="33"/>
  <c r="O273" i="33"/>
  <c r="P273" i="33"/>
  <c r="T273" i="33"/>
  <c r="U273" i="33"/>
  <c r="L274" i="33"/>
  <c r="M274" i="33"/>
  <c r="N274" i="33"/>
  <c r="T274" i="33"/>
  <c r="U274" i="33"/>
  <c r="I276" i="33"/>
  <c r="K276" i="33" s="1"/>
  <c r="J281" i="33"/>
  <c r="L283" i="33"/>
  <c r="M283" i="33"/>
  <c r="P283" i="33" s="1"/>
  <c r="N283" i="33"/>
  <c r="Q283" i="33"/>
  <c r="T283" i="33" s="1"/>
  <c r="R283" i="33"/>
  <c r="S283" i="33"/>
  <c r="S282" i="33" s="1"/>
  <c r="Q284" i="33"/>
  <c r="R284" i="33"/>
  <c r="U284" i="33" s="1"/>
  <c r="S284" i="33"/>
  <c r="T284" i="33"/>
  <c r="Q285" i="33"/>
  <c r="T285" i="33" s="1"/>
  <c r="R285" i="33"/>
  <c r="S285" i="33"/>
  <c r="U285" i="33"/>
  <c r="O286" i="33"/>
  <c r="P286" i="33"/>
  <c r="T286" i="33"/>
  <c r="U286" i="33"/>
  <c r="L287" i="33"/>
  <c r="L285" i="33" s="1"/>
  <c r="M287" i="33"/>
  <c r="N287" i="33"/>
  <c r="T287" i="33"/>
  <c r="U287" i="33"/>
  <c r="Q288" i="33"/>
  <c r="T288" i="33" s="1"/>
  <c r="R288" i="33"/>
  <c r="U288" i="33" s="1"/>
  <c r="S288" i="33"/>
  <c r="O289" i="33"/>
  <c r="P289" i="33"/>
  <c r="T289" i="33"/>
  <c r="U289" i="33"/>
  <c r="L290" i="33"/>
  <c r="L288" i="33" s="1"/>
  <c r="O288" i="33" s="1"/>
  <c r="M290" i="33"/>
  <c r="M288" i="33" s="1"/>
  <c r="P288" i="33" s="1"/>
  <c r="N290" i="33"/>
  <c r="N288" i="33" s="1"/>
  <c r="T290" i="33"/>
  <c r="U290" i="33"/>
  <c r="I292" i="33"/>
  <c r="K292" i="33" s="1"/>
  <c r="I293" i="33"/>
  <c r="J293" i="33"/>
  <c r="J280" i="33" s="1"/>
  <c r="I295" i="33"/>
  <c r="K295" i="33" s="1"/>
  <c r="I296" i="33"/>
  <c r="K296" i="33" s="1"/>
  <c r="J302" i="33"/>
  <c r="L304" i="33"/>
  <c r="M304" i="33"/>
  <c r="P304" i="33" s="1"/>
  <c r="N304" i="33"/>
  <c r="Q304" i="33"/>
  <c r="T304" i="33" s="1"/>
  <c r="R304" i="33"/>
  <c r="S304" i="33"/>
  <c r="O307" i="33"/>
  <c r="P307" i="33"/>
  <c r="T307" i="33"/>
  <c r="U307" i="33"/>
  <c r="L308" i="33"/>
  <c r="L306" i="33" s="1"/>
  <c r="O306" i="33" s="1"/>
  <c r="M308" i="33"/>
  <c r="N308" i="33"/>
  <c r="N306" i="33" s="1"/>
  <c r="Q308" i="33"/>
  <c r="Q305" i="33" s="1"/>
  <c r="T305" i="33" s="1"/>
  <c r="R308" i="33"/>
  <c r="U308" i="33" s="1"/>
  <c r="S308" i="33"/>
  <c r="S306" i="33" s="1"/>
  <c r="Q309" i="33"/>
  <c r="T309" i="33" s="1"/>
  <c r="R309" i="33"/>
  <c r="U309" i="33" s="1"/>
  <c r="S309" i="33"/>
  <c r="O310" i="33"/>
  <c r="P310" i="33"/>
  <c r="T310" i="33"/>
  <c r="U310" i="33"/>
  <c r="L311" i="33"/>
  <c r="L309" i="33" s="1"/>
  <c r="O309" i="33" s="1"/>
  <c r="M311" i="33"/>
  <c r="N311" i="33"/>
  <c r="N309" i="33" s="1"/>
  <c r="T311" i="33"/>
  <c r="U311" i="33"/>
  <c r="I314" i="33"/>
  <c r="K314" i="33" s="1"/>
  <c r="J319" i="33"/>
  <c r="L321" i="33"/>
  <c r="M321" i="33"/>
  <c r="P321" i="33" s="1"/>
  <c r="N321" i="33"/>
  <c r="O321" i="33"/>
  <c r="Q321" i="33"/>
  <c r="Q320" i="33" s="1"/>
  <c r="T320" i="33" s="1"/>
  <c r="R321" i="33"/>
  <c r="S321" i="33"/>
  <c r="T321" i="33"/>
  <c r="U321" i="33"/>
  <c r="Q322" i="33"/>
  <c r="T322" i="33" s="1"/>
  <c r="R322" i="33"/>
  <c r="U322" i="33" s="1"/>
  <c r="S322" i="33"/>
  <c r="Q323" i="33"/>
  <c r="T323" i="33" s="1"/>
  <c r="R323" i="33"/>
  <c r="S323" i="33"/>
  <c r="U323" i="33"/>
  <c r="O324" i="33"/>
  <c r="P324" i="33"/>
  <c r="T324" i="33"/>
  <c r="U324" i="33"/>
  <c r="L325" i="33"/>
  <c r="M325" i="33"/>
  <c r="M323" i="33" s="1"/>
  <c r="N325" i="33"/>
  <c r="N323" i="33" s="1"/>
  <c r="T325" i="33"/>
  <c r="U325" i="33"/>
  <c r="Q326" i="33"/>
  <c r="T326" i="33" s="1"/>
  <c r="R326" i="33"/>
  <c r="U326" i="33" s="1"/>
  <c r="S326" i="33"/>
  <c r="O327" i="33"/>
  <c r="P327" i="33"/>
  <c r="T327" i="33"/>
  <c r="U327" i="33"/>
  <c r="L328" i="33"/>
  <c r="L326" i="33" s="1"/>
  <c r="O326" i="33" s="1"/>
  <c r="M328" i="33"/>
  <c r="M326" i="33" s="1"/>
  <c r="P326" i="33" s="1"/>
  <c r="N328" i="33"/>
  <c r="N326" i="33" s="1"/>
  <c r="T328" i="33"/>
  <c r="U328" i="33"/>
  <c r="I330" i="33"/>
  <c r="K330" i="33" s="1"/>
  <c r="L334" i="33"/>
  <c r="M334" i="33"/>
  <c r="N334" i="33"/>
  <c r="Q334" i="33"/>
  <c r="T334" i="33" s="1"/>
  <c r="R334" i="33"/>
  <c r="S334" i="33"/>
  <c r="S333" i="33" s="1"/>
  <c r="Q335" i="33"/>
  <c r="T335" i="33" s="1"/>
  <c r="R335" i="33"/>
  <c r="S335" i="33"/>
  <c r="U335" i="33"/>
  <c r="Q336" i="33"/>
  <c r="R336" i="33"/>
  <c r="S336" i="33"/>
  <c r="T336" i="33"/>
  <c r="U336" i="33"/>
  <c r="O337" i="33"/>
  <c r="P337" i="33"/>
  <c r="T337" i="33"/>
  <c r="U337" i="33"/>
  <c r="L338" i="33"/>
  <c r="M338" i="33"/>
  <c r="N338" i="33"/>
  <c r="T338" i="33"/>
  <c r="U338" i="33"/>
  <c r="Q339" i="33"/>
  <c r="T339" i="33" s="1"/>
  <c r="R339" i="33"/>
  <c r="U339" i="33" s="1"/>
  <c r="S339" i="33"/>
  <c r="O340" i="33"/>
  <c r="P340" i="33"/>
  <c r="T340" i="33"/>
  <c r="U340" i="33"/>
  <c r="L341" i="33"/>
  <c r="O341" i="33" s="1"/>
  <c r="M341" i="33"/>
  <c r="M339" i="33" s="1"/>
  <c r="P339" i="33" s="1"/>
  <c r="N341" i="33"/>
  <c r="N339" i="33" s="1"/>
  <c r="T341" i="33"/>
  <c r="U341" i="33"/>
  <c r="I344" i="33"/>
  <c r="I332" i="33" s="1"/>
  <c r="J344" i="33"/>
  <c r="I346" i="33"/>
  <c r="J346" i="33"/>
  <c r="J347" i="33"/>
  <c r="J348" i="33"/>
  <c r="J349" i="33"/>
  <c r="D350" i="33"/>
  <c r="J352" i="33"/>
  <c r="J353" i="33"/>
  <c r="J354" i="33"/>
  <c r="L357" i="33"/>
  <c r="O357" i="33" s="1"/>
  <c r="M357" i="33"/>
  <c r="P357" i="33" s="1"/>
  <c r="N357" i="33"/>
  <c r="Q357" i="33"/>
  <c r="Q356" i="33" s="1"/>
  <c r="T356" i="33" s="1"/>
  <c r="R357" i="33"/>
  <c r="U357" i="33" s="1"/>
  <c r="S357" i="33"/>
  <c r="S356" i="33" s="1"/>
  <c r="T357" i="33"/>
  <c r="Q358" i="33"/>
  <c r="R358" i="33"/>
  <c r="U358" i="33" s="1"/>
  <c r="S358" i="33"/>
  <c r="T358" i="33"/>
  <c r="Q359" i="33"/>
  <c r="R359" i="33"/>
  <c r="U359" i="33" s="1"/>
  <c r="S359" i="33"/>
  <c r="T359" i="33"/>
  <c r="O360" i="33"/>
  <c r="P360" i="33"/>
  <c r="T360" i="33"/>
  <c r="U360" i="33"/>
  <c r="L361" i="33"/>
  <c r="M361" i="33"/>
  <c r="M359" i="33" s="1"/>
  <c r="N361" i="33"/>
  <c r="N359" i="33" s="1"/>
  <c r="T361" i="33"/>
  <c r="U361" i="33"/>
  <c r="Q362" i="33"/>
  <c r="T362" i="33" s="1"/>
  <c r="R362" i="33"/>
  <c r="S362" i="33"/>
  <c r="U362" i="33"/>
  <c r="O363" i="33"/>
  <c r="P363" i="33"/>
  <c r="T363" i="33"/>
  <c r="U363" i="33"/>
  <c r="L364" i="33"/>
  <c r="L362" i="33" s="1"/>
  <c r="O362" i="33" s="1"/>
  <c r="M364" i="33"/>
  <c r="N364" i="33"/>
  <c r="N362" i="33" s="1"/>
  <c r="T364" i="33"/>
  <c r="U364" i="33"/>
  <c r="J367" i="33"/>
  <c r="K367" i="33"/>
  <c r="I368" i="33"/>
  <c r="J368" i="33"/>
  <c r="I369" i="33"/>
  <c r="J369" i="33"/>
  <c r="J370" i="33"/>
  <c r="K370" i="33"/>
  <c r="I371" i="33"/>
  <c r="J371" i="33"/>
  <c r="J365" i="33" s="1"/>
  <c r="J372" i="33"/>
  <c r="K372" i="33"/>
  <c r="D373" i="33"/>
  <c r="J374" i="33"/>
  <c r="L376" i="33"/>
  <c r="O376" i="33" s="1"/>
  <c r="M376" i="33"/>
  <c r="N376" i="33"/>
  <c r="P376" i="33"/>
  <c r="Q376" i="33"/>
  <c r="R376" i="33"/>
  <c r="U376" i="33" s="1"/>
  <c r="S376" i="33"/>
  <c r="T376" i="33"/>
  <c r="O379" i="33"/>
  <c r="P379" i="33"/>
  <c r="T379" i="33"/>
  <c r="U379" i="33"/>
  <c r="L380" i="33"/>
  <c r="M380" i="33"/>
  <c r="P380" i="33" s="1"/>
  <c r="N380" i="33"/>
  <c r="Q380" i="33"/>
  <c r="R380" i="33"/>
  <c r="S380" i="33"/>
  <c r="S377" i="33" s="1"/>
  <c r="Q381" i="33"/>
  <c r="T381" i="33" s="1"/>
  <c r="R381" i="33"/>
  <c r="U381" i="33" s="1"/>
  <c r="S381" i="33"/>
  <c r="O382" i="33"/>
  <c r="P382" i="33"/>
  <c r="T382" i="33"/>
  <c r="U382" i="33"/>
  <c r="L383" i="33"/>
  <c r="M383" i="33"/>
  <c r="M381" i="33" s="1"/>
  <c r="P381" i="33" s="1"/>
  <c r="N383" i="33"/>
  <c r="N381" i="33" s="1"/>
  <c r="T383" i="33"/>
  <c r="U383" i="33"/>
  <c r="I385" i="33"/>
  <c r="I374" i="33" s="1"/>
  <c r="K374" i="33" s="1"/>
  <c r="I386" i="33"/>
  <c r="K386" i="33" s="1"/>
  <c r="K387" i="33"/>
  <c r="K388" i="33"/>
  <c r="I391" i="33"/>
  <c r="K391" i="33" s="1"/>
  <c r="J391" i="33"/>
  <c r="N392" i="33"/>
  <c r="L393" i="33"/>
  <c r="M393" i="33"/>
  <c r="N393" i="33"/>
  <c r="O393" i="33"/>
  <c r="P393" i="33"/>
  <c r="Q393" i="33"/>
  <c r="T393" i="33" s="1"/>
  <c r="R393" i="33"/>
  <c r="S393" i="33"/>
  <c r="U393" i="33"/>
  <c r="L394" i="33"/>
  <c r="O394" i="33" s="1"/>
  <c r="M394" i="33"/>
  <c r="P394" i="33" s="1"/>
  <c r="N394" i="33"/>
  <c r="L395" i="33"/>
  <c r="O395" i="33" s="1"/>
  <c r="M395" i="33"/>
  <c r="P395" i="33" s="1"/>
  <c r="N395" i="33"/>
  <c r="O396" i="33"/>
  <c r="P396" i="33"/>
  <c r="T396" i="33"/>
  <c r="U396" i="33"/>
  <c r="O397" i="33"/>
  <c r="P397" i="33"/>
  <c r="Q397" i="33"/>
  <c r="Q395" i="33" s="1"/>
  <c r="T395" i="33" s="1"/>
  <c r="R397" i="33"/>
  <c r="R395" i="33" s="1"/>
  <c r="U395" i="33" s="1"/>
  <c r="S397" i="33"/>
  <c r="S394" i="33" s="1"/>
  <c r="S392" i="33" s="1"/>
  <c r="L398" i="33"/>
  <c r="O398" i="33" s="1"/>
  <c r="M398" i="33"/>
  <c r="P398" i="33" s="1"/>
  <c r="N398" i="33"/>
  <c r="Q398" i="33"/>
  <c r="T398" i="33" s="1"/>
  <c r="R398" i="33"/>
  <c r="U398" i="33" s="1"/>
  <c r="S398" i="33"/>
  <c r="O399" i="33"/>
  <c r="P399" i="33"/>
  <c r="T399" i="33"/>
  <c r="U399" i="33"/>
  <c r="O400" i="33"/>
  <c r="P400" i="33"/>
  <c r="T400" i="33"/>
  <c r="U400" i="33"/>
  <c r="L414" i="33"/>
  <c r="O414" i="33" s="1"/>
  <c r="M414" i="33"/>
  <c r="P414" i="33" s="1"/>
  <c r="N414" i="33"/>
  <c r="Q414" i="33"/>
  <c r="R414" i="33"/>
  <c r="U414" i="33" s="1"/>
  <c r="S414" i="33"/>
  <c r="T414" i="33"/>
  <c r="O417" i="33"/>
  <c r="P417" i="33"/>
  <c r="T417" i="33"/>
  <c r="U417" i="33"/>
  <c r="L418" i="33"/>
  <c r="M418" i="33"/>
  <c r="M416" i="33" s="1"/>
  <c r="N418" i="33"/>
  <c r="Q418" i="33"/>
  <c r="Q416" i="33" s="1"/>
  <c r="R418" i="33"/>
  <c r="S418" i="33"/>
  <c r="Q419" i="33"/>
  <c r="R419" i="33"/>
  <c r="U419" i="33" s="1"/>
  <c r="S419" i="33"/>
  <c r="T419" i="33"/>
  <c r="O420" i="33"/>
  <c r="P420" i="33"/>
  <c r="T420" i="33"/>
  <c r="U420" i="33"/>
  <c r="L421" i="33"/>
  <c r="M421" i="33"/>
  <c r="N421" i="33"/>
  <c r="N419" i="33" s="1"/>
  <c r="T421" i="33"/>
  <c r="U421" i="33"/>
  <c r="I424" i="33"/>
  <c r="J424" i="33"/>
  <c r="I425" i="33"/>
  <c r="J425" i="33"/>
  <c r="I432" i="33"/>
  <c r="J432" i="33"/>
  <c r="I433" i="33"/>
  <c r="J433" i="33"/>
  <c r="I440" i="33"/>
  <c r="I423" i="33" s="1"/>
  <c r="I441" i="33"/>
  <c r="J446" i="33"/>
  <c r="J440" i="33" s="1"/>
  <c r="J423" i="33" s="1"/>
  <c r="J412" i="33" s="1"/>
  <c r="J447" i="33"/>
  <c r="J441" i="33" s="1"/>
  <c r="I457" i="33"/>
  <c r="I456" i="33" s="1"/>
  <c r="I458" i="33"/>
  <c r="K458" i="33" s="1"/>
  <c r="J459" i="33"/>
  <c r="J460" i="33"/>
  <c r="J458" i="33" s="1"/>
  <c r="J467" i="33"/>
  <c r="J468" i="33"/>
  <c r="J475" i="33"/>
  <c r="K475" i="33"/>
  <c r="J476" i="33"/>
  <c r="K476" i="33"/>
  <c r="J477" i="33"/>
  <c r="K477" i="33"/>
  <c r="J482" i="33"/>
  <c r="J483" i="33"/>
  <c r="I484" i="33"/>
  <c r="K484" i="33" s="1"/>
  <c r="J484" i="33"/>
  <c r="I485" i="33"/>
  <c r="J485" i="33"/>
  <c r="K485" i="33"/>
  <c r="L494" i="33"/>
  <c r="O494" i="33" s="1"/>
  <c r="M494" i="33"/>
  <c r="P494" i="33" s="1"/>
  <c r="N494" i="33"/>
  <c r="Q494" i="33"/>
  <c r="R494" i="33"/>
  <c r="U494" i="33" s="1"/>
  <c r="S494" i="33"/>
  <c r="T494" i="33"/>
  <c r="O497" i="33"/>
  <c r="P497" i="33"/>
  <c r="T497" i="33"/>
  <c r="U497" i="33"/>
  <c r="L498" i="33"/>
  <c r="L496" i="33" s="1"/>
  <c r="M498" i="33"/>
  <c r="M496" i="33" s="1"/>
  <c r="N498" i="33"/>
  <c r="N496" i="33" s="1"/>
  <c r="Q498" i="33"/>
  <c r="R498" i="33"/>
  <c r="S498" i="33"/>
  <c r="S495" i="33" s="1"/>
  <c r="Q499" i="33"/>
  <c r="T499" i="33" s="1"/>
  <c r="R499" i="33"/>
  <c r="U499" i="33" s="1"/>
  <c r="S499" i="33"/>
  <c r="O500" i="33"/>
  <c r="P500" i="33"/>
  <c r="T500" i="33"/>
  <c r="U500" i="33"/>
  <c r="L501" i="33"/>
  <c r="L499" i="33" s="1"/>
  <c r="O499" i="33" s="1"/>
  <c r="M501" i="33"/>
  <c r="M499" i="33" s="1"/>
  <c r="P499" i="33" s="1"/>
  <c r="N501" i="33"/>
  <c r="N499" i="33" s="1"/>
  <c r="T501" i="33"/>
  <c r="U501" i="33"/>
  <c r="I503" i="33"/>
  <c r="I492" i="33" s="1"/>
  <c r="K492" i="33" s="1"/>
  <c r="J503" i="33"/>
  <c r="J492" i="33" s="1"/>
  <c r="I504" i="33"/>
  <c r="K504" i="33" s="1"/>
  <c r="I505" i="33"/>
  <c r="K505" i="33" s="1"/>
  <c r="I506" i="33"/>
  <c r="K506" i="33" s="1"/>
  <c r="I507" i="33"/>
  <c r="K507" i="33" s="1"/>
  <c r="K508" i="33"/>
  <c r="I509" i="33"/>
  <c r="K509" i="33" s="1"/>
  <c r="I512" i="33"/>
  <c r="K512" i="33" s="1"/>
  <c r="J512" i="33"/>
  <c r="L514" i="33"/>
  <c r="M514" i="33"/>
  <c r="N514" i="33"/>
  <c r="Q514" i="33"/>
  <c r="T514" i="33" s="1"/>
  <c r="R514" i="33"/>
  <c r="U514" i="33" s="1"/>
  <c r="S514" i="33"/>
  <c r="Q515" i="33"/>
  <c r="T515" i="33" s="1"/>
  <c r="R515" i="33"/>
  <c r="U515" i="33" s="1"/>
  <c r="S515" i="33"/>
  <c r="Q516" i="33"/>
  <c r="T516" i="33" s="1"/>
  <c r="R516" i="33"/>
  <c r="S516" i="33"/>
  <c r="U516" i="33"/>
  <c r="O517" i="33"/>
  <c r="P517" i="33"/>
  <c r="T517" i="33"/>
  <c r="U517" i="33"/>
  <c r="L518" i="33"/>
  <c r="M518" i="33"/>
  <c r="M516" i="33" s="1"/>
  <c r="P516" i="33" s="1"/>
  <c r="N518" i="33"/>
  <c r="N516" i="33" s="1"/>
  <c r="T518" i="33"/>
  <c r="U518" i="33"/>
  <c r="Q519" i="33"/>
  <c r="T519" i="33" s="1"/>
  <c r="R519" i="33"/>
  <c r="U519" i="33" s="1"/>
  <c r="S519" i="33"/>
  <c r="O520" i="33"/>
  <c r="P520" i="33"/>
  <c r="T520" i="33"/>
  <c r="U520" i="33"/>
  <c r="L521" i="33"/>
  <c r="L519" i="33" s="1"/>
  <c r="O519" i="33" s="1"/>
  <c r="M521" i="33"/>
  <c r="M519" i="33" s="1"/>
  <c r="P519" i="33" s="1"/>
  <c r="N521" i="33"/>
  <c r="N519" i="33" s="1"/>
  <c r="T521" i="33"/>
  <c r="U521" i="33"/>
  <c r="K523" i="33"/>
  <c r="K524" i="33"/>
  <c r="I533" i="33"/>
  <c r="K533" i="33" s="1"/>
  <c r="J533" i="33"/>
  <c r="Q534" i="33"/>
  <c r="T534" i="33" s="1"/>
  <c r="L535" i="33"/>
  <c r="M535" i="33"/>
  <c r="N535" i="33"/>
  <c r="Q535" i="33"/>
  <c r="R535" i="33"/>
  <c r="S535" i="33"/>
  <c r="S534" i="33" s="1"/>
  <c r="T535" i="33"/>
  <c r="Q536" i="33"/>
  <c r="R536" i="33"/>
  <c r="S536" i="33"/>
  <c r="T536" i="33"/>
  <c r="U536" i="33"/>
  <c r="Q537" i="33"/>
  <c r="T537" i="33" s="1"/>
  <c r="R537" i="33"/>
  <c r="U537" i="33" s="1"/>
  <c r="S537" i="33"/>
  <c r="O538" i="33"/>
  <c r="P538" i="33"/>
  <c r="T538" i="33"/>
  <c r="U538" i="33"/>
  <c r="L539" i="33"/>
  <c r="L537" i="33" s="1"/>
  <c r="O537" i="33" s="1"/>
  <c r="M539" i="33"/>
  <c r="M537" i="33" s="1"/>
  <c r="P537" i="33" s="1"/>
  <c r="N539" i="33"/>
  <c r="N537" i="33" s="1"/>
  <c r="T539" i="33"/>
  <c r="U539" i="33"/>
  <c r="Q540" i="33"/>
  <c r="T540" i="33" s="1"/>
  <c r="R540" i="33"/>
  <c r="S540" i="33"/>
  <c r="U540" i="33"/>
  <c r="O541" i="33"/>
  <c r="P541" i="33"/>
  <c r="T541" i="33"/>
  <c r="U541" i="33"/>
  <c r="L542" i="33"/>
  <c r="M542" i="33"/>
  <c r="P542" i="33" s="1"/>
  <c r="N542" i="33"/>
  <c r="N540" i="33" s="1"/>
  <c r="T542" i="33"/>
  <c r="U542" i="33"/>
  <c r="I554" i="33"/>
  <c r="J554" i="33"/>
  <c r="K554" i="33"/>
  <c r="L556" i="33"/>
  <c r="M556" i="33"/>
  <c r="N556" i="33"/>
  <c r="O556" i="33"/>
  <c r="P556" i="33"/>
  <c r="Q556" i="33"/>
  <c r="T556" i="33" s="1"/>
  <c r="R556" i="33"/>
  <c r="S556" i="33"/>
  <c r="S555" i="33" s="1"/>
  <c r="U556" i="33"/>
  <c r="Q557" i="33"/>
  <c r="R557" i="33"/>
  <c r="U557" i="33" s="1"/>
  <c r="S557" i="33"/>
  <c r="Q558" i="33"/>
  <c r="R558" i="33"/>
  <c r="U558" i="33" s="1"/>
  <c r="S558" i="33"/>
  <c r="T558" i="33"/>
  <c r="O559" i="33"/>
  <c r="P559" i="33"/>
  <c r="T559" i="33"/>
  <c r="U559" i="33"/>
  <c r="L560" i="33"/>
  <c r="M560" i="33"/>
  <c r="N560" i="33"/>
  <c r="T560" i="33"/>
  <c r="U560" i="33"/>
  <c r="Q561" i="33"/>
  <c r="T561" i="33" s="1"/>
  <c r="R561" i="33"/>
  <c r="U561" i="33" s="1"/>
  <c r="S561" i="33"/>
  <c r="O562" i="33"/>
  <c r="P562" i="33"/>
  <c r="T562" i="33"/>
  <c r="U562" i="33"/>
  <c r="L563" i="33"/>
  <c r="L561" i="33" s="1"/>
  <c r="O561" i="33" s="1"/>
  <c r="M563" i="33"/>
  <c r="M561" i="33" s="1"/>
  <c r="P561" i="33" s="1"/>
  <c r="N563" i="33"/>
  <c r="N561" i="33" s="1"/>
  <c r="T563" i="33"/>
  <c r="U563" i="33"/>
  <c r="I575" i="33"/>
  <c r="J575" i="33"/>
  <c r="K575" i="33"/>
  <c r="L577" i="33"/>
  <c r="M577" i="33"/>
  <c r="N577" i="33"/>
  <c r="Q577" i="33"/>
  <c r="R577" i="33"/>
  <c r="S577" i="33"/>
  <c r="Q578" i="33"/>
  <c r="R578" i="33"/>
  <c r="S578" i="33"/>
  <c r="T578" i="33"/>
  <c r="U578" i="33"/>
  <c r="Q579" i="33"/>
  <c r="T579" i="33" s="1"/>
  <c r="R579" i="33"/>
  <c r="U579" i="33" s="1"/>
  <c r="S579" i="33"/>
  <c r="O580" i="33"/>
  <c r="P580" i="33"/>
  <c r="T580" i="33"/>
  <c r="U580" i="33"/>
  <c r="L581" i="33"/>
  <c r="M581" i="33"/>
  <c r="M579" i="33" s="1"/>
  <c r="P579" i="33" s="1"/>
  <c r="N581" i="33"/>
  <c r="N579" i="33" s="1"/>
  <c r="T581" i="33"/>
  <c r="U581" i="33"/>
  <c r="Q582" i="33"/>
  <c r="R582" i="33"/>
  <c r="S582" i="33"/>
  <c r="T582" i="33"/>
  <c r="U582" i="33"/>
  <c r="O583" i="33"/>
  <c r="P583" i="33"/>
  <c r="T583" i="33"/>
  <c r="U583" i="33"/>
  <c r="L584" i="33"/>
  <c r="M584" i="33"/>
  <c r="P584" i="33" s="1"/>
  <c r="N584" i="33"/>
  <c r="N582" i="33" s="1"/>
  <c r="T584" i="33"/>
  <c r="U584" i="33"/>
  <c r="L600" i="33"/>
  <c r="M600" i="33"/>
  <c r="N600" i="33"/>
  <c r="Q600" i="33"/>
  <c r="T600" i="33" s="1"/>
  <c r="R600" i="33"/>
  <c r="S600" i="33"/>
  <c r="O603" i="33"/>
  <c r="P603" i="33"/>
  <c r="T603" i="33"/>
  <c r="U603" i="33"/>
  <c r="L604" i="33"/>
  <c r="L602" i="33" s="1"/>
  <c r="M604" i="33"/>
  <c r="M602" i="33" s="1"/>
  <c r="N604" i="33"/>
  <c r="Q604" i="33"/>
  <c r="R604" i="33"/>
  <c r="R602" i="33" s="1"/>
  <c r="U602" i="33" s="1"/>
  <c r="S604" i="33"/>
  <c r="S602" i="33" s="1"/>
  <c r="O606" i="33"/>
  <c r="P606" i="33"/>
  <c r="T606" i="33"/>
  <c r="U606" i="33"/>
  <c r="L607" i="33"/>
  <c r="L605" i="33" s="1"/>
  <c r="O605" i="33" s="1"/>
  <c r="M607" i="33"/>
  <c r="M605" i="33" s="1"/>
  <c r="P605" i="33" s="1"/>
  <c r="N607" i="33"/>
  <c r="N605" i="33" s="1"/>
  <c r="Q607" i="33"/>
  <c r="R607" i="33"/>
  <c r="R605" i="33" s="1"/>
  <c r="U605" i="33" s="1"/>
  <c r="S607" i="33"/>
  <c r="S605" i="33" s="1"/>
  <c r="N616" i="33"/>
  <c r="L617" i="33"/>
  <c r="O617" i="33" s="1"/>
  <c r="M617" i="33"/>
  <c r="M616" i="33" s="1"/>
  <c r="P616" i="33" s="1"/>
  <c r="N617" i="33"/>
  <c r="P617" i="33"/>
  <c r="Q617" i="33"/>
  <c r="T617" i="33" s="1"/>
  <c r="R617" i="33"/>
  <c r="U617" i="33" s="1"/>
  <c r="S617" i="33"/>
  <c r="L618" i="33"/>
  <c r="O618" i="33" s="1"/>
  <c r="M618" i="33"/>
  <c r="P618" i="33" s="1"/>
  <c r="N618" i="33"/>
  <c r="L619" i="33"/>
  <c r="M619" i="33"/>
  <c r="P619" i="33" s="1"/>
  <c r="N619" i="33"/>
  <c r="O619" i="33"/>
  <c r="O620" i="33"/>
  <c r="P620" i="33"/>
  <c r="T620" i="33"/>
  <c r="U620" i="33"/>
  <c r="O621" i="33"/>
  <c r="P621" i="33"/>
  <c r="Q621" i="33"/>
  <c r="Q619" i="33" s="1"/>
  <c r="R621" i="33"/>
  <c r="S621" i="33"/>
  <c r="S619" i="33" s="1"/>
  <c r="L622" i="33"/>
  <c r="O622" i="33" s="1"/>
  <c r="M622" i="33"/>
  <c r="N622" i="33"/>
  <c r="P622" i="33"/>
  <c r="Q622" i="33"/>
  <c r="T622" i="33" s="1"/>
  <c r="R622" i="33"/>
  <c r="U622" i="33" s="1"/>
  <c r="S622" i="33"/>
  <c r="O623" i="33"/>
  <c r="P623" i="33"/>
  <c r="T623" i="33"/>
  <c r="U623" i="33"/>
  <c r="O624" i="33"/>
  <c r="P624" i="33"/>
  <c r="T624" i="33"/>
  <c r="U624" i="33"/>
  <c r="I626" i="33"/>
  <c r="I615" i="33" s="1"/>
  <c r="I627" i="33"/>
  <c r="K627" i="33" s="1"/>
  <c r="I628" i="33"/>
  <c r="K628" i="33" s="1"/>
  <c r="J632" i="33"/>
  <c r="J626" i="33" s="1"/>
  <c r="I635" i="33"/>
  <c r="K635" i="33" s="1"/>
  <c r="J635" i="33"/>
  <c r="J636" i="33"/>
  <c r="L642" i="33"/>
  <c r="O642" i="33" s="1"/>
  <c r="M642" i="33"/>
  <c r="P642" i="33" s="1"/>
  <c r="L643" i="33"/>
  <c r="M643" i="33"/>
  <c r="N643" i="33"/>
  <c r="O643" i="33"/>
  <c r="P643" i="33"/>
  <c r="Q643" i="33"/>
  <c r="R643" i="33"/>
  <c r="S643" i="33"/>
  <c r="T643" i="33"/>
  <c r="U643" i="33"/>
  <c r="L644" i="33"/>
  <c r="O644" i="33" s="1"/>
  <c r="M644" i="33"/>
  <c r="N644" i="33"/>
  <c r="P644" i="33"/>
  <c r="L645" i="33"/>
  <c r="O645" i="33" s="1"/>
  <c r="M645" i="33"/>
  <c r="P645" i="33" s="1"/>
  <c r="N645" i="33"/>
  <c r="O646" i="33"/>
  <c r="P646" i="33"/>
  <c r="T646" i="33"/>
  <c r="U646" i="33"/>
  <c r="O647" i="33"/>
  <c r="P647" i="33"/>
  <c r="Q647" i="33"/>
  <c r="Q645" i="33" s="1"/>
  <c r="T645" i="33" s="1"/>
  <c r="R647" i="33"/>
  <c r="R644" i="33" s="1"/>
  <c r="U644" i="33" s="1"/>
  <c r="S647" i="33"/>
  <c r="S644" i="33" s="1"/>
  <c r="S642" i="33" s="1"/>
  <c r="L648" i="33"/>
  <c r="M648" i="33"/>
  <c r="P648" i="33" s="1"/>
  <c r="N648" i="33"/>
  <c r="O648" i="33"/>
  <c r="Q648" i="33"/>
  <c r="T648" i="33" s="1"/>
  <c r="R648" i="33"/>
  <c r="S648" i="33"/>
  <c r="U648" i="33"/>
  <c r="O649" i="33"/>
  <c r="P649" i="33"/>
  <c r="T649" i="33"/>
  <c r="U649" i="33"/>
  <c r="O650" i="33"/>
  <c r="P650" i="33"/>
  <c r="T650" i="33"/>
  <c r="U650" i="33"/>
  <c r="I652" i="33"/>
  <c r="K652" i="33" s="1"/>
  <c r="J652" i="33"/>
  <c r="I653" i="33"/>
  <c r="K653" i="33" s="1"/>
  <c r="J653" i="33"/>
  <c r="I654" i="33"/>
  <c r="K654" i="33" s="1"/>
  <c r="J654" i="33"/>
  <c r="I657" i="33"/>
  <c r="I660" i="33"/>
  <c r="I661" i="33"/>
  <c r="K661" i="33" s="1"/>
  <c r="J661" i="33"/>
  <c r="J671" i="33"/>
  <c r="J672" i="33"/>
  <c r="I673" i="33"/>
  <c r="K673" i="33" s="1"/>
  <c r="J673" i="33"/>
  <c r="I674" i="33"/>
  <c r="K674" i="33" s="1"/>
  <c r="I675" i="33"/>
  <c r="K675" i="33" s="1"/>
  <c r="I676" i="33"/>
  <c r="K676" i="33" s="1"/>
  <c r="J676" i="33"/>
  <c r="J677" i="33"/>
  <c r="I678" i="33"/>
  <c r="K678" i="33" s="1"/>
  <c r="J678" i="33"/>
  <c r="I679" i="33"/>
  <c r="K679" i="33" s="1"/>
  <c r="J679" i="33"/>
  <c r="J680" i="33"/>
  <c r="I681" i="33"/>
  <c r="K681" i="33" s="1"/>
  <c r="J681" i="33"/>
  <c r="I682" i="33"/>
  <c r="K682" i="33" s="1"/>
  <c r="J682" i="33"/>
  <c r="L690" i="33"/>
  <c r="O690" i="33" s="1"/>
  <c r="L691" i="33"/>
  <c r="M691" i="33"/>
  <c r="N691" i="33"/>
  <c r="N690" i="33" s="1"/>
  <c r="O691" i="33"/>
  <c r="P691" i="33"/>
  <c r="Q691" i="33"/>
  <c r="R691" i="33"/>
  <c r="S691" i="33"/>
  <c r="T691" i="33"/>
  <c r="U691" i="33"/>
  <c r="L692" i="33"/>
  <c r="O692" i="33" s="1"/>
  <c r="M692" i="33"/>
  <c r="M690" i="33" s="1"/>
  <c r="P690" i="33" s="1"/>
  <c r="N692" i="33"/>
  <c r="L693" i="33"/>
  <c r="O693" i="33" s="1"/>
  <c r="M693" i="33"/>
  <c r="P693" i="33" s="1"/>
  <c r="N693" i="33"/>
  <c r="O694" i="33"/>
  <c r="P694" i="33"/>
  <c r="T694" i="33"/>
  <c r="U694" i="33"/>
  <c r="O695" i="33"/>
  <c r="P695" i="33"/>
  <c r="Q695" i="33"/>
  <c r="Q693" i="33" s="1"/>
  <c r="R695" i="33"/>
  <c r="R693" i="33" s="1"/>
  <c r="S695" i="33"/>
  <c r="S693" i="33" s="1"/>
  <c r="L696" i="33"/>
  <c r="M696" i="33"/>
  <c r="N696" i="33"/>
  <c r="O696" i="33"/>
  <c r="P696" i="33"/>
  <c r="Q696" i="33"/>
  <c r="T696" i="33" s="1"/>
  <c r="R696" i="33"/>
  <c r="S696" i="33"/>
  <c r="U696" i="33"/>
  <c r="O697" i="33"/>
  <c r="P697" i="33"/>
  <c r="T697" i="33"/>
  <c r="U697" i="33"/>
  <c r="O698" i="33"/>
  <c r="P698" i="33"/>
  <c r="T698" i="33"/>
  <c r="U698" i="33"/>
  <c r="I700" i="33"/>
  <c r="K700" i="33" s="1"/>
  <c r="K702" i="33"/>
  <c r="I703" i="33"/>
  <c r="J703" i="33"/>
  <c r="J704" i="33"/>
  <c r="K704" i="33"/>
  <c r="I705" i="33"/>
  <c r="J705" i="33"/>
  <c r="J706" i="33"/>
  <c r="K706" i="33"/>
  <c r="I707" i="33"/>
  <c r="I689" i="33" s="1"/>
  <c r="J707" i="33"/>
  <c r="J689" i="33" s="1"/>
  <c r="J708" i="33"/>
  <c r="K708" i="33"/>
  <c r="I709" i="33"/>
  <c r="J709" i="33"/>
  <c r="J710" i="33"/>
  <c r="K710" i="33"/>
  <c r="J712" i="33"/>
  <c r="K712" i="33"/>
  <c r="L715" i="33"/>
  <c r="M715" i="33"/>
  <c r="N715" i="33"/>
  <c r="Q715" i="33"/>
  <c r="R715" i="33"/>
  <c r="S715" i="33"/>
  <c r="S714" i="33" s="1"/>
  <c r="L716" i="33"/>
  <c r="M716" i="33"/>
  <c r="N716" i="33"/>
  <c r="N714" i="33" s="1"/>
  <c r="O716" i="33"/>
  <c r="P716" i="33"/>
  <c r="Q716" i="33"/>
  <c r="R716" i="33"/>
  <c r="S716" i="33"/>
  <c r="T716" i="33"/>
  <c r="U716" i="33"/>
  <c r="L717" i="33"/>
  <c r="O717" i="33" s="1"/>
  <c r="M717" i="33"/>
  <c r="P717" i="33" s="1"/>
  <c r="N717" i="33"/>
  <c r="Q717" i="33"/>
  <c r="T717" i="33" s="1"/>
  <c r="R717" i="33"/>
  <c r="U717" i="33" s="1"/>
  <c r="S717" i="33"/>
  <c r="O718" i="33"/>
  <c r="P718" i="33"/>
  <c r="T718" i="33"/>
  <c r="U718" i="33"/>
  <c r="O719" i="33"/>
  <c r="P719" i="33"/>
  <c r="T719" i="33"/>
  <c r="U719" i="33"/>
  <c r="L720" i="33"/>
  <c r="O720" i="33" s="1"/>
  <c r="M720" i="33"/>
  <c r="P720" i="33" s="1"/>
  <c r="N720" i="33"/>
  <c r="Q720" i="33"/>
  <c r="T720" i="33" s="1"/>
  <c r="R720" i="33"/>
  <c r="U720" i="33" s="1"/>
  <c r="S720" i="33"/>
  <c r="O721" i="33"/>
  <c r="P721" i="33"/>
  <c r="T721" i="33"/>
  <c r="U721" i="33"/>
  <c r="O722" i="33"/>
  <c r="P722" i="33"/>
  <c r="T722" i="33"/>
  <c r="U722" i="33"/>
  <c r="I726" i="33"/>
  <c r="J726" i="33"/>
  <c r="I727" i="33"/>
  <c r="K727" i="33" s="1"/>
  <c r="J727" i="33"/>
  <c r="L729" i="33"/>
  <c r="M729" i="33"/>
  <c r="N729" i="33"/>
  <c r="Q729" i="33"/>
  <c r="R729" i="33"/>
  <c r="S729" i="33"/>
  <c r="T729" i="33"/>
  <c r="L730" i="33"/>
  <c r="M730" i="33"/>
  <c r="N730" i="33"/>
  <c r="O730" i="33"/>
  <c r="P730" i="33"/>
  <c r="L731" i="33"/>
  <c r="O731" i="33" s="1"/>
  <c r="M731" i="33"/>
  <c r="N731" i="33"/>
  <c r="P731" i="33"/>
  <c r="O732" i="33"/>
  <c r="P732" i="33"/>
  <c r="T732" i="33"/>
  <c r="U732" i="33"/>
  <c r="O733" i="33"/>
  <c r="P733" i="33"/>
  <c r="Q733" i="33"/>
  <c r="Q731" i="33" s="1"/>
  <c r="R733" i="33"/>
  <c r="S733" i="33"/>
  <c r="S730" i="33" s="1"/>
  <c r="L734" i="33"/>
  <c r="M734" i="33"/>
  <c r="P734" i="33" s="1"/>
  <c r="N734" i="33"/>
  <c r="O734" i="33"/>
  <c r="Q734" i="33"/>
  <c r="R734" i="33"/>
  <c r="S734" i="33"/>
  <c r="T734" i="33"/>
  <c r="U734" i="33"/>
  <c r="O735" i="33"/>
  <c r="P735" i="33"/>
  <c r="T735" i="33"/>
  <c r="U735" i="33"/>
  <c r="O736" i="33"/>
  <c r="P736" i="33"/>
  <c r="T736" i="33"/>
  <c r="U736" i="33"/>
  <c r="I740" i="33"/>
  <c r="K740" i="33" s="1"/>
  <c r="I742" i="33"/>
  <c r="K742" i="33" s="1"/>
  <c r="I744" i="33"/>
  <c r="K744" i="33" s="1"/>
  <c r="I746" i="33"/>
  <c r="K746" i="33" s="1"/>
  <c r="I749" i="33"/>
  <c r="K749" i="33" s="1"/>
  <c r="I752" i="33"/>
  <c r="K752" i="33" s="1"/>
  <c r="I755" i="33"/>
  <c r="K755" i="33" s="1"/>
  <c r="J758" i="33"/>
  <c r="J759" i="33"/>
  <c r="L761" i="33"/>
  <c r="M761" i="33"/>
  <c r="P761" i="33" s="1"/>
  <c r="N761" i="33"/>
  <c r="Q761" i="33"/>
  <c r="R761" i="33"/>
  <c r="S761" i="33"/>
  <c r="U761" i="33"/>
  <c r="L762" i="33"/>
  <c r="M762" i="33"/>
  <c r="P762" i="33" s="1"/>
  <c r="N762" i="33"/>
  <c r="O762" i="33"/>
  <c r="L763" i="33"/>
  <c r="O763" i="33" s="1"/>
  <c r="M763" i="33"/>
  <c r="P763" i="33" s="1"/>
  <c r="N763" i="33"/>
  <c r="O764" i="33"/>
  <c r="P764" i="33"/>
  <c r="T764" i="33"/>
  <c r="U764" i="33"/>
  <c r="O765" i="33"/>
  <c r="P765" i="33"/>
  <c r="Q765" i="33"/>
  <c r="Q762" i="33" s="1"/>
  <c r="T762" i="33" s="1"/>
  <c r="R765" i="33"/>
  <c r="R762" i="33" s="1"/>
  <c r="S765" i="33"/>
  <c r="S763" i="33" s="1"/>
  <c r="L766" i="33"/>
  <c r="M766" i="33"/>
  <c r="P766" i="33" s="1"/>
  <c r="N766" i="33"/>
  <c r="O766" i="33"/>
  <c r="Q766" i="33"/>
  <c r="T766" i="33" s="1"/>
  <c r="R766" i="33"/>
  <c r="S766" i="33"/>
  <c r="U766" i="33"/>
  <c r="O767" i="33"/>
  <c r="P767" i="33"/>
  <c r="T767" i="33"/>
  <c r="U767" i="33"/>
  <c r="O768" i="33"/>
  <c r="P768" i="33"/>
  <c r="T768" i="33"/>
  <c r="U768" i="33"/>
  <c r="I770" i="33"/>
  <c r="K770" i="33" s="1"/>
  <c r="I772" i="33"/>
  <c r="I758" i="33" s="1"/>
  <c r="K758" i="33" s="1"/>
  <c r="I774" i="33"/>
  <c r="I775" i="33"/>
  <c r="I776" i="33"/>
  <c r="H777" i="33"/>
  <c r="I778" i="33"/>
  <c r="J778" i="33"/>
  <c r="I779" i="33"/>
  <c r="J779" i="33"/>
  <c r="I780" i="33"/>
  <c r="J780" i="33"/>
  <c r="I781" i="33"/>
  <c r="J781" i="33"/>
  <c r="I782" i="33"/>
  <c r="J782" i="33"/>
  <c r="I783" i="33"/>
  <c r="J783" i="33"/>
  <c r="I784" i="33"/>
  <c r="J784" i="33"/>
  <c r="I785" i="33"/>
  <c r="J785" i="33"/>
  <c r="A788" i="33"/>
  <c r="A789" i="33"/>
  <c r="L22" i="32"/>
  <c r="L19" i="32" s="1"/>
  <c r="M22" i="32"/>
  <c r="N22" i="32"/>
  <c r="Q22" i="32"/>
  <c r="T22" i="32" s="1"/>
  <c r="R22" i="32"/>
  <c r="R19" i="32" s="1"/>
  <c r="S22" i="32"/>
  <c r="L25" i="32"/>
  <c r="M25" i="32"/>
  <c r="N25" i="32"/>
  <c r="Q25" i="32"/>
  <c r="T25" i="32" s="1"/>
  <c r="R25" i="32"/>
  <c r="S25" i="32"/>
  <c r="L45" i="32"/>
  <c r="O45" i="32" s="1"/>
  <c r="M45" i="32"/>
  <c r="N45" i="32"/>
  <c r="Q45" i="32"/>
  <c r="Q44" i="32" s="1"/>
  <c r="T44" i="32" s="1"/>
  <c r="R45" i="32"/>
  <c r="U45" i="32" s="1"/>
  <c r="S45" i="32"/>
  <c r="S44" i="32" s="1"/>
  <c r="T45" i="32"/>
  <c r="Q46" i="32"/>
  <c r="T46" i="32" s="1"/>
  <c r="R46" i="32"/>
  <c r="S46" i="32"/>
  <c r="U46" i="32"/>
  <c r="Q47" i="32"/>
  <c r="T47" i="32" s="1"/>
  <c r="R47" i="32"/>
  <c r="U47" i="32" s="1"/>
  <c r="S47" i="32"/>
  <c r="O48" i="32"/>
  <c r="P48" i="32"/>
  <c r="T48" i="32"/>
  <c r="U48" i="32"/>
  <c r="L49" i="32"/>
  <c r="M49" i="32"/>
  <c r="M47" i="32" s="1"/>
  <c r="N49" i="32"/>
  <c r="N47" i="32" s="1"/>
  <c r="T49" i="32"/>
  <c r="U49" i="32"/>
  <c r="Q50" i="32"/>
  <c r="R50" i="32"/>
  <c r="S50" i="32"/>
  <c r="T50" i="32"/>
  <c r="U50" i="32"/>
  <c r="O51" i="32"/>
  <c r="P51" i="32"/>
  <c r="T51" i="32"/>
  <c r="U51" i="32"/>
  <c r="L52" i="32"/>
  <c r="M52" i="32"/>
  <c r="N52" i="32"/>
  <c r="N50" i="32" s="1"/>
  <c r="T52" i="32"/>
  <c r="U52" i="32"/>
  <c r="R59" i="32"/>
  <c r="U59" i="32" s="1"/>
  <c r="L60" i="32"/>
  <c r="O60" i="32" s="1"/>
  <c r="M60" i="32"/>
  <c r="N60" i="32"/>
  <c r="Q60" i="32"/>
  <c r="Q59" i="32" s="1"/>
  <c r="T59" i="32" s="1"/>
  <c r="R60" i="32"/>
  <c r="U60" i="32" s="1"/>
  <c r="S60" i="32"/>
  <c r="S59" i="32" s="1"/>
  <c r="T60" i="32"/>
  <c r="Q61" i="32"/>
  <c r="T61" i="32" s="1"/>
  <c r="R61" i="32"/>
  <c r="S61" i="32"/>
  <c r="U61" i="32"/>
  <c r="Q62" i="32"/>
  <c r="T62" i="32" s="1"/>
  <c r="R62" i="32"/>
  <c r="U62" i="32" s="1"/>
  <c r="S62" i="32"/>
  <c r="O63" i="32"/>
  <c r="P63" i="32"/>
  <c r="T63" i="32"/>
  <c r="U63" i="32"/>
  <c r="L64" i="32"/>
  <c r="L62" i="32" s="1"/>
  <c r="M64" i="32"/>
  <c r="M62" i="32" s="1"/>
  <c r="N64" i="32"/>
  <c r="N62" i="32" s="1"/>
  <c r="T64" i="32"/>
  <c r="U64" i="32"/>
  <c r="Q65" i="32"/>
  <c r="R65" i="32"/>
  <c r="U65" i="32" s="1"/>
  <c r="S65" i="32"/>
  <c r="T65" i="32"/>
  <c r="O66" i="32"/>
  <c r="P66" i="32"/>
  <c r="T66" i="32"/>
  <c r="U66" i="32"/>
  <c r="L67" i="32"/>
  <c r="M67" i="32"/>
  <c r="N67" i="32"/>
  <c r="N65" i="32" s="1"/>
  <c r="T67" i="32"/>
  <c r="U67" i="32"/>
  <c r="L73" i="32"/>
  <c r="O73" i="32" s="1"/>
  <c r="M73" i="32"/>
  <c r="N73" i="32"/>
  <c r="Q73" i="32"/>
  <c r="T73" i="32" s="1"/>
  <c r="R73" i="32"/>
  <c r="U73" i="32" s="1"/>
  <c r="S73" i="32"/>
  <c r="O76" i="32"/>
  <c r="P76" i="32"/>
  <c r="T76" i="32"/>
  <c r="U76" i="32"/>
  <c r="L77" i="32"/>
  <c r="M77" i="32"/>
  <c r="N77" i="32"/>
  <c r="N75" i="32" s="1"/>
  <c r="Q77" i="32"/>
  <c r="Q75" i="32" s="1"/>
  <c r="R77" i="32"/>
  <c r="R75" i="32" s="1"/>
  <c r="S77" i="32"/>
  <c r="O79" i="32"/>
  <c r="P79" i="32"/>
  <c r="T79" i="32"/>
  <c r="U79" i="32"/>
  <c r="L80" i="32"/>
  <c r="L78" i="32" s="1"/>
  <c r="O78" i="32" s="1"/>
  <c r="M80" i="32"/>
  <c r="M78" i="32" s="1"/>
  <c r="P78" i="32" s="1"/>
  <c r="N80" i="32"/>
  <c r="N78" i="32" s="1"/>
  <c r="Q80" i="32"/>
  <c r="Q78" i="32" s="1"/>
  <c r="T78" i="32" s="1"/>
  <c r="R80" i="32"/>
  <c r="R78" i="32" s="1"/>
  <c r="U78" i="32" s="1"/>
  <c r="S80" i="32"/>
  <c r="J82" i="32"/>
  <c r="J70" i="32" s="1"/>
  <c r="J83" i="32"/>
  <c r="J71" i="32" s="1"/>
  <c r="I84" i="32"/>
  <c r="K84" i="32" s="1"/>
  <c r="I85" i="32"/>
  <c r="K85" i="32" s="1"/>
  <c r="I86" i="32"/>
  <c r="K86" i="32" s="1"/>
  <c r="I87" i="32"/>
  <c r="I88" i="32"/>
  <c r="K88" i="32" s="1"/>
  <c r="I89" i="32"/>
  <c r="K89" i="32" s="1"/>
  <c r="I90" i="32"/>
  <c r="K90" i="32" s="1"/>
  <c r="J92" i="32"/>
  <c r="J93" i="32"/>
  <c r="L95" i="32"/>
  <c r="M95" i="32"/>
  <c r="N95" i="32"/>
  <c r="P95" i="32"/>
  <c r="Q95" i="32"/>
  <c r="R95" i="32"/>
  <c r="S95" i="32"/>
  <c r="O98" i="32"/>
  <c r="P98" i="32"/>
  <c r="T98" i="32"/>
  <c r="U98" i="32"/>
  <c r="L99" i="32"/>
  <c r="M99" i="32"/>
  <c r="N99" i="32"/>
  <c r="Q99" i="32"/>
  <c r="R99" i="32"/>
  <c r="S99" i="32"/>
  <c r="S96" i="32" s="1"/>
  <c r="Q100" i="32"/>
  <c r="R100" i="32"/>
  <c r="U100" i="32" s="1"/>
  <c r="S100" i="32"/>
  <c r="T100" i="32"/>
  <c r="O101" i="32"/>
  <c r="P101" i="32"/>
  <c r="T101" i="32"/>
  <c r="U101" i="32"/>
  <c r="L102" i="32"/>
  <c r="O102" i="32" s="1"/>
  <c r="M102" i="32"/>
  <c r="P102" i="32" s="1"/>
  <c r="N102" i="32"/>
  <c r="N100" i="32" s="1"/>
  <c r="T102" i="32"/>
  <c r="U102" i="32"/>
  <c r="I108" i="32"/>
  <c r="I109" i="32"/>
  <c r="K109" i="32" s="1"/>
  <c r="I113" i="32"/>
  <c r="K113" i="32" s="1"/>
  <c r="I114" i="32"/>
  <c r="K114" i="32" s="1"/>
  <c r="J116" i="32"/>
  <c r="L118" i="32"/>
  <c r="O118" i="32" s="1"/>
  <c r="M118" i="32"/>
  <c r="N118" i="32"/>
  <c r="P118" i="32"/>
  <c r="Q118" i="32"/>
  <c r="R118" i="32"/>
  <c r="U118" i="32" s="1"/>
  <c r="S118" i="32"/>
  <c r="T118" i="32"/>
  <c r="O121" i="32"/>
  <c r="P121" i="32"/>
  <c r="T121" i="32"/>
  <c r="U121" i="32"/>
  <c r="L122" i="32"/>
  <c r="O122" i="32" s="1"/>
  <c r="M122" i="32"/>
  <c r="P122" i="32" s="1"/>
  <c r="N122" i="32"/>
  <c r="Q122" i="32"/>
  <c r="R122" i="32"/>
  <c r="S122" i="32"/>
  <c r="S120" i="32" s="1"/>
  <c r="O124" i="32"/>
  <c r="P124" i="32"/>
  <c r="T124" i="32"/>
  <c r="U124" i="32"/>
  <c r="L125" i="32"/>
  <c r="L123" i="32" s="1"/>
  <c r="O123" i="32" s="1"/>
  <c r="M125" i="32"/>
  <c r="N125" i="32"/>
  <c r="N123" i="32" s="1"/>
  <c r="Q125" i="32"/>
  <c r="T125" i="32" s="1"/>
  <c r="R125" i="32"/>
  <c r="S125" i="32"/>
  <c r="S123" i="32" s="1"/>
  <c r="I127" i="32"/>
  <c r="I128" i="32"/>
  <c r="K128" i="32" s="1"/>
  <c r="I129" i="32"/>
  <c r="K129" i="32" s="1"/>
  <c r="I130" i="32"/>
  <c r="K130" i="32" s="1"/>
  <c r="J136" i="32"/>
  <c r="J137" i="32"/>
  <c r="J138" i="32"/>
  <c r="L140" i="32"/>
  <c r="O140" i="32" s="1"/>
  <c r="M140" i="32"/>
  <c r="N140" i="32"/>
  <c r="P140" i="32"/>
  <c r="Q140" i="32"/>
  <c r="T140" i="32" s="1"/>
  <c r="R140" i="32"/>
  <c r="U140" i="32" s="1"/>
  <c r="S140" i="32"/>
  <c r="O143" i="32"/>
  <c r="P143" i="32"/>
  <c r="T143" i="32"/>
  <c r="U143" i="32"/>
  <c r="L144" i="32"/>
  <c r="O144" i="32" s="1"/>
  <c r="M144" i="32"/>
  <c r="M142" i="32" s="1"/>
  <c r="P142" i="32" s="1"/>
  <c r="N144" i="32"/>
  <c r="Q144" i="32"/>
  <c r="T144" i="32" s="1"/>
  <c r="R144" i="32"/>
  <c r="S144" i="32"/>
  <c r="O146" i="32"/>
  <c r="P146" i="32"/>
  <c r="T146" i="32"/>
  <c r="U146" i="32"/>
  <c r="L147" i="32"/>
  <c r="M147" i="32"/>
  <c r="P147" i="32" s="1"/>
  <c r="N147" i="32"/>
  <c r="N145" i="32" s="1"/>
  <c r="Q147" i="32"/>
  <c r="T147" i="32" s="1"/>
  <c r="R147" i="32"/>
  <c r="U147" i="32" s="1"/>
  <c r="S147" i="32"/>
  <c r="S145" i="32" s="1"/>
  <c r="I150" i="32"/>
  <c r="K150" i="32" s="1"/>
  <c r="I151" i="32"/>
  <c r="K151" i="32" s="1"/>
  <c r="I152" i="32"/>
  <c r="K152" i="32" s="1"/>
  <c r="I153" i="32"/>
  <c r="K153" i="32" s="1"/>
  <c r="I154" i="32"/>
  <c r="I136" i="32" s="1"/>
  <c r="K136" i="32" s="1"/>
  <c r="J156" i="32"/>
  <c r="L158" i="32"/>
  <c r="M158" i="32"/>
  <c r="N158" i="32"/>
  <c r="O158" i="32"/>
  <c r="P158" i="32"/>
  <c r="Q158" i="32"/>
  <c r="R158" i="32"/>
  <c r="S158" i="32"/>
  <c r="U158" i="32"/>
  <c r="O161" i="32"/>
  <c r="P161" i="32"/>
  <c r="T161" i="32"/>
  <c r="U161" i="32"/>
  <c r="L162" i="32"/>
  <c r="L160" i="32" s="1"/>
  <c r="M162" i="32"/>
  <c r="N162" i="32"/>
  <c r="Q162" i="32"/>
  <c r="T162" i="32" s="1"/>
  <c r="R162" i="32"/>
  <c r="R159" i="32" s="1"/>
  <c r="S162" i="32"/>
  <c r="S159" i="32" s="1"/>
  <c r="Q163" i="32"/>
  <c r="R163" i="32"/>
  <c r="U163" i="32" s="1"/>
  <c r="S163" i="32"/>
  <c r="T163" i="32"/>
  <c r="O164" i="32"/>
  <c r="P164" i="32"/>
  <c r="T164" i="32"/>
  <c r="U164" i="32"/>
  <c r="L165" i="32"/>
  <c r="L163" i="32" s="1"/>
  <c r="O163" i="32" s="1"/>
  <c r="M165" i="32"/>
  <c r="N165" i="32"/>
  <c r="N163" i="32" s="1"/>
  <c r="T165" i="32"/>
  <c r="U165" i="32"/>
  <c r="I167" i="32"/>
  <c r="I156" i="32" s="1"/>
  <c r="K156" i="32" s="1"/>
  <c r="J172" i="32"/>
  <c r="L174" i="32"/>
  <c r="O174" i="32" s="1"/>
  <c r="M174" i="32"/>
  <c r="N174" i="32"/>
  <c r="Q174" i="32"/>
  <c r="R174" i="32"/>
  <c r="S174" i="32"/>
  <c r="T174" i="32"/>
  <c r="U174" i="32"/>
  <c r="O177" i="32"/>
  <c r="P177" i="32"/>
  <c r="T177" i="32"/>
  <c r="U177" i="32"/>
  <c r="L178" i="32"/>
  <c r="M178" i="32"/>
  <c r="N178" i="32"/>
  <c r="Q178" i="32"/>
  <c r="R178" i="32"/>
  <c r="R175" i="32" s="1"/>
  <c r="S178" i="32"/>
  <c r="S175" i="32" s="1"/>
  <c r="Q179" i="32"/>
  <c r="R179" i="32"/>
  <c r="U179" i="32" s="1"/>
  <c r="S179" i="32"/>
  <c r="T179" i="32"/>
  <c r="O180" i="32"/>
  <c r="P180" i="32"/>
  <c r="T180" i="32"/>
  <c r="U180" i="32"/>
  <c r="L181" i="32"/>
  <c r="O181" i="32" s="1"/>
  <c r="M181" i="32"/>
  <c r="N181" i="32"/>
  <c r="N179" i="32" s="1"/>
  <c r="T181" i="32"/>
  <c r="U181" i="32"/>
  <c r="I183" i="32"/>
  <c r="I172" i="32" s="1"/>
  <c r="K172" i="32" s="1"/>
  <c r="K184" i="32"/>
  <c r="L187" i="32"/>
  <c r="M187" i="32"/>
  <c r="P187" i="32" s="1"/>
  <c r="N187" i="32"/>
  <c r="O187" i="32"/>
  <c r="Q187" i="32"/>
  <c r="T187" i="32" s="1"/>
  <c r="R187" i="32"/>
  <c r="U187" i="32" s="1"/>
  <c r="S187" i="32"/>
  <c r="O190" i="32"/>
  <c r="P190" i="32"/>
  <c r="T190" i="32"/>
  <c r="U190" i="32"/>
  <c r="L191" i="32"/>
  <c r="M191" i="32"/>
  <c r="M189" i="32" s="1"/>
  <c r="N191" i="32"/>
  <c r="Q191" i="32"/>
  <c r="Q189" i="32" s="1"/>
  <c r="R191" i="32"/>
  <c r="S191" i="32"/>
  <c r="O193" i="32"/>
  <c r="P193" i="32"/>
  <c r="T193" i="32"/>
  <c r="U193" i="32"/>
  <c r="L194" i="32"/>
  <c r="L192" i="32" s="1"/>
  <c r="O192" i="32" s="1"/>
  <c r="M194" i="32"/>
  <c r="M192" i="32" s="1"/>
  <c r="P192" i="32" s="1"/>
  <c r="N194" i="32"/>
  <c r="N192" i="32" s="1"/>
  <c r="Q194" i="32"/>
  <c r="Q192" i="32" s="1"/>
  <c r="T192" i="32" s="1"/>
  <c r="R194" i="32"/>
  <c r="R192" i="32" s="1"/>
  <c r="U192" i="32" s="1"/>
  <c r="S194" i="32"/>
  <c r="S192" i="32" s="1"/>
  <c r="J195" i="32"/>
  <c r="L196" i="32"/>
  <c r="O196" i="32" s="1"/>
  <c r="P196" i="32"/>
  <c r="I198" i="32"/>
  <c r="K198" i="32" s="1"/>
  <c r="J199" i="32"/>
  <c r="J202" i="32"/>
  <c r="N203" i="32"/>
  <c r="P203" i="32"/>
  <c r="S203" i="32"/>
  <c r="U203" i="32"/>
  <c r="L204" i="32"/>
  <c r="L205" i="32"/>
  <c r="L206" i="32"/>
  <c r="Q206" i="32"/>
  <c r="Q203" i="32" s="1"/>
  <c r="L207" i="32"/>
  <c r="I209" i="32"/>
  <c r="K209" i="32" s="1"/>
  <c r="I211" i="32"/>
  <c r="K211" i="32" s="1"/>
  <c r="I212" i="32"/>
  <c r="K212" i="32" s="1"/>
  <c r="J213" i="32"/>
  <c r="N214" i="32"/>
  <c r="P214" i="32"/>
  <c r="S214" i="32"/>
  <c r="U214" i="32"/>
  <c r="L215" i="32"/>
  <c r="L216" i="32"/>
  <c r="L217" i="32"/>
  <c r="Q217" i="32"/>
  <c r="Q214" i="32" s="1"/>
  <c r="T214" i="32" s="1"/>
  <c r="I219" i="32"/>
  <c r="K219" i="32" s="1"/>
  <c r="I220" i="32"/>
  <c r="I213" i="32" s="1"/>
  <c r="K213" i="32" s="1"/>
  <c r="J221" i="32"/>
  <c r="N222" i="32"/>
  <c r="P222" i="32"/>
  <c r="L223" i="32"/>
  <c r="L224" i="32"/>
  <c r="L225" i="32"/>
  <c r="I228" i="32"/>
  <c r="K228" i="32" s="1"/>
  <c r="I229" i="32"/>
  <c r="I230" i="32"/>
  <c r="K230" i="32" s="1"/>
  <c r="N233" i="32"/>
  <c r="N234" i="32"/>
  <c r="N235" i="32"/>
  <c r="N236" i="32"/>
  <c r="J238" i="32"/>
  <c r="I240" i="32"/>
  <c r="J240" i="32"/>
  <c r="K240" i="32"/>
  <c r="I241" i="32"/>
  <c r="K241" i="32" s="1"/>
  <c r="J241" i="32"/>
  <c r="J242" i="32"/>
  <c r="J231" i="32" s="1"/>
  <c r="J185" i="32" s="1"/>
  <c r="N243" i="32"/>
  <c r="P243" i="32"/>
  <c r="L244" i="32"/>
  <c r="L245" i="32"/>
  <c r="L246" i="32"/>
  <c r="L247" i="32"/>
  <c r="I249" i="32"/>
  <c r="K251" i="32"/>
  <c r="K252" i="32"/>
  <c r="J253" i="32"/>
  <c r="N254" i="32"/>
  <c r="P254" i="32"/>
  <c r="L255" i="32"/>
  <c r="L256" i="32"/>
  <c r="L257" i="32"/>
  <c r="L258" i="32"/>
  <c r="I260" i="32"/>
  <c r="K262" i="32"/>
  <c r="K263" i="32"/>
  <c r="J265" i="32"/>
  <c r="L267" i="32"/>
  <c r="M267" i="32"/>
  <c r="N267" i="32"/>
  <c r="P267" i="32"/>
  <c r="Q267" i="32"/>
  <c r="T267" i="32" s="1"/>
  <c r="R267" i="32"/>
  <c r="S267" i="32"/>
  <c r="O270" i="32"/>
  <c r="P270" i="32"/>
  <c r="T270" i="32"/>
  <c r="U270" i="32"/>
  <c r="L271" i="32"/>
  <c r="L269" i="32" s="1"/>
  <c r="M271" i="32"/>
  <c r="M269" i="32" s="1"/>
  <c r="N271" i="32"/>
  <c r="N269" i="32" s="1"/>
  <c r="Q271" i="32"/>
  <c r="Q268" i="32" s="1"/>
  <c r="R271" i="32"/>
  <c r="S271" i="32"/>
  <c r="Q272" i="32"/>
  <c r="T272" i="32" s="1"/>
  <c r="R272" i="32"/>
  <c r="S272" i="32"/>
  <c r="U272" i="32"/>
  <c r="O273" i="32"/>
  <c r="P273" i="32"/>
  <c r="T273" i="32"/>
  <c r="U273" i="32"/>
  <c r="L274" i="32"/>
  <c r="O274" i="32" s="1"/>
  <c r="M274" i="32"/>
  <c r="N274" i="32"/>
  <c r="T274" i="32"/>
  <c r="U274" i="32"/>
  <c r="I276" i="32"/>
  <c r="J281" i="32"/>
  <c r="L283" i="32"/>
  <c r="O283" i="32" s="1"/>
  <c r="M283" i="32"/>
  <c r="N283" i="32"/>
  <c r="Q283" i="32"/>
  <c r="R283" i="32"/>
  <c r="R282" i="32" s="1"/>
  <c r="U282" i="32" s="1"/>
  <c r="S283" i="32"/>
  <c r="S282" i="32" s="1"/>
  <c r="T283" i="32"/>
  <c r="U283" i="32"/>
  <c r="Q284" i="32"/>
  <c r="R284" i="32"/>
  <c r="S284" i="32"/>
  <c r="T284" i="32"/>
  <c r="U284" i="32"/>
  <c r="Q285" i="32"/>
  <c r="T285" i="32" s="1"/>
  <c r="R285" i="32"/>
  <c r="U285" i="32" s="1"/>
  <c r="S285" i="32"/>
  <c r="O286" i="32"/>
  <c r="P286" i="32"/>
  <c r="T286" i="32"/>
  <c r="U286" i="32"/>
  <c r="L287" i="32"/>
  <c r="L285" i="32" s="1"/>
  <c r="M287" i="32"/>
  <c r="M285" i="32" s="1"/>
  <c r="N287" i="32"/>
  <c r="N285" i="32" s="1"/>
  <c r="T287" i="32"/>
  <c r="U287" i="32"/>
  <c r="Q288" i="32"/>
  <c r="R288" i="32"/>
  <c r="S288" i="32"/>
  <c r="T288" i="32"/>
  <c r="U288" i="32"/>
  <c r="O289" i="32"/>
  <c r="P289" i="32"/>
  <c r="T289" i="32"/>
  <c r="U289" i="32"/>
  <c r="L290" i="32"/>
  <c r="O290" i="32" s="1"/>
  <c r="M290" i="32"/>
  <c r="N290" i="32"/>
  <c r="N288" i="32" s="1"/>
  <c r="T290" i="32"/>
  <c r="U290" i="32"/>
  <c r="I292" i="32"/>
  <c r="I281" i="32" s="1"/>
  <c r="K281" i="32" s="1"/>
  <c r="I293" i="32"/>
  <c r="I280" i="32" s="1"/>
  <c r="J293" i="32"/>
  <c r="J280" i="32" s="1"/>
  <c r="I295" i="32"/>
  <c r="K295" i="32" s="1"/>
  <c r="I296" i="32"/>
  <c r="K296" i="32" s="1"/>
  <c r="J302" i="32"/>
  <c r="L304" i="32"/>
  <c r="M304" i="32"/>
  <c r="P304" i="32" s="1"/>
  <c r="N304" i="32"/>
  <c r="O304" i="32"/>
  <c r="Q304" i="32"/>
  <c r="T304" i="32" s="1"/>
  <c r="R304" i="32"/>
  <c r="U304" i="32" s="1"/>
  <c r="S304" i="32"/>
  <c r="O307" i="32"/>
  <c r="P307" i="32"/>
  <c r="T307" i="32"/>
  <c r="U307" i="32"/>
  <c r="L308" i="32"/>
  <c r="L306" i="32" s="1"/>
  <c r="M308" i="32"/>
  <c r="N308" i="32"/>
  <c r="N306" i="32" s="1"/>
  <c r="Q308" i="32"/>
  <c r="Q305" i="32" s="1"/>
  <c r="Q303" i="32" s="1"/>
  <c r="R308" i="32"/>
  <c r="R305" i="32" s="1"/>
  <c r="S308" i="32"/>
  <c r="S306" i="32" s="1"/>
  <c r="Q309" i="32"/>
  <c r="T309" i="32" s="1"/>
  <c r="R309" i="32"/>
  <c r="U309" i="32" s="1"/>
  <c r="S309" i="32"/>
  <c r="O310" i="32"/>
  <c r="P310" i="32"/>
  <c r="T310" i="32"/>
  <c r="U310" i="32"/>
  <c r="L311" i="32"/>
  <c r="L309" i="32" s="1"/>
  <c r="O309" i="32" s="1"/>
  <c r="M311" i="32"/>
  <c r="M309" i="32" s="1"/>
  <c r="P309" i="32" s="1"/>
  <c r="N311" i="32"/>
  <c r="T311" i="32"/>
  <c r="U311" i="32"/>
  <c r="I314" i="32"/>
  <c r="I302" i="32" s="1"/>
  <c r="K302" i="32" s="1"/>
  <c r="J319" i="32"/>
  <c r="L321" i="32"/>
  <c r="M321" i="32"/>
  <c r="N321" i="32"/>
  <c r="Q321" i="32"/>
  <c r="T321" i="32" s="1"/>
  <c r="R321" i="32"/>
  <c r="S321" i="32"/>
  <c r="Q322" i="32"/>
  <c r="T322" i="32" s="1"/>
  <c r="R322" i="32"/>
  <c r="U322" i="32" s="1"/>
  <c r="S322" i="32"/>
  <c r="Q323" i="32"/>
  <c r="T323" i="32" s="1"/>
  <c r="R323" i="32"/>
  <c r="S323" i="32"/>
  <c r="U323" i="32"/>
  <c r="O324" i="32"/>
  <c r="P324" i="32"/>
  <c r="T324" i="32"/>
  <c r="U324" i="32"/>
  <c r="L325" i="32"/>
  <c r="O325" i="32" s="1"/>
  <c r="M325" i="32"/>
  <c r="P325" i="32" s="1"/>
  <c r="N325" i="32"/>
  <c r="T325" i="32"/>
  <c r="U325" i="32"/>
  <c r="Q326" i="32"/>
  <c r="T326" i="32" s="1"/>
  <c r="R326" i="32"/>
  <c r="U326" i="32" s="1"/>
  <c r="S326" i="32"/>
  <c r="O327" i="32"/>
  <c r="P327" i="32"/>
  <c r="T327" i="32"/>
  <c r="U327" i="32"/>
  <c r="L328" i="32"/>
  <c r="L326" i="32" s="1"/>
  <c r="O326" i="32" s="1"/>
  <c r="M328" i="32"/>
  <c r="M326" i="32" s="1"/>
  <c r="P326" i="32" s="1"/>
  <c r="N328" i="32"/>
  <c r="N326" i="32" s="1"/>
  <c r="T328" i="32"/>
  <c r="U328" i="32"/>
  <c r="I330" i="32"/>
  <c r="I319" i="32" s="1"/>
  <c r="K319" i="32" s="1"/>
  <c r="L334" i="32"/>
  <c r="O334" i="32" s="1"/>
  <c r="M334" i="32"/>
  <c r="N334" i="32"/>
  <c r="P334" i="32"/>
  <c r="Q334" i="32"/>
  <c r="T334" i="32" s="1"/>
  <c r="R334" i="32"/>
  <c r="S334" i="32"/>
  <c r="Q335" i="32"/>
  <c r="R335" i="32"/>
  <c r="U335" i="32" s="1"/>
  <c r="S335" i="32"/>
  <c r="Q336" i="32"/>
  <c r="T336" i="32" s="1"/>
  <c r="R336" i="32"/>
  <c r="U336" i="32" s="1"/>
  <c r="S336" i="32"/>
  <c r="O337" i="32"/>
  <c r="P337" i="32"/>
  <c r="T337" i="32"/>
  <c r="U337" i="32"/>
  <c r="L338" i="32"/>
  <c r="M338" i="32"/>
  <c r="N338" i="32"/>
  <c r="T338" i="32"/>
  <c r="U338" i="32"/>
  <c r="Q339" i="32"/>
  <c r="T339" i="32" s="1"/>
  <c r="R339" i="32"/>
  <c r="U339" i="32" s="1"/>
  <c r="S339" i="32"/>
  <c r="O340" i="32"/>
  <c r="P340" i="32"/>
  <c r="T340" i="32"/>
  <c r="U340" i="32"/>
  <c r="L341" i="32"/>
  <c r="L339" i="32" s="1"/>
  <c r="O339" i="32" s="1"/>
  <c r="M341" i="32"/>
  <c r="P341" i="32" s="1"/>
  <c r="N341" i="32"/>
  <c r="N339" i="32" s="1"/>
  <c r="T341" i="32"/>
  <c r="U341" i="32"/>
  <c r="I344" i="32"/>
  <c r="J344" i="32"/>
  <c r="I346" i="32"/>
  <c r="J346" i="32"/>
  <c r="J347" i="32"/>
  <c r="J348" i="32"/>
  <c r="J349" i="32"/>
  <c r="D350" i="32"/>
  <c r="J352" i="32"/>
  <c r="J353" i="32"/>
  <c r="J354" i="32"/>
  <c r="L357" i="32"/>
  <c r="M357" i="32"/>
  <c r="N357" i="32"/>
  <c r="Q357" i="32"/>
  <c r="R357" i="32"/>
  <c r="S357" i="32"/>
  <c r="S356" i="32" s="1"/>
  <c r="Q358" i="32"/>
  <c r="R358" i="32"/>
  <c r="U358" i="32" s="1"/>
  <c r="S358" i="32"/>
  <c r="T358" i="32"/>
  <c r="Q359" i="32"/>
  <c r="T359" i="32" s="1"/>
  <c r="R359" i="32"/>
  <c r="S359" i="32"/>
  <c r="U359" i="32"/>
  <c r="O360" i="32"/>
  <c r="P360" i="32"/>
  <c r="T360" i="32"/>
  <c r="U360" i="32"/>
  <c r="L361" i="32"/>
  <c r="L359" i="32" s="1"/>
  <c r="M361" i="32"/>
  <c r="N361" i="32"/>
  <c r="T361" i="32"/>
  <c r="U361" i="32"/>
  <c r="Q362" i="32"/>
  <c r="R362" i="32"/>
  <c r="U362" i="32" s="1"/>
  <c r="S362" i="32"/>
  <c r="T362" i="32"/>
  <c r="O363" i="32"/>
  <c r="P363" i="32"/>
  <c r="T363" i="32"/>
  <c r="U363" i="32"/>
  <c r="L364" i="32"/>
  <c r="L362" i="32" s="1"/>
  <c r="O362" i="32" s="1"/>
  <c r="M364" i="32"/>
  <c r="M362" i="32" s="1"/>
  <c r="P362" i="32" s="1"/>
  <c r="N364" i="32"/>
  <c r="N362" i="32" s="1"/>
  <c r="T364" i="32"/>
  <c r="U364" i="32"/>
  <c r="J367" i="32"/>
  <c r="K367" i="32"/>
  <c r="I368" i="32"/>
  <c r="J368" i="32"/>
  <c r="I369" i="32"/>
  <c r="J369" i="32"/>
  <c r="J370" i="32"/>
  <c r="K370" i="32"/>
  <c r="I371" i="32"/>
  <c r="J371" i="32"/>
  <c r="J365" i="32" s="1"/>
  <c r="J372" i="32"/>
  <c r="K372" i="32"/>
  <c r="D373" i="32"/>
  <c r="J374" i="32"/>
  <c r="L376" i="32"/>
  <c r="M376" i="32"/>
  <c r="P376" i="32" s="1"/>
  <c r="N376" i="32"/>
  <c r="Q376" i="32"/>
  <c r="T376" i="32" s="1"/>
  <c r="R376" i="32"/>
  <c r="S376" i="32"/>
  <c r="O379" i="32"/>
  <c r="P379" i="32"/>
  <c r="T379" i="32"/>
  <c r="U379" i="32"/>
  <c r="L380" i="32"/>
  <c r="M380" i="32"/>
  <c r="N380" i="32"/>
  <c r="N378" i="32" s="1"/>
  <c r="Q380" i="32"/>
  <c r="R380" i="32"/>
  <c r="R378" i="32" s="1"/>
  <c r="S380" i="32"/>
  <c r="S377" i="32" s="1"/>
  <c r="S375" i="32" s="1"/>
  <c r="Q381" i="32"/>
  <c r="T381" i="32" s="1"/>
  <c r="R381" i="32"/>
  <c r="U381" i="32" s="1"/>
  <c r="S381" i="32"/>
  <c r="O382" i="32"/>
  <c r="P382" i="32"/>
  <c r="T382" i="32"/>
  <c r="U382" i="32"/>
  <c r="L383" i="32"/>
  <c r="O383" i="32" s="1"/>
  <c r="M383" i="32"/>
  <c r="M381" i="32" s="1"/>
  <c r="P381" i="32" s="1"/>
  <c r="N383" i="32"/>
  <c r="N381" i="32" s="1"/>
  <c r="T383" i="32"/>
  <c r="U383" i="32"/>
  <c r="I385" i="32"/>
  <c r="I374" i="32" s="1"/>
  <c r="K374" i="32" s="1"/>
  <c r="I386" i="32"/>
  <c r="K386" i="32" s="1"/>
  <c r="K387" i="32"/>
  <c r="K388" i="32"/>
  <c r="I391" i="32"/>
  <c r="K391" i="32" s="1"/>
  <c r="J391" i="32"/>
  <c r="L393" i="32"/>
  <c r="L392" i="32" s="1"/>
  <c r="O392" i="32" s="1"/>
  <c r="M393" i="32"/>
  <c r="P393" i="32" s="1"/>
  <c r="N393" i="32"/>
  <c r="Q393" i="32"/>
  <c r="R393" i="32"/>
  <c r="U393" i="32" s="1"/>
  <c r="S393" i="32"/>
  <c r="T393" i="32"/>
  <c r="L394" i="32"/>
  <c r="O394" i="32" s="1"/>
  <c r="M394" i="32"/>
  <c r="P394" i="32" s="1"/>
  <c r="N394" i="32"/>
  <c r="L395" i="32"/>
  <c r="O395" i="32" s="1"/>
  <c r="M395" i="32"/>
  <c r="P395" i="32" s="1"/>
  <c r="N395" i="32"/>
  <c r="O396" i="32"/>
  <c r="P396" i="32"/>
  <c r="T396" i="32"/>
  <c r="U396" i="32"/>
  <c r="O397" i="32"/>
  <c r="P397" i="32"/>
  <c r="Q397" i="32"/>
  <c r="T397" i="32" s="1"/>
  <c r="R397" i="32"/>
  <c r="R395" i="32" s="1"/>
  <c r="U395" i="32" s="1"/>
  <c r="S397" i="32"/>
  <c r="L398" i="32"/>
  <c r="O398" i="32" s="1"/>
  <c r="M398" i="32"/>
  <c r="P398" i="32" s="1"/>
  <c r="N398" i="32"/>
  <c r="Q398" i="32"/>
  <c r="T398" i="32" s="1"/>
  <c r="R398" i="32"/>
  <c r="U398" i="32" s="1"/>
  <c r="S398" i="32"/>
  <c r="O399" i="32"/>
  <c r="P399" i="32"/>
  <c r="T399" i="32"/>
  <c r="U399" i="32"/>
  <c r="O400" i="32"/>
  <c r="P400" i="32"/>
  <c r="T400" i="32"/>
  <c r="U400" i="32"/>
  <c r="L414" i="32"/>
  <c r="O414" i="32" s="1"/>
  <c r="M414" i="32"/>
  <c r="N414" i="32"/>
  <c r="Q414" i="32"/>
  <c r="T414" i="32" s="1"/>
  <c r="R414" i="32"/>
  <c r="U414" i="32" s="1"/>
  <c r="S414" i="32"/>
  <c r="O417" i="32"/>
  <c r="P417" i="32"/>
  <c r="T417" i="32"/>
  <c r="U417" i="32"/>
  <c r="L418" i="32"/>
  <c r="M418" i="32"/>
  <c r="M416" i="32" s="1"/>
  <c r="N418" i="32"/>
  <c r="N416" i="32" s="1"/>
  <c r="Q418" i="32"/>
  <c r="Q416" i="32" s="1"/>
  <c r="R418" i="32"/>
  <c r="S418" i="32"/>
  <c r="Q419" i="32"/>
  <c r="T419" i="32" s="1"/>
  <c r="R419" i="32"/>
  <c r="U419" i="32" s="1"/>
  <c r="S419" i="32"/>
  <c r="O420" i="32"/>
  <c r="P420" i="32"/>
  <c r="T420" i="32"/>
  <c r="U420" i="32"/>
  <c r="L421" i="32"/>
  <c r="O421" i="32" s="1"/>
  <c r="M421" i="32"/>
  <c r="M419" i="32" s="1"/>
  <c r="P419" i="32" s="1"/>
  <c r="N421" i="32"/>
  <c r="N419" i="32" s="1"/>
  <c r="T421" i="32"/>
  <c r="U421" i="32"/>
  <c r="I424" i="32"/>
  <c r="K424" i="32" s="1"/>
  <c r="J424" i="32"/>
  <c r="I425" i="32"/>
  <c r="K425" i="32" s="1"/>
  <c r="J425" i="32"/>
  <c r="I432" i="32"/>
  <c r="K432" i="32" s="1"/>
  <c r="J432" i="32"/>
  <c r="I433" i="32"/>
  <c r="K433" i="32" s="1"/>
  <c r="J433" i="32"/>
  <c r="I440" i="32"/>
  <c r="K440" i="32" s="1"/>
  <c r="I441" i="32"/>
  <c r="K441" i="32" s="1"/>
  <c r="J446" i="32"/>
  <c r="J440" i="32" s="1"/>
  <c r="J423" i="32" s="1"/>
  <c r="J412" i="32" s="1"/>
  <c r="J447" i="32"/>
  <c r="J441" i="32" s="1"/>
  <c r="I457" i="32"/>
  <c r="I458" i="32"/>
  <c r="K458" i="32" s="1"/>
  <c r="J459" i="32"/>
  <c r="J460" i="32"/>
  <c r="J467" i="32"/>
  <c r="J468" i="32"/>
  <c r="J475" i="32"/>
  <c r="K475" i="32"/>
  <c r="J476" i="32"/>
  <c r="K476" i="32"/>
  <c r="J477" i="32"/>
  <c r="K477" i="32"/>
  <c r="J482" i="32"/>
  <c r="J483" i="32"/>
  <c r="I484" i="32"/>
  <c r="K484" i="32" s="1"/>
  <c r="J484" i="32"/>
  <c r="I485" i="32"/>
  <c r="K485" i="32" s="1"/>
  <c r="J485" i="32"/>
  <c r="L494" i="32"/>
  <c r="M494" i="32"/>
  <c r="P494" i="32" s="1"/>
  <c r="N494" i="32"/>
  <c r="Q494" i="32"/>
  <c r="R494" i="32"/>
  <c r="S494" i="32"/>
  <c r="O497" i="32"/>
  <c r="P497" i="32"/>
  <c r="T497" i="32"/>
  <c r="U497" i="32"/>
  <c r="L498" i="32"/>
  <c r="L496" i="32" s="1"/>
  <c r="O496" i="32" s="1"/>
  <c r="M498" i="32"/>
  <c r="M496" i="32" s="1"/>
  <c r="P496" i="32" s="1"/>
  <c r="N498" i="32"/>
  <c r="N496" i="32" s="1"/>
  <c r="Q498" i="32"/>
  <c r="Q496" i="32" s="1"/>
  <c r="T496" i="32" s="1"/>
  <c r="R498" i="32"/>
  <c r="R495" i="32" s="1"/>
  <c r="U495" i="32" s="1"/>
  <c r="S498" i="32"/>
  <c r="S495" i="32" s="1"/>
  <c r="Q499" i="32"/>
  <c r="T499" i="32" s="1"/>
  <c r="R499" i="32"/>
  <c r="U499" i="32" s="1"/>
  <c r="S499" i="32"/>
  <c r="O500" i="32"/>
  <c r="P500" i="32"/>
  <c r="T500" i="32"/>
  <c r="U500" i="32"/>
  <c r="L501" i="32"/>
  <c r="L499" i="32" s="1"/>
  <c r="O499" i="32" s="1"/>
  <c r="M501" i="32"/>
  <c r="P501" i="32" s="1"/>
  <c r="N501" i="32"/>
  <c r="N499" i="32" s="1"/>
  <c r="T501" i="32"/>
  <c r="U501" i="32"/>
  <c r="I503" i="32"/>
  <c r="I492" i="32" s="1"/>
  <c r="K492" i="32" s="1"/>
  <c r="I504" i="32"/>
  <c r="I505" i="32"/>
  <c r="K505" i="32" s="1"/>
  <c r="I506" i="32"/>
  <c r="K506" i="32" s="1"/>
  <c r="I507" i="32"/>
  <c r="K507" i="32" s="1"/>
  <c r="K508" i="32"/>
  <c r="I509" i="32"/>
  <c r="K509" i="32" s="1"/>
  <c r="I512" i="32"/>
  <c r="J512" i="32"/>
  <c r="K512" i="32"/>
  <c r="L514" i="32"/>
  <c r="M514" i="32"/>
  <c r="N514" i="32"/>
  <c r="O514" i="32"/>
  <c r="Q514" i="32"/>
  <c r="R514" i="32"/>
  <c r="S514" i="32"/>
  <c r="U514" i="32"/>
  <c r="Q515" i="32"/>
  <c r="T515" i="32" s="1"/>
  <c r="R515" i="32"/>
  <c r="U515" i="32" s="1"/>
  <c r="S515" i="32"/>
  <c r="Q516" i="32"/>
  <c r="T516" i="32" s="1"/>
  <c r="R516" i="32"/>
  <c r="S516" i="32"/>
  <c r="U516" i="32"/>
  <c r="O517" i="32"/>
  <c r="P517" i="32"/>
  <c r="T517" i="32"/>
  <c r="U517" i="32"/>
  <c r="L518" i="32"/>
  <c r="L516" i="32" s="1"/>
  <c r="O516" i="32" s="1"/>
  <c r="M518" i="32"/>
  <c r="N518" i="32"/>
  <c r="N516" i="32" s="1"/>
  <c r="T518" i="32"/>
  <c r="U518" i="32"/>
  <c r="Q519" i="32"/>
  <c r="T519" i="32" s="1"/>
  <c r="R519" i="32"/>
  <c r="U519" i="32" s="1"/>
  <c r="S519" i="32"/>
  <c r="O520" i="32"/>
  <c r="P520" i="32"/>
  <c r="T520" i="32"/>
  <c r="U520" i="32"/>
  <c r="L521" i="32"/>
  <c r="L519" i="32" s="1"/>
  <c r="O519" i="32" s="1"/>
  <c r="M521" i="32"/>
  <c r="M519" i="32" s="1"/>
  <c r="P519" i="32" s="1"/>
  <c r="N521" i="32"/>
  <c r="N519" i="32" s="1"/>
  <c r="T521" i="32"/>
  <c r="U521" i="32"/>
  <c r="K523" i="32"/>
  <c r="K524" i="32"/>
  <c r="I533" i="32"/>
  <c r="K533" i="32" s="1"/>
  <c r="J533" i="32"/>
  <c r="L535" i="32"/>
  <c r="O535" i="32" s="1"/>
  <c r="M535" i="32"/>
  <c r="N535" i="32"/>
  <c r="P535" i="32"/>
  <c r="Q535" i="32"/>
  <c r="R535" i="32"/>
  <c r="U535" i="32" s="1"/>
  <c r="S535" i="32"/>
  <c r="T535" i="32"/>
  <c r="Q536" i="32"/>
  <c r="T536" i="32" s="1"/>
  <c r="R536" i="32"/>
  <c r="U536" i="32" s="1"/>
  <c r="S536" i="32"/>
  <c r="Q537" i="32"/>
  <c r="T537" i="32" s="1"/>
  <c r="R537" i="32"/>
  <c r="U537" i="32" s="1"/>
  <c r="S537" i="32"/>
  <c r="O538" i="32"/>
  <c r="P538" i="32"/>
  <c r="T538" i="32"/>
  <c r="U538" i="32"/>
  <c r="L539" i="32"/>
  <c r="L537" i="32" s="1"/>
  <c r="O537" i="32" s="1"/>
  <c r="M539" i="32"/>
  <c r="M537" i="32" s="1"/>
  <c r="P537" i="32" s="1"/>
  <c r="N539" i="32"/>
  <c r="T539" i="32"/>
  <c r="U539" i="32"/>
  <c r="Q540" i="32"/>
  <c r="T540" i="32" s="1"/>
  <c r="R540" i="32"/>
  <c r="U540" i="32" s="1"/>
  <c r="S540" i="32"/>
  <c r="O541" i="32"/>
  <c r="P541" i="32"/>
  <c r="T541" i="32"/>
  <c r="U541" i="32"/>
  <c r="L542" i="32"/>
  <c r="L540" i="32" s="1"/>
  <c r="O540" i="32" s="1"/>
  <c r="M542" i="32"/>
  <c r="M540" i="32" s="1"/>
  <c r="P540" i="32" s="1"/>
  <c r="N542" i="32"/>
  <c r="N540" i="32" s="1"/>
  <c r="T542" i="32"/>
  <c r="U542" i="32"/>
  <c r="I554" i="32"/>
  <c r="K554" i="32" s="1"/>
  <c r="J554" i="32"/>
  <c r="L556" i="32"/>
  <c r="M556" i="32"/>
  <c r="N556" i="32"/>
  <c r="O556" i="32"/>
  <c r="Q556" i="32"/>
  <c r="R556" i="32"/>
  <c r="S556" i="32"/>
  <c r="Q557" i="32"/>
  <c r="T557" i="32" s="1"/>
  <c r="R557" i="32"/>
  <c r="U557" i="32" s="1"/>
  <c r="S557" i="32"/>
  <c r="Q558" i="32"/>
  <c r="T558" i="32" s="1"/>
  <c r="R558" i="32"/>
  <c r="U558" i="32" s="1"/>
  <c r="S558" i="32"/>
  <c r="O559" i="32"/>
  <c r="P559" i="32"/>
  <c r="T559" i="32"/>
  <c r="U559" i="32"/>
  <c r="L560" i="32"/>
  <c r="M560" i="32"/>
  <c r="M558" i="32" s="1"/>
  <c r="P558" i="32" s="1"/>
  <c r="N560" i="32"/>
  <c r="N558" i="32" s="1"/>
  <c r="T560" i="32"/>
  <c r="U560" i="32"/>
  <c r="Q561" i="32"/>
  <c r="R561" i="32"/>
  <c r="U561" i="32" s="1"/>
  <c r="S561" i="32"/>
  <c r="T561" i="32"/>
  <c r="O562" i="32"/>
  <c r="P562" i="32"/>
  <c r="T562" i="32"/>
  <c r="U562" i="32"/>
  <c r="L563" i="32"/>
  <c r="M563" i="32"/>
  <c r="M561" i="32" s="1"/>
  <c r="P561" i="32" s="1"/>
  <c r="N563" i="32"/>
  <c r="N561" i="32" s="1"/>
  <c r="T563" i="32"/>
  <c r="U563" i="32"/>
  <c r="I575" i="32"/>
  <c r="K575" i="32" s="1"/>
  <c r="J575" i="32"/>
  <c r="L577" i="32"/>
  <c r="O577" i="32" s="1"/>
  <c r="M577" i="32"/>
  <c r="N577" i="32"/>
  <c r="P577" i="32"/>
  <c r="Q577" i="32"/>
  <c r="Q576" i="32" s="1"/>
  <c r="T576" i="32" s="1"/>
  <c r="R577" i="32"/>
  <c r="U577" i="32" s="1"/>
  <c r="S577" i="32"/>
  <c r="Q578" i="32"/>
  <c r="R578" i="32"/>
  <c r="U578" i="32" s="1"/>
  <c r="S578" i="32"/>
  <c r="T578" i="32"/>
  <c r="Q579" i="32"/>
  <c r="R579" i="32"/>
  <c r="U579" i="32" s="1"/>
  <c r="S579" i="32"/>
  <c r="T579" i="32"/>
  <c r="O580" i="32"/>
  <c r="P580" i="32"/>
  <c r="T580" i="32"/>
  <c r="U580" i="32"/>
  <c r="L581" i="32"/>
  <c r="L579" i="32" s="1"/>
  <c r="M581" i="32"/>
  <c r="M579" i="32" s="1"/>
  <c r="N581" i="32"/>
  <c r="T581" i="32"/>
  <c r="U581" i="32"/>
  <c r="Q582" i="32"/>
  <c r="T582" i="32" s="1"/>
  <c r="R582" i="32"/>
  <c r="U582" i="32" s="1"/>
  <c r="S582" i="32"/>
  <c r="O583" i="32"/>
  <c r="P583" i="32"/>
  <c r="T583" i="32"/>
  <c r="U583" i="32"/>
  <c r="L584" i="32"/>
  <c r="L582" i="32" s="1"/>
  <c r="O582" i="32" s="1"/>
  <c r="M584" i="32"/>
  <c r="M582" i="32" s="1"/>
  <c r="P582" i="32" s="1"/>
  <c r="N584" i="32"/>
  <c r="N582" i="32" s="1"/>
  <c r="T584" i="32"/>
  <c r="U584" i="32"/>
  <c r="K586" i="32"/>
  <c r="K587" i="32"/>
  <c r="L600" i="32"/>
  <c r="O600" i="32" s="1"/>
  <c r="M600" i="32"/>
  <c r="P600" i="32" s="1"/>
  <c r="N600" i="32"/>
  <c r="Q600" i="32"/>
  <c r="R600" i="32"/>
  <c r="U600" i="32" s="1"/>
  <c r="S600" i="32"/>
  <c r="T600" i="32"/>
  <c r="O603" i="32"/>
  <c r="P603" i="32"/>
  <c r="T603" i="32"/>
  <c r="U603" i="32"/>
  <c r="L604" i="32"/>
  <c r="L602" i="32" s="1"/>
  <c r="O602" i="32" s="1"/>
  <c r="M604" i="32"/>
  <c r="N604" i="32"/>
  <c r="N602" i="32" s="1"/>
  <c r="Q604" i="32"/>
  <c r="Q602" i="32" s="1"/>
  <c r="T602" i="32" s="1"/>
  <c r="R604" i="32"/>
  <c r="U604" i="32" s="1"/>
  <c r="S604" i="32"/>
  <c r="O606" i="32"/>
  <c r="P606" i="32"/>
  <c r="T606" i="32"/>
  <c r="U606" i="32"/>
  <c r="L607" i="32"/>
  <c r="O607" i="32" s="1"/>
  <c r="M607" i="32"/>
  <c r="P607" i="32" s="1"/>
  <c r="N607" i="32"/>
  <c r="N605" i="32" s="1"/>
  <c r="Q607" i="32"/>
  <c r="Q605" i="32" s="1"/>
  <c r="T605" i="32" s="1"/>
  <c r="R607" i="32"/>
  <c r="U607" i="32" s="1"/>
  <c r="S607" i="32"/>
  <c r="S605" i="32" s="1"/>
  <c r="M616" i="32"/>
  <c r="P616" i="32" s="1"/>
  <c r="L617" i="32"/>
  <c r="M617" i="32"/>
  <c r="P617" i="32" s="1"/>
  <c r="N617" i="32"/>
  <c r="Q617" i="32"/>
  <c r="T617" i="32" s="1"/>
  <c r="R617" i="32"/>
  <c r="S617" i="32"/>
  <c r="L618" i="32"/>
  <c r="M618" i="32"/>
  <c r="P618" i="32" s="1"/>
  <c r="N618" i="32"/>
  <c r="O618" i="32"/>
  <c r="L619" i="32"/>
  <c r="O619" i="32" s="1"/>
  <c r="M619" i="32"/>
  <c r="P619" i="32" s="1"/>
  <c r="N619" i="32"/>
  <c r="O620" i="32"/>
  <c r="P620" i="32"/>
  <c r="T620" i="32"/>
  <c r="U620" i="32"/>
  <c r="O621" i="32"/>
  <c r="P621" i="32"/>
  <c r="Q621" i="32"/>
  <c r="R621" i="32"/>
  <c r="R618" i="32" s="1"/>
  <c r="S621" i="32"/>
  <c r="S618" i="32" s="1"/>
  <c r="L622" i="32"/>
  <c r="M622" i="32"/>
  <c r="P622" i="32" s="1"/>
  <c r="N622" i="32"/>
  <c r="O622" i="32"/>
  <c r="Q622" i="32"/>
  <c r="T622" i="32" s="1"/>
  <c r="R622" i="32"/>
  <c r="S622" i="32"/>
  <c r="U622" i="32"/>
  <c r="O623" i="32"/>
  <c r="P623" i="32"/>
  <c r="T623" i="32"/>
  <c r="U623" i="32"/>
  <c r="O624" i="32"/>
  <c r="P624" i="32"/>
  <c r="T624" i="32"/>
  <c r="U624" i="32"/>
  <c r="I626" i="32"/>
  <c r="I615" i="32" s="1"/>
  <c r="I627" i="32"/>
  <c r="K627" i="32" s="1"/>
  <c r="I628" i="32"/>
  <c r="K628" i="32" s="1"/>
  <c r="J632" i="32"/>
  <c r="I635" i="32"/>
  <c r="K635" i="32" s="1"/>
  <c r="J636" i="32"/>
  <c r="J635" i="32" s="1"/>
  <c r="L643" i="32"/>
  <c r="O643" i="32" s="1"/>
  <c r="M643" i="32"/>
  <c r="N643" i="32"/>
  <c r="Q643" i="32"/>
  <c r="R643" i="32"/>
  <c r="U643" i="32" s="1"/>
  <c r="S643" i="32"/>
  <c r="L644" i="32"/>
  <c r="O644" i="32" s="1"/>
  <c r="M644" i="32"/>
  <c r="N644" i="32"/>
  <c r="P644" i="32"/>
  <c r="L645" i="32"/>
  <c r="O645" i="32" s="1"/>
  <c r="M645" i="32"/>
  <c r="N645" i="32"/>
  <c r="P645" i="32"/>
  <c r="O646" i="32"/>
  <c r="P646" i="32"/>
  <c r="T646" i="32"/>
  <c r="U646" i="32"/>
  <c r="O647" i="32"/>
  <c r="P647" i="32"/>
  <c r="Q647" i="32"/>
  <c r="Q644" i="32" s="1"/>
  <c r="R647" i="32"/>
  <c r="R644" i="32" s="1"/>
  <c r="R642" i="32" s="1"/>
  <c r="S647" i="32"/>
  <c r="S645" i="32" s="1"/>
  <c r="L648" i="32"/>
  <c r="O648" i="32" s="1"/>
  <c r="M648" i="32"/>
  <c r="P648" i="32" s="1"/>
  <c r="N648" i="32"/>
  <c r="Q648" i="32"/>
  <c r="T648" i="32" s="1"/>
  <c r="R648" i="32"/>
  <c r="U648" i="32" s="1"/>
  <c r="S648" i="32"/>
  <c r="O649" i="32"/>
  <c r="P649" i="32"/>
  <c r="T649" i="32"/>
  <c r="U649" i="32"/>
  <c r="O650" i="32"/>
  <c r="P650" i="32"/>
  <c r="T650" i="32"/>
  <c r="U650" i="32"/>
  <c r="I652" i="32"/>
  <c r="K652" i="32" s="1"/>
  <c r="J652" i="32"/>
  <c r="I653" i="32"/>
  <c r="K653" i="32" s="1"/>
  <c r="J653" i="32"/>
  <c r="I654" i="32"/>
  <c r="J654" i="32"/>
  <c r="I657" i="32"/>
  <c r="I660" i="32"/>
  <c r="I661" i="32"/>
  <c r="J661" i="32"/>
  <c r="J671" i="32"/>
  <c r="J672" i="32"/>
  <c r="I673" i="32"/>
  <c r="J673" i="32"/>
  <c r="I674" i="32"/>
  <c r="I675" i="32"/>
  <c r="I676" i="32"/>
  <c r="J676" i="32"/>
  <c r="J677" i="32"/>
  <c r="I678" i="32"/>
  <c r="J678" i="32"/>
  <c r="I679" i="32"/>
  <c r="K679" i="32" s="1"/>
  <c r="J679" i="32"/>
  <c r="J680" i="32"/>
  <c r="I681" i="32"/>
  <c r="K681" i="32" s="1"/>
  <c r="J681" i="32"/>
  <c r="I682" i="32"/>
  <c r="J682" i="32"/>
  <c r="L691" i="32"/>
  <c r="O691" i="32" s="1"/>
  <c r="M691" i="32"/>
  <c r="N691" i="32"/>
  <c r="Q691" i="32"/>
  <c r="R691" i="32"/>
  <c r="U691" i="32" s="1"/>
  <c r="S691" i="32"/>
  <c r="L692" i="32"/>
  <c r="M692" i="32"/>
  <c r="P692" i="32" s="1"/>
  <c r="N692" i="32"/>
  <c r="O692" i="32"/>
  <c r="L693" i="32"/>
  <c r="O693" i="32" s="1"/>
  <c r="M693" i="32"/>
  <c r="N693" i="32"/>
  <c r="P693" i="32"/>
  <c r="O694" i="32"/>
  <c r="P694" i="32"/>
  <c r="T694" i="32"/>
  <c r="U694" i="32"/>
  <c r="O695" i="32"/>
  <c r="P695" i="32"/>
  <c r="Q695" i="32"/>
  <c r="Q692" i="32" s="1"/>
  <c r="R695" i="32"/>
  <c r="R692" i="32" s="1"/>
  <c r="S695" i="32"/>
  <c r="S693" i="32" s="1"/>
  <c r="L696" i="32"/>
  <c r="M696" i="32"/>
  <c r="P696" i="32" s="1"/>
  <c r="N696" i="32"/>
  <c r="O696" i="32"/>
  <c r="Q696" i="32"/>
  <c r="T696" i="32" s="1"/>
  <c r="R696" i="32"/>
  <c r="U696" i="32" s="1"/>
  <c r="S696" i="32"/>
  <c r="O697" i="32"/>
  <c r="P697" i="32"/>
  <c r="T697" i="32"/>
  <c r="U697" i="32"/>
  <c r="O698" i="32"/>
  <c r="P698" i="32"/>
  <c r="T698" i="32"/>
  <c r="U698" i="32"/>
  <c r="I700" i="32"/>
  <c r="K700" i="32" s="1"/>
  <c r="K702" i="32"/>
  <c r="I703" i="32"/>
  <c r="J703" i="32"/>
  <c r="J704" i="32"/>
  <c r="K704" i="32"/>
  <c r="I705" i="32"/>
  <c r="J705" i="32"/>
  <c r="J706" i="32"/>
  <c r="K706" i="32"/>
  <c r="I707" i="32"/>
  <c r="I689" i="32" s="1"/>
  <c r="J707" i="32"/>
  <c r="J689" i="32" s="1"/>
  <c r="J708" i="32"/>
  <c r="K708" i="32"/>
  <c r="I709" i="32"/>
  <c r="K709" i="32" s="1"/>
  <c r="J709" i="32"/>
  <c r="J710" i="32"/>
  <c r="K710" i="32"/>
  <c r="J712" i="32"/>
  <c r="K712" i="32"/>
  <c r="L715" i="32"/>
  <c r="M715" i="32"/>
  <c r="M714" i="32" s="1"/>
  <c r="P714" i="32" s="1"/>
  <c r="N715" i="32"/>
  <c r="N714" i="32" s="1"/>
  <c r="Q715" i="32"/>
  <c r="Q714" i="32" s="1"/>
  <c r="T714" i="32" s="1"/>
  <c r="R715" i="32"/>
  <c r="S715" i="32"/>
  <c r="L716" i="32"/>
  <c r="O716" i="32" s="1"/>
  <c r="M716" i="32"/>
  <c r="N716" i="32"/>
  <c r="P716" i="32"/>
  <c r="Q716" i="32"/>
  <c r="T716" i="32" s="1"/>
  <c r="R716" i="32"/>
  <c r="U716" i="32" s="1"/>
  <c r="S716" i="32"/>
  <c r="L717" i="32"/>
  <c r="O717" i="32" s="1"/>
  <c r="M717" i="32"/>
  <c r="N717" i="32"/>
  <c r="P717" i="32"/>
  <c r="Q717" i="32"/>
  <c r="T717" i="32" s="1"/>
  <c r="R717" i="32"/>
  <c r="U717" i="32" s="1"/>
  <c r="S717" i="32"/>
  <c r="O718" i="32"/>
  <c r="P718" i="32"/>
  <c r="T718" i="32"/>
  <c r="U718" i="32"/>
  <c r="O719" i="32"/>
  <c r="P719" i="32"/>
  <c r="T719" i="32"/>
  <c r="U719" i="32"/>
  <c r="L720" i="32"/>
  <c r="O720" i="32" s="1"/>
  <c r="M720" i="32"/>
  <c r="P720" i="32" s="1"/>
  <c r="N720" i="32"/>
  <c r="Q720" i="32"/>
  <c r="T720" i="32" s="1"/>
  <c r="R720" i="32"/>
  <c r="U720" i="32" s="1"/>
  <c r="S720" i="32"/>
  <c r="O721" i="32"/>
  <c r="P721" i="32"/>
  <c r="T721" i="32"/>
  <c r="U721" i="32"/>
  <c r="O722" i="32"/>
  <c r="P722" i="32"/>
  <c r="T722" i="32"/>
  <c r="U722" i="32"/>
  <c r="I726" i="32"/>
  <c r="K726" i="32" s="1"/>
  <c r="J726" i="32"/>
  <c r="I727" i="32"/>
  <c r="K727" i="32" s="1"/>
  <c r="J727" i="32"/>
  <c r="L729" i="32"/>
  <c r="M729" i="32"/>
  <c r="N729" i="32"/>
  <c r="N728" i="32" s="1"/>
  <c r="P729" i="32"/>
  <c r="Q729" i="32"/>
  <c r="T729" i="32" s="1"/>
  <c r="R729" i="32"/>
  <c r="S729" i="32"/>
  <c r="L730" i="32"/>
  <c r="O730" i="32" s="1"/>
  <c r="M730" i="32"/>
  <c r="M728" i="32" s="1"/>
  <c r="P728" i="32" s="1"/>
  <c r="N730" i="32"/>
  <c r="P730" i="32"/>
  <c r="L731" i="32"/>
  <c r="O731" i="32" s="1"/>
  <c r="M731" i="32"/>
  <c r="P731" i="32" s="1"/>
  <c r="N731" i="32"/>
  <c r="O732" i="32"/>
  <c r="P732" i="32"/>
  <c r="T732" i="32"/>
  <c r="U732" i="32"/>
  <c r="O733" i="32"/>
  <c r="P733" i="32"/>
  <c r="Q733" i="32"/>
  <c r="Q731" i="32" s="1"/>
  <c r="R733" i="32"/>
  <c r="S733" i="32"/>
  <c r="S731" i="32" s="1"/>
  <c r="L734" i="32"/>
  <c r="M734" i="32"/>
  <c r="P734" i="32" s="1"/>
  <c r="N734" i="32"/>
  <c r="O734" i="32"/>
  <c r="Q734" i="32"/>
  <c r="T734" i="32" s="1"/>
  <c r="R734" i="32"/>
  <c r="U734" i="32" s="1"/>
  <c r="S734" i="32"/>
  <c r="O735" i="32"/>
  <c r="P735" i="32"/>
  <c r="T735" i="32"/>
  <c r="U735" i="32"/>
  <c r="O736" i="32"/>
  <c r="P736" i="32"/>
  <c r="T736" i="32"/>
  <c r="U736" i="32"/>
  <c r="I740" i="32"/>
  <c r="K740" i="32" s="1"/>
  <c r="I742" i="32"/>
  <c r="K742" i="32" s="1"/>
  <c r="I744" i="32"/>
  <c r="K744" i="32" s="1"/>
  <c r="I746" i="32"/>
  <c r="K746" i="32" s="1"/>
  <c r="I749" i="32"/>
  <c r="K749" i="32" s="1"/>
  <c r="I752" i="32"/>
  <c r="K752" i="32" s="1"/>
  <c r="I755" i="32"/>
  <c r="K755" i="32" s="1"/>
  <c r="J758" i="32"/>
  <c r="J759" i="32"/>
  <c r="L761" i="32"/>
  <c r="M761" i="32"/>
  <c r="N761" i="32"/>
  <c r="N760" i="32" s="1"/>
  <c r="O761" i="32"/>
  <c r="Q761" i="32"/>
  <c r="T761" i="32" s="1"/>
  <c r="R761" i="32"/>
  <c r="S761" i="32"/>
  <c r="U761" i="32"/>
  <c r="L762" i="32"/>
  <c r="O762" i="32" s="1"/>
  <c r="M762" i="32"/>
  <c r="P762" i="32" s="1"/>
  <c r="N762" i="32"/>
  <c r="L763" i="32"/>
  <c r="O763" i="32" s="1"/>
  <c r="M763" i="32"/>
  <c r="P763" i="32" s="1"/>
  <c r="N763" i="32"/>
  <c r="O764" i="32"/>
  <c r="P764" i="32"/>
  <c r="T764" i="32"/>
  <c r="U764" i="32"/>
  <c r="O765" i="32"/>
  <c r="P765" i="32"/>
  <c r="Q765" i="32"/>
  <c r="R765" i="32"/>
  <c r="R763" i="32" s="1"/>
  <c r="S765" i="32"/>
  <c r="S762" i="32" s="1"/>
  <c r="L766" i="32"/>
  <c r="O766" i="32" s="1"/>
  <c r="M766" i="32"/>
  <c r="N766" i="32"/>
  <c r="P766" i="32"/>
  <c r="Q766" i="32"/>
  <c r="T766" i="32" s="1"/>
  <c r="R766" i="32"/>
  <c r="U766" i="32" s="1"/>
  <c r="S766" i="32"/>
  <c r="O767" i="32"/>
  <c r="P767" i="32"/>
  <c r="T767" i="32"/>
  <c r="U767" i="32"/>
  <c r="O768" i="32"/>
  <c r="P768" i="32"/>
  <c r="T768" i="32"/>
  <c r="U768" i="32"/>
  <c r="I770" i="32"/>
  <c r="K770" i="32" s="1"/>
  <c r="I772" i="32"/>
  <c r="I758" i="32" s="1"/>
  <c r="I774" i="32"/>
  <c r="I775" i="32"/>
  <c r="I776" i="32"/>
  <c r="H777" i="32"/>
  <c r="I778" i="32"/>
  <c r="J778" i="32"/>
  <c r="I779" i="32"/>
  <c r="J779" i="32"/>
  <c r="I780" i="32"/>
  <c r="J780" i="32"/>
  <c r="I781" i="32"/>
  <c r="J781" i="32"/>
  <c r="I782" i="32"/>
  <c r="J782" i="32"/>
  <c r="I783" i="32"/>
  <c r="J783" i="32"/>
  <c r="I784" i="32"/>
  <c r="J784" i="32"/>
  <c r="I785" i="32"/>
  <c r="J785" i="32"/>
  <c r="A788" i="32"/>
  <c r="A789" i="32"/>
  <c r="L22" i="31"/>
  <c r="O22" i="31" s="1"/>
  <c r="M22" i="31"/>
  <c r="N22" i="31"/>
  <c r="N19" i="31" s="1"/>
  <c r="Q22" i="31"/>
  <c r="T22" i="31" s="1"/>
  <c r="R22" i="31"/>
  <c r="U22" i="31" s="1"/>
  <c r="S22" i="31"/>
  <c r="L25" i="31"/>
  <c r="M25" i="31"/>
  <c r="N25" i="31"/>
  <c r="O25" i="31"/>
  <c r="Q25" i="31"/>
  <c r="T25" i="31" s="1"/>
  <c r="R25" i="31"/>
  <c r="U25" i="31" s="1"/>
  <c r="S25" i="31"/>
  <c r="L45" i="31"/>
  <c r="O45" i="31" s="1"/>
  <c r="M45" i="31"/>
  <c r="P45" i="31" s="1"/>
  <c r="N45" i="31"/>
  <c r="Q45" i="31"/>
  <c r="R45" i="31"/>
  <c r="U45" i="31" s="1"/>
  <c r="S45" i="31"/>
  <c r="S44" i="31" s="1"/>
  <c r="T45" i="31"/>
  <c r="Q46" i="31"/>
  <c r="T46" i="31" s="1"/>
  <c r="R46" i="31"/>
  <c r="U46" i="31" s="1"/>
  <c r="S46" i="31"/>
  <c r="Q47" i="31"/>
  <c r="T47" i="31" s="1"/>
  <c r="R47" i="31"/>
  <c r="U47" i="31" s="1"/>
  <c r="S47" i="31"/>
  <c r="O48" i="31"/>
  <c r="P48" i="31"/>
  <c r="T48" i="31"/>
  <c r="U48" i="31"/>
  <c r="L49" i="31"/>
  <c r="L47" i="31" s="1"/>
  <c r="M49" i="31"/>
  <c r="M47" i="31" s="1"/>
  <c r="N49" i="31"/>
  <c r="N47" i="31" s="1"/>
  <c r="T49" i="31"/>
  <c r="U49" i="31"/>
  <c r="Q50" i="31"/>
  <c r="T50" i="31" s="1"/>
  <c r="R50" i="31"/>
  <c r="U50" i="31" s="1"/>
  <c r="S50" i="31"/>
  <c r="O51" i="31"/>
  <c r="P51" i="31"/>
  <c r="T51" i="31"/>
  <c r="U51" i="31"/>
  <c r="L52" i="31"/>
  <c r="M52" i="31"/>
  <c r="N52" i="31"/>
  <c r="T52" i="31"/>
  <c r="U52" i="31"/>
  <c r="L60" i="31"/>
  <c r="M60" i="31"/>
  <c r="N60" i="31"/>
  <c r="P60" i="31"/>
  <c r="Q60" i="31"/>
  <c r="Q59" i="31" s="1"/>
  <c r="T59" i="31" s="1"/>
  <c r="R60" i="31"/>
  <c r="U60" i="31" s="1"/>
  <c r="S60" i="31"/>
  <c r="Q61" i="31"/>
  <c r="R61" i="31"/>
  <c r="U61" i="31" s="1"/>
  <c r="S61" i="31"/>
  <c r="T61" i="31"/>
  <c r="Q62" i="31"/>
  <c r="R62" i="31"/>
  <c r="U62" i="31" s="1"/>
  <c r="S62" i="31"/>
  <c r="T62" i="31"/>
  <c r="O63" i="31"/>
  <c r="P63" i="31"/>
  <c r="T63" i="31"/>
  <c r="U63" i="31"/>
  <c r="L64" i="31"/>
  <c r="M64" i="31"/>
  <c r="M62" i="31" s="1"/>
  <c r="N64" i="31"/>
  <c r="T64" i="31"/>
  <c r="U64" i="31"/>
  <c r="Q65" i="31"/>
  <c r="T65" i="31" s="1"/>
  <c r="R65" i="31"/>
  <c r="U65" i="31" s="1"/>
  <c r="S65" i="31"/>
  <c r="O66" i="31"/>
  <c r="P66" i="31"/>
  <c r="T66" i="31"/>
  <c r="U66" i="31"/>
  <c r="L67" i="31"/>
  <c r="L65" i="31" s="1"/>
  <c r="M67" i="31"/>
  <c r="M65" i="31" s="1"/>
  <c r="N67" i="31"/>
  <c r="N65" i="31" s="1"/>
  <c r="T67" i="31"/>
  <c r="U67" i="31"/>
  <c r="L73" i="31"/>
  <c r="O73" i="31" s="1"/>
  <c r="M73" i="31"/>
  <c r="N73" i="31"/>
  <c r="P73" i="31"/>
  <c r="Q73" i="31"/>
  <c r="R73" i="31"/>
  <c r="U73" i="31" s="1"/>
  <c r="S73" i="31"/>
  <c r="T73" i="31"/>
  <c r="O76" i="31"/>
  <c r="P76" i="31"/>
  <c r="T76" i="31"/>
  <c r="U76" i="31"/>
  <c r="L77" i="31"/>
  <c r="M77" i="31"/>
  <c r="M75" i="31" s="1"/>
  <c r="P75" i="31" s="1"/>
  <c r="N77" i="31"/>
  <c r="Q77" i="31"/>
  <c r="R77" i="31"/>
  <c r="S77" i="31"/>
  <c r="O79" i="31"/>
  <c r="P79" i="31"/>
  <c r="T79" i="31"/>
  <c r="U79" i="31"/>
  <c r="L80" i="31"/>
  <c r="L78" i="31" s="1"/>
  <c r="O78" i="31" s="1"/>
  <c r="M80" i="31"/>
  <c r="N80" i="31"/>
  <c r="N78" i="31" s="1"/>
  <c r="Q80" i="31"/>
  <c r="Q78" i="31" s="1"/>
  <c r="T78" i="31" s="1"/>
  <c r="R80" i="31"/>
  <c r="R78" i="31" s="1"/>
  <c r="U78" i="31" s="1"/>
  <c r="S80" i="31"/>
  <c r="J82" i="31"/>
  <c r="J70" i="31" s="1"/>
  <c r="J83" i="31"/>
  <c r="J71" i="31" s="1"/>
  <c r="I84" i="31"/>
  <c r="K84" i="31" s="1"/>
  <c r="I85" i="31"/>
  <c r="K85" i="31" s="1"/>
  <c r="I86" i="31"/>
  <c r="K86" i="31" s="1"/>
  <c r="I87" i="31"/>
  <c r="K87" i="31" s="1"/>
  <c r="I88" i="31"/>
  <c r="K88" i="31" s="1"/>
  <c r="I89" i="31"/>
  <c r="K89" i="31" s="1"/>
  <c r="I90" i="31"/>
  <c r="K90" i="31" s="1"/>
  <c r="J92" i="31"/>
  <c r="J93" i="31"/>
  <c r="L95" i="31"/>
  <c r="M95" i="31"/>
  <c r="N95" i="31"/>
  <c r="O95" i="31"/>
  <c r="P95" i="31"/>
  <c r="Q95" i="31"/>
  <c r="R95" i="31"/>
  <c r="S95" i="31"/>
  <c r="T95" i="31"/>
  <c r="O98" i="31"/>
  <c r="P98" i="31"/>
  <c r="T98" i="31"/>
  <c r="U98" i="31"/>
  <c r="L99" i="31"/>
  <c r="M99" i="31"/>
  <c r="M97" i="31" s="1"/>
  <c r="N99" i="31"/>
  <c r="Q99" i="31"/>
  <c r="R99" i="31"/>
  <c r="R96" i="31" s="1"/>
  <c r="S99" i="31"/>
  <c r="S96" i="31" s="1"/>
  <c r="S94" i="31" s="1"/>
  <c r="Q100" i="31"/>
  <c r="T100" i="31" s="1"/>
  <c r="R100" i="31"/>
  <c r="U100" i="31" s="1"/>
  <c r="S100" i="31"/>
  <c r="O101" i="31"/>
  <c r="P101" i="31"/>
  <c r="T101" i="31"/>
  <c r="U101" i="31"/>
  <c r="L102" i="31"/>
  <c r="M102" i="31"/>
  <c r="M100" i="31" s="1"/>
  <c r="P100" i="31" s="1"/>
  <c r="N102" i="31"/>
  <c r="N100" i="31" s="1"/>
  <c r="T102" i="31"/>
  <c r="U102" i="31"/>
  <c r="I108" i="31"/>
  <c r="I109" i="31"/>
  <c r="I93" i="31" s="1"/>
  <c r="I113" i="31"/>
  <c r="K113" i="31" s="1"/>
  <c r="I114" i="31"/>
  <c r="K114" i="31" s="1"/>
  <c r="J116" i="31"/>
  <c r="L118" i="31"/>
  <c r="O118" i="31" s="1"/>
  <c r="M118" i="31"/>
  <c r="N118" i="31"/>
  <c r="Q118" i="31"/>
  <c r="R118" i="31"/>
  <c r="U118" i="31" s="1"/>
  <c r="S118" i="31"/>
  <c r="T118" i="31"/>
  <c r="O121" i="31"/>
  <c r="P121" i="31"/>
  <c r="T121" i="31"/>
  <c r="U121" i="31"/>
  <c r="L122" i="31"/>
  <c r="M122" i="31"/>
  <c r="N122" i="31"/>
  <c r="Q122" i="31"/>
  <c r="R122" i="31"/>
  <c r="S122" i="31"/>
  <c r="O124" i="31"/>
  <c r="P124" i="31"/>
  <c r="T124" i="31"/>
  <c r="U124" i="31"/>
  <c r="L125" i="31"/>
  <c r="M125" i="31"/>
  <c r="M123" i="31" s="1"/>
  <c r="P123" i="31" s="1"/>
  <c r="N125" i="31"/>
  <c r="N123" i="31" s="1"/>
  <c r="Q125" i="31"/>
  <c r="Q123" i="31" s="1"/>
  <c r="T123" i="31" s="1"/>
  <c r="R125" i="31"/>
  <c r="S125" i="31"/>
  <c r="S123" i="31" s="1"/>
  <c r="I127" i="31"/>
  <c r="I128" i="31"/>
  <c r="K128" i="31" s="1"/>
  <c r="I129" i="31"/>
  <c r="K129" i="31" s="1"/>
  <c r="I130" i="31"/>
  <c r="K130" i="31" s="1"/>
  <c r="J136" i="31"/>
  <c r="J137" i="31"/>
  <c r="J138" i="31"/>
  <c r="L140" i="31"/>
  <c r="M140" i="31"/>
  <c r="P140" i="31" s="1"/>
  <c r="N140" i="31"/>
  <c r="Q140" i="31"/>
  <c r="R140" i="31"/>
  <c r="U140" i="31" s="1"/>
  <c r="S140" i="31"/>
  <c r="T140" i="31"/>
  <c r="O143" i="31"/>
  <c r="P143" i="31"/>
  <c r="T143" i="31"/>
  <c r="U143" i="31"/>
  <c r="L144" i="31"/>
  <c r="L142" i="31" s="1"/>
  <c r="M144" i="31"/>
  <c r="N144" i="31"/>
  <c r="Q144" i="31"/>
  <c r="R144" i="31"/>
  <c r="S144" i="31"/>
  <c r="S142" i="31" s="1"/>
  <c r="O146" i="31"/>
  <c r="P146" i="31"/>
  <c r="T146" i="31"/>
  <c r="U146" i="31"/>
  <c r="L147" i="31"/>
  <c r="M147" i="31"/>
  <c r="N147" i="31"/>
  <c r="N145" i="31" s="1"/>
  <c r="Q147" i="31"/>
  <c r="R147" i="31"/>
  <c r="R145" i="31" s="1"/>
  <c r="U145" i="31" s="1"/>
  <c r="S147" i="31"/>
  <c r="S145" i="31" s="1"/>
  <c r="I150" i="31"/>
  <c r="K150" i="31" s="1"/>
  <c r="I151" i="31"/>
  <c r="K151" i="31" s="1"/>
  <c r="I152" i="31"/>
  <c r="I137" i="31" s="1"/>
  <c r="K137" i="31" s="1"/>
  <c r="I153" i="31"/>
  <c r="I154" i="31"/>
  <c r="I136" i="31" s="1"/>
  <c r="K136" i="31" s="1"/>
  <c r="J156" i="31"/>
  <c r="L158" i="31"/>
  <c r="O158" i="31" s="1"/>
  <c r="M158" i="31"/>
  <c r="P158" i="31" s="1"/>
  <c r="N158" i="31"/>
  <c r="Q158" i="31"/>
  <c r="R158" i="31"/>
  <c r="U158" i="31" s="1"/>
  <c r="S158" i="31"/>
  <c r="T158" i="31"/>
  <c r="O161" i="31"/>
  <c r="P161" i="31"/>
  <c r="T161" i="31"/>
  <c r="U161" i="31"/>
  <c r="L162" i="31"/>
  <c r="L160" i="31" s="1"/>
  <c r="M162" i="31"/>
  <c r="N162" i="31"/>
  <c r="Q162" i="31"/>
  <c r="Q159" i="31" s="1"/>
  <c r="T159" i="31" s="1"/>
  <c r="R162" i="31"/>
  <c r="R160" i="31" s="1"/>
  <c r="U160" i="31" s="1"/>
  <c r="S162" i="31"/>
  <c r="S159" i="31" s="1"/>
  <c r="Q163" i="31"/>
  <c r="R163" i="31"/>
  <c r="U163" i="31" s="1"/>
  <c r="S163" i="31"/>
  <c r="T163" i="31"/>
  <c r="O164" i="31"/>
  <c r="P164" i="31"/>
  <c r="T164" i="31"/>
  <c r="U164" i="31"/>
  <c r="L165" i="31"/>
  <c r="O165" i="31" s="1"/>
  <c r="M165" i="31"/>
  <c r="N165" i="31"/>
  <c r="N163" i="31" s="1"/>
  <c r="T165" i="31"/>
  <c r="U165" i="31"/>
  <c r="I167" i="31"/>
  <c r="I156" i="31" s="1"/>
  <c r="K156" i="31" s="1"/>
  <c r="J172" i="31"/>
  <c r="L174" i="31"/>
  <c r="O174" i="31" s="1"/>
  <c r="M174" i="31"/>
  <c r="N174" i="31"/>
  <c r="Q174" i="31"/>
  <c r="R174" i="31"/>
  <c r="S174" i="31"/>
  <c r="T174" i="31"/>
  <c r="O177" i="31"/>
  <c r="P177" i="31"/>
  <c r="T177" i="31"/>
  <c r="U177" i="31"/>
  <c r="L178" i="31"/>
  <c r="M178" i="31"/>
  <c r="N178" i="31"/>
  <c r="Q178" i="31"/>
  <c r="Q176" i="31" s="1"/>
  <c r="R178" i="31"/>
  <c r="S178" i="31"/>
  <c r="S175" i="31" s="1"/>
  <c r="Q179" i="31"/>
  <c r="T179" i="31" s="1"/>
  <c r="R179" i="31"/>
  <c r="U179" i="31" s="1"/>
  <c r="S179" i="31"/>
  <c r="O180" i="31"/>
  <c r="P180" i="31"/>
  <c r="T180" i="31"/>
  <c r="U180" i="31"/>
  <c r="L181" i="31"/>
  <c r="M181" i="31"/>
  <c r="N181" i="31"/>
  <c r="N179" i="31" s="1"/>
  <c r="T181" i="31"/>
  <c r="U181" i="31"/>
  <c r="I183" i="31"/>
  <c r="K184" i="31"/>
  <c r="L187" i="31"/>
  <c r="M187" i="31"/>
  <c r="P187" i="31" s="1"/>
  <c r="N187" i="31"/>
  <c r="O187" i="31"/>
  <c r="Q187" i="31"/>
  <c r="R187" i="31"/>
  <c r="S187" i="31"/>
  <c r="O190" i="31"/>
  <c r="P190" i="31"/>
  <c r="T190" i="31"/>
  <c r="U190" i="31"/>
  <c r="L191" i="31"/>
  <c r="M191" i="31"/>
  <c r="M189" i="31" s="1"/>
  <c r="N191" i="31"/>
  <c r="Q191" i="31"/>
  <c r="R191" i="31"/>
  <c r="R189" i="31" s="1"/>
  <c r="S191" i="31"/>
  <c r="S189" i="31" s="1"/>
  <c r="O193" i="31"/>
  <c r="P193" i="31"/>
  <c r="T193" i="31"/>
  <c r="U193" i="31"/>
  <c r="L194" i="31"/>
  <c r="O194" i="31" s="1"/>
  <c r="M194" i="31"/>
  <c r="N194" i="31"/>
  <c r="N192" i="31" s="1"/>
  <c r="Q194" i="31"/>
  <c r="Q192" i="31" s="1"/>
  <c r="T192" i="31" s="1"/>
  <c r="R194" i="31"/>
  <c r="U194" i="31" s="1"/>
  <c r="S194" i="31"/>
  <c r="S192" i="31" s="1"/>
  <c r="J195" i="31"/>
  <c r="L196" i="31"/>
  <c r="O196" i="31" s="1"/>
  <c r="P196" i="31"/>
  <c r="I198" i="31"/>
  <c r="K198" i="31" s="1"/>
  <c r="J199" i="31"/>
  <c r="J202" i="31"/>
  <c r="N203" i="31"/>
  <c r="P203" i="31"/>
  <c r="S203" i="31"/>
  <c r="U203" i="31"/>
  <c r="L204" i="31"/>
  <c r="L205" i="31"/>
  <c r="L206" i="31"/>
  <c r="Q206" i="31"/>
  <c r="Q203" i="31" s="1"/>
  <c r="L207" i="31"/>
  <c r="I209" i="31"/>
  <c r="I202" i="31" s="1"/>
  <c r="K202" i="31" s="1"/>
  <c r="I211" i="31"/>
  <c r="K211" i="31" s="1"/>
  <c r="I212" i="31"/>
  <c r="K212" i="31" s="1"/>
  <c r="J213" i="31"/>
  <c r="N214" i="31"/>
  <c r="P214" i="31"/>
  <c r="S214" i="31"/>
  <c r="U214" i="31"/>
  <c r="L215" i="31"/>
  <c r="L216" i="31"/>
  <c r="L217" i="31"/>
  <c r="Q217" i="31"/>
  <c r="Q214" i="31" s="1"/>
  <c r="T214" i="31" s="1"/>
  <c r="I219" i="31"/>
  <c r="K219" i="31" s="1"/>
  <c r="I220" i="31"/>
  <c r="J221" i="31"/>
  <c r="N222" i="31"/>
  <c r="P222" i="31"/>
  <c r="L223" i="31"/>
  <c r="L224" i="31"/>
  <c r="L225" i="31"/>
  <c r="I228" i="31"/>
  <c r="K228" i="31" s="1"/>
  <c r="I229" i="31"/>
  <c r="I230" i="31"/>
  <c r="K230" i="31" s="1"/>
  <c r="N233" i="31"/>
  <c r="N234" i="31"/>
  <c r="N235" i="31"/>
  <c r="N236" i="31"/>
  <c r="J238" i="31"/>
  <c r="I240" i="31"/>
  <c r="J240" i="31"/>
  <c r="K240" i="31"/>
  <c r="I241" i="31"/>
  <c r="K241" i="31" s="1"/>
  <c r="J241" i="31"/>
  <c r="J242" i="31"/>
  <c r="N243" i="31"/>
  <c r="N232" i="31" s="1"/>
  <c r="P243" i="31"/>
  <c r="L244" i="31"/>
  <c r="L245" i="31"/>
  <c r="L246" i="31"/>
  <c r="L247" i="31"/>
  <c r="I249" i="31"/>
  <c r="K251" i="31"/>
  <c r="K252" i="31"/>
  <c r="J253" i="31"/>
  <c r="N254" i="31"/>
  <c r="P254" i="31"/>
  <c r="L255" i="31"/>
  <c r="L256" i="31"/>
  <c r="L257" i="31"/>
  <c r="L258" i="31"/>
  <c r="I260" i="31"/>
  <c r="K262" i="31"/>
  <c r="K263" i="31"/>
  <c r="J265" i="31"/>
  <c r="L267" i="31"/>
  <c r="M267" i="31"/>
  <c r="N267" i="31"/>
  <c r="P267" i="31"/>
  <c r="Q267" i="31"/>
  <c r="T267" i="31" s="1"/>
  <c r="R267" i="31"/>
  <c r="S267" i="31"/>
  <c r="O270" i="31"/>
  <c r="P270" i="31"/>
  <c r="T270" i="31"/>
  <c r="U270" i="31"/>
  <c r="L271" i="31"/>
  <c r="M271" i="31"/>
  <c r="M269" i="31" s="1"/>
  <c r="N271" i="31"/>
  <c r="Q271" i="31"/>
  <c r="Q269" i="31" s="1"/>
  <c r="R271" i="31"/>
  <c r="S271" i="31"/>
  <c r="Q272" i="31"/>
  <c r="T272" i="31" s="1"/>
  <c r="R272" i="31"/>
  <c r="U272" i="31" s="1"/>
  <c r="S272" i="31"/>
  <c r="O273" i="31"/>
  <c r="P273" i="31"/>
  <c r="T273" i="31"/>
  <c r="U273" i="31"/>
  <c r="L274" i="31"/>
  <c r="M274" i="31"/>
  <c r="P274" i="31" s="1"/>
  <c r="N274" i="31"/>
  <c r="N272" i="31" s="1"/>
  <c r="T274" i="31"/>
  <c r="U274" i="31"/>
  <c r="I276" i="31"/>
  <c r="J281" i="31"/>
  <c r="L283" i="31"/>
  <c r="O283" i="31" s="1"/>
  <c r="M283" i="31"/>
  <c r="N283" i="31"/>
  <c r="P283" i="31"/>
  <c r="Q283" i="31"/>
  <c r="T283" i="31" s="1"/>
  <c r="R283" i="31"/>
  <c r="U283" i="31" s="1"/>
  <c r="S283" i="31"/>
  <c r="Q284" i="31"/>
  <c r="T284" i="31" s="1"/>
  <c r="R284" i="31"/>
  <c r="U284" i="31" s="1"/>
  <c r="S284" i="31"/>
  <c r="Q285" i="31"/>
  <c r="T285" i="31" s="1"/>
  <c r="R285" i="31"/>
  <c r="U285" i="31" s="1"/>
  <c r="S285" i="31"/>
  <c r="O286" i="31"/>
  <c r="P286" i="31"/>
  <c r="T286" i="31"/>
  <c r="U286" i="31"/>
  <c r="L287" i="31"/>
  <c r="L285" i="31" s="1"/>
  <c r="M287" i="31"/>
  <c r="N287" i="31"/>
  <c r="T287" i="31"/>
  <c r="U287" i="31"/>
  <c r="Q288" i="31"/>
  <c r="R288" i="31"/>
  <c r="S288" i="31"/>
  <c r="T288" i="31"/>
  <c r="U288" i="31"/>
  <c r="O289" i="31"/>
  <c r="P289" i="31"/>
  <c r="T289" i="31"/>
  <c r="U289" i="31"/>
  <c r="L290" i="31"/>
  <c r="O290" i="31" s="1"/>
  <c r="M290" i="31"/>
  <c r="N290" i="31"/>
  <c r="N288" i="31" s="1"/>
  <c r="T290" i="31"/>
  <c r="U290" i="31"/>
  <c r="I292" i="31"/>
  <c r="K292" i="31" s="1"/>
  <c r="I293" i="31"/>
  <c r="J293" i="31"/>
  <c r="J280" i="31" s="1"/>
  <c r="I295" i="31"/>
  <c r="K295" i="31" s="1"/>
  <c r="I296" i="31"/>
  <c r="K296" i="31" s="1"/>
  <c r="J302" i="31"/>
  <c r="L304" i="31"/>
  <c r="O304" i="31" s="1"/>
  <c r="M304" i="31"/>
  <c r="P304" i="31" s="1"/>
  <c r="N304" i="31"/>
  <c r="Q304" i="31"/>
  <c r="T304" i="31" s="1"/>
  <c r="R304" i="31"/>
  <c r="U304" i="31" s="1"/>
  <c r="S304" i="31"/>
  <c r="O307" i="31"/>
  <c r="P307" i="31"/>
  <c r="T307" i="31"/>
  <c r="U307" i="31"/>
  <c r="L308" i="31"/>
  <c r="M308" i="31"/>
  <c r="N308" i="31"/>
  <c r="N306" i="31" s="1"/>
  <c r="Q308" i="31"/>
  <c r="R308" i="31"/>
  <c r="S308" i="31"/>
  <c r="Q309" i="31"/>
  <c r="T309" i="31" s="1"/>
  <c r="R309" i="31"/>
  <c r="U309" i="31" s="1"/>
  <c r="S309" i="31"/>
  <c r="O310" i="31"/>
  <c r="P310" i="31"/>
  <c r="T310" i="31"/>
  <c r="U310" i="31"/>
  <c r="L311" i="31"/>
  <c r="M311" i="31"/>
  <c r="M309" i="31" s="1"/>
  <c r="P309" i="31" s="1"/>
  <c r="N311" i="31"/>
  <c r="T311" i="31"/>
  <c r="U311" i="31"/>
  <c r="I314" i="31"/>
  <c r="J319" i="31"/>
  <c r="L321" i="31"/>
  <c r="M321" i="31"/>
  <c r="N321" i="31"/>
  <c r="O321" i="31"/>
  <c r="P321" i="31"/>
  <c r="Q321" i="31"/>
  <c r="T321" i="31" s="1"/>
  <c r="R321" i="31"/>
  <c r="U321" i="31" s="1"/>
  <c r="S321" i="31"/>
  <c r="Q322" i="31"/>
  <c r="T322" i="31" s="1"/>
  <c r="R322" i="31"/>
  <c r="S322" i="31"/>
  <c r="S320" i="31" s="1"/>
  <c r="U322" i="31"/>
  <c r="Q323" i="31"/>
  <c r="T323" i="31" s="1"/>
  <c r="R323" i="31"/>
  <c r="U323" i="31" s="1"/>
  <c r="S323" i="31"/>
  <c r="O324" i="31"/>
  <c r="P324" i="31"/>
  <c r="T324" i="31"/>
  <c r="U324" i="31"/>
  <c r="L325" i="31"/>
  <c r="L323" i="31" s="1"/>
  <c r="O323" i="31" s="1"/>
  <c r="M325" i="31"/>
  <c r="P325" i="31" s="1"/>
  <c r="N325" i="31"/>
  <c r="T325" i="31"/>
  <c r="U325" i="31"/>
  <c r="Q326" i="31"/>
  <c r="T326" i="31" s="1"/>
  <c r="R326" i="31"/>
  <c r="U326" i="31" s="1"/>
  <c r="S326" i="31"/>
  <c r="O327" i="31"/>
  <c r="P327" i="31"/>
  <c r="T327" i="31"/>
  <c r="U327" i="31"/>
  <c r="L328" i="31"/>
  <c r="L326" i="31" s="1"/>
  <c r="O326" i="31" s="1"/>
  <c r="M328" i="31"/>
  <c r="N328" i="31"/>
  <c r="N326" i="31" s="1"/>
  <c r="T328" i="31"/>
  <c r="U328" i="31"/>
  <c r="I330" i="31"/>
  <c r="I319" i="31" s="1"/>
  <c r="K319" i="31" s="1"/>
  <c r="L334" i="31"/>
  <c r="O334" i="31" s="1"/>
  <c r="M334" i="31"/>
  <c r="N334" i="31"/>
  <c r="Q334" i="31"/>
  <c r="Q333" i="31" s="1"/>
  <c r="T333" i="31" s="1"/>
  <c r="R334" i="31"/>
  <c r="U334" i="31" s="1"/>
  <c r="S334" i="31"/>
  <c r="Q335" i="31"/>
  <c r="R335" i="31"/>
  <c r="U335" i="31" s="1"/>
  <c r="S335" i="31"/>
  <c r="T335" i="31"/>
  <c r="Q336" i="31"/>
  <c r="T336" i="31" s="1"/>
  <c r="R336" i="31"/>
  <c r="S336" i="31"/>
  <c r="U336" i="31"/>
  <c r="O337" i="31"/>
  <c r="P337" i="31"/>
  <c r="T337" i="31"/>
  <c r="U337" i="31"/>
  <c r="L338" i="31"/>
  <c r="M338" i="31"/>
  <c r="M336" i="31" s="1"/>
  <c r="N338" i="31"/>
  <c r="T338" i="31"/>
  <c r="U338" i="31"/>
  <c r="Q339" i="31"/>
  <c r="T339" i="31" s="1"/>
  <c r="R339" i="31"/>
  <c r="U339" i="31" s="1"/>
  <c r="S339" i="31"/>
  <c r="O340" i="31"/>
  <c r="P340" i="31"/>
  <c r="T340" i="31"/>
  <c r="U340" i="31"/>
  <c r="L341" i="31"/>
  <c r="L339" i="31" s="1"/>
  <c r="O339" i="31" s="1"/>
  <c r="M341" i="31"/>
  <c r="M339" i="31" s="1"/>
  <c r="P339" i="31" s="1"/>
  <c r="N341" i="31"/>
  <c r="N339" i="31" s="1"/>
  <c r="T341" i="31"/>
  <c r="U341" i="31"/>
  <c r="I344" i="31"/>
  <c r="I332" i="31" s="1"/>
  <c r="J344" i="31"/>
  <c r="I346" i="31"/>
  <c r="J346" i="31"/>
  <c r="J347" i="31"/>
  <c r="J348" i="31"/>
  <c r="J349" i="31"/>
  <c r="D350" i="31"/>
  <c r="J352" i="31"/>
  <c r="J353" i="31"/>
  <c r="J354" i="31"/>
  <c r="L357" i="31"/>
  <c r="M357" i="31"/>
  <c r="P357" i="31" s="1"/>
  <c r="N357" i="31"/>
  <c r="Q357" i="31"/>
  <c r="T357" i="31" s="1"/>
  <c r="R357" i="31"/>
  <c r="S357" i="31"/>
  <c r="S356" i="31" s="1"/>
  <c r="Q358" i="31"/>
  <c r="R358" i="31"/>
  <c r="U358" i="31" s="1"/>
  <c r="S358" i="31"/>
  <c r="Q359" i="31"/>
  <c r="T359" i="31" s="1"/>
  <c r="R359" i="31"/>
  <c r="U359" i="31" s="1"/>
  <c r="S359" i="31"/>
  <c r="O360" i="31"/>
  <c r="P360" i="31"/>
  <c r="T360" i="31"/>
  <c r="U360" i="31"/>
  <c r="L361" i="31"/>
  <c r="M361" i="31"/>
  <c r="N361" i="31"/>
  <c r="T361" i="31"/>
  <c r="U361" i="31"/>
  <c r="Q362" i="31"/>
  <c r="R362" i="31"/>
  <c r="S362" i="31"/>
  <c r="T362" i="31"/>
  <c r="U362" i="31"/>
  <c r="O363" i="31"/>
  <c r="P363" i="31"/>
  <c r="T363" i="31"/>
  <c r="U363" i="31"/>
  <c r="L364" i="31"/>
  <c r="M364" i="31"/>
  <c r="M362" i="31" s="1"/>
  <c r="P362" i="31" s="1"/>
  <c r="N364" i="31"/>
  <c r="N362" i="31" s="1"/>
  <c r="T364" i="31"/>
  <c r="U364" i="31"/>
  <c r="J367" i="31"/>
  <c r="K367" i="31"/>
  <c r="I368" i="31"/>
  <c r="J368" i="31"/>
  <c r="I369" i="31"/>
  <c r="J369" i="31"/>
  <c r="J370" i="31"/>
  <c r="K370" i="31"/>
  <c r="I371" i="31"/>
  <c r="I365" i="31" s="1"/>
  <c r="J371" i="31"/>
  <c r="J365" i="31" s="1"/>
  <c r="J372" i="31"/>
  <c r="K372" i="31"/>
  <c r="D373" i="31"/>
  <c r="L376" i="31"/>
  <c r="M376" i="31"/>
  <c r="N376" i="31"/>
  <c r="Q376" i="31"/>
  <c r="R376" i="31"/>
  <c r="S376" i="31"/>
  <c r="O379" i="31"/>
  <c r="P379" i="31"/>
  <c r="T379" i="31"/>
  <c r="U379" i="31"/>
  <c r="L380" i="31"/>
  <c r="L378" i="31" s="1"/>
  <c r="O378" i="31" s="1"/>
  <c r="M380" i="31"/>
  <c r="N380" i="31"/>
  <c r="N378" i="31" s="1"/>
  <c r="Q380" i="31"/>
  <c r="Q378" i="31" s="1"/>
  <c r="R380" i="31"/>
  <c r="S380" i="31"/>
  <c r="S378" i="31" s="1"/>
  <c r="Q381" i="31"/>
  <c r="T381" i="31" s="1"/>
  <c r="R381" i="31"/>
  <c r="U381" i="31" s="1"/>
  <c r="S381" i="31"/>
  <c r="O382" i="31"/>
  <c r="P382" i="31"/>
  <c r="T382" i="31"/>
  <c r="U382" i="31"/>
  <c r="L383" i="31"/>
  <c r="L381" i="31" s="1"/>
  <c r="O381" i="31" s="1"/>
  <c r="M383" i="31"/>
  <c r="P383" i="31" s="1"/>
  <c r="N383" i="31"/>
  <c r="N381" i="31" s="1"/>
  <c r="T383" i="31"/>
  <c r="U383" i="31"/>
  <c r="J385" i="31"/>
  <c r="K385" i="31"/>
  <c r="I386" i="31"/>
  <c r="J386" i="31"/>
  <c r="J387" i="31"/>
  <c r="K387" i="31"/>
  <c r="I388" i="31"/>
  <c r="K388" i="31" s="1"/>
  <c r="J388" i="31"/>
  <c r="I391" i="31"/>
  <c r="K391" i="31" s="1"/>
  <c r="J391" i="31"/>
  <c r="L393" i="31"/>
  <c r="M393" i="31"/>
  <c r="P393" i="31" s="1"/>
  <c r="N393" i="31"/>
  <c r="N392" i="31" s="1"/>
  <c r="O393" i="31"/>
  <c r="Q393" i="31"/>
  <c r="T393" i="31" s="1"/>
  <c r="R393" i="31"/>
  <c r="U393" i="31" s="1"/>
  <c r="S393" i="31"/>
  <c r="L394" i="31"/>
  <c r="M394" i="31"/>
  <c r="P394" i="31" s="1"/>
  <c r="N394" i="31"/>
  <c r="L395" i="31"/>
  <c r="O395" i="31" s="1"/>
  <c r="M395" i="31"/>
  <c r="P395" i="31" s="1"/>
  <c r="N395" i="31"/>
  <c r="O396" i="31"/>
  <c r="P396" i="31"/>
  <c r="T396" i="31"/>
  <c r="U396" i="31"/>
  <c r="O397" i="31"/>
  <c r="P397" i="31"/>
  <c r="Q397" i="31"/>
  <c r="Q394" i="31" s="1"/>
  <c r="T394" i="31" s="1"/>
  <c r="R397" i="31"/>
  <c r="R395" i="31" s="1"/>
  <c r="U395" i="31" s="1"/>
  <c r="S397" i="31"/>
  <c r="S395" i="31" s="1"/>
  <c r="L398" i="31"/>
  <c r="O398" i="31" s="1"/>
  <c r="M398" i="31"/>
  <c r="N398" i="31"/>
  <c r="P398" i="31"/>
  <c r="Q398" i="31"/>
  <c r="T398" i="31" s="1"/>
  <c r="R398" i="31"/>
  <c r="U398" i="31" s="1"/>
  <c r="S398" i="31"/>
  <c r="O399" i="31"/>
  <c r="P399" i="31"/>
  <c r="T399" i="31"/>
  <c r="U399" i="31"/>
  <c r="O400" i="31"/>
  <c r="P400" i="31"/>
  <c r="T400" i="31"/>
  <c r="U400" i="31"/>
  <c r="L414" i="31"/>
  <c r="O414" i="31" s="1"/>
  <c r="M414" i="31"/>
  <c r="P414" i="31" s="1"/>
  <c r="N414" i="31"/>
  <c r="Q414" i="31"/>
  <c r="T414" i="31" s="1"/>
  <c r="R414" i="31"/>
  <c r="S414" i="31"/>
  <c r="U414" i="31"/>
  <c r="O417" i="31"/>
  <c r="P417" i="31"/>
  <c r="T417" i="31"/>
  <c r="U417" i="31"/>
  <c r="L418" i="31"/>
  <c r="L416" i="31" s="1"/>
  <c r="M418" i="31"/>
  <c r="N418" i="31"/>
  <c r="Q418" i="31"/>
  <c r="R418" i="31"/>
  <c r="R416" i="31" s="1"/>
  <c r="S418" i="31"/>
  <c r="S415" i="31" s="1"/>
  <c r="Q419" i="31"/>
  <c r="R419" i="31"/>
  <c r="S419" i="31"/>
  <c r="T419" i="31"/>
  <c r="U419" i="31"/>
  <c r="O420" i="31"/>
  <c r="P420" i="31"/>
  <c r="T420" i="31"/>
  <c r="U420" i="31"/>
  <c r="L421" i="31"/>
  <c r="L419" i="31" s="1"/>
  <c r="O419" i="31" s="1"/>
  <c r="M421" i="31"/>
  <c r="P421" i="31" s="1"/>
  <c r="N421" i="31"/>
  <c r="N419" i="31" s="1"/>
  <c r="T421" i="31"/>
  <c r="U421" i="31"/>
  <c r="I424" i="31"/>
  <c r="K424" i="31" s="1"/>
  <c r="J424" i="31"/>
  <c r="I425" i="31"/>
  <c r="K425" i="31" s="1"/>
  <c r="J425" i="31"/>
  <c r="I432" i="31"/>
  <c r="K432" i="31" s="1"/>
  <c r="J432" i="31"/>
  <c r="I433" i="31"/>
  <c r="K433" i="31" s="1"/>
  <c r="J433" i="31"/>
  <c r="I440" i="31"/>
  <c r="I423" i="31" s="1"/>
  <c r="K423" i="31" s="1"/>
  <c r="I441" i="31"/>
  <c r="K441" i="31" s="1"/>
  <c r="J446" i="31"/>
  <c r="J440" i="31" s="1"/>
  <c r="J423" i="31" s="1"/>
  <c r="J412" i="31" s="1"/>
  <c r="J447" i="31"/>
  <c r="J441" i="31" s="1"/>
  <c r="I457" i="31"/>
  <c r="I456" i="31" s="1"/>
  <c r="I458" i="31"/>
  <c r="K458" i="31" s="1"/>
  <c r="J459" i="31"/>
  <c r="J460" i="31"/>
  <c r="J467" i="31"/>
  <c r="J468" i="31"/>
  <c r="J475" i="31"/>
  <c r="K475" i="31"/>
  <c r="J476" i="31"/>
  <c r="K476" i="31"/>
  <c r="J477" i="31"/>
  <c r="K477" i="31"/>
  <c r="J482" i="31"/>
  <c r="J483" i="31"/>
  <c r="I484" i="31"/>
  <c r="K484" i="31" s="1"/>
  <c r="J484" i="31"/>
  <c r="I485" i="31"/>
  <c r="K485" i="31" s="1"/>
  <c r="J485" i="31"/>
  <c r="L494" i="31"/>
  <c r="O494" i="31" s="1"/>
  <c r="M494" i="31"/>
  <c r="P494" i="31" s="1"/>
  <c r="N494" i="31"/>
  <c r="Q494" i="31"/>
  <c r="T494" i="31" s="1"/>
  <c r="R494" i="31"/>
  <c r="U494" i="31" s="1"/>
  <c r="S494" i="31"/>
  <c r="O497" i="31"/>
  <c r="P497" i="31"/>
  <c r="T497" i="31"/>
  <c r="U497" i="31"/>
  <c r="L498" i="31"/>
  <c r="L496" i="31" s="1"/>
  <c r="O496" i="31" s="1"/>
  <c r="M498" i="31"/>
  <c r="M496" i="31" s="1"/>
  <c r="P496" i="31" s="1"/>
  <c r="N498" i="31"/>
  <c r="N496" i="31" s="1"/>
  <c r="Q498" i="31"/>
  <c r="Q495" i="31" s="1"/>
  <c r="T495" i="31" s="1"/>
  <c r="R498" i="31"/>
  <c r="S498" i="31"/>
  <c r="S495" i="31" s="1"/>
  <c r="Q499" i="31"/>
  <c r="T499" i="31" s="1"/>
  <c r="R499" i="31"/>
  <c r="S499" i="31"/>
  <c r="U499" i="31"/>
  <c r="O500" i="31"/>
  <c r="P500" i="31"/>
  <c r="T500" i="31"/>
  <c r="U500" i="31"/>
  <c r="L501" i="31"/>
  <c r="M501" i="31"/>
  <c r="P501" i="31" s="1"/>
  <c r="N501" i="31"/>
  <c r="N499" i="31" s="1"/>
  <c r="T501" i="31"/>
  <c r="U501" i="31"/>
  <c r="I503" i="31"/>
  <c r="K503" i="31" s="1"/>
  <c r="I504" i="31"/>
  <c r="K504" i="31" s="1"/>
  <c r="I505" i="31"/>
  <c r="K505" i="31" s="1"/>
  <c r="I506" i="31"/>
  <c r="K506" i="31" s="1"/>
  <c r="I507" i="31"/>
  <c r="K507" i="31" s="1"/>
  <c r="K508" i="31"/>
  <c r="I509" i="31"/>
  <c r="K509" i="31" s="1"/>
  <c r="I512" i="31"/>
  <c r="K512" i="31" s="1"/>
  <c r="J512" i="31"/>
  <c r="L514" i="31"/>
  <c r="M514" i="31"/>
  <c r="P514" i="31" s="1"/>
  <c r="N514" i="31"/>
  <c r="O514" i="31"/>
  <c r="Q514" i="31"/>
  <c r="T514" i="31" s="1"/>
  <c r="R514" i="31"/>
  <c r="S514" i="31"/>
  <c r="U514" i="31"/>
  <c r="Q515" i="31"/>
  <c r="T515" i="31" s="1"/>
  <c r="R515" i="31"/>
  <c r="U515" i="31" s="1"/>
  <c r="S515" i="31"/>
  <c r="S513" i="31" s="1"/>
  <c r="Q516" i="31"/>
  <c r="T516" i="31" s="1"/>
  <c r="R516" i="31"/>
  <c r="U516" i="31" s="1"/>
  <c r="S516" i="31"/>
  <c r="O517" i="31"/>
  <c r="P517" i="31"/>
  <c r="T517" i="31"/>
  <c r="U517" i="31"/>
  <c r="L518" i="31"/>
  <c r="O518" i="31" s="1"/>
  <c r="M518" i="31"/>
  <c r="N518" i="31"/>
  <c r="T518" i="31"/>
  <c r="U518" i="31"/>
  <c r="Q519" i="31"/>
  <c r="T519" i="31" s="1"/>
  <c r="R519" i="31"/>
  <c r="U519" i="31" s="1"/>
  <c r="S519" i="31"/>
  <c r="O520" i="31"/>
  <c r="P520" i="31"/>
  <c r="T520" i="31"/>
  <c r="U520" i="31"/>
  <c r="L521" i="31"/>
  <c r="L519" i="31" s="1"/>
  <c r="O519" i="31" s="1"/>
  <c r="M521" i="31"/>
  <c r="N521" i="31"/>
  <c r="N519" i="31" s="1"/>
  <c r="T521" i="31"/>
  <c r="U521" i="31"/>
  <c r="K523" i="31"/>
  <c r="K524" i="31"/>
  <c r="I533" i="31"/>
  <c r="K533" i="31" s="1"/>
  <c r="J533" i="31"/>
  <c r="L535" i="31"/>
  <c r="O535" i="31" s="1"/>
  <c r="M535" i="31"/>
  <c r="N535" i="31"/>
  <c r="P535" i="31"/>
  <c r="Q535" i="31"/>
  <c r="R535" i="31"/>
  <c r="U535" i="31" s="1"/>
  <c r="S535" i="31"/>
  <c r="Q536" i="31"/>
  <c r="T536" i="31" s="1"/>
  <c r="R536" i="31"/>
  <c r="U536" i="31" s="1"/>
  <c r="S536" i="31"/>
  <c r="Q537" i="31"/>
  <c r="R537" i="31"/>
  <c r="U537" i="31" s="1"/>
  <c r="S537" i="31"/>
  <c r="T537" i="31"/>
  <c r="O538" i="31"/>
  <c r="P538" i="31"/>
  <c r="T538" i="31"/>
  <c r="U538" i="31"/>
  <c r="L539" i="31"/>
  <c r="O539" i="31" s="1"/>
  <c r="M539" i="31"/>
  <c r="P539" i="31" s="1"/>
  <c r="N539" i="31"/>
  <c r="T539" i="31"/>
  <c r="U539" i="31"/>
  <c r="Q540" i="31"/>
  <c r="T540" i="31" s="1"/>
  <c r="R540" i="31"/>
  <c r="U540" i="31" s="1"/>
  <c r="S540" i="31"/>
  <c r="O541" i="31"/>
  <c r="P541" i="31"/>
  <c r="T541" i="31"/>
  <c r="U541" i="31"/>
  <c r="L542" i="31"/>
  <c r="O542" i="31" s="1"/>
  <c r="M542" i="31"/>
  <c r="M540" i="31" s="1"/>
  <c r="P540" i="31" s="1"/>
  <c r="N542" i="31"/>
  <c r="N540" i="31" s="1"/>
  <c r="T542" i="31"/>
  <c r="U542" i="31"/>
  <c r="I554" i="31"/>
  <c r="J554" i="31"/>
  <c r="K554" i="31"/>
  <c r="Q555" i="31"/>
  <c r="T555" i="31" s="1"/>
  <c r="L556" i="31"/>
  <c r="M556" i="31"/>
  <c r="N556" i="31"/>
  <c r="O556" i="31"/>
  <c r="Q556" i="31"/>
  <c r="T556" i="31" s="1"/>
  <c r="R556" i="31"/>
  <c r="R555" i="31" s="1"/>
  <c r="U555" i="31" s="1"/>
  <c r="S556" i="31"/>
  <c r="S555" i="31" s="1"/>
  <c r="U556" i="31"/>
  <c r="Q557" i="31"/>
  <c r="T557" i="31" s="1"/>
  <c r="R557" i="31"/>
  <c r="U557" i="31" s="1"/>
  <c r="S557" i="31"/>
  <c r="Q558" i="31"/>
  <c r="T558" i="31" s="1"/>
  <c r="R558" i="31"/>
  <c r="U558" i="31" s="1"/>
  <c r="S558" i="31"/>
  <c r="O559" i="31"/>
  <c r="P559" i="31"/>
  <c r="T559" i="31"/>
  <c r="U559" i="31"/>
  <c r="L560" i="31"/>
  <c r="M560" i="31"/>
  <c r="M558" i="31" s="1"/>
  <c r="P558" i="31" s="1"/>
  <c r="N560" i="31"/>
  <c r="T560" i="31"/>
  <c r="U560" i="31"/>
  <c r="Q561" i="31"/>
  <c r="R561" i="31"/>
  <c r="S561" i="31"/>
  <c r="T561" i="31"/>
  <c r="U561" i="31"/>
  <c r="O562" i="31"/>
  <c r="P562" i="31"/>
  <c r="T562" i="31"/>
  <c r="U562" i="31"/>
  <c r="L563" i="31"/>
  <c r="O563" i="31" s="1"/>
  <c r="M563" i="31"/>
  <c r="P563" i="31" s="1"/>
  <c r="N563" i="31"/>
  <c r="N561" i="31" s="1"/>
  <c r="T563" i="31"/>
  <c r="U563" i="31"/>
  <c r="I575" i="31"/>
  <c r="K575" i="31" s="1"/>
  <c r="J575" i="31"/>
  <c r="L577" i="31"/>
  <c r="O577" i="31" s="1"/>
  <c r="M577" i="31"/>
  <c r="P577" i="31" s="1"/>
  <c r="N577" i="31"/>
  <c r="Q577" i="31"/>
  <c r="Q576" i="31" s="1"/>
  <c r="T576" i="31" s="1"/>
  <c r="R577" i="31"/>
  <c r="U577" i="31" s="1"/>
  <c r="S577" i="31"/>
  <c r="S576" i="31" s="1"/>
  <c r="Q578" i="31"/>
  <c r="R578" i="31"/>
  <c r="U578" i="31" s="1"/>
  <c r="S578" i="31"/>
  <c r="T578" i="31"/>
  <c r="Q579" i="31"/>
  <c r="T579" i="31" s="1"/>
  <c r="R579" i="31"/>
  <c r="S579" i="31"/>
  <c r="U579" i="31"/>
  <c r="O580" i="31"/>
  <c r="P580" i="31"/>
  <c r="T580" i="31"/>
  <c r="U580" i="31"/>
  <c r="L581" i="31"/>
  <c r="O581" i="31" s="1"/>
  <c r="M581" i="31"/>
  <c r="N581" i="31"/>
  <c r="T581" i="31"/>
  <c r="U581" i="31"/>
  <c r="Q582" i="31"/>
  <c r="T582" i="31" s="1"/>
  <c r="R582" i="31"/>
  <c r="U582" i="31" s="1"/>
  <c r="S582" i="31"/>
  <c r="O583" i="31"/>
  <c r="P583" i="31"/>
  <c r="T583" i="31"/>
  <c r="U583" i="31"/>
  <c r="L584" i="31"/>
  <c r="M584" i="31"/>
  <c r="N584" i="31"/>
  <c r="N582" i="31" s="1"/>
  <c r="T584" i="31"/>
  <c r="U584" i="31"/>
  <c r="L600" i="31"/>
  <c r="O600" i="31" s="1"/>
  <c r="M600" i="31"/>
  <c r="P600" i="31" s="1"/>
  <c r="N600" i="31"/>
  <c r="Q600" i="31"/>
  <c r="R600" i="31"/>
  <c r="U600" i="31" s="1"/>
  <c r="S600" i="31"/>
  <c r="O603" i="31"/>
  <c r="P603" i="31"/>
  <c r="T603" i="31"/>
  <c r="U603" i="31"/>
  <c r="L604" i="31"/>
  <c r="M604" i="31"/>
  <c r="N604" i="31"/>
  <c r="Q604" i="31"/>
  <c r="R604" i="31"/>
  <c r="U604" i="31" s="1"/>
  <c r="S604" i="31"/>
  <c r="O606" i="31"/>
  <c r="P606" i="31"/>
  <c r="T606" i="31"/>
  <c r="U606" i="31"/>
  <c r="L607" i="31"/>
  <c r="O607" i="31" s="1"/>
  <c r="M607" i="31"/>
  <c r="P607" i="31" s="1"/>
  <c r="N607" i="31"/>
  <c r="N605" i="31" s="1"/>
  <c r="Q607" i="31"/>
  <c r="Q605" i="31" s="1"/>
  <c r="T605" i="31" s="1"/>
  <c r="R607" i="31"/>
  <c r="U607" i="31" s="1"/>
  <c r="S607" i="31"/>
  <c r="S605" i="31" s="1"/>
  <c r="L616" i="31"/>
  <c r="O616" i="31" s="1"/>
  <c r="L617" i="31"/>
  <c r="M617" i="31"/>
  <c r="N617" i="31"/>
  <c r="O617" i="31"/>
  <c r="Q617" i="31"/>
  <c r="T617" i="31" s="1"/>
  <c r="R617" i="31"/>
  <c r="U617" i="31" s="1"/>
  <c r="S617" i="31"/>
  <c r="L618" i="31"/>
  <c r="O618" i="31" s="1"/>
  <c r="M618" i="31"/>
  <c r="P618" i="31" s="1"/>
  <c r="N618" i="31"/>
  <c r="L619" i="31"/>
  <c r="O619" i="31" s="1"/>
  <c r="M619" i="31"/>
  <c r="P619" i="31" s="1"/>
  <c r="N619" i="31"/>
  <c r="O620" i="31"/>
  <c r="P620" i="31"/>
  <c r="T620" i="31"/>
  <c r="U620" i="31"/>
  <c r="O621" i="31"/>
  <c r="P621" i="31"/>
  <c r="Q621" i="31"/>
  <c r="Q619" i="31" s="1"/>
  <c r="R621" i="31"/>
  <c r="R618" i="31" s="1"/>
  <c r="S621" i="31"/>
  <c r="S619" i="31" s="1"/>
  <c r="L622" i="31"/>
  <c r="O622" i="31" s="1"/>
  <c r="M622" i="31"/>
  <c r="N622" i="31"/>
  <c r="P622" i="31"/>
  <c r="Q622" i="31"/>
  <c r="T622" i="31" s="1"/>
  <c r="R622" i="31"/>
  <c r="U622" i="31" s="1"/>
  <c r="S622" i="31"/>
  <c r="O623" i="31"/>
  <c r="P623" i="31"/>
  <c r="T623" i="31"/>
  <c r="U623" i="31"/>
  <c r="O624" i="31"/>
  <c r="P624" i="31"/>
  <c r="T624" i="31"/>
  <c r="U624" i="31"/>
  <c r="I626" i="31"/>
  <c r="I627" i="31"/>
  <c r="K627" i="31" s="1"/>
  <c r="I628" i="31"/>
  <c r="K628" i="31" s="1"/>
  <c r="J632" i="31"/>
  <c r="J626" i="31" s="1"/>
  <c r="I635" i="31"/>
  <c r="K635" i="31" s="1"/>
  <c r="J636" i="31"/>
  <c r="J635" i="31" s="1"/>
  <c r="L643" i="31"/>
  <c r="M643" i="31"/>
  <c r="N643" i="31"/>
  <c r="Q643" i="31"/>
  <c r="R643" i="31"/>
  <c r="S643" i="31"/>
  <c r="T643" i="31"/>
  <c r="L644" i="31"/>
  <c r="O644" i="31" s="1"/>
  <c r="M644" i="31"/>
  <c r="P644" i="31" s="1"/>
  <c r="N644" i="31"/>
  <c r="L645" i="31"/>
  <c r="O645" i="31" s="1"/>
  <c r="M645" i="31"/>
  <c r="P645" i="31" s="1"/>
  <c r="N645" i="31"/>
  <c r="O646" i="31"/>
  <c r="P646" i="31"/>
  <c r="T646" i="31"/>
  <c r="U646" i="31"/>
  <c r="O647" i="31"/>
  <c r="P647" i="31"/>
  <c r="Q647" i="31"/>
  <c r="Q644" i="31" s="1"/>
  <c r="R647" i="31"/>
  <c r="R645" i="31" s="1"/>
  <c r="S647" i="31"/>
  <c r="L648" i="31"/>
  <c r="M648" i="31"/>
  <c r="P648" i="31" s="1"/>
  <c r="N648" i="31"/>
  <c r="O648" i="31"/>
  <c r="Q648" i="31"/>
  <c r="T648" i="31" s="1"/>
  <c r="R648" i="31"/>
  <c r="U648" i="31" s="1"/>
  <c r="S648" i="31"/>
  <c r="O649" i="31"/>
  <c r="P649" i="31"/>
  <c r="T649" i="31"/>
  <c r="U649" i="31"/>
  <c r="O650" i="31"/>
  <c r="P650" i="31"/>
  <c r="T650" i="31"/>
  <c r="U650" i="31"/>
  <c r="I652" i="31"/>
  <c r="J652" i="31"/>
  <c r="I653" i="31"/>
  <c r="K653" i="31" s="1"/>
  <c r="J653" i="31"/>
  <c r="I654" i="31"/>
  <c r="K654" i="31" s="1"/>
  <c r="J654" i="31"/>
  <c r="I657" i="31"/>
  <c r="I660" i="31"/>
  <c r="I661" i="31"/>
  <c r="K661" i="31" s="1"/>
  <c r="J661" i="31"/>
  <c r="J671" i="31"/>
  <c r="J672" i="31"/>
  <c r="I673" i="31"/>
  <c r="J673" i="31"/>
  <c r="I674" i="31"/>
  <c r="K674" i="31" s="1"/>
  <c r="I675" i="31"/>
  <c r="K675" i="31" s="1"/>
  <c r="I676" i="31"/>
  <c r="K676" i="31" s="1"/>
  <c r="J676" i="31"/>
  <c r="J677" i="31"/>
  <c r="I678" i="31"/>
  <c r="K678" i="31" s="1"/>
  <c r="J678" i="31"/>
  <c r="I679" i="31"/>
  <c r="K679" i="31" s="1"/>
  <c r="J679" i="31"/>
  <c r="J680" i="31"/>
  <c r="I681" i="31"/>
  <c r="K681" i="31" s="1"/>
  <c r="J681" i="31"/>
  <c r="I682" i="31"/>
  <c r="K682" i="31" s="1"/>
  <c r="J682" i="31"/>
  <c r="L691" i="31"/>
  <c r="L690" i="31" s="1"/>
  <c r="O690" i="31" s="1"/>
  <c r="M691" i="31"/>
  <c r="N691" i="31"/>
  <c r="Q691" i="31"/>
  <c r="R691" i="31"/>
  <c r="S691" i="31"/>
  <c r="T691" i="31"/>
  <c r="L692" i="31"/>
  <c r="M692" i="31"/>
  <c r="N692" i="31"/>
  <c r="O692" i="31"/>
  <c r="P692" i="31"/>
  <c r="L693" i="31"/>
  <c r="O693" i="31" s="1"/>
  <c r="M693" i="31"/>
  <c r="N693" i="31"/>
  <c r="P693" i="31"/>
  <c r="O694" i="31"/>
  <c r="P694" i="31"/>
  <c r="T694" i="31"/>
  <c r="U694" i="31"/>
  <c r="O695" i="31"/>
  <c r="P695" i="31"/>
  <c r="Q695" i="31"/>
  <c r="R695" i="31"/>
  <c r="R693" i="31" s="1"/>
  <c r="S695" i="31"/>
  <c r="S692" i="31" s="1"/>
  <c r="L696" i="31"/>
  <c r="M696" i="31"/>
  <c r="P696" i="31" s="1"/>
  <c r="N696" i="31"/>
  <c r="O696" i="31"/>
  <c r="Q696" i="31"/>
  <c r="R696" i="31"/>
  <c r="S696" i="31"/>
  <c r="T696" i="31"/>
  <c r="U696" i="31"/>
  <c r="O697" i="31"/>
  <c r="P697" i="31"/>
  <c r="T697" i="31"/>
  <c r="U697" i="31"/>
  <c r="O698" i="31"/>
  <c r="P698" i="31"/>
  <c r="T698" i="31"/>
  <c r="U698" i="31"/>
  <c r="I700" i="31"/>
  <c r="K700" i="31" s="1"/>
  <c r="K702" i="31"/>
  <c r="I703" i="31"/>
  <c r="J703" i="31"/>
  <c r="J704" i="31"/>
  <c r="K704" i="31"/>
  <c r="I705" i="31"/>
  <c r="J705" i="31"/>
  <c r="J706" i="31"/>
  <c r="K706" i="31"/>
  <c r="I707" i="31"/>
  <c r="I689" i="31" s="1"/>
  <c r="J707" i="31"/>
  <c r="J689" i="31" s="1"/>
  <c r="J708" i="31"/>
  <c r="K708" i="31"/>
  <c r="I709" i="31"/>
  <c r="J709" i="31"/>
  <c r="J710" i="31"/>
  <c r="K710" i="31"/>
  <c r="J712" i="31"/>
  <c r="K712" i="31"/>
  <c r="L715" i="31"/>
  <c r="O715" i="31" s="1"/>
  <c r="M715" i="31"/>
  <c r="N715" i="31"/>
  <c r="N714" i="31" s="1"/>
  <c r="Q715" i="31"/>
  <c r="R715" i="31"/>
  <c r="U715" i="31" s="1"/>
  <c r="S715" i="31"/>
  <c r="L716" i="31"/>
  <c r="O716" i="31" s="1"/>
  <c r="M716" i="31"/>
  <c r="P716" i="31" s="1"/>
  <c r="N716" i="31"/>
  <c r="Q716" i="31"/>
  <c r="T716" i="31" s="1"/>
  <c r="R716" i="31"/>
  <c r="U716" i="31" s="1"/>
  <c r="S716" i="31"/>
  <c r="L717" i="31"/>
  <c r="O717" i="31" s="1"/>
  <c r="M717" i="31"/>
  <c r="N717" i="31"/>
  <c r="P717" i="31"/>
  <c r="Q717" i="31"/>
  <c r="T717" i="31" s="1"/>
  <c r="R717" i="31"/>
  <c r="U717" i="31" s="1"/>
  <c r="S717" i="31"/>
  <c r="O718" i="31"/>
  <c r="P718" i="31"/>
  <c r="T718" i="31"/>
  <c r="U718" i="31"/>
  <c r="O719" i="31"/>
  <c r="P719" i="31"/>
  <c r="T719" i="31"/>
  <c r="U719" i="31"/>
  <c r="L720" i="31"/>
  <c r="O720" i="31" s="1"/>
  <c r="M720" i="31"/>
  <c r="N720" i="31"/>
  <c r="P720" i="31"/>
  <c r="Q720" i="31"/>
  <c r="T720" i="31" s="1"/>
  <c r="R720" i="31"/>
  <c r="U720" i="31" s="1"/>
  <c r="S720" i="31"/>
  <c r="O721" i="31"/>
  <c r="P721" i="31"/>
  <c r="T721" i="31"/>
  <c r="U721" i="31"/>
  <c r="O722" i="31"/>
  <c r="P722" i="31"/>
  <c r="T722" i="31"/>
  <c r="U722" i="31"/>
  <c r="I726" i="31"/>
  <c r="K726" i="31" s="1"/>
  <c r="J726" i="31"/>
  <c r="I727" i="31"/>
  <c r="J727" i="31"/>
  <c r="L729" i="31"/>
  <c r="O729" i="31" s="1"/>
  <c r="M729" i="31"/>
  <c r="M728" i="31" s="1"/>
  <c r="P728" i="31" s="1"/>
  <c r="N729" i="31"/>
  <c r="N728" i="31" s="1"/>
  <c r="P729" i="31"/>
  <c r="Q729" i="31"/>
  <c r="R729" i="31"/>
  <c r="U729" i="31" s="1"/>
  <c r="S729" i="31"/>
  <c r="L730" i="31"/>
  <c r="O730" i="31" s="1"/>
  <c r="M730" i="31"/>
  <c r="P730" i="31" s="1"/>
  <c r="N730" i="31"/>
  <c r="L731" i="31"/>
  <c r="O731" i="31" s="1"/>
  <c r="M731" i="31"/>
  <c r="N731" i="31"/>
  <c r="P731" i="31"/>
  <c r="O732" i="31"/>
  <c r="P732" i="31"/>
  <c r="T732" i="31"/>
  <c r="U732" i="31"/>
  <c r="O733" i="31"/>
  <c r="P733" i="31"/>
  <c r="Q733" i="31"/>
  <c r="Q730" i="31" s="1"/>
  <c r="R733" i="31"/>
  <c r="S733" i="31"/>
  <c r="S731" i="31" s="1"/>
  <c r="L734" i="31"/>
  <c r="O734" i="31" s="1"/>
  <c r="M734" i="31"/>
  <c r="P734" i="31" s="1"/>
  <c r="N734" i="31"/>
  <c r="Q734" i="31"/>
  <c r="T734" i="31" s="1"/>
  <c r="R734" i="31"/>
  <c r="U734" i="31" s="1"/>
  <c r="S734" i="31"/>
  <c r="O735" i="31"/>
  <c r="P735" i="31"/>
  <c r="T735" i="31"/>
  <c r="U735" i="31"/>
  <c r="O736" i="31"/>
  <c r="P736" i="31"/>
  <c r="T736" i="31"/>
  <c r="U736" i="31"/>
  <c r="I740" i="31"/>
  <c r="K740" i="31" s="1"/>
  <c r="I742" i="31"/>
  <c r="K742" i="31" s="1"/>
  <c r="I744" i="31"/>
  <c r="K744" i="31" s="1"/>
  <c r="I746" i="31"/>
  <c r="K746" i="31" s="1"/>
  <c r="I749" i="31"/>
  <c r="K749" i="31" s="1"/>
  <c r="I752" i="31"/>
  <c r="K752" i="31" s="1"/>
  <c r="I755" i="31"/>
  <c r="K755" i="31" s="1"/>
  <c r="J758" i="31"/>
  <c r="J759" i="31"/>
  <c r="L761" i="31"/>
  <c r="M761" i="31"/>
  <c r="P761" i="31" s="1"/>
  <c r="N761" i="31"/>
  <c r="Q761" i="31"/>
  <c r="R761" i="31"/>
  <c r="S761" i="31"/>
  <c r="L762" i="31"/>
  <c r="M762" i="31"/>
  <c r="P762" i="31" s="1"/>
  <c r="N762" i="31"/>
  <c r="O762" i="31"/>
  <c r="L763" i="31"/>
  <c r="O763" i="31" s="1"/>
  <c r="M763" i="31"/>
  <c r="N763" i="31"/>
  <c r="P763" i="31"/>
  <c r="O764" i="31"/>
  <c r="P764" i="31"/>
  <c r="T764" i="31"/>
  <c r="U764" i="31"/>
  <c r="O765" i="31"/>
  <c r="P765" i="31"/>
  <c r="Q765" i="31"/>
  <c r="Q763" i="31" s="1"/>
  <c r="T763" i="31" s="1"/>
  <c r="R765" i="31"/>
  <c r="R762" i="31" s="1"/>
  <c r="U762" i="31" s="1"/>
  <c r="S765" i="31"/>
  <c r="S763" i="31" s="1"/>
  <c r="L766" i="31"/>
  <c r="O766" i="31" s="1"/>
  <c r="M766" i="31"/>
  <c r="P766" i="31" s="1"/>
  <c r="N766" i="31"/>
  <c r="Q766" i="31"/>
  <c r="T766" i="31" s="1"/>
  <c r="R766" i="31"/>
  <c r="U766" i="31" s="1"/>
  <c r="S766" i="31"/>
  <c r="O767" i="31"/>
  <c r="P767" i="31"/>
  <c r="T767" i="31"/>
  <c r="U767" i="31"/>
  <c r="O768" i="31"/>
  <c r="P768" i="31"/>
  <c r="T768" i="31"/>
  <c r="U768" i="31"/>
  <c r="I770" i="31"/>
  <c r="K770" i="31" s="1"/>
  <c r="I772" i="31"/>
  <c r="I758" i="31" s="1"/>
  <c r="K758" i="31" s="1"/>
  <c r="I774" i="31"/>
  <c r="K774" i="31" s="1"/>
  <c r="I775" i="31"/>
  <c r="I776" i="31"/>
  <c r="H777" i="31"/>
  <c r="I778" i="31"/>
  <c r="J778" i="31"/>
  <c r="I779" i="31"/>
  <c r="J779" i="31"/>
  <c r="I780" i="31"/>
  <c r="J780" i="31"/>
  <c r="I781" i="31"/>
  <c r="J781" i="31"/>
  <c r="I782" i="31"/>
  <c r="J782" i="31"/>
  <c r="I783" i="31"/>
  <c r="J783" i="31"/>
  <c r="I784" i="31"/>
  <c r="J784" i="31"/>
  <c r="I785" i="31"/>
  <c r="J785" i="31"/>
  <c r="A788" i="31"/>
  <c r="A789" i="31"/>
  <c r="L22" i="30"/>
  <c r="O22" i="30" s="1"/>
  <c r="M22" i="30"/>
  <c r="N22" i="30"/>
  <c r="Q22" i="30"/>
  <c r="T22" i="30" s="1"/>
  <c r="R22" i="30"/>
  <c r="S22" i="30"/>
  <c r="L25" i="30"/>
  <c r="M25" i="30"/>
  <c r="N25" i="30"/>
  <c r="O25" i="30"/>
  <c r="Q25" i="30"/>
  <c r="T25" i="30" s="1"/>
  <c r="R25" i="30"/>
  <c r="U25" i="30" s="1"/>
  <c r="S25" i="30"/>
  <c r="L45" i="30"/>
  <c r="O45" i="30" s="1"/>
  <c r="M45" i="30"/>
  <c r="N45" i="30"/>
  <c r="P45" i="30"/>
  <c r="Q45" i="30"/>
  <c r="R45" i="30"/>
  <c r="U45" i="30" s="1"/>
  <c r="S45" i="30"/>
  <c r="T45" i="30"/>
  <c r="Q46" i="30"/>
  <c r="R46" i="30"/>
  <c r="U46" i="30" s="1"/>
  <c r="S46" i="30"/>
  <c r="T46" i="30"/>
  <c r="Q47" i="30"/>
  <c r="T47" i="30" s="1"/>
  <c r="R47" i="30"/>
  <c r="U47" i="30" s="1"/>
  <c r="S47" i="30"/>
  <c r="O48" i="30"/>
  <c r="P48" i="30"/>
  <c r="T48" i="30"/>
  <c r="U48" i="30"/>
  <c r="L49" i="30"/>
  <c r="L47" i="30" s="1"/>
  <c r="M49" i="30"/>
  <c r="M47" i="30" s="1"/>
  <c r="N49" i="30"/>
  <c r="N47" i="30" s="1"/>
  <c r="T49" i="30"/>
  <c r="U49" i="30"/>
  <c r="Q50" i="30"/>
  <c r="T50" i="30" s="1"/>
  <c r="R50" i="30"/>
  <c r="U50" i="30" s="1"/>
  <c r="S50" i="30"/>
  <c r="O51" i="30"/>
  <c r="P51" i="30"/>
  <c r="T51" i="30"/>
  <c r="U51" i="30"/>
  <c r="L52" i="30"/>
  <c r="L50" i="30" s="1"/>
  <c r="O50" i="30" s="1"/>
  <c r="M52" i="30"/>
  <c r="N52" i="30"/>
  <c r="T52" i="30"/>
  <c r="U52" i="30"/>
  <c r="L60" i="30"/>
  <c r="O60" i="30" s="1"/>
  <c r="M60" i="30"/>
  <c r="N60" i="30"/>
  <c r="P60" i="30"/>
  <c r="Q60" i="30"/>
  <c r="R60" i="30"/>
  <c r="U60" i="30" s="1"/>
  <c r="S60" i="30"/>
  <c r="Q61" i="30"/>
  <c r="T61" i="30" s="1"/>
  <c r="R61" i="30"/>
  <c r="U61" i="30" s="1"/>
  <c r="S61" i="30"/>
  <c r="S59" i="30" s="1"/>
  <c r="Q62" i="30"/>
  <c r="R62" i="30"/>
  <c r="U62" i="30" s="1"/>
  <c r="S62" i="30"/>
  <c r="T62" i="30"/>
  <c r="O63" i="30"/>
  <c r="P63" i="30"/>
  <c r="T63" i="30"/>
  <c r="U63" i="30"/>
  <c r="L64" i="30"/>
  <c r="M64" i="30"/>
  <c r="N64" i="30"/>
  <c r="N62" i="30" s="1"/>
  <c r="T64" i="30"/>
  <c r="U64" i="30"/>
  <c r="Q65" i="30"/>
  <c r="T65" i="30" s="1"/>
  <c r="R65" i="30"/>
  <c r="S65" i="30"/>
  <c r="U65" i="30"/>
  <c r="O66" i="30"/>
  <c r="P66" i="30"/>
  <c r="T66" i="30"/>
  <c r="U66" i="30"/>
  <c r="L67" i="30"/>
  <c r="L65" i="30" s="1"/>
  <c r="O65" i="30" s="1"/>
  <c r="M67" i="30"/>
  <c r="N67" i="30"/>
  <c r="N65" i="30" s="1"/>
  <c r="T67" i="30"/>
  <c r="U67" i="30"/>
  <c r="L73" i="30"/>
  <c r="O73" i="30" s="1"/>
  <c r="M73" i="30"/>
  <c r="P73" i="30" s="1"/>
  <c r="N73" i="30"/>
  <c r="Q73" i="30"/>
  <c r="R73" i="30"/>
  <c r="U73" i="30" s="1"/>
  <c r="S73" i="30"/>
  <c r="T73" i="30"/>
  <c r="O76" i="30"/>
  <c r="P76" i="30"/>
  <c r="T76" i="30"/>
  <c r="U76" i="30"/>
  <c r="L77" i="30"/>
  <c r="M77" i="30"/>
  <c r="M75" i="30" s="1"/>
  <c r="P75" i="30" s="1"/>
  <c r="N77" i="30"/>
  <c r="N75" i="30" s="1"/>
  <c r="Q77" i="30"/>
  <c r="T77" i="30" s="1"/>
  <c r="R77" i="30"/>
  <c r="S77" i="30"/>
  <c r="S75" i="30" s="1"/>
  <c r="O79" i="30"/>
  <c r="P79" i="30"/>
  <c r="T79" i="30"/>
  <c r="U79" i="30"/>
  <c r="L80" i="30"/>
  <c r="L78" i="30" s="1"/>
  <c r="O78" i="30" s="1"/>
  <c r="M80" i="30"/>
  <c r="M78" i="30" s="1"/>
  <c r="P78" i="30" s="1"/>
  <c r="N80" i="30"/>
  <c r="N78" i="30" s="1"/>
  <c r="Q80" i="30"/>
  <c r="T80" i="30" s="1"/>
  <c r="R80" i="30"/>
  <c r="R78" i="30" s="1"/>
  <c r="U78" i="30" s="1"/>
  <c r="S80" i="30"/>
  <c r="S78" i="30" s="1"/>
  <c r="J82" i="30"/>
  <c r="J70" i="30" s="1"/>
  <c r="J83" i="30"/>
  <c r="J71" i="30" s="1"/>
  <c r="I84" i="30"/>
  <c r="K84" i="30" s="1"/>
  <c r="I85" i="30"/>
  <c r="I86" i="30"/>
  <c r="K86" i="30" s="1"/>
  <c r="I87" i="30"/>
  <c r="K87" i="30" s="1"/>
  <c r="I88" i="30"/>
  <c r="K88" i="30" s="1"/>
  <c r="I89" i="30"/>
  <c r="K89" i="30" s="1"/>
  <c r="I90" i="30"/>
  <c r="K90" i="30" s="1"/>
  <c r="J92" i="30"/>
  <c r="J93" i="30"/>
  <c r="L95" i="30"/>
  <c r="M95" i="30"/>
  <c r="P95" i="30" s="1"/>
  <c r="N95" i="30"/>
  <c r="Q95" i="30"/>
  <c r="R95" i="30"/>
  <c r="S95" i="30"/>
  <c r="T95" i="30"/>
  <c r="O98" i="30"/>
  <c r="P98" i="30"/>
  <c r="T98" i="30"/>
  <c r="U98" i="30"/>
  <c r="L99" i="30"/>
  <c r="O99" i="30" s="1"/>
  <c r="M99" i="30"/>
  <c r="P99" i="30" s="1"/>
  <c r="N99" i="30"/>
  <c r="N97" i="30" s="1"/>
  <c r="Q99" i="30"/>
  <c r="R99" i="30"/>
  <c r="U99" i="30" s="1"/>
  <c r="S99" i="30"/>
  <c r="S96" i="30" s="1"/>
  <c r="Q100" i="30"/>
  <c r="T100" i="30" s="1"/>
  <c r="R100" i="30"/>
  <c r="U100" i="30" s="1"/>
  <c r="S100" i="30"/>
  <c r="O101" i="30"/>
  <c r="P101" i="30"/>
  <c r="T101" i="30"/>
  <c r="U101" i="30"/>
  <c r="L102" i="30"/>
  <c r="O102" i="30" s="1"/>
  <c r="M102" i="30"/>
  <c r="M100" i="30" s="1"/>
  <c r="P100" i="30" s="1"/>
  <c r="N102" i="30"/>
  <c r="N100" i="30" s="1"/>
  <c r="T102" i="30"/>
  <c r="U102" i="30"/>
  <c r="I108" i="30"/>
  <c r="I92" i="30" s="1"/>
  <c r="K92" i="30" s="1"/>
  <c r="I109" i="30"/>
  <c r="I93" i="30" s="1"/>
  <c r="K93" i="30" s="1"/>
  <c r="I114" i="30"/>
  <c r="K114" i="30" s="1"/>
  <c r="J116" i="30"/>
  <c r="L118" i="30"/>
  <c r="M118" i="30"/>
  <c r="N118" i="30"/>
  <c r="P118" i="30"/>
  <c r="Q118" i="30"/>
  <c r="R118" i="30"/>
  <c r="S118" i="30"/>
  <c r="T118" i="30"/>
  <c r="O121" i="30"/>
  <c r="P121" i="30"/>
  <c r="T121" i="30"/>
  <c r="U121" i="30"/>
  <c r="L122" i="30"/>
  <c r="O122" i="30" s="1"/>
  <c r="M122" i="30"/>
  <c r="M120" i="30" s="1"/>
  <c r="P120" i="30" s="1"/>
  <c r="N122" i="30"/>
  <c r="N120" i="30" s="1"/>
  <c r="Q122" i="30"/>
  <c r="Q120" i="30" s="1"/>
  <c r="R122" i="30"/>
  <c r="S122" i="30"/>
  <c r="O124" i="30"/>
  <c r="P124" i="30"/>
  <c r="T124" i="30"/>
  <c r="U124" i="30"/>
  <c r="L125" i="30"/>
  <c r="O125" i="30" s="1"/>
  <c r="M125" i="30"/>
  <c r="M123" i="30" s="1"/>
  <c r="P123" i="30" s="1"/>
  <c r="N125" i="30"/>
  <c r="N123" i="30" s="1"/>
  <c r="Q125" i="30"/>
  <c r="Q123" i="30" s="1"/>
  <c r="T123" i="30" s="1"/>
  <c r="R125" i="30"/>
  <c r="U125" i="30" s="1"/>
  <c r="S125" i="30"/>
  <c r="S123" i="30" s="1"/>
  <c r="I127" i="30"/>
  <c r="I116" i="30" s="1"/>
  <c r="I128" i="30"/>
  <c r="K128" i="30" s="1"/>
  <c r="I129" i="30"/>
  <c r="K129" i="30" s="1"/>
  <c r="I130" i="30"/>
  <c r="K130" i="30" s="1"/>
  <c r="J136" i="30"/>
  <c r="J137" i="30"/>
  <c r="J138" i="30"/>
  <c r="L140" i="30"/>
  <c r="M140" i="30"/>
  <c r="N140" i="30"/>
  <c r="O140" i="30"/>
  <c r="Q140" i="30"/>
  <c r="T140" i="30" s="1"/>
  <c r="R140" i="30"/>
  <c r="U140" i="30" s="1"/>
  <c r="S140" i="30"/>
  <c r="O143" i="30"/>
  <c r="P143" i="30"/>
  <c r="T143" i="30"/>
  <c r="U143" i="30"/>
  <c r="L144" i="30"/>
  <c r="L142" i="30" s="1"/>
  <c r="O142" i="30" s="1"/>
  <c r="M144" i="30"/>
  <c r="N144" i="30"/>
  <c r="N142" i="30" s="1"/>
  <c r="Q144" i="30"/>
  <c r="Q142" i="30" s="1"/>
  <c r="T142" i="30" s="1"/>
  <c r="R144" i="30"/>
  <c r="S144" i="30"/>
  <c r="S142" i="30" s="1"/>
  <c r="O146" i="30"/>
  <c r="P146" i="30"/>
  <c r="T146" i="30"/>
  <c r="U146" i="30"/>
  <c r="L147" i="30"/>
  <c r="L145" i="30" s="1"/>
  <c r="O145" i="30" s="1"/>
  <c r="M147" i="30"/>
  <c r="N147" i="30"/>
  <c r="N145" i="30" s="1"/>
  <c r="Q147" i="30"/>
  <c r="T147" i="30" s="1"/>
  <c r="R147" i="30"/>
  <c r="R145" i="30" s="1"/>
  <c r="U145" i="30" s="1"/>
  <c r="S147" i="30"/>
  <c r="S145" i="30" s="1"/>
  <c r="I150" i="30"/>
  <c r="K150" i="30" s="1"/>
  <c r="I151" i="30"/>
  <c r="K151" i="30" s="1"/>
  <c r="I152" i="30"/>
  <c r="I137" i="30" s="1"/>
  <c r="K137" i="30" s="1"/>
  <c r="I153" i="30"/>
  <c r="I138" i="30" s="1"/>
  <c r="K138" i="30" s="1"/>
  <c r="I154" i="30"/>
  <c r="I136" i="30" s="1"/>
  <c r="K136" i="30" s="1"/>
  <c r="J156" i="30"/>
  <c r="L158" i="30"/>
  <c r="M158" i="30"/>
  <c r="N158" i="30"/>
  <c r="P158" i="30"/>
  <c r="Q158" i="30"/>
  <c r="T158" i="30" s="1"/>
  <c r="R158" i="30"/>
  <c r="S158" i="30"/>
  <c r="O161" i="30"/>
  <c r="P161" i="30"/>
  <c r="T161" i="30"/>
  <c r="U161" i="30"/>
  <c r="L162" i="30"/>
  <c r="O162" i="30" s="1"/>
  <c r="M162" i="30"/>
  <c r="P162" i="30" s="1"/>
  <c r="N162" i="30"/>
  <c r="Q162" i="30"/>
  <c r="Q160" i="30" s="1"/>
  <c r="T160" i="30" s="1"/>
  <c r="R162" i="30"/>
  <c r="U162" i="30" s="1"/>
  <c r="S162" i="30"/>
  <c r="S159" i="30" s="1"/>
  <c r="S157" i="30" s="1"/>
  <c r="Q163" i="30"/>
  <c r="R163" i="30"/>
  <c r="U163" i="30" s="1"/>
  <c r="S163" i="30"/>
  <c r="T163" i="30"/>
  <c r="O164" i="30"/>
  <c r="P164" i="30"/>
  <c r="T164" i="30"/>
  <c r="U164" i="30"/>
  <c r="L165" i="30"/>
  <c r="O165" i="30" s="1"/>
  <c r="M165" i="30"/>
  <c r="N165" i="30"/>
  <c r="N163" i="30" s="1"/>
  <c r="T165" i="30"/>
  <c r="U165" i="30"/>
  <c r="I167" i="30"/>
  <c r="K167" i="30" s="1"/>
  <c r="I168" i="30"/>
  <c r="K168" i="30" s="1"/>
  <c r="I169" i="30"/>
  <c r="I156" i="30" s="1"/>
  <c r="K156" i="30" s="1"/>
  <c r="J172" i="30"/>
  <c r="L174" i="30"/>
  <c r="O174" i="30" s="1"/>
  <c r="M174" i="30"/>
  <c r="N174" i="30"/>
  <c r="P174" i="30"/>
  <c r="Q174" i="30"/>
  <c r="R174" i="30"/>
  <c r="S174" i="30"/>
  <c r="T174" i="30"/>
  <c r="O177" i="30"/>
  <c r="P177" i="30"/>
  <c r="T177" i="30"/>
  <c r="U177" i="30"/>
  <c r="L178" i="30"/>
  <c r="L176" i="30" s="1"/>
  <c r="M178" i="30"/>
  <c r="M176" i="30" s="1"/>
  <c r="N178" i="30"/>
  <c r="Q178" i="30"/>
  <c r="Q176" i="30" s="1"/>
  <c r="T176" i="30" s="1"/>
  <c r="R178" i="30"/>
  <c r="U178" i="30" s="1"/>
  <c r="S178" i="30"/>
  <c r="S175" i="30" s="1"/>
  <c r="Q179" i="30"/>
  <c r="T179" i="30" s="1"/>
  <c r="R179" i="30"/>
  <c r="U179" i="30" s="1"/>
  <c r="S179" i="30"/>
  <c r="O180" i="30"/>
  <c r="P180" i="30"/>
  <c r="T180" i="30"/>
  <c r="U180" i="30"/>
  <c r="L181" i="30"/>
  <c r="L179" i="30" s="1"/>
  <c r="O179" i="30" s="1"/>
  <c r="M181" i="30"/>
  <c r="M179" i="30" s="1"/>
  <c r="P179" i="30" s="1"/>
  <c r="N181" i="30"/>
  <c r="N179" i="30" s="1"/>
  <c r="T181" i="30"/>
  <c r="U181" i="30"/>
  <c r="I183" i="30"/>
  <c r="K184" i="30"/>
  <c r="L187" i="30"/>
  <c r="M187" i="30"/>
  <c r="P187" i="30" s="1"/>
  <c r="N187" i="30"/>
  <c r="O187" i="30"/>
  <c r="Q187" i="30"/>
  <c r="R187" i="30"/>
  <c r="S187" i="30"/>
  <c r="T187" i="30"/>
  <c r="U187" i="30"/>
  <c r="O190" i="30"/>
  <c r="P190" i="30"/>
  <c r="T190" i="30"/>
  <c r="U190" i="30"/>
  <c r="L191" i="30"/>
  <c r="M191" i="30"/>
  <c r="M189" i="30" s="1"/>
  <c r="N191" i="30"/>
  <c r="Q191" i="30"/>
  <c r="R191" i="30"/>
  <c r="R189" i="30" s="1"/>
  <c r="S191" i="30"/>
  <c r="S189" i="30" s="1"/>
  <c r="O193" i="30"/>
  <c r="P193" i="30"/>
  <c r="T193" i="30"/>
  <c r="U193" i="30"/>
  <c r="L194" i="30"/>
  <c r="M194" i="30"/>
  <c r="N194" i="30"/>
  <c r="N192" i="30" s="1"/>
  <c r="Q194" i="30"/>
  <c r="T194" i="30" s="1"/>
  <c r="R194" i="30"/>
  <c r="U194" i="30" s="1"/>
  <c r="S194" i="30"/>
  <c r="S192" i="30" s="1"/>
  <c r="J195" i="30"/>
  <c r="L196" i="30"/>
  <c r="O196" i="30" s="1"/>
  <c r="P196" i="30"/>
  <c r="I198" i="30"/>
  <c r="K198" i="30" s="1"/>
  <c r="J199" i="30"/>
  <c r="J202" i="30"/>
  <c r="N203" i="30"/>
  <c r="P203" i="30"/>
  <c r="S203" i="30"/>
  <c r="U203" i="30"/>
  <c r="L204" i="30"/>
  <c r="L205" i="30"/>
  <c r="L206" i="30"/>
  <c r="Q206" i="30"/>
  <c r="Q203" i="30" s="1"/>
  <c r="T203" i="30" s="1"/>
  <c r="L207" i="30"/>
  <c r="I209" i="30"/>
  <c r="K209" i="30" s="1"/>
  <c r="I211" i="30"/>
  <c r="K211" i="30" s="1"/>
  <c r="I212" i="30"/>
  <c r="K212" i="30" s="1"/>
  <c r="J213" i="30"/>
  <c r="N214" i="30"/>
  <c r="P214" i="30"/>
  <c r="S214" i="30"/>
  <c r="U214" i="30"/>
  <c r="L215" i="30"/>
  <c r="L216" i="30"/>
  <c r="L217" i="30"/>
  <c r="Q217" i="30"/>
  <c r="Q214" i="30" s="1"/>
  <c r="T214" i="30" s="1"/>
  <c r="I219" i="30"/>
  <c r="K219" i="30" s="1"/>
  <c r="I220" i="30"/>
  <c r="J221" i="30"/>
  <c r="N222" i="30"/>
  <c r="P222" i="30"/>
  <c r="L223" i="30"/>
  <c r="L224" i="30"/>
  <c r="L225" i="30"/>
  <c r="I228" i="30"/>
  <c r="K228" i="30" s="1"/>
  <c r="I229" i="30"/>
  <c r="I221" i="30" s="1"/>
  <c r="K221" i="30" s="1"/>
  <c r="I230" i="30"/>
  <c r="K230" i="30" s="1"/>
  <c r="N233" i="30"/>
  <c r="N234" i="30"/>
  <c r="N235" i="30"/>
  <c r="N236" i="30"/>
  <c r="J238" i="30"/>
  <c r="J240" i="30"/>
  <c r="J241" i="30"/>
  <c r="J242" i="30"/>
  <c r="J231" i="30" s="1"/>
  <c r="J185" i="30" s="1"/>
  <c r="N243" i="30"/>
  <c r="N232" i="30" s="1"/>
  <c r="P243" i="30"/>
  <c r="L244" i="30"/>
  <c r="L245" i="30"/>
  <c r="L246" i="30"/>
  <c r="L247" i="30"/>
  <c r="I249" i="30"/>
  <c r="I251" i="30"/>
  <c r="I240" i="30" s="1"/>
  <c r="K240" i="30" s="1"/>
  <c r="I252" i="30"/>
  <c r="I241" i="30" s="1"/>
  <c r="K241" i="30" s="1"/>
  <c r="J253" i="30"/>
  <c r="N254" i="30"/>
  <c r="P254" i="30"/>
  <c r="L255" i="30"/>
  <c r="L256" i="30"/>
  <c r="L257" i="30"/>
  <c r="L258" i="30"/>
  <c r="I260" i="30"/>
  <c r="K262" i="30"/>
  <c r="K263" i="30"/>
  <c r="J265" i="30"/>
  <c r="L267" i="30"/>
  <c r="O267" i="30" s="1"/>
  <c r="M267" i="30"/>
  <c r="N267" i="30"/>
  <c r="Q267" i="30"/>
  <c r="R267" i="30"/>
  <c r="U267" i="30" s="1"/>
  <c r="S267" i="30"/>
  <c r="O270" i="30"/>
  <c r="P270" i="30"/>
  <c r="T270" i="30"/>
  <c r="U270" i="30"/>
  <c r="L271" i="30"/>
  <c r="M271" i="30"/>
  <c r="N271" i="30"/>
  <c r="Q271" i="30"/>
  <c r="Q268" i="30" s="1"/>
  <c r="R271" i="30"/>
  <c r="R268" i="30" s="1"/>
  <c r="S271" i="30"/>
  <c r="Q272" i="30"/>
  <c r="T272" i="30" s="1"/>
  <c r="R272" i="30"/>
  <c r="U272" i="30" s="1"/>
  <c r="S272" i="30"/>
  <c r="O273" i="30"/>
  <c r="P273" i="30"/>
  <c r="T273" i="30"/>
  <c r="U273" i="30"/>
  <c r="L274" i="30"/>
  <c r="L272" i="30" s="1"/>
  <c r="O272" i="30" s="1"/>
  <c r="M274" i="30"/>
  <c r="N274" i="30"/>
  <c r="N272" i="30" s="1"/>
  <c r="T274" i="30"/>
  <c r="U274" i="30"/>
  <c r="I276" i="30"/>
  <c r="K276" i="30" s="1"/>
  <c r="J281" i="30"/>
  <c r="L283" i="30"/>
  <c r="M283" i="30"/>
  <c r="P283" i="30" s="1"/>
  <c r="N283" i="30"/>
  <c r="Q283" i="30"/>
  <c r="T283" i="30" s="1"/>
  <c r="R283" i="30"/>
  <c r="U283" i="30" s="1"/>
  <c r="S283" i="30"/>
  <c r="Q284" i="30"/>
  <c r="R284" i="30"/>
  <c r="U284" i="30" s="1"/>
  <c r="S284" i="30"/>
  <c r="Q285" i="30"/>
  <c r="T285" i="30" s="1"/>
  <c r="R285" i="30"/>
  <c r="U285" i="30" s="1"/>
  <c r="S285" i="30"/>
  <c r="O286" i="30"/>
  <c r="P286" i="30"/>
  <c r="T286" i="30"/>
  <c r="U286" i="30"/>
  <c r="L287" i="30"/>
  <c r="O287" i="30" s="1"/>
  <c r="M287" i="30"/>
  <c r="M285" i="30" s="1"/>
  <c r="P285" i="30" s="1"/>
  <c r="N287" i="30"/>
  <c r="N285" i="30" s="1"/>
  <c r="T287" i="30"/>
  <c r="U287" i="30"/>
  <c r="Q288" i="30"/>
  <c r="R288" i="30"/>
  <c r="S288" i="30"/>
  <c r="T288" i="30"/>
  <c r="U288" i="30"/>
  <c r="O289" i="30"/>
  <c r="P289" i="30"/>
  <c r="T289" i="30"/>
  <c r="U289" i="30"/>
  <c r="L290" i="30"/>
  <c r="O290" i="30" s="1"/>
  <c r="M290" i="30"/>
  <c r="P290" i="30" s="1"/>
  <c r="N290" i="30"/>
  <c r="N288" i="30" s="1"/>
  <c r="T290" i="30"/>
  <c r="U290" i="30"/>
  <c r="I292" i="30"/>
  <c r="I293" i="30"/>
  <c r="J293" i="30"/>
  <c r="J280" i="30" s="1"/>
  <c r="I295" i="30"/>
  <c r="K295" i="30" s="1"/>
  <c r="I296" i="30"/>
  <c r="K296" i="30" s="1"/>
  <c r="J302" i="30"/>
  <c r="L304" i="30"/>
  <c r="O304" i="30" s="1"/>
  <c r="M304" i="30"/>
  <c r="P304" i="30" s="1"/>
  <c r="N304" i="30"/>
  <c r="Q304" i="30"/>
  <c r="R304" i="30"/>
  <c r="U304" i="30" s="1"/>
  <c r="S304" i="30"/>
  <c r="T304" i="30"/>
  <c r="O307" i="30"/>
  <c r="P307" i="30"/>
  <c r="T307" i="30"/>
  <c r="U307" i="30"/>
  <c r="L308" i="30"/>
  <c r="M308" i="30"/>
  <c r="N308" i="30"/>
  <c r="Q308" i="30"/>
  <c r="Q306" i="30" s="1"/>
  <c r="R308" i="30"/>
  <c r="R305" i="30" s="1"/>
  <c r="S308" i="30"/>
  <c r="S305" i="30" s="1"/>
  <c r="S303" i="30" s="1"/>
  <c r="Q309" i="30"/>
  <c r="T309" i="30" s="1"/>
  <c r="R309" i="30"/>
  <c r="U309" i="30" s="1"/>
  <c r="S309" i="30"/>
  <c r="O310" i="30"/>
  <c r="P310" i="30"/>
  <c r="T310" i="30"/>
  <c r="U310" i="30"/>
  <c r="L311" i="30"/>
  <c r="L309" i="30" s="1"/>
  <c r="O309" i="30" s="1"/>
  <c r="M311" i="30"/>
  <c r="N311" i="30"/>
  <c r="N309" i="30" s="1"/>
  <c r="T311" i="30"/>
  <c r="U311" i="30"/>
  <c r="I314" i="30"/>
  <c r="I302" i="30" s="1"/>
  <c r="J319" i="30"/>
  <c r="L321" i="30"/>
  <c r="M321" i="30"/>
  <c r="N321" i="30"/>
  <c r="Q321" i="30"/>
  <c r="T321" i="30" s="1"/>
  <c r="R321" i="30"/>
  <c r="S321" i="30"/>
  <c r="S320" i="30" s="1"/>
  <c r="Q322" i="30"/>
  <c r="R322" i="30"/>
  <c r="U322" i="30" s="1"/>
  <c r="S322" i="30"/>
  <c r="Q323" i="30"/>
  <c r="T323" i="30" s="1"/>
  <c r="R323" i="30"/>
  <c r="U323" i="30" s="1"/>
  <c r="S323" i="30"/>
  <c r="O324" i="30"/>
  <c r="P324" i="30"/>
  <c r="T324" i="30"/>
  <c r="U324" i="30"/>
  <c r="L325" i="30"/>
  <c r="M325" i="30"/>
  <c r="N325" i="30"/>
  <c r="T325" i="30"/>
  <c r="U325" i="30"/>
  <c r="Q326" i="30"/>
  <c r="T326" i="30" s="1"/>
  <c r="R326" i="30"/>
  <c r="U326" i="30" s="1"/>
  <c r="S326" i="30"/>
  <c r="O327" i="30"/>
  <c r="P327" i="30"/>
  <c r="T327" i="30"/>
  <c r="U327" i="30"/>
  <c r="L328" i="30"/>
  <c r="L326" i="30" s="1"/>
  <c r="O326" i="30" s="1"/>
  <c r="M328" i="30"/>
  <c r="P328" i="30" s="1"/>
  <c r="N328" i="30"/>
  <c r="N326" i="30" s="1"/>
  <c r="T328" i="30"/>
  <c r="U328" i="30"/>
  <c r="I330" i="30"/>
  <c r="I319" i="30" s="1"/>
  <c r="K319" i="30" s="1"/>
  <c r="L334" i="30"/>
  <c r="O334" i="30" s="1"/>
  <c r="M334" i="30"/>
  <c r="N334" i="30"/>
  <c r="Q334" i="30"/>
  <c r="T334" i="30" s="1"/>
  <c r="R334" i="30"/>
  <c r="U334" i="30" s="1"/>
  <c r="S334" i="30"/>
  <c r="Q335" i="30"/>
  <c r="T335" i="30" s="1"/>
  <c r="R335" i="30"/>
  <c r="U335" i="30" s="1"/>
  <c r="S335" i="30"/>
  <c r="Q336" i="30"/>
  <c r="T336" i="30" s="1"/>
  <c r="R336" i="30"/>
  <c r="U336" i="30" s="1"/>
  <c r="S336" i="30"/>
  <c r="O337" i="30"/>
  <c r="P337" i="30"/>
  <c r="T337" i="30"/>
  <c r="U337" i="30"/>
  <c r="L338" i="30"/>
  <c r="L336" i="30" s="1"/>
  <c r="M338" i="30"/>
  <c r="M336" i="30" s="1"/>
  <c r="N338" i="30"/>
  <c r="T338" i="30"/>
  <c r="U338" i="30"/>
  <c r="Q339" i="30"/>
  <c r="T339" i="30" s="1"/>
  <c r="R339" i="30"/>
  <c r="U339" i="30" s="1"/>
  <c r="S339" i="30"/>
  <c r="O340" i="30"/>
  <c r="P340" i="30"/>
  <c r="T340" i="30"/>
  <c r="U340" i="30"/>
  <c r="L341" i="30"/>
  <c r="M341" i="30"/>
  <c r="P341" i="30" s="1"/>
  <c r="N341" i="30"/>
  <c r="N339" i="30" s="1"/>
  <c r="T341" i="30"/>
  <c r="U341" i="30"/>
  <c r="I344" i="30"/>
  <c r="I332" i="30" s="1"/>
  <c r="J344" i="30"/>
  <c r="I346" i="30"/>
  <c r="J346" i="30"/>
  <c r="J347" i="30"/>
  <c r="J348" i="30"/>
  <c r="J349" i="30"/>
  <c r="D350" i="30"/>
  <c r="J352" i="30"/>
  <c r="J353" i="30"/>
  <c r="J354" i="30"/>
  <c r="L357" i="30"/>
  <c r="M357" i="30"/>
  <c r="P357" i="30" s="1"/>
  <c r="N357" i="30"/>
  <c r="O357" i="30"/>
  <c r="Q357" i="30"/>
  <c r="T357" i="30" s="1"/>
  <c r="R357" i="30"/>
  <c r="S357" i="30"/>
  <c r="U357" i="30"/>
  <c r="Q358" i="30"/>
  <c r="T358" i="30" s="1"/>
  <c r="R358" i="30"/>
  <c r="U358" i="30" s="1"/>
  <c r="S358" i="30"/>
  <c r="Q359" i="30"/>
  <c r="T359" i="30" s="1"/>
  <c r="R359" i="30"/>
  <c r="U359" i="30" s="1"/>
  <c r="S359" i="30"/>
  <c r="O360" i="30"/>
  <c r="P360" i="30"/>
  <c r="T360" i="30"/>
  <c r="U360" i="30"/>
  <c r="L361" i="30"/>
  <c r="M361" i="30"/>
  <c r="M359" i="30" s="1"/>
  <c r="N361" i="30"/>
  <c r="T361" i="30"/>
  <c r="U361" i="30"/>
  <c r="Q362" i="30"/>
  <c r="T362" i="30" s="1"/>
  <c r="R362" i="30"/>
  <c r="S362" i="30"/>
  <c r="U362" i="30"/>
  <c r="O363" i="30"/>
  <c r="P363" i="30"/>
  <c r="T363" i="30"/>
  <c r="U363" i="30"/>
  <c r="L364" i="30"/>
  <c r="M364" i="30"/>
  <c r="N364" i="30"/>
  <c r="N362" i="30" s="1"/>
  <c r="T364" i="30"/>
  <c r="U364" i="30"/>
  <c r="J367" i="30"/>
  <c r="K367" i="30"/>
  <c r="I368" i="30"/>
  <c r="J368" i="30"/>
  <c r="I369" i="30"/>
  <c r="J369" i="30"/>
  <c r="J370" i="30"/>
  <c r="K370" i="30"/>
  <c r="I371" i="30"/>
  <c r="J371" i="30"/>
  <c r="J365" i="30" s="1"/>
  <c r="J372" i="30"/>
  <c r="K372" i="30"/>
  <c r="D373" i="30"/>
  <c r="L376" i="30"/>
  <c r="O376" i="30" s="1"/>
  <c r="M376" i="30"/>
  <c r="P376" i="30" s="1"/>
  <c r="N376" i="30"/>
  <c r="Q376" i="30"/>
  <c r="R376" i="30"/>
  <c r="U376" i="30" s="1"/>
  <c r="S376" i="30"/>
  <c r="O379" i="30"/>
  <c r="P379" i="30"/>
  <c r="T379" i="30"/>
  <c r="U379" i="30"/>
  <c r="L380" i="30"/>
  <c r="M380" i="30"/>
  <c r="N380" i="30"/>
  <c r="Q380" i="30"/>
  <c r="Q378" i="30" s="1"/>
  <c r="R380" i="30"/>
  <c r="S380" i="30"/>
  <c r="Q381" i="30"/>
  <c r="T381" i="30" s="1"/>
  <c r="R381" i="30"/>
  <c r="U381" i="30" s="1"/>
  <c r="S381" i="30"/>
  <c r="O382" i="30"/>
  <c r="P382" i="30"/>
  <c r="T382" i="30"/>
  <c r="U382" i="30"/>
  <c r="L383" i="30"/>
  <c r="L381" i="30" s="1"/>
  <c r="O381" i="30" s="1"/>
  <c r="M383" i="30"/>
  <c r="N383" i="30"/>
  <c r="N381" i="30" s="1"/>
  <c r="T383" i="30"/>
  <c r="U383" i="30"/>
  <c r="J385" i="30"/>
  <c r="K385" i="30"/>
  <c r="I386" i="30"/>
  <c r="J386" i="30"/>
  <c r="J387" i="30"/>
  <c r="K387" i="30"/>
  <c r="I388" i="30"/>
  <c r="K388" i="30" s="1"/>
  <c r="J388" i="30"/>
  <c r="I391" i="30"/>
  <c r="J391" i="30"/>
  <c r="K391" i="30"/>
  <c r="L393" i="30"/>
  <c r="L392" i="30" s="1"/>
  <c r="O392" i="30" s="1"/>
  <c r="M393" i="30"/>
  <c r="P393" i="30" s="1"/>
  <c r="N393" i="30"/>
  <c r="Q393" i="30"/>
  <c r="T393" i="30" s="1"/>
  <c r="R393" i="30"/>
  <c r="U393" i="30" s="1"/>
  <c r="S393" i="30"/>
  <c r="L394" i="30"/>
  <c r="M394" i="30"/>
  <c r="P394" i="30" s="1"/>
  <c r="N394" i="30"/>
  <c r="O394" i="30"/>
  <c r="L395" i="30"/>
  <c r="M395" i="30"/>
  <c r="N395" i="30"/>
  <c r="O395" i="30"/>
  <c r="P395" i="30"/>
  <c r="O396" i="30"/>
  <c r="P396" i="30"/>
  <c r="T396" i="30"/>
  <c r="U396" i="30"/>
  <c r="O397" i="30"/>
  <c r="P397" i="30"/>
  <c r="Q397" i="30"/>
  <c r="Q394" i="30" s="1"/>
  <c r="T394" i="30" s="1"/>
  <c r="R397" i="30"/>
  <c r="S397" i="30"/>
  <c r="L398" i="30"/>
  <c r="O398" i="30" s="1"/>
  <c r="M398" i="30"/>
  <c r="P398" i="30" s="1"/>
  <c r="N398" i="30"/>
  <c r="Q398" i="30"/>
  <c r="T398" i="30" s="1"/>
  <c r="R398" i="30"/>
  <c r="U398" i="30" s="1"/>
  <c r="S398" i="30"/>
  <c r="O399" i="30"/>
  <c r="P399" i="30"/>
  <c r="T399" i="30"/>
  <c r="U399" i="30"/>
  <c r="O400" i="30"/>
  <c r="P400" i="30"/>
  <c r="T400" i="30"/>
  <c r="U400" i="30"/>
  <c r="L414" i="30"/>
  <c r="O414" i="30" s="1"/>
  <c r="M414" i="30"/>
  <c r="P414" i="30" s="1"/>
  <c r="N414" i="30"/>
  <c r="Q414" i="30"/>
  <c r="T414" i="30" s="1"/>
  <c r="R414" i="30"/>
  <c r="S414" i="30"/>
  <c r="U414" i="30"/>
  <c r="O417" i="30"/>
  <c r="P417" i="30"/>
  <c r="T417" i="30"/>
  <c r="U417" i="30"/>
  <c r="L418" i="30"/>
  <c r="M418" i="30"/>
  <c r="M416" i="30" s="1"/>
  <c r="N418" i="30"/>
  <c r="N416" i="30" s="1"/>
  <c r="Q418" i="30"/>
  <c r="Q416" i="30" s="1"/>
  <c r="R418" i="30"/>
  <c r="R416" i="30" s="1"/>
  <c r="S418" i="30"/>
  <c r="Q419" i="30"/>
  <c r="T419" i="30" s="1"/>
  <c r="R419" i="30"/>
  <c r="U419" i="30" s="1"/>
  <c r="S419" i="30"/>
  <c r="O420" i="30"/>
  <c r="P420" i="30"/>
  <c r="T420" i="30"/>
  <c r="U420" i="30"/>
  <c r="L421" i="30"/>
  <c r="L419" i="30" s="1"/>
  <c r="O419" i="30" s="1"/>
  <c r="M421" i="30"/>
  <c r="P421" i="30" s="1"/>
  <c r="N421" i="30"/>
  <c r="N419" i="30" s="1"/>
  <c r="T421" i="30"/>
  <c r="U421" i="30"/>
  <c r="I424" i="30"/>
  <c r="K424" i="30" s="1"/>
  <c r="J424" i="30"/>
  <c r="I425" i="30"/>
  <c r="K425" i="30" s="1"/>
  <c r="J425" i="30"/>
  <c r="I432" i="30"/>
  <c r="K432" i="30" s="1"/>
  <c r="J432" i="30"/>
  <c r="I433" i="30"/>
  <c r="K433" i="30" s="1"/>
  <c r="J433" i="30"/>
  <c r="I440" i="30"/>
  <c r="K440" i="30" s="1"/>
  <c r="I441" i="30"/>
  <c r="K441" i="30" s="1"/>
  <c r="J446" i="30"/>
  <c r="J440" i="30" s="1"/>
  <c r="J423" i="30" s="1"/>
  <c r="J412" i="30" s="1"/>
  <c r="J447" i="30"/>
  <c r="J441" i="30" s="1"/>
  <c r="I457" i="30"/>
  <c r="I456" i="30" s="1"/>
  <c r="I458" i="30"/>
  <c r="K458" i="30" s="1"/>
  <c r="J459" i="30"/>
  <c r="J460" i="30"/>
  <c r="J458" i="30" s="1"/>
  <c r="J467" i="30"/>
  <c r="J468" i="30"/>
  <c r="J475" i="30"/>
  <c r="K475" i="30"/>
  <c r="J476" i="30"/>
  <c r="K476" i="30"/>
  <c r="J477" i="30"/>
  <c r="K477" i="30"/>
  <c r="J482" i="30"/>
  <c r="J483" i="30"/>
  <c r="I484" i="30"/>
  <c r="K484" i="30" s="1"/>
  <c r="J484" i="30"/>
  <c r="I485" i="30"/>
  <c r="K485" i="30" s="1"/>
  <c r="J485" i="30"/>
  <c r="L494" i="30"/>
  <c r="O494" i="30" s="1"/>
  <c r="M494" i="30"/>
  <c r="P494" i="30" s="1"/>
  <c r="N494" i="30"/>
  <c r="Q494" i="30"/>
  <c r="T494" i="30" s="1"/>
  <c r="R494" i="30"/>
  <c r="U494" i="30" s="1"/>
  <c r="S494" i="30"/>
  <c r="O497" i="30"/>
  <c r="P497" i="30"/>
  <c r="T497" i="30"/>
  <c r="U497" i="30"/>
  <c r="L498" i="30"/>
  <c r="L496" i="30" s="1"/>
  <c r="O496" i="30" s="1"/>
  <c r="M498" i="30"/>
  <c r="N498" i="30"/>
  <c r="Q498" i="30"/>
  <c r="T498" i="30" s="1"/>
  <c r="R498" i="30"/>
  <c r="R496" i="30" s="1"/>
  <c r="U496" i="30" s="1"/>
  <c r="S498" i="30"/>
  <c r="S496" i="30" s="1"/>
  <c r="Q499" i="30"/>
  <c r="T499" i="30" s="1"/>
  <c r="R499" i="30"/>
  <c r="S499" i="30"/>
  <c r="U499" i="30"/>
  <c r="O500" i="30"/>
  <c r="P500" i="30"/>
  <c r="T500" i="30"/>
  <c r="U500" i="30"/>
  <c r="L501" i="30"/>
  <c r="L499" i="30" s="1"/>
  <c r="O499" i="30" s="1"/>
  <c r="M501" i="30"/>
  <c r="N501" i="30"/>
  <c r="N499" i="30" s="1"/>
  <c r="T501" i="30"/>
  <c r="U501" i="30"/>
  <c r="I503" i="30"/>
  <c r="I492" i="30" s="1"/>
  <c r="K492" i="30" s="1"/>
  <c r="I504" i="30"/>
  <c r="K504" i="30" s="1"/>
  <c r="I505" i="30"/>
  <c r="K505" i="30" s="1"/>
  <c r="I506" i="30"/>
  <c r="K506" i="30" s="1"/>
  <c r="I507" i="30"/>
  <c r="K507" i="30" s="1"/>
  <c r="K508" i="30"/>
  <c r="I509" i="30"/>
  <c r="K509" i="30" s="1"/>
  <c r="I512" i="30"/>
  <c r="K512" i="30" s="1"/>
  <c r="J512" i="30"/>
  <c r="L514" i="30"/>
  <c r="M514" i="30"/>
  <c r="P514" i="30" s="1"/>
  <c r="N514" i="30"/>
  <c r="O514" i="30"/>
  <c r="Q514" i="30"/>
  <c r="R514" i="30"/>
  <c r="U514" i="30" s="1"/>
  <c r="S514" i="30"/>
  <c r="Q515" i="30"/>
  <c r="T515" i="30" s="1"/>
  <c r="R515" i="30"/>
  <c r="U515" i="30" s="1"/>
  <c r="S515" i="30"/>
  <c r="S513" i="30" s="1"/>
  <c r="Q516" i="30"/>
  <c r="T516" i="30" s="1"/>
  <c r="R516" i="30"/>
  <c r="U516" i="30" s="1"/>
  <c r="S516" i="30"/>
  <c r="O517" i="30"/>
  <c r="P517" i="30"/>
  <c r="T517" i="30"/>
  <c r="U517" i="30"/>
  <c r="L518" i="30"/>
  <c r="L516" i="30" s="1"/>
  <c r="O516" i="30" s="1"/>
  <c r="M518" i="30"/>
  <c r="P518" i="30" s="1"/>
  <c r="N518" i="30"/>
  <c r="N516" i="30" s="1"/>
  <c r="T518" i="30"/>
  <c r="U518" i="30"/>
  <c r="Q519" i="30"/>
  <c r="T519" i="30" s="1"/>
  <c r="R519" i="30"/>
  <c r="U519" i="30" s="1"/>
  <c r="S519" i="30"/>
  <c r="O520" i="30"/>
  <c r="P520" i="30"/>
  <c r="T520" i="30"/>
  <c r="U520" i="30"/>
  <c r="L521" i="30"/>
  <c r="M521" i="30"/>
  <c r="M519" i="30" s="1"/>
  <c r="P519" i="30" s="1"/>
  <c r="N521" i="30"/>
  <c r="N519" i="30" s="1"/>
  <c r="T521" i="30"/>
  <c r="U521" i="30"/>
  <c r="K523" i="30"/>
  <c r="K524" i="30"/>
  <c r="I533" i="30"/>
  <c r="K533" i="30" s="1"/>
  <c r="J533" i="30"/>
  <c r="L535" i="30"/>
  <c r="M535" i="30"/>
  <c r="N535" i="30"/>
  <c r="P535" i="30"/>
  <c r="Q535" i="30"/>
  <c r="R535" i="30"/>
  <c r="S535" i="30"/>
  <c r="Q536" i="30"/>
  <c r="T536" i="30" s="1"/>
  <c r="R536" i="30"/>
  <c r="U536" i="30" s="1"/>
  <c r="S536" i="30"/>
  <c r="S534" i="30" s="1"/>
  <c r="Q537" i="30"/>
  <c r="R537" i="30"/>
  <c r="U537" i="30" s="1"/>
  <c r="S537" i="30"/>
  <c r="T537" i="30"/>
  <c r="O538" i="30"/>
  <c r="P538" i="30"/>
  <c r="T538" i="30"/>
  <c r="U538" i="30"/>
  <c r="L539" i="30"/>
  <c r="M539" i="30"/>
  <c r="N539" i="30"/>
  <c r="N537" i="30" s="1"/>
  <c r="T539" i="30"/>
  <c r="U539" i="30"/>
  <c r="Q540" i="30"/>
  <c r="T540" i="30" s="1"/>
  <c r="R540" i="30"/>
  <c r="S540" i="30"/>
  <c r="U540" i="30"/>
  <c r="O541" i="30"/>
  <c r="P541" i="30"/>
  <c r="T541" i="30"/>
  <c r="U541" i="30"/>
  <c r="L542" i="30"/>
  <c r="O542" i="30" s="1"/>
  <c r="M542" i="30"/>
  <c r="P542" i="30" s="1"/>
  <c r="N542" i="30"/>
  <c r="N540" i="30" s="1"/>
  <c r="T542" i="30"/>
  <c r="U542" i="30"/>
  <c r="I554" i="30"/>
  <c r="K554" i="30" s="1"/>
  <c r="J554" i="30"/>
  <c r="L556" i="30"/>
  <c r="M556" i="30"/>
  <c r="P556" i="30" s="1"/>
  <c r="N556" i="30"/>
  <c r="O556" i="30"/>
  <c r="Q556" i="30"/>
  <c r="T556" i="30" s="1"/>
  <c r="R556" i="30"/>
  <c r="S556" i="30"/>
  <c r="S555" i="30" s="1"/>
  <c r="U556" i="30"/>
  <c r="Q557" i="30"/>
  <c r="R557" i="30"/>
  <c r="U557" i="30" s="1"/>
  <c r="S557" i="30"/>
  <c r="Q558" i="30"/>
  <c r="T558" i="30" s="1"/>
  <c r="R558" i="30"/>
  <c r="S558" i="30"/>
  <c r="U558" i="30"/>
  <c r="O559" i="30"/>
  <c r="P559" i="30"/>
  <c r="T559" i="30"/>
  <c r="U559" i="30"/>
  <c r="L560" i="30"/>
  <c r="L558" i="30" s="1"/>
  <c r="O558" i="30" s="1"/>
  <c r="M560" i="30"/>
  <c r="P560" i="30" s="1"/>
  <c r="N560" i="30"/>
  <c r="N558" i="30" s="1"/>
  <c r="T560" i="30"/>
  <c r="U560" i="30"/>
  <c r="Q561" i="30"/>
  <c r="T561" i="30" s="1"/>
  <c r="R561" i="30"/>
  <c r="U561" i="30" s="1"/>
  <c r="S561" i="30"/>
  <c r="O562" i="30"/>
  <c r="P562" i="30"/>
  <c r="T562" i="30"/>
  <c r="U562" i="30"/>
  <c r="L563" i="30"/>
  <c r="O563" i="30" s="1"/>
  <c r="M563" i="30"/>
  <c r="P563" i="30" s="1"/>
  <c r="N563" i="30"/>
  <c r="N561" i="30" s="1"/>
  <c r="T563" i="30"/>
  <c r="U563" i="30"/>
  <c r="I575" i="30"/>
  <c r="K575" i="30" s="1"/>
  <c r="J575" i="30"/>
  <c r="L577" i="30"/>
  <c r="O577" i="30" s="1"/>
  <c r="M577" i="30"/>
  <c r="N577" i="30"/>
  <c r="P577" i="30"/>
  <c r="Q577" i="30"/>
  <c r="R577" i="30"/>
  <c r="U577" i="30" s="1"/>
  <c r="S577" i="30"/>
  <c r="Q578" i="30"/>
  <c r="R578" i="30"/>
  <c r="S578" i="30"/>
  <c r="T578" i="30"/>
  <c r="Q579" i="30"/>
  <c r="R579" i="30"/>
  <c r="S579" i="30"/>
  <c r="T579" i="30"/>
  <c r="U579" i="30"/>
  <c r="O580" i="30"/>
  <c r="P580" i="30"/>
  <c r="T580" i="30"/>
  <c r="U580" i="30"/>
  <c r="L581" i="30"/>
  <c r="M581" i="30"/>
  <c r="N581" i="30"/>
  <c r="T581" i="30"/>
  <c r="U581" i="30"/>
  <c r="Q582" i="30"/>
  <c r="T582" i="30" s="1"/>
  <c r="R582" i="30"/>
  <c r="U582" i="30" s="1"/>
  <c r="S582" i="30"/>
  <c r="O583" i="30"/>
  <c r="P583" i="30"/>
  <c r="T583" i="30"/>
  <c r="U583" i="30"/>
  <c r="L584" i="30"/>
  <c r="L582" i="30" s="1"/>
  <c r="O582" i="30" s="1"/>
  <c r="M584" i="30"/>
  <c r="M582" i="30" s="1"/>
  <c r="P582" i="30" s="1"/>
  <c r="N584" i="30"/>
  <c r="N582" i="30" s="1"/>
  <c r="T584" i="30"/>
  <c r="U584" i="30"/>
  <c r="L600" i="30"/>
  <c r="O600" i="30" s="1"/>
  <c r="M600" i="30"/>
  <c r="N600" i="30"/>
  <c r="P600" i="30"/>
  <c r="Q600" i="30"/>
  <c r="R600" i="30"/>
  <c r="U600" i="30" s="1"/>
  <c r="S600" i="30"/>
  <c r="O603" i="30"/>
  <c r="P603" i="30"/>
  <c r="T603" i="30"/>
  <c r="U603" i="30"/>
  <c r="L604" i="30"/>
  <c r="M604" i="30"/>
  <c r="N604" i="30"/>
  <c r="N602" i="30" s="1"/>
  <c r="Q604" i="30"/>
  <c r="Q602" i="30" s="1"/>
  <c r="T602" i="30" s="1"/>
  <c r="R604" i="30"/>
  <c r="S604" i="30"/>
  <c r="S602" i="30" s="1"/>
  <c r="O606" i="30"/>
  <c r="P606" i="30"/>
  <c r="T606" i="30"/>
  <c r="U606" i="30"/>
  <c r="L607" i="30"/>
  <c r="M607" i="30"/>
  <c r="N607" i="30"/>
  <c r="N605" i="30" s="1"/>
  <c r="Q607" i="30"/>
  <c r="R607" i="30"/>
  <c r="S607" i="30"/>
  <c r="S605" i="30" s="1"/>
  <c r="L617" i="30"/>
  <c r="M617" i="30"/>
  <c r="N617" i="30"/>
  <c r="N616" i="30" s="1"/>
  <c r="Q617" i="30"/>
  <c r="R617" i="30"/>
  <c r="S617" i="30"/>
  <c r="T617" i="30"/>
  <c r="U617" i="30"/>
  <c r="L618" i="30"/>
  <c r="M618" i="30"/>
  <c r="N618" i="30"/>
  <c r="O618" i="30"/>
  <c r="P618" i="30"/>
  <c r="L619" i="30"/>
  <c r="O619" i="30" s="1"/>
  <c r="M619" i="30"/>
  <c r="P619" i="30" s="1"/>
  <c r="N619" i="30"/>
  <c r="O620" i="30"/>
  <c r="P620" i="30"/>
  <c r="T620" i="30"/>
  <c r="U620" i="30"/>
  <c r="O621" i="30"/>
  <c r="P621" i="30"/>
  <c r="Q621" i="30"/>
  <c r="Q618" i="30" s="1"/>
  <c r="R621" i="30"/>
  <c r="S621" i="30"/>
  <c r="L622" i="30"/>
  <c r="M622" i="30"/>
  <c r="N622" i="30"/>
  <c r="O622" i="30"/>
  <c r="P622" i="30"/>
  <c r="Q622" i="30"/>
  <c r="R622" i="30"/>
  <c r="S622" i="30"/>
  <c r="T622" i="30"/>
  <c r="U622" i="30"/>
  <c r="O623" i="30"/>
  <c r="P623" i="30"/>
  <c r="T623" i="30"/>
  <c r="U623" i="30"/>
  <c r="O624" i="30"/>
  <c r="P624" i="30"/>
  <c r="T624" i="30"/>
  <c r="U624" i="30"/>
  <c r="I626" i="30"/>
  <c r="K630" i="30" s="1"/>
  <c r="I627" i="30"/>
  <c r="K627" i="30" s="1"/>
  <c r="I628" i="30"/>
  <c r="K628" i="30" s="1"/>
  <c r="J632" i="30"/>
  <c r="J626" i="30" s="1"/>
  <c r="J615" i="30" s="1"/>
  <c r="I635" i="30"/>
  <c r="K635" i="30" s="1"/>
  <c r="J636" i="30"/>
  <c r="J635" i="30" s="1"/>
  <c r="L643" i="30"/>
  <c r="M643" i="30"/>
  <c r="N643" i="30"/>
  <c r="Q643" i="30"/>
  <c r="R643" i="30"/>
  <c r="S643" i="30"/>
  <c r="T643" i="30"/>
  <c r="L644" i="30"/>
  <c r="M644" i="30"/>
  <c r="N644" i="30"/>
  <c r="N642" i="30" s="1"/>
  <c r="O644" i="30"/>
  <c r="P644" i="30"/>
  <c r="L645" i="30"/>
  <c r="O645" i="30" s="1"/>
  <c r="M645" i="30"/>
  <c r="N645" i="30"/>
  <c r="P645" i="30"/>
  <c r="O646" i="30"/>
  <c r="P646" i="30"/>
  <c r="T646" i="30"/>
  <c r="U646" i="30"/>
  <c r="O647" i="30"/>
  <c r="P647" i="30"/>
  <c r="Q647" i="30"/>
  <c r="R647" i="30"/>
  <c r="S647" i="30"/>
  <c r="S644" i="30" s="1"/>
  <c r="L648" i="30"/>
  <c r="M648" i="30"/>
  <c r="P648" i="30" s="1"/>
  <c r="N648" i="30"/>
  <c r="O648" i="30"/>
  <c r="Q648" i="30"/>
  <c r="T648" i="30" s="1"/>
  <c r="R648" i="30"/>
  <c r="S648" i="30"/>
  <c r="U648" i="30"/>
  <c r="O649" i="30"/>
  <c r="P649" i="30"/>
  <c r="T649" i="30"/>
  <c r="U649" i="30"/>
  <c r="O650" i="30"/>
  <c r="P650" i="30"/>
  <c r="T650" i="30"/>
  <c r="U650" i="30"/>
  <c r="I652" i="30"/>
  <c r="K652" i="30" s="1"/>
  <c r="J652" i="30"/>
  <c r="I653" i="30"/>
  <c r="K653" i="30" s="1"/>
  <c r="J653" i="30"/>
  <c r="I654" i="30"/>
  <c r="K654" i="30" s="1"/>
  <c r="J654" i="30"/>
  <c r="I657" i="30"/>
  <c r="I660" i="30"/>
  <c r="I661" i="30"/>
  <c r="K661" i="30" s="1"/>
  <c r="J661" i="30"/>
  <c r="J671" i="30"/>
  <c r="J672" i="30"/>
  <c r="I673" i="30"/>
  <c r="K673" i="30" s="1"/>
  <c r="J673" i="30"/>
  <c r="I674" i="30"/>
  <c r="K674" i="30" s="1"/>
  <c r="I675" i="30"/>
  <c r="K675" i="30" s="1"/>
  <c r="I676" i="30"/>
  <c r="K676" i="30" s="1"/>
  <c r="J676" i="30"/>
  <c r="J677" i="30"/>
  <c r="I678" i="30"/>
  <c r="K678" i="30" s="1"/>
  <c r="J678" i="30"/>
  <c r="I679" i="30"/>
  <c r="K679" i="30" s="1"/>
  <c r="J679" i="30"/>
  <c r="J680" i="30"/>
  <c r="I681" i="30"/>
  <c r="K681" i="30" s="1"/>
  <c r="J681" i="30"/>
  <c r="I682" i="30"/>
  <c r="K682" i="30" s="1"/>
  <c r="J682" i="30"/>
  <c r="L691" i="30"/>
  <c r="M691" i="30"/>
  <c r="N691" i="30"/>
  <c r="Q691" i="30"/>
  <c r="T691" i="30" s="1"/>
  <c r="R691" i="30"/>
  <c r="S691" i="30"/>
  <c r="L692" i="30"/>
  <c r="M692" i="30"/>
  <c r="P692" i="30" s="1"/>
  <c r="N692" i="30"/>
  <c r="N690" i="30" s="1"/>
  <c r="O692" i="30"/>
  <c r="L693" i="30"/>
  <c r="O693" i="30" s="1"/>
  <c r="M693" i="30"/>
  <c r="N693" i="30"/>
  <c r="P693" i="30"/>
  <c r="O694" i="30"/>
  <c r="P694" i="30"/>
  <c r="T694" i="30"/>
  <c r="U694" i="30"/>
  <c r="O695" i="30"/>
  <c r="P695" i="30"/>
  <c r="Q695" i="30"/>
  <c r="Q693" i="30" s="1"/>
  <c r="R695" i="30"/>
  <c r="S695" i="30"/>
  <c r="S692" i="30" s="1"/>
  <c r="L696" i="30"/>
  <c r="O696" i="30" s="1"/>
  <c r="M696" i="30"/>
  <c r="P696" i="30" s="1"/>
  <c r="N696" i="30"/>
  <c r="Q696" i="30"/>
  <c r="R696" i="30"/>
  <c r="U696" i="30" s="1"/>
  <c r="S696" i="30"/>
  <c r="T696" i="30"/>
  <c r="O697" i="30"/>
  <c r="P697" i="30"/>
  <c r="T697" i="30"/>
  <c r="U697" i="30"/>
  <c r="O698" i="30"/>
  <c r="P698" i="30"/>
  <c r="T698" i="30"/>
  <c r="U698" i="30"/>
  <c r="I700" i="30"/>
  <c r="K700" i="30" s="1"/>
  <c r="K702" i="30"/>
  <c r="I703" i="30"/>
  <c r="J703" i="30"/>
  <c r="J704" i="30"/>
  <c r="K704" i="30"/>
  <c r="I705" i="30"/>
  <c r="J705" i="30"/>
  <c r="J706" i="30"/>
  <c r="K706" i="30"/>
  <c r="I707" i="30"/>
  <c r="J707" i="30"/>
  <c r="J689" i="30" s="1"/>
  <c r="J708" i="30"/>
  <c r="K708" i="30"/>
  <c r="I709" i="30"/>
  <c r="J709" i="30"/>
  <c r="J710" i="30"/>
  <c r="K710" i="30"/>
  <c r="J712" i="30"/>
  <c r="K712" i="30"/>
  <c r="N714" i="30"/>
  <c r="L715" i="30"/>
  <c r="O715" i="30" s="1"/>
  <c r="M715" i="30"/>
  <c r="M714" i="30" s="1"/>
  <c r="P714" i="30" s="1"/>
  <c r="N715" i="30"/>
  <c r="P715" i="30"/>
  <c r="Q715" i="30"/>
  <c r="R715" i="30"/>
  <c r="U715" i="30" s="1"/>
  <c r="S715" i="30"/>
  <c r="L716" i="30"/>
  <c r="M716" i="30"/>
  <c r="P716" i="30" s="1"/>
  <c r="N716" i="30"/>
  <c r="Q716" i="30"/>
  <c r="R716" i="30"/>
  <c r="S716" i="30"/>
  <c r="T716" i="30"/>
  <c r="L717" i="30"/>
  <c r="M717" i="30"/>
  <c r="N717" i="30"/>
  <c r="O717" i="30"/>
  <c r="P717" i="30"/>
  <c r="Q717" i="30"/>
  <c r="R717" i="30"/>
  <c r="S717" i="30"/>
  <c r="T717" i="30"/>
  <c r="U717" i="30"/>
  <c r="O718" i="30"/>
  <c r="P718" i="30"/>
  <c r="T718" i="30"/>
  <c r="U718" i="30"/>
  <c r="O719" i="30"/>
  <c r="P719" i="30"/>
  <c r="T719" i="30"/>
  <c r="U719" i="30"/>
  <c r="L720" i="30"/>
  <c r="M720" i="30"/>
  <c r="N720" i="30"/>
  <c r="O720" i="30"/>
  <c r="P720" i="30"/>
  <c r="Q720" i="30"/>
  <c r="R720" i="30"/>
  <c r="S720" i="30"/>
  <c r="T720" i="30"/>
  <c r="U720" i="30"/>
  <c r="O721" i="30"/>
  <c r="P721" i="30"/>
  <c r="T721" i="30"/>
  <c r="U721" i="30"/>
  <c r="O722" i="30"/>
  <c r="P722" i="30"/>
  <c r="T722" i="30"/>
  <c r="U722" i="30"/>
  <c r="I726" i="30"/>
  <c r="K726" i="30" s="1"/>
  <c r="J726" i="30"/>
  <c r="I727" i="30"/>
  <c r="J727" i="30"/>
  <c r="L729" i="30"/>
  <c r="O729" i="30" s="1"/>
  <c r="M729" i="30"/>
  <c r="N729" i="30"/>
  <c r="N728" i="30" s="1"/>
  <c r="P729" i="30"/>
  <c r="Q729" i="30"/>
  <c r="R729" i="30"/>
  <c r="U729" i="30" s="1"/>
  <c r="S729" i="30"/>
  <c r="L730" i="30"/>
  <c r="M730" i="30"/>
  <c r="P730" i="30" s="1"/>
  <c r="N730" i="30"/>
  <c r="L731" i="30"/>
  <c r="M731" i="30"/>
  <c r="N731" i="30"/>
  <c r="O731" i="30"/>
  <c r="P731" i="30"/>
  <c r="O732" i="30"/>
  <c r="P732" i="30"/>
  <c r="T732" i="30"/>
  <c r="U732" i="30"/>
  <c r="O733" i="30"/>
  <c r="P733" i="30"/>
  <c r="Q733" i="30"/>
  <c r="Q730" i="30" s="1"/>
  <c r="R733" i="30"/>
  <c r="R731" i="30" s="1"/>
  <c r="S733" i="30"/>
  <c r="L734" i="30"/>
  <c r="O734" i="30" s="1"/>
  <c r="M734" i="30"/>
  <c r="P734" i="30" s="1"/>
  <c r="N734" i="30"/>
  <c r="Q734" i="30"/>
  <c r="T734" i="30" s="1"/>
  <c r="R734" i="30"/>
  <c r="U734" i="30" s="1"/>
  <c r="S734" i="30"/>
  <c r="O735" i="30"/>
  <c r="P735" i="30"/>
  <c r="T735" i="30"/>
  <c r="U735" i="30"/>
  <c r="O736" i="30"/>
  <c r="P736" i="30"/>
  <c r="T736" i="30"/>
  <c r="U736" i="30"/>
  <c r="I740" i="30"/>
  <c r="K740" i="30" s="1"/>
  <c r="I742" i="30"/>
  <c r="K742" i="30" s="1"/>
  <c r="I744" i="30"/>
  <c r="K744" i="30" s="1"/>
  <c r="I746" i="30"/>
  <c r="K746" i="30" s="1"/>
  <c r="I749" i="30"/>
  <c r="K749" i="30" s="1"/>
  <c r="I752" i="30"/>
  <c r="K752" i="30" s="1"/>
  <c r="I755" i="30"/>
  <c r="K755" i="30" s="1"/>
  <c r="J758" i="30"/>
  <c r="J759" i="30"/>
  <c r="L761" i="30"/>
  <c r="M761" i="30"/>
  <c r="P761" i="30" s="1"/>
  <c r="N761" i="30"/>
  <c r="Q761" i="30"/>
  <c r="R761" i="30"/>
  <c r="S761" i="30"/>
  <c r="L762" i="30"/>
  <c r="O762" i="30" s="1"/>
  <c r="M762" i="30"/>
  <c r="N762" i="30"/>
  <c r="L763" i="30"/>
  <c r="O763" i="30" s="1"/>
  <c r="M763" i="30"/>
  <c r="P763" i="30" s="1"/>
  <c r="N763" i="30"/>
  <c r="O764" i="30"/>
  <c r="P764" i="30"/>
  <c r="T764" i="30"/>
  <c r="U764" i="30"/>
  <c r="O765" i="30"/>
  <c r="P765" i="30"/>
  <c r="Q765" i="30"/>
  <c r="R765" i="30"/>
  <c r="R762" i="30" s="1"/>
  <c r="S765" i="30"/>
  <c r="S762" i="30" s="1"/>
  <c r="L766" i="30"/>
  <c r="O766" i="30" s="1"/>
  <c r="M766" i="30"/>
  <c r="P766" i="30" s="1"/>
  <c r="N766" i="30"/>
  <c r="Q766" i="30"/>
  <c r="R766" i="30"/>
  <c r="U766" i="30" s="1"/>
  <c r="S766" i="30"/>
  <c r="T766" i="30"/>
  <c r="O767" i="30"/>
  <c r="P767" i="30"/>
  <c r="T767" i="30"/>
  <c r="U767" i="30"/>
  <c r="O768" i="30"/>
  <c r="P768" i="30"/>
  <c r="T768" i="30"/>
  <c r="U768" i="30"/>
  <c r="I770" i="30"/>
  <c r="K770" i="30" s="1"/>
  <c r="I772" i="30"/>
  <c r="I758" i="30" s="1"/>
  <c r="K758" i="30" s="1"/>
  <c r="I774" i="30"/>
  <c r="K774" i="30" s="1"/>
  <c r="I775" i="30"/>
  <c r="I776" i="30"/>
  <c r="H777" i="30"/>
  <c r="I778" i="30"/>
  <c r="J778" i="30"/>
  <c r="I779" i="30"/>
  <c r="J779" i="30"/>
  <c r="I780" i="30"/>
  <c r="J780" i="30"/>
  <c r="I781" i="30"/>
  <c r="J781" i="30"/>
  <c r="I782" i="30"/>
  <c r="K782" i="30" s="1"/>
  <c r="J782" i="30"/>
  <c r="I783" i="30"/>
  <c r="K783" i="30" s="1"/>
  <c r="J783" i="30"/>
  <c r="I784" i="30"/>
  <c r="J784" i="30"/>
  <c r="I785" i="30"/>
  <c r="J785" i="30"/>
  <c r="A788" i="30"/>
  <c r="A789" i="30"/>
  <c r="L22" i="29"/>
  <c r="M22" i="29"/>
  <c r="N22" i="29"/>
  <c r="Q22" i="29"/>
  <c r="R22" i="29"/>
  <c r="S22" i="29"/>
  <c r="T22" i="29"/>
  <c r="L25" i="29"/>
  <c r="M25" i="29"/>
  <c r="N25" i="29"/>
  <c r="Q25" i="29"/>
  <c r="T25" i="29" s="1"/>
  <c r="R25" i="29"/>
  <c r="S25" i="29"/>
  <c r="L45" i="29"/>
  <c r="M45" i="29"/>
  <c r="N45" i="29"/>
  <c r="Q45" i="29"/>
  <c r="Q44" i="29" s="1"/>
  <c r="T44" i="29" s="1"/>
  <c r="R45" i="29"/>
  <c r="U45" i="29" s="1"/>
  <c r="S45" i="29"/>
  <c r="T45" i="29"/>
  <c r="Q46" i="29"/>
  <c r="T46" i="29" s="1"/>
  <c r="R46" i="29"/>
  <c r="S46" i="29"/>
  <c r="U46" i="29"/>
  <c r="Q47" i="29"/>
  <c r="T47" i="29" s="1"/>
  <c r="R47" i="29"/>
  <c r="U47" i="29" s="1"/>
  <c r="S47" i="29"/>
  <c r="O48" i="29"/>
  <c r="P48" i="29"/>
  <c r="T48" i="29"/>
  <c r="U48" i="29"/>
  <c r="L49" i="29"/>
  <c r="M49" i="29"/>
  <c r="N49" i="29"/>
  <c r="T49" i="29"/>
  <c r="U49" i="29"/>
  <c r="Q50" i="29"/>
  <c r="T50" i="29" s="1"/>
  <c r="R50" i="29"/>
  <c r="U50" i="29" s="1"/>
  <c r="S50" i="29"/>
  <c r="O51" i="29"/>
  <c r="P51" i="29"/>
  <c r="T51" i="29"/>
  <c r="U51" i="29"/>
  <c r="L52" i="29"/>
  <c r="O52" i="29" s="1"/>
  <c r="M52" i="29"/>
  <c r="N52" i="29"/>
  <c r="N50" i="29" s="1"/>
  <c r="T52" i="29"/>
  <c r="U52" i="29"/>
  <c r="L60" i="29"/>
  <c r="M60" i="29"/>
  <c r="N60" i="29"/>
  <c r="O60" i="29"/>
  <c r="Q60" i="29"/>
  <c r="Q59" i="29" s="1"/>
  <c r="T59" i="29" s="1"/>
  <c r="R60" i="29"/>
  <c r="R59" i="29" s="1"/>
  <c r="U59" i="29" s="1"/>
  <c r="S60" i="29"/>
  <c r="S59" i="29" s="1"/>
  <c r="T60" i="29"/>
  <c r="U60" i="29"/>
  <c r="Q61" i="29"/>
  <c r="T61" i="29" s="1"/>
  <c r="R61" i="29"/>
  <c r="U61" i="29" s="1"/>
  <c r="S61" i="29"/>
  <c r="Q62" i="29"/>
  <c r="T62" i="29" s="1"/>
  <c r="R62" i="29"/>
  <c r="U62" i="29" s="1"/>
  <c r="S62" i="29"/>
  <c r="O63" i="29"/>
  <c r="P63" i="29"/>
  <c r="T63" i="29"/>
  <c r="U63" i="29"/>
  <c r="L64" i="29"/>
  <c r="M64" i="29"/>
  <c r="N64" i="29"/>
  <c r="N62" i="29" s="1"/>
  <c r="T64" i="29"/>
  <c r="U64" i="29"/>
  <c r="Q65" i="29"/>
  <c r="R65" i="29"/>
  <c r="U65" i="29" s="1"/>
  <c r="S65" i="29"/>
  <c r="T65" i="29"/>
  <c r="O66" i="29"/>
  <c r="P66" i="29"/>
  <c r="T66" i="29"/>
  <c r="U66" i="29"/>
  <c r="L67" i="29"/>
  <c r="M67" i="29"/>
  <c r="N67" i="29"/>
  <c r="N65" i="29" s="1"/>
  <c r="T67" i="29"/>
  <c r="U67" i="29"/>
  <c r="L73" i="29"/>
  <c r="O73" i="29" s="1"/>
  <c r="M73" i="29"/>
  <c r="N73" i="29"/>
  <c r="Q73" i="29"/>
  <c r="T73" i="29" s="1"/>
  <c r="R73" i="29"/>
  <c r="U73" i="29" s="1"/>
  <c r="S73" i="29"/>
  <c r="O76" i="29"/>
  <c r="P76" i="29"/>
  <c r="T76" i="29"/>
  <c r="U76" i="29"/>
  <c r="L77" i="29"/>
  <c r="M77" i="29"/>
  <c r="M75" i="29" s="1"/>
  <c r="P75" i="29" s="1"/>
  <c r="N77" i="29"/>
  <c r="Q77" i="29"/>
  <c r="Q75" i="29" s="1"/>
  <c r="T75" i="29" s="1"/>
  <c r="R77" i="29"/>
  <c r="S77" i="29"/>
  <c r="S75" i="29" s="1"/>
  <c r="O79" i="29"/>
  <c r="P79" i="29"/>
  <c r="T79" i="29"/>
  <c r="U79" i="29"/>
  <c r="L80" i="29"/>
  <c r="M80" i="29"/>
  <c r="N80" i="29"/>
  <c r="N78" i="29" s="1"/>
  <c r="Q80" i="29"/>
  <c r="Q78" i="29" s="1"/>
  <c r="T78" i="29" s="1"/>
  <c r="R80" i="29"/>
  <c r="U80" i="29" s="1"/>
  <c r="S80" i="29"/>
  <c r="S78" i="29" s="1"/>
  <c r="J82" i="29"/>
  <c r="J70" i="29" s="1"/>
  <c r="J83" i="29"/>
  <c r="J71" i="29" s="1"/>
  <c r="I84" i="29"/>
  <c r="I85" i="29"/>
  <c r="I86" i="29"/>
  <c r="K86" i="29" s="1"/>
  <c r="I87" i="29"/>
  <c r="K87" i="29" s="1"/>
  <c r="I88" i="29"/>
  <c r="K88" i="29" s="1"/>
  <c r="I89" i="29"/>
  <c r="K89" i="29" s="1"/>
  <c r="I90" i="29"/>
  <c r="K90" i="29" s="1"/>
  <c r="J92" i="29"/>
  <c r="J93" i="29"/>
  <c r="L95" i="29"/>
  <c r="M95" i="29"/>
  <c r="P95" i="29" s="1"/>
  <c r="N95" i="29"/>
  <c r="Q95" i="29"/>
  <c r="R95" i="29"/>
  <c r="S95" i="29"/>
  <c r="O98" i="29"/>
  <c r="P98" i="29"/>
  <c r="T98" i="29"/>
  <c r="U98" i="29"/>
  <c r="L99" i="29"/>
  <c r="M99" i="29"/>
  <c r="N99" i="29"/>
  <c r="Q99" i="29"/>
  <c r="Q97" i="29" s="1"/>
  <c r="R99" i="29"/>
  <c r="R96" i="29" s="1"/>
  <c r="S99" i="29"/>
  <c r="Q100" i="29"/>
  <c r="T100" i="29" s="1"/>
  <c r="R100" i="29"/>
  <c r="S100" i="29"/>
  <c r="U100" i="29"/>
  <c r="O101" i="29"/>
  <c r="P101" i="29"/>
  <c r="T101" i="29"/>
  <c r="U101" i="29"/>
  <c r="L102" i="29"/>
  <c r="M102" i="29"/>
  <c r="N102" i="29"/>
  <c r="T102" i="29"/>
  <c r="U102" i="29"/>
  <c r="I108" i="29"/>
  <c r="I109" i="29"/>
  <c r="I113" i="29"/>
  <c r="K113" i="29" s="1"/>
  <c r="I114" i="29"/>
  <c r="K114" i="29" s="1"/>
  <c r="J116" i="29"/>
  <c r="L118" i="29"/>
  <c r="O118" i="29" s="1"/>
  <c r="M118" i="29"/>
  <c r="P118" i="29" s="1"/>
  <c r="N118" i="29"/>
  <c r="Q118" i="29"/>
  <c r="T118" i="29" s="1"/>
  <c r="R118" i="29"/>
  <c r="U118" i="29" s="1"/>
  <c r="S118" i="29"/>
  <c r="O121" i="29"/>
  <c r="P121" i="29"/>
  <c r="T121" i="29"/>
  <c r="U121" i="29"/>
  <c r="L122" i="29"/>
  <c r="M122" i="29"/>
  <c r="N122" i="29"/>
  <c r="Q122" i="29"/>
  <c r="R122" i="29"/>
  <c r="S122" i="29"/>
  <c r="S120" i="29" s="1"/>
  <c r="O124" i="29"/>
  <c r="P124" i="29"/>
  <c r="T124" i="29"/>
  <c r="U124" i="29"/>
  <c r="L125" i="29"/>
  <c r="M125" i="29"/>
  <c r="N125" i="29"/>
  <c r="N123" i="29" s="1"/>
  <c r="Q125" i="29"/>
  <c r="R125" i="29"/>
  <c r="S125" i="29"/>
  <c r="S123" i="29" s="1"/>
  <c r="I127" i="29"/>
  <c r="I116" i="29" s="1"/>
  <c r="I128" i="29"/>
  <c r="K128" i="29" s="1"/>
  <c r="I129" i="29"/>
  <c r="K129" i="29" s="1"/>
  <c r="I130" i="29"/>
  <c r="K130" i="29" s="1"/>
  <c r="J136" i="29"/>
  <c r="J137" i="29"/>
  <c r="J138" i="29"/>
  <c r="L140" i="29"/>
  <c r="O140" i="29" s="1"/>
  <c r="M140" i="29"/>
  <c r="N140" i="29"/>
  <c r="Q140" i="29"/>
  <c r="R140" i="29"/>
  <c r="U140" i="29" s="1"/>
  <c r="S140" i="29"/>
  <c r="O143" i="29"/>
  <c r="P143" i="29"/>
  <c r="T143" i="29"/>
  <c r="U143" i="29"/>
  <c r="L144" i="29"/>
  <c r="M144" i="29"/>
  <c r="N144" i="29"/>
  <c r="Q144" i="29"/>
  <c r="Q142" i="29" s="1"/>
  <c r="R144" i="29"/>
  <c r="S144" i="29"/>
  <c r="O146" i="29"/>
  <c r="P146" i="29"/>
  <c r="T146" i="29"/>
  <c r="U146" i="29"/>
  <c r="L147" i="29"/>
  <c r="M147" i="29"/>
  <c r="N147" i="29"/>
  <c r="N145" i="29" s="1"/>
  <c r="Q147" i="29"/>
  <c r="R147" i="29"/>
  <c r="S147" i="29"/>
  <c r="I150" i="29"/>
  <c r="K150" i="29" s="1"/>
  <c r="I151" i="29"/>
  <c r="K151" i="29" s="1"/>
  <c r="I152" i="29"/>
  <c r="I137" i="29" s="1"/>
  <c r="K137" i="29" s="1"/>
  <c r="I153" i="29"/>
  <c r="K153" i="29" s="1"/>
  <c r="I154" i="29"/>
  <c r="K154" i="29" s="1"/>
  <c r="J156" i="29"/>
  <c r="L158" i="29"/>
  <c r="O158" i="29" s="1"/>
  <c r="M158" i="29"/>
  <c r="P158" i="29" s="1"/>
  <c r="N158" i="29"/>
  <c r="Q158" i="29"/>
  <c r="T158" i="29" s="1"/>
  <c r="R158" i="29"/>
  <c r="U158" i="29" s="1"/>
  <c r="S158" i="29"/>
  <c r="O161" i="29"/>
  <c r="P161" i="29"/>
  <c r="T161" i="29"/>
  <c r="U161" i="29"/>
  <c r="L162" i="29"/>
  <c r="M162" i="29"/>
  <c r="M160" i="29" s="1"/>
  <c r="N162" i="29"/>
  <c r="Q162" i="29"/>
  <c r="Q159" i="29" s="1"/>
  <c r="R162" i="29"/>
  <c r="S162" i="29"/>
  <c r="Q163" i="29"/>
  <c r="R163" i="29"/>
  <c r="S163" i="29"/>
  <c r="T163" i="29"/>
  <c r="U163" i="29"/>
  <c r="O164" i="29"/>
  <c r="P164" i="29"/>
  <c r="T164" i="29"/>
  <c r="U164" i="29"/>
  <c r="L165" i="29"/>
  <c r="M165" i="29"/>
  <c r="P165" i="29" s="1"/>
  <c r="N165" i="29"/>
  <c r="N163" i="29" s="1"/>
  <c r="T165" i="29"/>
  <c r="U165" i="29"/>
  <c r="I167" i="29"/>
  <c r="I156" i="29" s="1"/>
  <c r="K156" i="29" s="1"/>
  <c r="J172" i="29"/>
  <c r="L174" i="29"/>
  <c r="M174" i="29"/>
  <c r="P174" i="29" s="1"/>
  <c r="N174" i="29"/>
  <c r="Q174" i="29"/>
  <c r="T174" i="29" s="1"/>
  <c r="R174" i="29"/>
  <c r="S174" i="29"/>
  <c r="O177" i="29"/>
  <c r="P177" i="29"/>
  <c r="T177" i="29"/>
  <c r="U177" i="29"/>
  <c r="L178" i="29"/>
  <c r="L176" i="29" s="1"/>
  <c r="M178" i="29"/>
  <c r="N178" i="29"/>
  <c r="Q178" i="29"/>
  <c r="Q176" i="29" s="1"/>
  <c r="T176" i="29" s="1"/>
  <c r="R178" i="29"/>
  <c r="R176" i="29" s="1"/>
  <c r="U176" i="29" s="1"/>
  <c r="S178" i="29"/>
  <c r="S175" i="29" s="1"/>
  <c r="Q179" i="29"/>
  <c r="T179" i="29" s="1"/>
  <c r="R179" i="29"/>
  <c r="S179" i="29"/>
  <c r="U179" i="29"/>
  <c r="O180" i="29"/>
  <c r="P180" i="29"/>
  <c r="T180" i="29"/>
  <c r="U180" i="29"/>
  <c r="L181" i="29"/>
  <c r="L179" i="29" s="1"/>
  <c r="O179" i="29" s="1"/>
  <c r="M181" i="29"/>
  <c r="P181" i="29" s="1"/>
  <c r="N181" i="29"/>
  <c r="N179" i="29" s="1"/>
  <c r="T181" i="29"/>
  <c r="U181" i="29"/>
  <c r="I183" i="29"/>
  <c r="I172" i="29" s="1"/>
  <c r="K172" i="29" s="1"/>
  <c r="K184" i="29"/>
  <c r="L187" i="29"/>
  <c r="M187" i="29"/>
  <c r="N187" i="29"/>
  <c r="O187" i="29"/>
  <c r="P187" i="29"/>
  <c r="Q187" i="29"/>
  <c r="T187" i="29" s="1"/>
  <c r="R187" i="29"/>
  <c r="S187" i="29"/>
  <c r="U187" i="29"/>
  <c r="O190" i="29"/>
  <c r="P190" i="29"/>
  <c r="T190" i="29"/>
  <c r="U190" i="29"/>
  <c r="L191" i="29"/>
  <c r="L189" i="29" s="1"/>
  <c r="M191" i="29"/>
  <c r="N191" i="29"/>
  <c r="N189" i="29" s="1"/>
  <c r="Q191" i="29"/>
  <c r="R191" i="29"/>
  <c r="R189" i="29" s="1"/>
  <c r="S191" i="29"/>
  <c r="S189" i="29" s="1"/>
  <c r="O193" i="29"/>
  <c r="P193" i="29"/>
  <c r="T193" i="29"/>
  <c r="U193" i="29"/>
  <c r="L194" i="29"/>
  <c r="M194" i="29"/>
  <c r="N194" i="29"/>
  <c r="N192" i="29" s="1"/>
  <c r="Q194" i="29"/>
  <c r="R194" i="29"/>
  <c r="U194" i="29" s="1"/>
  <c r="S194" i="29"/>
  <c r="S192" i="29" s="1"/>
  <c r="J195" i="29"/>
  <c r="L196" i="29"/>
  <c r="O196" i="29" s="1"/>
  <c r="P196" i="29"/>
  <c r="I198" i="29"/>
  <c r="K198" i="29" s="1"/>
  <c r="J199" i="29"/>
  <c r="J202" i="29"/>
  <c r="N203" i="29"/>
  <c r="P203" i="29"/>
  <c r="S203" i="29"/>
  <c r="U203" i="29"/>
  <c r="L204" i="29"/>
  <c r="L205" i="29"/>
  <c r="L206" i="29"/>
  <c r="Q206" i="29"/>
  <c r="Q203" i="29" s="1"/>
  <c r="T203" i="29" s="1"/>
  <c r="L207" i="29"/>
  <c r="I209" i="29"/>
  <c r="I211" i="29"/>
  <c r="K211" i="29" s="1"/>
  <c r="I212" i="29"/>
  <c r="K212" i="29" s="1"/>
  <c r="J213" i="29"/>
  <c r="N214" i="29"/>
  <c r="P214" i="29"/>
  <c r="S214" i="29"/>
  <c r="U214" i="29"/>
  <c r="L215" i="29"/>
  <c r="L216" i="29"/>
  <c r="L217" i="29"/>
  <c r="Q217" i="29"/>
  <c r="Q214" i="29" s="1"/>
  <c r="T214" i="29" s="1"/>
  <c r="I219" i="29"/>
  <c r="K219" i="29" s="1"/>
  <c r="I220" i="29"/>
  <c r="I213" i="29" s="1"/>
  <c r="K213" i="29" s="1"/>
  <c r="J221" i="29"/>
  <c r="N222" i="29"/>
  <c r="P222" i="29"/>
  <c r="L223" i="29"/>
  <c r="L224" i="29"/>
  <c r="L225" i="29"/>
  <c r="I228" i="29"/>
  <c r="K228" i="29" s="1"/>
  <c r="I229" i="29"/>
  <c r="I230" i="29"/>
  <c r="K230" i="29" s="1"/>
  <c r="N232" i="29"/>
  <c r="N233" i="29"/>
  <c r="N234" i="29"/>
  <c r="N235" i="29"/>
  <c r="N236" i="29"/>
  <c r="J238" i="29"/>
  <c r="I240" i="29"/>
  <c r="J240" i="29"/>
  <c r="K240" i="29"/>
  <c r="I241" i="29"/>
  <c r="K241" i="29" s="1"/>
  <c r="J241" i="29"/>
  <c r="J242" i="29"/>
  <c r="J231" i="29" s="1"/>
  <c r="J185" i="29" s="1"/>
  <c r="N243" i="29"/>
  <c r="P243" i="29"/>
  <c r="L244" i="29"/>
  <c r="L245" i="29"/>
  <c r="L246" i="29"/>
  <c r="L247" i="29"/>
  <c r="I249" i="29"/>
  <c r="I242" i="29" s="1"/>
  <c r="K242" i="29" s="1"/>
  <c r="K251" i="29"/>
  <c r="K252" i="29"/>
  <c r="J253" i="29"/>
  <c r="N254" i="29"/>
  <c r="P254" i="29"/>
  <c r="L255" i="29"/>
  <c r="L256" i="29"/>
  <c r="L257" i="29"/>
  <c r="L258" i="29"/>
  <c r="I260" i="29"/>
  <c r="K262" i="29"/>
  <c r="K263" i="29"/>
  <c r="J265" i="29"/>
  <c r="L267" i="29"/>
  <c r="M267" i="29"/>
  <c r="N267" i="29"/>
  <c r="O267" i="29"/>
  <c r="Q267" i="29"/>
  <c r="R267" i="29"/>
  <c r="S267" i="29"/>
  <c r="T267" i="29"/>
  <c r="U267" i="29"/>
  <c r="O270" i="29"/>
  <c r="P270" i="29"/>
  <c r="T270" i="29"/>
  <c r="U270" i="29"/>
  <c r="L271" i="29"/>
  <c r="L269" i="29" s="1"/>
  <c r="M271" i="29"/>
  <c r="N271" i="29"/>
  <c r="Q271" i="29"/>
  <c r="Q268" i="29" s="1"/>
  <c r="R271" i="29"/>
  <c r="R268" i="29" s="1"/>
  <c r="R266" i="29" s="1"/>
  <c r="S271" i="29"/>
  <c r="S269" i="29" s="1"/>
  <c r="Q272" i="29"/>
  <c r="T272" i="29" s="1"/>
  <c r="R272" i="29"/>
  <c r="U272" i="29" s="1"/>
  <c r="S272" i="29"/>
  <c r="O273" i="29"/>
  <c r="P273" i="29"/>
  <c r="T273" i="29"/>
  <c r="U273" i="29"/>
  <c r="L274" i="29"/>
  <c r="L272" i="29" s="1"/>
  <c r="O272" i="29" s="1"/>
  <c r="M274" i="29"/>
  <c r="N274" i="29"/>
  <c r="N272" i="29" s="1"/>
  <c r="T274" i="29"/>
  <c r="U274" i="29"/>
  <c r="I276" i="29"/>
  <c r="I265" i="29" s="1"/>
  <c r="K265" i="29" s="1"/>
  <c r="J281" i="29"/>
  <c r="S282" i="29"/>
  <c r="L283" i="29"/>
  <c r="M283" i="29"/>
  <c r="N283" i="29"/>
  <c r="P283" i="29"/>
  <c r="Q283" i="29"/>
  <c r="T283" i="29" s="1"/>
  <c r="R283" i="29"/>
  <c r="S283" i="29"/>
  <c r="Q284" i="29"/>
  <c r="T284" i="29" s="1"/>
  <c r="R284" i="29"/>
  <c r="U284" i="29" s="1"/>
  <c r="S284" i="29"/>
  <c r="Q285" i="29"/>
  <c r="T285" i="29" s="1"/>
  <c r="R285" i="29"/>
  <c r="U285" i="29" s="1"/>
  <c r="S285" i="29"/>
  <c r="O286" i="29"/>
  <c r="P286" i="29"/>
  <c r="T286" i="29"/>
  <c r="U286" i="29"/>
  <c r="L287" i="29"/>
  <c r="M287" i="29"/>
  <c r="M285" i="29" s="1"/>
  <c r="P285" i="29" s="1"/>
  <c r="N287" i="29"/>
  <c r="N285" i="29" s="1"/>
  <c r="T287" i="29"/>
  <c r="U287" i="29"/>
  <c r="Q288" i="29"/>
  <c r="T288" i="29" s="1"/>
  <c r="R288" i="29"/>
  <c r="S288" i="29"/>
  <c r="U288" i="29"/>
  <c r="O289" i="29"/>
  <c r="P289" i="29"/>
  <c r="T289" i="29"/>
  <c r="U289" i="29"/>
  <c r="L290" i="29"/>
  <c r="M290" i="29"/>
  <c r="N290" i="29"/>
  <c r="N288" i="29" s="1"/>
  <c r="T290" i="29"/>
  <c r="U290" i="29"/>
  <c r="I292" i="29"/>
  <c r="I281" i="29" s="1"/>
  <c r="K281" i="29" s="1"/>
  <c r="I293" i="29"/>
  <c r="K293" i="29" s="1"/>
  <c r="J293" i="29"/>
  <c r="J280" i="29" s="1"/>
  <c r="I295" i="29"/>
  <c r="K295" i="29" s="1"/>
  <c r="I296" i="29"/>
  <c r="K296" i="29" s="1"/>
  <c r="J302" i="29"/>
  <c r="L304" i="29"/>
  <c r="M304" i="29"/>
  <c r="N304" i="29"/>
  <c r="O304" i="29"/>
  <c r="P304" i="29"/>
  <c r="Q304" i="29"/>
  <c r="R304" i="29"/>
  <c r="S304" i="29"/>
  <c r="T304" i="29"/>
  <c r="U304" i="29"/>
  <c r="O307" i="29"/>
  <c r="P307" i="29"/>
  <c r="T307" i="29"/>
  <c r="U307" i="29"/>
  <c r="L308" i="29"/>
  <c r="M308" i="29"/>
  <c r="N308" i="29"/>
  <c r="N306" i="29" s="1"/>
  <c r="Q308" i="29"/>
  <c r="Q305" i="29" s="1"/>
  <c r="T305" i="29" s="1"/>
  <c r="R308" i="29"/>
  <c r="R305" i="29" s="1"/>
  <c r="S308" i="29"/>
  <c r="S305" i="29" s="1"/>
  <c r="Q309" i="29"/>
  <c r="T309" i="29" s="1"/>
  <c r="R309" i="29"/>
  <c r="U309" i="29" s="1"/>
  <c r="S309" i="29"/>
  <c r="O310" i="29"/>
  <c r="P310" i="29"/>
  <c r="T310" i="29"/>
  <c r="U310" i="29"/>
  <c r="L311" i="29"/>
  <c r="O311" i="29" s="1"/>
  <c r="M311" i="29"/>
  <c r="N311" i="29"/>
  <c r="N309" i="29" s="1"/>
  <c r="T311" i="29"/>
  <c r="U311" i="29"/>
  <c r="I314" i="29"/>
  <c r="I302" i="29" s="1"/>
  <c r="K302" i="29" s="1"/>
  <c r="J319" i="29"/>
  <c r="L321" i="29"/>
  <c r="M321" i="29"/>
  <c r="N321" i="29"/>
  <c r="Q321" i="29"/>
  <c r="Q320" i="29" s="1"/>
  <c r="T320" i="29" s="1"/>
  <c r="R321" i="29"/>
  <c r="S321" i="29"/>
  <c r="T321" i="29"/>
  <c r="Q322" i="29"/>
  <c r="T322" i="29" s="1"/>
  <c r="R322" i="29"/>
  <c r="S322" i="29"/>
  <c r="U322" i="29"/>
  <c r="Q323" i="29"/>
  <c r="T323" i="29" s="1"/>
  <c r="R323" i="29"/>
  <c r="U323" i="29" s="1"/>
  <c r="S323" i="29"/>
  <c r="O324" i="29"/>
  <c r="P324" i="29"/>
  <c r="T324" i="29"/>
  <c r="U324" i="29"/>
  <c r="L325" i="29"/>
  <c r="M325" i="29"/>
  <c r="M323" i="29" s="1"/>
  <c r="P323" i="29" s="1"/>
  <c r="N325" i="29"/>
  <c r="N323" i="29" s="1"/>
  <c r="T325" i="29"/>
  <c r="U325" i="29"/>
  <c r="Q326" i="29"/>
  <c r="T326" i="29" s="1"/>
  <c r="R326" i="29"/>
  <c r="U326" i="29" s="1"/>
  <c r="S326" i="29"/>
  <c r="O327" i="29"/>
  <c r="P327" i="29"/>
  <c r="T327" i="29"/>
  <c r="U327" i="29"/>
  <c r="L328" i="29"/>
  <c r="M328" i="29"/>
  <c r="P328" i="29" s="1"/>
  <c r="N328" i="29"/>
  <c r="N326" i="29" s="1"/>
  <c r="T328" i="29"/>
  <c r="U328" i="29"/>
  <c r="I330" i="29"/>
  <c r="I319" i="29" s="1"/>
  <c r="K319" i="29" s="1"/>
  <c r="L334" i="29"/>
  <c r="O334" i="29" s="1"/>
  <c r="M334" i="29"/>
  <c r="N334" i="29"/>
  <c r="Q334" i="29"/>
  <c r="T334" i="29" s="1"/>
  <c r="R334" i="29"/>
  <c r="U334" i="29" s="1"/>
  <c r="S334" i="29"/>
  <c r="S333" i="29" s="1"/>
  <c r="Q335" i="29"/>
  <c r="T335" i="29" s="1"/>
  <c r="R335" i="29"/>
  <c r="S335" i="29"/>
  <c r="U335" i="29"/>
  <c r="Q336" i="29"/>
  <c r="T336" i="29" s="1"/>
  <c r="R336" i="29"/>
  <c r="U336" i="29" s="1"/>
  <c r="S336" i="29"/>
  <c r="O337" i="29"/>
  <c r="P337" i="29"/>
  <c r="T337" i="29"/>
  <c r="U337" i="29"/>
  <c r="L338" i="29"/>
  <c r="L336" i="29" s="1"/>
  <c r="M338" i="29"/>
  <c r="N338" i="29"/>
  <c r="T338" i="29"/>
  <c r="U338" i="29"/>
  <c r="Q339" i="29"/>
  <c r="T339" i="29" s="1"/>
  <c r="R339" i="29"/>
  <c r="S339" i="29"/>
  <c r="U339" i="29"/>
  <c r="O340" i="29"/>
  <c r="P340" i="29"/>
  <c r="T340" i="29"/>
  <c r="U340" i="29"/>
  <c r="L341" i="29"/>
  <c r="M341" i="29"/>
  <c r="N341" i="29"/>
  <c r="N339" i="29" s="1"/>
  <c r="T341" i="29"/>
  <c r="U341" i="29"/>
  <c r="I344" i="29"/>
  <c r="I332" i="29" s="1"/>
  <c r="J344" i="29"/>
  <c r="I346" i="29"/>
  <c r="J346" i="29"/>
  <c r="J347" i="29"/>
  <c r="J348" i="29"/>
  <c r="J349" i="29"/>
  <c r="D350" i="29"/>
  <c r="J352" i="29"/>
  <c r="J353" i="29"/>
  <c r="J354" i="29"/>
  <c r="L357" i="29"/>
  <c r="O357" i="29" s="1"/>
  <c r="M357" i="29"/>
  <c r="N357" i="29"/>
  <c r="P357" i="29"/>
  <c r="Q357" i="29"/>
  <c r="R357" i="29"/>
  <c r="U357" i="29" s="1"/>
  <c r="S357" i="29"/>
  <c r="Q358" i="29"/>
  <c r="T358" i="29" s="1"/>
  <c r="R358" i="29"/>
  <c r="S358" i="29"/>
  <c r="Q359" i="29"/>
  <c r="R359" i="29"/>
  <c r="U359" i="29" s="1"/>
  <c r="S359" i="29"/>
  <c r="T359" i="29"/>
  <c r="O360" i="29"/>
  <c r="P360" i="29"/>
  <c r="T360" i="29"/>
  <c r="U360" i="29"/>
  <c r="L361" i="29"/>
  <c r="M361" i="29"/>
  <c r="N361" i="29"/>
  <c r="T361" i="29"/>
  <c r="U361" i="29"/>
  <c r="Q362" i="29"/>
  <c r="T362" i="29" s="1"/>
  <c r="R362" i="29"/>
  <c r="U362" i="29" s="1"/>
  <c r="S362" i="29"/>
  <c r="O363" i="29"/>
  <c r="P363" i="29"/>
  <c r="T363" i="29"/>
  <c r="U363" i="29"/>
  <c r="L364" i="29"/>
  <c r="M364" i="29"/>
  <c r="M362" i="29" s="1"/>
  <c r="P362" i="29" s="1"/>
  <c r="N364" i="29"/>
  <c r="N362" i="29" s="1"/>
  <c r="T364" i="29"/>
  <c r="U364" i="29"/>
  <c r="J367" i="29"/>
  <c r="K367" i="29"/>
  <c r="I368" i="29"/>
  <c r="J368" i="29"/>
  <c r="I369" i="29"/>
  <c r="J369" i="29"/>
  <c r="J370" i="29"/>
  <c r="K370" i="29"/>
  <c r="I371" i="29"/>
  <c r="I365" i="29" s="1"/>
  <c r="J371" i="29"/>
  <c r="J365" i="29" s="1"/>
  <c r="J372" i="29"/>
  <c r="K372" i="29"/>
  <c r="D373" i="29"/>
  <c r="J374" i="29"/>
  <c r="L376" i="29"/>
  <c r="M376" i="29"/>
  <c r="N376" i="29"/>
  <c r="P376" i="29"/>
  <c r="Q376" i="29"/>
  <c r="T376" i="29" s="1"/>
  <c r="R376" i="29"/>
  <c r="S376" i="29"/>
  <c r="O379" i="29"/>
  <c r="P379" i="29"/>
  <c r="T379" i="29"/>
  <c r="U379" i="29"/>
  <c r="L380" i="29"/>
  <c r="M380" i="29"/>
  <c r="P380" i="29" s="1"/>
  <c r="N380" i="29"/>
  <c r="N378" i="29" s="1"/>
  <c r="Q380" i="29"/>
  <c r="R380" i="29"/>
  <c r="S380" i="29"/>
  <c r="S377" i="29" s="1"/>
  <c r="Q381" i="29"/>
  <c r="T381" i="29" s="1"/>
  <c r="R381" i="29"/>
  <c r="U381" i="29" s="1"/>
  <c r="S381" i="29"/>
  <c r="O382" i="29"/>
  <c r="P382" i="29"/>
  <c r="T382" i="29"/>
  <c r="U382" i="29"/>
  <c r="L383" i="29"/>
  <c r="M383" i="29"/>
  <c r="N383" i="29"/>
  <c r="N381" i="29" s="1"/>
  <c r="T383" i="29"/>
  <c r="U383" i="29"/>
  <c r="I385" i="29"/>
  <c r="I374" i="29" s="1"/>
  <c r="K374" i="29" s="1"/>
  <c r="I386" i="29"/>
  <c r="K386" i="29" s="1"/>
  <c r="K387" i="29"/>
  <c r="K388" i="29"/>
  <c r="I391" i="29"/>
  <c r="J391" i="29"/>
  <c r="K391" i="29"/>
  <c r="L393" i="29"/>
  <c r="O393" i="29" s="1"/>
  <c r="M393" i="29"/>
  <c r="N393" i="29"/>
  <c r="P393" i="29"/>
  <c r="Q393" i="29"/>
  <c r="T393" i="29" s="1"/>
  <c r="R393" i="29"/>
  <c r="U393" i="29" s="1"/>
  <c r="S393" i="29"/>
  <c r="L394" i="29"/>
  <c r="O394" i="29" s="1"/>
  <c r="M394" i="29"/>
  <c r="N394" i="29"/>
  <c r="N392" i="29" s="1"/>
  <c r="L395" i="29"/>
  <c r="O395" i="29" s="1"/>
  <c r="M395" i="29"/>
  <c r="N395" i="29"/>
  <c r="P395" i="29"/>
  <c r="O396" i="29"/>
  <c r="P396" i="29"/>
  <c r="T396" i="29"/>
  <c r="U396" i="29"/>
  <c r="O397" i="29"/>
  <c r="P397" i="29"/>
  <c r="Q397" i="29"/>
  <c r="Q395" i="29" s="1"/>
  <c r="T395" i="29" s="1"/>
  <c r="R397" i="29"/>
  <c r="S397" i="29"/>
  <c r="S394" i="29" s="1"/>
  <c r="S392" i="29" s="1"/>
  <c r="L398" i="29"/>
  <c r="O398" i="29" s="1"/>
  <c r="M398" i="29"/>
  <c r="P398" i="29" s="1"/>
  <c r="N398" i="29"/>
  <c r="Q398" i="29"/>
  <c r="R398" i="29"/>
  <c r="U398" i="29" s="1"/>
  <c r="S398" i="29"/>
  <c r="T398" i="29"/>
  <c r="O399" i="29"/>
  <c r="P399" i="29"/>
  <c r="T399" i="29"/>
  <c r="U399" i="29"/>
  <c r="O400" i="29"/>
  <c r="P400" i="29"/>
  <c r="T400" i="29"/>
  <c r="U400" i="29"/>
  <c r="L414" i="29"/>
  <c r="M414" i="29"/>
  <c r="P414" i="29" s="1"/>
  <c r="N414" i="29"/>
  <c r="Q414" i="29"/>
  <c r="R414" i="29"/>
  <c r="S414" i="29"/>
  <c r="T414" i="29"/>
  <c r="O417" i="29"/>
  <c r="P417" i="29"/>
  <c r="T417" i="29"/>
  <c r="U417" i="29"/>
  <c r="L418" i="29"/>
  <c r="M418" i="29"/>
  <c r="N418" i="29"/>
  <c r="Q418" i="29"/>
  <c r="Q415" i="29" s="1"/>
  <c r="R418" i="29"/>
  <c r="R416" i="29" s="1"/>
  <c r="S418" i="29"/>
  <c r="S415" i="29" s="1"/>
  <c r="Q419" i="29"/>
  <c r="T419" i="29" s="1"/>
  <c r="R419" i="29"/>
  <c r="U419" i="29" s="1"/>
  <c r="S419" i="29"/>
  <c r="O420" i="29"/>
  <c r="P420" i="29"/>
  <c r="T420" i="29"/>
  <c r="U420" i="29"/>
  <c r="L421" i="29"/>
  <c r="L419" i="29" s="1"/>
  <c r="O419" i="29" s="1"/>
  <c r="M421" i="29"/>
  <c r="M419" i="29" s="1"/>
  <c r="P419" i="29" s="1"/>
  <c r="N421" i="29"/>
  <c r="N419" i="29" s="1"/>
  <c r="T421" i="29"/>
  <c r="U421" i="29"/>
  <c r="I424" i="29"/>
  <c r="K424" i="29" s="1"/>
  <c r="J424" i="29"/>
  <c r="I425" i="29"/>
  <c r="K425" i="29" s="1"/>
  <c r="J425" i="29"/>
  <c r="I432" i="29"/>
  <c r="K432" i="29" s="1"/>
  <c r="J432" i="29"/>
  <c r="I433" i="29"/>
  <c r="K433" i="29" s="1"/>
  <c r="J433" i="29"/>
  <c r="I440" i="29"/>
  <c r="I423" i="29" s="1"/>
  <c r="I412" i="29" s="1"/>
  <c r="K412" i="29" s="1"/>
  <c r="J440" i="29"/>
  <c r="J423" i="29" s="1"/>
  <c r="J412" i="29" s="1"/>
  <c r="I441" i="29"/>
  <c r="K441" i="29" s="1"/>
  <c r="J446" i="29"/>
  <c r="J447" i="29"/>
  <c r="J441" i="29" s="1"/>
  <c r="I457" i="29"/>
  <c r="I458" i="29"/>
  <c r="K458" i="29" s="1"/>
  <c r="J459" i="29"/>
  <c r="J460" i="29"/>
  <c r="J458" i="29" s="1"/>
  <c r="J467" i="29"/>
  <c r="J468" i="29"/>
  <c r="J475" i="29"/>
  <c r="K475" i="29"/>
  <c r="J476" i="29"/>
  <c r="K476" i="29"/>
  <c r="J477" i="29"/>
  <c r="K477" i="29"/>
  <c r="J482" i="29"/>
  <c r="J483" i="29"/>
  <c r="I484" i="29"/>
  <c r="K484" i="29" s="1"/>
  <c r="J484" i="29"/>
  <c r="I485" i="29"/>
  <c r="J485" i="29"/>
  <c r="K485" i="29"/>
  <c r="L494" i="29"/>
  <c r="O494" i="29" s="1"/>
  <c r="M494" i="29"/>
  <c r="N494" i="29"/>
  <c r="P494" i="29"/>
  <c r="Q494" i="29"/>
  <c r="R494" i="29"/>
  <c r="U494" i="29" s="1"/>
  <c r="S494" i="29"/>
  <c r="T494" i="29"/>
  <c r="O497" i="29"/>
  <c r="P497" i="29"/>
  <c r="T497" i="29"/>
  <c r="U497" i="29"/>
  <c r="L498" i="29"/>
  <c r="M498" i="29"/>
  <c r="N498" i="29"/>
  <c r="Q498" i="29"/>
  <c r="R498" i="29"/>
  <c r="U498" i="29" s="1"/>
  <c r="S498" i="29"/>
  <c r="Q499" i="29"/>
  <c r="T499" i="29" s="1"/>
  <c r="R499" i="29"/>
  <c r="U499" i="29" s="1"/>
  <c r="S499" i="29"/>
  <c r="O500" i="29"/>
  <c r="P500" i="29"/>
  <c r="T500" i="29"/>
  <c r="U500" i="29"/>
  <c r="L501" i="29"/>
  <c r="M501" i="29"/>
  <c r="M499" i="29" s="1"/>
  <c r="P499" i="29" s="1"/>
  <c r="N501" i="29"/>
  <c r="N499" i="29" s="1"/>
  <c r="T501" i="29"/>
  <c r="U501" i="29"/>
  <c r="I503" i="29"/>
  <c r="I504" i="29"/>
  <c r="I505" i="29"/>
  <c r="K505" i="29" s="1"/>
  <c r="I506" i="29"/>
  <c r="K506" i="29" s="1"/>
  <c r="I507" i="29"/>
  <c r="K507" i="29" s="1"/>
  <c r="K508" i="29"/>
  <c r="I509" i="29"/>
  <c r="K509" i="29" s="1"/>
  <c r="I512" i="29"/>
  <c r="J512" i="29"/>
  <c r="K512" i="29"/>
  <c r="L514" i="29"/>
  <c r="M514" i="29"/>
  <c r="P514" i="29" s="1"/>
  <c r="N514" i="29"/>
  <c r="Q514" i="29"/>
  <c r="T514" i="29" s="1"/>
  <c r="R514" i="29"/>
  <c r="R513" i="29" s="1"/>
  <c r="U513" i="29" s="1"/>
  <c r="S514" i="29"/>
  <c r="S513" i="29" s="1"/>
  <c r="U514" i="29"/>
  <c r="Q515" i="29"/>
  <c r="Q513" i="29" s="1"/>
  <c r="T513" i="29" s="1"/>
  <c r="R515" i="29"/>
  <c r="S515" i="29"/>
  <c r="U515" i="29"/>
  <c r="Q516" i="29"/>
  <c r="T516" i="29" s="1"/>
  <c r="R516" i="29"/>
  <c r="S516" i="29"/>
  <c r="U516" i="29"/>
  <c r="O517" i="29"/>
  <c r="P517" i="29"/>
  <c r="T517" i="29"/>
  <c r="U517" i="29"/>
  <c r="L518" i="29"/>
  <c r="L516" i="29" s="1"/>
  <c r="O516" i="29" s="1"/>
  <c r="M518" i="29"/>
  <c r="P518" i="29" s="1"/>
  <c r="N518" i="29"/>
  <c r="N516" i="29" s="1"/>
  <c r="T518" i="29"/>
  <c r="U518" i="29"/>
  <c r="Q519" i="29"/>
  <c r="R519" i="29"/>
  <c r="U519" i="29" s="1"/>
  <c r="S519" i="29"/>
  <c r="T519" i="29"/>
  <c r="O520" i="29"/>
  <c r="P520" i="29"/>
  <c r="T520" i="29"/>
  <c r="U520" i="29"/>
  <c r="L521" i="29"/>
  <c r="M521" i="29"/>
  <c r="M519" i="29" s="1"/>
  <c r="P519" i="29" s="1"/>
  <c r="N521" i="29"/>
  <c r="N519" i="29" s="1"/>
  <c r="T521" i="29"/>
  <c r="U521" i="29"/>
  <c r="K523" i="29"/>
  <c r="K524" i="29"/>
  <c r="I533" i="29"/>
  <c r="J533" i="29"/>
  <c r="K533" i="29"/>
  <c r="L535" i="29"/>
  <c r="O535" i="29" s="1"/>
  <c r="M535" i="29"/>
  <c r="N535" i="29"/>
  <c r="P535" i="29"/>
  <c r="Q535" i="29"/>
  <c r="T535" i="29" s="1"/>
  <c r="R535" i="29"/>
  <c r="U535" i="29" s="1"/>
  <c r="S535" i="29"/>
  <c r="Q536" i="29"/>
  <c r="R536" i="29"/>
  <c r="S536" i="29"/>
  <c r="T536" i="29"/>
  <c r="U536" i="29"/>
  <c r="Q537" i="29"/>
  <c r="R537" i="29"/>
  <c r="U537" i="29" s="1"/>
  <c r="S537" i="29"/>
  <c r="T537" i="29"/>
  <c r="O538" i="29"/>
  <c r="P538" i="29"/>
  <c r="T538" i="29"/>
  <c r="U538" i="29"/>
  <c r="L539" i="29"/>
  <c r="L537" i="29" s="1"/>
  <c r="O537" i="29" s="1"/>
  <c r="M539" i="29"/>
  <c r="N539" i="29"/>
  <c r="N537" i="29" s="1"/>
  <c r="T539" i="29"/>
  <c r="U539" i="29"/>
  <c r="Q540" i="29"/>
  <c r="T540" i="29" s="1"/>
  <c r="R540" i="29"/>
  <c r="U540" i="29" s="1"/>
  <c r="S540" i="29"/>
  <c r="O541" i="29"/>
  <c r="P541" i="29"/>
  <c r="T541" i="29"/>
  <c r="U541" i="29"/>
  <c r="L542" i="29"/>
  <c r="L540" i="29" s="1"/>
  <c r="O540" i="29" s="1"/>
  <c r="M542" i="29"/>
  <c r="N542" i="29"/>
  <c r="N540" i="29" s="1"/>
  <c r="T542" i="29"/>
  <c r="U542" i="29"/>
  <c r="I554" i="29"/>
  <c r="J554" i="29"/>
  <c r="L556" i="29"/>
  <c r="O556" i="29" s="1"/>
  <c r="M556" i="29"/>
  <c r="P556" i="29" s="1"/>
  <c r="N556" i="29"/>
  <c r="Q556" i="29"/>
  <c r="T556" i="29" s="1"/>
  <c r="R556" i="29"/>
  <c r="U556" i="29" s="1"/>
  <c r="S556" i="29"/>
  <c r="S555" i="29" s="1"/>
  <c r="Q557" i="29"/>
  <c r="T557" i="29" s="1"/>
  <c r="R557" i="29"/>
  <c r="S557" i="29"/>
  <c r="Q558" i="29"/>
  <c r="T558" i="29" s="1"/>
  <c r="R558" i="29"/>
  <c r="S558" i="29"/>
  <c r="U558" i="29"/>
  <c r="O559" i="29"/>
  <c r="P559" i="29"/>
  <c r="T559" i="29"/>
  <c r="U559" i="29"/>
  <c r="L560" i="29"/>
  <c r="L558" i="29" s="1"/>
  <c r="O558" i="29" s="1"/>
  <c r="M560" i="29"/>
  <c r="N560" i="29"/>
  <c r="T560" i="29"/>
  <c r="U560" i="29"/>
  <c r="Q561" i="29"/>
  <c r="T561" i="29" s="1"/>
  <c r="R561" i="29"/>
  <c r="U561" i="29" s="1"/>
  <c r="S561" i="29"/>
  <c r="O562" i="29"/>
  <c r="P562" i="29"/>
  <c r="T562" i="29"/>
  <c r="U562" i="29"/>
  <c r="L563" i="29"/>
  <c r="M563" i="29"/>
  <c r="N563" i="29"/>
  <c r="N561" i="29" s="1"/>
  <c r="T563" i="29"/>
  <c r="U563" i="29"/>
  <c r="K565" i="29"/>
  <c r="I575" i="29"/>
  <c r="J575" i="29"/>
  <c r="K575" i="29"/>
  <c r="L577" i="29"/>
  <c r="M577" i="29"/>
  <c r="P577" i="29" s="1"/>
  <c r="N577" i="29"/>
  <c r="Q577" i="29"/>
  <c r="T577" i="29" s="1"/>
  <c r="R577" i="29"/>
  <c r="S577" i="29"/>
  <c r="U577" i="29"/>
  <c r="Q578" i="29"/>
  <c r="R578" i="29"/>
  <c r="U578" i="29" s="1"/>
  <c r="S578" i="29"/>
  <c r="Q579" i="29"/>
  <c r="T579" i="29" s="1"/>
  <c r="R579" i="29"/>
  <c r="U579" i="29" s="1"/>
  <c r="S579" i="29"/>
  <c r="O580" i="29"/>
  <c r="P580" i="29"/>
  <c r="T580" i="29"/>
  <c r="U580" i="29"/>
  <c r="L581" i="29"/>
  <c r="L579" i="29" s="1"/>
  <c r="O579" i="29" s="1"/>
  <c r="M581" i="29"/>
  <c r="P581" i="29" s="1"/>
  <c r="N581" i="29"/>
  <c r="N579" i="29" s="1"/>
  <c r="T581" i="29"/>
  <c r="U581" i="29"/>
  <c r="Q582" i="29"/>
  <c r="R582" i="29"/>
  <c r="U582" i="29" s="1"/>
  <c r="S582" i="29"/>
  <c r="T582" i="29"/>
  <c r="O583" i="29"/>
  <c r="P583" i="29"/>
  <c r="T583" i="29"/>
  <c r="U583" i="29"/>
  <c r="L584" i="29"/>
  <c r="M584" i="29"/>
  <c r="N584" i="29"/>
  <c r="N582" i="29" s="1"/>
  <c r="T584" i="29"/>
  <c r="U584" i="29"/>
  <c r="L600" i="29"/>
  <c r="M600" i="29"/>
  <c r="P600" i="29" s="1"/>
  <c r="N600" i="29"/>
  <c r="O600" i="29"/>
  <c r="Q600" i="29"/>
  <c r="T600" i="29" s="1"/>
  <c r="R600" i="29"/>
  <c r="U600" i="29" s="1"/>
  <c r="S600" i="29"/>
  <c r="O603" i="29"/>
  <c r="P603" i="29"/>
  <c r="T603" i="29"/>
  <c r="U603" i="29"/>
  <c r="L604" i="29"/>
  <c r="L602" i="29" s="1"/>
  <c r="M604" i="29"/>
  <c r="M602" i="29" s="1"/>
  <c r="N604" i="29"/>
  <c r="N602" i="29" s="1"/>
  <c r="Q604" i="29"/>
  <c r="Q602" i="29" s="1"/>
  <c r="T602" i="29" s="1"/>
  <c r="R604" i="29"/>
  <c r="S604" i="29"/>
  <c r="S602" i="29" s="1"/>
  <c r="O606" i="29"/>
  <c r="P606" i="29"/>
  <c r="T606" i="29"/>
  <c r="U606" i="29"/>
  <c r="L607" i="29"/>
  <c r="L605" i="29" s="1"/>
  <c r="O605" i="29" s="1"/>
  <c r="M607" i="29"/>
  <c r="P607" i="29" s="1"/>
  <c r="N607" i="29"/>
  <c r="N605" i="29" s="1"/>
  <c r="Q607" i="29"/>
  <c r="R607" i="29"/>
  <c r="S607" i="29"/>
  <c r="S605" i="29" s="1"/>
  <c r="L617" i="29"/>
  <c r="O617" i="29" s="1"/>
  <c r="M617" i="29"/>
  <c r="N617" i="29"/>
  <c r="Q617" i="29"/>
  <c r="T617" i="29" s="1"/>
  <c r="R617" i="29"/>
  <c r="U617" i="29" s="1"/>
  <c r="S617" i="29"/>
  <c r="L618" i="29"/>
  <c r="M618" i="29"/>
  <c r="P618" i="29" s="1"/>
  <c r="N618" i="29"/>
  <c r="O618" i="29"/>
  <c r="L619" i="29"/>
  <c r="O619" i="29" s="1"/>
  <c r="M619" i="29"/>
  <c r="P619" i="29" s="1"/>
  <c r="N619" i="29"/>
  <c r="O620" i="29"/>
  <c r="P620" i="29"/>
  <c r="T620" i="29"/>
  <c r="U620" i="29"/>
  <c r="O621" i="29"/>
  <c r="P621" i="29"/>
  <c r="Q621" i="29"/>
  <c r="Q618" i="29" s="1"/>
  <c r="R621" i="29"/>
  <c r="R619" i="29" s="1"/>
  <c r="S621" i="29"/>
  <c r="S618" i="29" s="1"/>
  <c r="L622" i="29"/>
  <c r="O622" i="29" s="1"/>
  <c r="M622" i="29"/>
  <c r="P622" i="29" s="1"/>
  <c r="N622" i="29"/>
  <c r="Q622" i="29"/>
  <c r="T622" i="29" s="1"/>
  <c r="R622" i="29"/>
  <c r="U622" i="29" s="1"/>
  <c r="S622" i="29"/>
  <c r="O623" i="29"/>
  <c r="P623" i="29"/>
  <c r="T623" i="29"/>
  <c r="U623" i="29"/>
  <c r="O624" i="29"/>
  <c r="P624" i="29"/>
  <c r="T624" i="29"/>
  <c r="U624" i="29"/>
  <c r="I626" i="29"/>
  <c r="I615" i="29" s="1"/>
  <c r="I627" i="29"/>
  <c r="K627" i="29" s="1"/>
  <c r="I628" i="29"/>
  <c r="K628" i="29" s="1"/>
  <c r="J632" i="29"/>
  <c r="J626" i="29" s="1"/>
  <c r="J615" i="29" s="1"/>
  <c r="I635" i="29"/>
  <c r="K635" i="29" s="1"/>
  <c r="J635" i="29"/>
  <c r="J636" i="29"/>
  <c r="L643" i="29"/>
  <c r="M643" i="29"/>
  <c r="N643" i="29"/>
  <c r="Q643" i="29"/>
  <c r="R643" i="29"/>
  <c r="S643" i="29"/>
  <c r="T643" i="29"/>
  <c r="L644" i="29"/>
  <c r="O644" i="29" s="1"/>
  <c r="M644" i="29"/>
  <c r="N644" i="29"/>
  <c r="P644" i="29"/>
  <c r="L645" i="29"/>
  <c r="O645" i="29" s="1"/>
  <c r="M645" i="29"/>
  <c r="P645" i="29" s="1"/>
  <c r="N645" i="29"/>
  <c r="O646" i="29"/>
  <c r="P646" i="29"/>
  <c r="T646" i="29"/>
  <c r="U646" i="29"/>
  <c r="O647" i="29"/>
  <c r="P647" i="29"/>
  <c r="Q647" i="29"/>
  <c r="Q645" i="29" s="1"/>
  <c r="R647" i="29"/>
  <c r="S647" i="29"/>
  <c r="L648" i="29"/>
  <c r="O648" i="29" s="1"/>
  <c r="M648" i="29"/>
  <c r="N648" i="29"/>
  <c r="P648" i="29"/>
  <c r="Q648" i="29"/>
  <c r="T648" i="29" s="1"/>
  <c r="R648" i="29"/>
  <c r="U648" i="29" s="1"/>
  <c r="S648" i="29"/>
  <c r="O649" i="29"/>
  <c r="P649" i="29"/>
  <c r="T649" i="29"/>
  <c r="U649" i="29"/>
  <c r="O650" i="29"/>
  <c r="P650" i="29"/>
  <c r="T650" i="29"/>
  <c r="U650" i="29"/>
  <c r="I652" i="29"/>
  <c r="K652" i="29" s="1"/>
  <c r="J652" i="29"/>
  <c r="I653" i="29"/>
  <c r="K653" i="29" s="1"/>
  <c r="J653" i="29"/>
  <c r="I654" i="29"/>
  <c r="J654" i="29"/>
  <c r="I657" i="29"/>
  <c r="I660" i="29"/>
  <c r="I661" i="29"/>
  <c r="K661" i="29" s="1"/>
  <c r="J661" i="29"/>
  <c r="J671" i="29"/>
  <c r="J672" i="29"/>
  <c r="I673" i="29"/>
  <c r="K673" i="29" s="1"/>
  <c r="J673" i="29"/>
  <c r="I674" i="29"/>
  <c r="I675" i="29"/>
  <c r="I676" i="29"/>
  <c r="J676" i="29"/>
  <c r="J677" i="29"/>
  <c r="I678" i="29"/>
  <c r="J678" i="29"/>
  <c r="I679" i="29"/>
  <c r="K679" i="29" s="1"/>
  <c r="J679" i="29"/>
  <c r="J680" i="29"/>
  <c r="I681" i="29"/>
  <c r="K681" i="29" s="1"/>
  <c r="J681" i="29"/>
  <c r="I682" i="29"/>
  <c r="K682" i="29" s="1"/>
  <c r="J682" i="29"/>
  <c r="L690" i="29"/>
  <c r="O690" i="29" s="1"/>
  <c r="L691" i="29"/>
  <c r="M691" i="29"/>
  <c r="M690" i="29" s="1"/>
  <c r="P690" i="29" s="1"/>
  <c r="N691" i="29"/>
  <c r="N690" i="29" s="1"/>
  <c r="O691" i="29"/>
  <c r="P691" i="29"/>
  <c r="Q691" i="29"/>
  <c r="R691" i="29"/>
  <c r="S691" i="29"/>
  <c r="T691" i="29"/>
  <c r="U691" i="29"/>
  <c r="L692" i="29"/>
  <c r="O692" i="29" s="1"/>
  <c r="M692" i="29"/>
  <c r="P692" i="29" s="1"/>
  <c r="N692" i="29"/>
  <c r="L693" i="29"/>
  <c r="O693" i="29" s="1"/>
  <c r="M693" i="29"/>
  <c r="P693" i="29" s="1"/>
  <c r="N693" i="29"/>
  <c r="O694" i="29"/>
  <c r="P694" i="29"/>
  <c r="T694" i="29"/>
  <c r="U694" i="29"/>
  <c r="O695" i="29"/>
  <c r="P695" i="29"/>
  <c r="Q695" i="29"/>
  <c r="Q692" i="29" s="1"/>
  <c r="R695" i="29"/>
  <c r="R693" i="29" s="1"/>
  <c r="S695" i="29"/>
  <c r="S693" i="29" s="1"/>
  <c r="L696" i="29"/>
  <c r="M696" i="29"/>
  <c r="P696" i="29" s="1"/>
  <c r="N696" i="29"/>
  <c r="O696" i="29"/>
  <c r="Q696" i="29"/>
  <c r="T696" i="29" s="1"/>
  <c r="R696" i="29"/>
  <c r="S696" i="29"/>
  <c r="U696" i="29"/>
  <c r="O697" i="29"/>
  <c r="P697" i="29"/>
  <c r="T697" i="29"/>
  <c r="U697" i="29"/>
  <c r="O698" i="29"/>
  <c r="P698" i="29"/>
  <c r="T698" i="29"/>
  <c r="U698" i="29"/>
  <c r="I700" i="29"/>
  <c r="K700" i="29" s="1"/>
  <c r="K702" i="29"/>
  <c r="I703" i="29"/>
  <c r="J703" i="29"/>
  <c r="J704" i="29"/>
  <c r="K704" i="29"/>
  <c r="I705" i="29"/>
  <c r="J705" i="29"/>
  <c r="J706" i="29"/>
  <c r="K706" i="29"/>
  <c r="I707" i="29"/>
  <c r="K707" i="29" s="1"/>
  <c r="J707" i="29"/>
  <c r="J689" i="29" s="1"/>
  <c r="J708" i="29"/>
  <c r="K708" i="29"/>
  <c r="I709" i="29"/>
  <c r="J709" i="29"/>
  <c r="J710" i="29"/>
  <c r="K710" i="29"/>
  <c r="J712" i="29"/>
  <c r="K712" i="29"/>
  <c r="L715" i="29"/>
  <c r="M715" i="29"/>
  <c r="N715" i="29"/>
  <c r="Q715" i="29"/>
  <c r="R715" i="29"/>
  <c r="R714" i="29" s="1"/>
  <c r="U714" i="29" s="1"/>
  <c r="S715" i="29"/>
  <c r="L716" i="29"/>
  <c r="M716" i="29"/>
  <c r="N716" i="29"/>
  <c r="O716" i="29"/>
  <c r="P716" i="29"/>
  <c r="Q716" i="29"/>
  <c r="R716" i="29"/>
  <c r="S716" i="29"/>
  <c r="T716" i="29"/>
  <c r="U716" i="29"/>
  <c r="L717" i="29"/>
  <c r="O717" i="29" s="1"/>
  <c r="M717" i="29"/>
  <c r="N717" i="29"/>
  <c r="P717" i="29"/>
  <c r="Q717" i="29"/>
  <c r="T717" i="29" s="1"/>
  <c r="R717" i="29"/>
  <c r="U717" i="29" s="1"/>
  <c r="S717" i="29"/>
  <c r="O718" i="29"/>
  <c r="P718" i="29"/>
  <c r="T718" i="29"/>
  <c r="U718" i="29"/>
  <c r="O719" i="29"/>
  <c r="P719" i="29"/>
  <c r="T719" i="29"/>
  <c r="U719" i="29"/>
  <c r="L720" i="29"/>
  <c r="O720" i="29" s="1"/>
  <c r="M720" i="29"/>
  <c r="P720" i="29" s="1"/>
  <c r="N720" i="29"/>
  <c r="Q720" i="29"/>
  <c r="T720" i="29" s="1"/>
  <c r="R720" i="29"/>
  <c r="U720" i="29" s="1"/>
  <c r="S720" i="29"/>
  <c r="O721" i="29"/>
  <c r="P721" i="29"/>
  <c r="T721" i="29"/>
  <c r="U721" i="29"/>
  <c r="O722" i="29"/>
  <c r="P722" i="29"/>
  <c r="T722" i="29"/>
  <c r="U722" i="29"/>
  <c r="I726" i="29"/>
  <c r="K726" i="29" s="1"/>
  <c r="J726" i="29"/>
  <c r="I727" i="29"/>
  <c r="K727" i="29" s="1"/>
  <c r="J727" i="29"/>
  <c r="L729" i="29"/>
  <c r="L728" i="29" s="1"/>
  <c r="O728" i="29" s="1"/>
  <c r="M729" i="29"/>
  <c r="N729" i="29"/>
  <c r="Q729" i="29"/>
  <c r="R729" i="29"/>
  <c r="S729" i="29"/>
  <c r="T729" i="29"/>
  <c r="L730" i="29"/>
  <c r="O730" i="29" s="1"/>
  <c r="M730" i="29"/>
  <c r="N730" i="29"/>
  <c r="P730" i="29"/>
  <c r="L731" i="29"/>
  <c r="O731" i="29" s="1"/>
  <c r="M731" i="29"/>
  <c r="N731" i="29"/>
  <c r="P731" i="29"/>
  <c r="O732" i="29"/>
  <c r="P732" i="29"/>
  <c r="T732" i="29"/>
  <c r="U732" i="29"/>
  <c r="O733" i="29"/>
  <c r="P733" i="29"/>
  <c r="Q733" i="29"/>
  <c r="R733" i="29"/>
  <c r="R731" i="29" s="1"/>
  <c r="S733" i="29"/>
  <c r="L734" i="29"/>
  <c r="M734" i="29"/>
  <c r="P734" i="29" s="1"/>
  <c r="N734" i="29"/>
  <c r="O734" i="29"/>
  <c r="Q734" i="29"/>
  <c r="T734" i="29" s="1"/>
  <c r="R734" i="29"/>
  <c r="S734" i="29"/>
  <c r="U734" i="29"/>
  <c r="O735" i="29"/>
  <c r="P735" i="29"/>
  <c r="T735" i="29"/>
  <c r="U735" i="29"/>
  <c r="O736" i="29"/>
  <c r="P736" i="29"/>
  <c r="T736" i="29"/>
  <c r="U736" i="29"/>
  <c r="I740" i="29"/>
  <c r="K740" i="29" s="1"/>
  <c r="I742" i="29"/>
  <c r="K742" i="29" s="1"/>
  <c r="I744" i="29"/>
  <c r="K744" i="29" s="1"/>
  <c r="I746" i="29"/>
  <c r="K746" i="29" s="1"/>
  <c r="I749" i="29"/>
  <c r="K749" i="29" s="1"/>
  <c r="I752" i="29"/>
  <c r="K752" i="29" s="1"/>
  <c r="I755" i="29"/>
  <c r="K755" i="29" s="1"/>
  <c r="J758" i="29"/>
  <c r="J759" i="29"/>
  <c r="L761" i="29"/>
  <c r="O761" i="29" s="1"/>
  <c r="M761" i="29"/>
  <c r="M760" i="29" s="1"/>
  <c r="P760" i="29" s="1"/>
  <c r="N761" i="29"/>
  <c r="N760" i="29" s="1"/>
  <c r="Q761" i="29"/>
  <c r="R761" i="29"/>
  <c r="S761" i="29"/>
  <c r="T761" i="29"/>
  <c r="U761" i="29"/>
  <c r="L762" i="29"/>
  <c r="M762" i="29"/>
  <c r="N762" i="29"/>
  <c r="O762" i="29"/>
  <c r="P762" i="29"/>
  <c r="L763" i="29"/>
  <c r="O763" i="29" s="1"/>
  <c r="M763" i="29"/>
  <c r="P763" i="29" s="1"/>
  <c r="N763" i="29"/>
  <c r="O764" i="29"/>
  <c r="P764" i="29"/>
  <c r="T764" i="29"/>
  <c r="U764" i="29"/>
  <c r="O765" i="29"/>
  <c r="P765" i="29"/>
  <c r="Q765" i="29"/>
  <c r="Q762" i="29" s="1"/>
  <c r="T762" i="29" s="1"/>
  <c r="R765" i="29"/>
  <c r="R762" i="29" s="1"/>
  <c r="S765" i="29"/>
  <c r="S763" i="29" s="1"/>
  <c r="L766" i="29"/>
  <c r="O766" i="29" s="1"/>
  <c r="M766" i="29"/>
  <c r="P766" i="29" s="1"/>
  <c r="N766" i="29"/>
  <c r="Q766" i="29"/>
  <c r="R766" i="29"/>
  <c r="U766" i="29" s="1"/>
  <c r="S766" i="29"/>
  <c r="T766" i="29"/>
  <c r="O767" i="29"/>
  <c r="P767" i="29"/>
  <c r="T767" i="29"/>
  <c r="U767" i="29"/>
  <c r="O768" i="29"/>
  <c r="P768" i="29"/>
  <c r="T768" i="29"/>
  <c r="U768" i="29"/>
  <c r="I770" i="29"/>
  <c r="K770" i="29" s="1"/>
  <c r="I772" i="29"/>
  <c r="K772" i="29" s="1"/>
  <c r="I774" i="29"/>
  <c r="I759" i="29" s="1"/>
  <c r="K759" i="29" s="1"/>
  <c r="I775" i="29"/>
  <c r="I776" i="29"/>
  <c r="H777" i="29"/>
  <c r="I778" i="29"/>
  <c r="J778" i="29"/>
  <c r="I779" i="29"/>
  <c r="J779" i="29"/>
  <c r="I780" i="29"/>
  <c r="J780" i="29"/>
  <c r="I781" i="29"/>
  <c r="J781" i="29"/>
  <c r="I782" i="29"/>
  <c r="J782" i="29"/>
  <c r="I783" i="29"/>
  <c r="J783" i="29"/>
  <c r="I784" i="29"/>
  <c r="J784" i="29"/>
  <c r="I785" i="29"/>
  <c r="J785" i="29"/>
  <c r="A788" i="29"/>
  <c r="A789" i="29"/>
  <c r="L22" i="28"/>
  <c r="L19" i="28" s="1"/>
  <c r="M22" i="28"/>
  <c r="N22" i="28"/>
  <c r="N19" i="28" s="1"/>
  <c r="Q22" i="28"/>
  <c r="R22" i="28"/>
  <c r="S22" i="28"/>
  <c r="T22" i="28"/>
  <c r="L25" i="28"/>
  <c r="M25" i="28"/>
  <c r="N25" i="28"/>
  <c r="Q25" i="28"/>
  <c r="T25" i="28" s="1"/>
  <c r="R25" i="28"/>
  <c r="S25" i="28"/>
  <c r="L45" i="28"/>
  <c r="O45" i="28" s="1"/>
  <c r="M45" i="28"/>
  <c r="N45" i="28"/>
  <c r="Q45" i="28"/>
  <c r="Q44" i="28" s="1"/>
  <c r="T44" i="28" s="1"/>
  <c r="R45" i="28"/>
  <c r="R44" i="28" s="1"/>
  <c r="U44" i="28" s="1"/>
  <c r="S45" i="28"/>
  <c r="S44" i="28" s="1"/>
  <c r="T45" i="28"/>
  <c r="U45" i="28"/>
  <c r="Q46" i="28"/>
  <c r="T46" i="28" s="1"/>
  <c r="R46" i="28"/>
  <c r="S46" i="28"/>
  <c r="U46" i="28"/>
  <c r="Q47" i="28"/>
  <c r="T47" i="28" s="1"/>
  <c r="R47" i="28"/>
  <c r="U47" i="28" s="1"/>
  <c r="S47" i="28"/>
  <c r="O48" i="28"/>
  <c r="P48" i="28"/>
  <c r="T48" i="28"/>
  <c r="U48" i="28"/>
  <c r="L49" i="28"/>
  <c r="L47" i="28" s="1"/>
  <c r="M49" i="28"/>
  <c r="M47" i="28" s="1"/>
  <c r="N49" i="28"/>
  <c r="T49" i="28"/>
  <c r="U49" i="28"/>
  <c r="Q50" i="28"/>
  <c r="T50" i="28" s="1"/>
  <c r="R50" i="28"/>
  <c r="U50" i="28" s="1"/>
  <c r="S50" i="28"/>
  <c r="O51" i="28"/>
  <c r="P51" i="28"/>
  <c r="T51" i="28"/>
  <c r="U51" i="28"/>
  <c r="L52" i="28"/>
  <c r="M52" i="28"/>
  <c r="N52" i="28"/>
  <c r="N50" i="28" s="1"/>
  <c r="T52" i="28"/>
  <c r="U52" i="28"/>
  <c r="L60" i="28"/>
  <c r="M60" i="28"/>
  <c r="N60" i="28"/>
  <c r="O60" i="28"/>
  <c r="Q60" i="28"/>
  <c r="Q59" i="28" s="1"/>
  <c r="T59" i="28" s="1"/>
  <c r="R60" i="28"/>
  <c r="R59" i="28" s="1"/>
  <c r="U59" i="28" s="1"/>
  <c r="S60" i="28"/>
  <c r="S59" i="28" s="1"/>
  <c r="T60" i="28"/>
  <c r="U60" i="28"/>
  <c r="Q61" i="28"/>
  <c r="T61" i="28" s="1"/>
  <c r="R61" i="28"/>
  <c r="S61" i="28"/>
  <c r="U61" i="28"/>
  <c r="Q62" i="28"/>
  <c r="T62" i="28" s="1"/>
  <c r="R62" i="28"/>
  <c r="U62" i="28" s="1"/>
  <c r="S62" i="28"/>
  <c r="O63" i="28"/>
  <c r="P63" i="28"/>
  <c r="T63" i="28"/>
  <c r="U63" i="28"/>
  <c r="L64" i="28"/>
  <c r="L62" i="28" s="1"/>
  <c r="M64" i="28"/>
  <c r="M62" i="28" s="1"/>
  <c r="N64" i="28"/>
  <c r="T64" i="28"/>
  <c r="U64" i="28"/>
  <c r="Q65" i="28"/>
  <c r="T65" i="28" s="1"/>
  <c r="R65" i="28"/>
  <c r="U65" i="28" s="1"/>
  <c r="S65" i="28"/>
  <c r="O66" i="28"/>
  <c r="P66" i="28"/>
  <c r="T66" i="28"/>
  <c r="U66" i="28"/>
  <c r="L67" i="28"/>
  <c r="M67" i="28"/>
  <c r="N67" i="28"/>
  <c r="N65" i="28" s="1"/>
  <c r="T67" i="28"/>
  <c r="U67" i="28"/>
  <c r="L73" i="28"/>
  <c r="M73" i="28"/>
  <c r="N73" i="28"/>
  <c r="O73" i="28"/>
  <c r="Q73" i="28"/>
  <c r="T73" i="28" s="1"/>
  <c r="R73" i="28"/>
  <c r="S73" i="28"/>
  <c r="U73" i="28"/>
  <c r="O76" i="28"/>
  <c r="P76" i="28"/>
  <c r="T76" i="28"/>
  <c r="U76" i="28"/>
  <c r="L77" i="28"/>
  <c r="M77" i="28"/>
  <c r="M75" i="28" s="1"/>
  <c r="N77" i="28"/>
  <c r="Q77" i="28"/>
  <c r="Q75" i="28" s="1"/>
  <c r="R77" i="28"/>
  <c r="S77" i="28"/>
  <c r="S75" i="28" s="1"/>
  <c r="O79" i="28"/>
  <c r="P79" i="28"/>
  <c r="T79" i="28"/>
  <c r="U79" i="28"/>
  <c r="L80" i="28"/>
  <c r="L78" i="28" s="1"/>
  <c r="O78" i="28" s="1"/>
  <c r="M80" i="28"/>
  <c r="M78" i="28" s="1"/>
  <c r="P78" i="28" s="1"/>
  <c r="N80" i="28"/>
  <c r="N78" i="28" s="1"/>
  <c r="Q80" i="28"/>
  <c r="Q78" i="28" s="1"/>
  <c r="T78" i="28" s="1"/>
  <c r="R80" i="28"/>
  <c r="R78" i="28" s="1"/>
  <c r="U78" i="28" s="1"/>
  <c r="S80" i="28"/>
  <c r="S78" i="28" s="1"/>
  <c r="J82" i="28"/>
  <c r="J70" i="28" s="1"/>
  <c r="J83" i="28"/>
  <c r="J71" i="28" s="1"/>
  <c r="I84" i="28"/>
  <c r="K84" i="28" s="1"/>
  <c r="I85" i="28"/>
  <c r="K85" i="28" s="1"/>
  <c r="I86" i="28"/>
  <c r="K86" i="28" s="1"/>
  <c r="I87" i="28"/>
  <c r="K87" i="28" s="1"/>
  <c r="I88" i="28"/>
  <c r="K88" i="28" s="1"/>
  <c r="I89" i="28"/>
  <c r="K89" i="28" s="1"/>
  <c r="I90" i="28"/>
  <c r="K90" i="28" s="1"/>
  <c r="J92" i="28"/>
  <c r="J93" i="28"/>
  <c r="L95" i="28"/>
  <c r="M95" i="28"/>
  <c r="N95" i="28"/>
  <c r="P95" i="28"/>
  <c r="Q95" i="28"/>
  <c r="R95" i="28"/>
  <c r="S95" i="28"/>
  <c r="O98" i="28"/>
  <c r="P98" i="28"/>
  <c r="T98" i="28"/>
  <c r="U98" i="28"/>
  <c r="L99" i="28"/>
  <c r="M99" i="28"/>
  <c r="N99" i="28"/>
  <c r="Q99" i="28"/>
  <c r="Q97" i="28" s="1"/>
  <c r="T97" i="28" s="1"/>
  <c r="R99" i="28"/>
  <c r="U99" i="28" s="1"/>
  <c r="S99" i="28"/>
  <c r="S97" i="28" s="1"/>
  <c r="Q100" i="28"/>
  <c r="R100" i="28"/>
  <c r="S100" i="28"/>
  <c r="T100" i="28"/>
  <c r="U100" i="28"/>
  <c r="O101" i="28"/>
  <c r="P101" i="28"/>
  <c r="T101" i="28"/>
  <c r="U101" i="28"/>
  <c r="L102" i="28"/>
  <c r="M102" i="28"/>
  <c r="N102" i="28"/>
  <c r="N100" i="28" s="1"/>
  <c r="T102" i="28"/>
  <c r="U102" i="28"/>
  <c r="I108" i="28"/>
  <c r="I109" i="28"/>
  <c r="I114" i="28"/>
  <c r="K114" i="28" s="1"/>
  <c r="J116" i="28"/>
  <c r="L118" i="28"/>
  <c r="M118" i="28"/>
  <c r="P118" i="28" s="1"/>
  <c r="N118" i="28"/>
  <c r="Q118" i="28"/>
  <c r="R118" i="28"/>
  <c r="S118" i="28"/>
  <c r="O121" i="28"/>
  <c r="P121" i="28"/>
  <c r="T121" i="28"/>
  <c r="U121" i="28"/>
  <c r="L122" i="28"/>
  <c r="O122" i="28" s="1"/>
  <c r="M122" i="28"/>
  <c r="N122" i="28"/>
  <c r="N120" i="28" s="1"/>
  <c r="Q122" i="28"/>
  <c r="Q120" i="28" s="1"/>
  <c r="R122" i="28"/>
  <c r="R120" i="28" s="1"/>
  <c r="S122" i="28"/>
  <c r="S120" i="28" s="1"/>
  <c r="O124" i="28"/>
  <c r="P124" i="28"/>
  <c r="T124" i="28"/>
  <c r="U124" i="28"/>
  <c r="L125" i="28"/>
  <c r="O125" i="28" s="1"/>
  <c r="M125" i="28"/>
  <c r="N125" i="28"/>
  <c r="N123" i="28" s="1"/>
  <c r="Q125" i="28"/>
  <c r="R125" i="28"/>
  <c r="U125" i="28" s="1"/>
  <c r="S125" i="28"/>
  <c r="S123" i="28" s="1"/>
  <c r="I127" i="28"/>
  <c r="I116" i="28" s="1"/>
  <c r="I128" i="28"/>
  <c r="K128" i="28" s="1"/>
  <c r="I129" i="28"/>
  <c r="K129" i="28" s="1"/>
  <c r="I130" i="28"/>
  <c r="K130" i="28" s="1"/>
  <c r="J136" i="28"/>
  <c r="J137" i="28"/>
  <c r="J138" i="28"/>
  <c r="L140" i="28"/>
  <c r="M140" i="28"/>
  <c r="N140" i="28"/>
  <c r="Q140" i="28"/>
  <c r="T140" i="28" s="1"/>
  <c r="R140" i="28"/>
  <c r="S140" i="28"/>
  <c r="O143" i="28"/>
  <c r="P143" i="28"/>
  <c r="T143" i="28"/>
  <c r="U143" i="28"/>
  <c r="L144" i="28"/>
  <c r="L142" i="28" s="1"/>
  <c r="O142" i="28" s="1"/>
  <c r="M144" i="28"/>
  <c r="P144" i="28" s="1"/>
  <c r="N144" i="28"/>
  <c r="N142" i="28" s="1"/>
  <c r="Q144" i="28"/>
  <c r="Q142" i="28" s="1"/>
  <c r="T142" i="28" s="1"/>
  <c r="R144" i="28"/>
  <c r="R142" i="28" s="1"/>
  <c r="U142" i="28" s="1"/>
  <c r="S144" i="28"/>
  <c r="S142" i="28" s="1"/>
  <c r="O146" i="28"/>
  <c r="P146" i="28"/>
  <c r="T146" i="28"/>
  <c r="U146" i="28"/>
  <c r="L147" i="28"/>
  <c r="M147" i="28"/>
  <c r="P147" i="28" s="1"/>
  <c r="N147" i="28"/>
  <c r="N145" i="28" s="1"/>
  <c r="Q147" i="28"/>
  <c r="T147" i="28" s="1"/>
  <c r="R147" i="28"/>
  <c r="R145" i="28" s="1"/>
  <c r="U145" i="28" s="1"/>
  <c r="S147" i="28"/>
  <c r="S145" i="28" s="1"/>
  <c r="I150" i="28"/>
  <c r="K150" i="28" s="1"/>
  <c r="I151" i="28"/>
  <c r="K151" i="28" s="1"/>
  <c r="I152" i="28"/>
  <c r="I153" i="28"/>
  <c r="I138" i="28" s="1"/>
  <c r="K138" i="28" s="1"/>
  <c r="I154" i="28"/>
  <c r="I136" i="28" s="1"/>
  <c r="K136" i="28" s="1"/>
  <c r="J156" i="28"/>
  <c r="L158" i="28"/>
  <c r="M158" i="28"/>
  <c r="N158" i="28"/>
  <c r="P158" i="28"/>
  <c r="Q158" i="28"/>
  <c r="R158" i="28"/>
  <c r="S158" i="28"/>
  <c r="O161" i="28"/>
  <c r="P161" i="28"/>
  <c r="T161" i="28"/>
  <c r="U161" i="28"/>
  <c r="L162" i="28"/>
  <c r="M162" i="28"/>
  <c r="N162" i="28"/>
  <c r="N160" i="28" s="1"/>
  <c r="Q162" i="28"/>
  <c r="Q160" i="28" s="1"/>
  <c r="T160" i="28" s="1"/>
  <c r="R162" i="28"/>
  <c r="U162" i="28" s="1"/>
  <c r="S162" i="28"/>
  <c r="S160" i="28" s="1"/>
  <c r="Q163" i="28"/>
  <c r="R163" i="28"/>
  <c r="S163" i="28"/>
  <c r="T163" i="28"/>
  <c r="U163" i="28"/>
  <c r="O164" i="28"/>
  <c r="P164" i="28"/>
  <c r="T164" i="28"/>
  <c r="U164" i="28"/>
  <c r="L165" i="28"/>
  <c r="O165" i="28" s="1"/>
  <c r="M165" i="28"/>
  <c r="N165" i="28"/>
  <c r="N163" i="28" s="1"/>
  <c r="T165" i="28"/>
  <c r="U165" i="28"/>
  <c r="I167" i="28"/>
  <c r="I156" i="28" s="1"/>
  <c r="J172" i="28"/>
  <c r="L174" i="28"/>
  <c r="M174" i="28"/>
  <c r="N174" i="28"/>
  <c r="P174" i="28"/>
  <c r="Q174" i="28"/>
  <c r="R174" i="28"/>
  <c r="S174" i="28"/>
  <c r="O177" i="28"/>
  <c r="P177" i="28"/>
  <c r="T177" i="28"/>
  <c r="U177" i="28"/>
  <c r="L178" i="28"/>
  <c r="M178" i="28"/>
  <c r="N178" i="28"/>
  <c r="N176" i="28" s="1"/>
  <c r="Q178" i="28"/>
  <c r="Q176" i="28" s="1"/>
  <c r="R178" i="28"/>
  <c r="S178" i="28"/>
  <c r="S176" i="28" s="1"/>
  <c r="Q179" i="28"/>
  <c r="R179" i="28"/>
  <c r="U179" i="28" s="1"/>
  <c r="S179" i="28"/>
  <c r="T179" i="28"/>
  <c r="O180" i="28"/>
  <c r="P180" i="28"/>
  <c r="T180" i="28"/>
  <c r="U180" i="28"/>
  <c r="L181" i="28"/>
  <c r="O181" i="28" s="1"/>
  <c r="M181" i="28"/>
  <c r="N181" i="28"/>
  <c r="N179" i="28" s="1"/>
  <c r="T181" i="28"/>
  <c r="U181" i="28"/>
  <c r="I183" i="28"/>
  <c r="I172" i="28" s="1"/>
  <c r="K172" i="28" s="1"/>
  <c r="K184" i="28"/>
  <c r="L187" i="28"/>
  <c r="M187" i="28"/>
  <c r="P187" i="28" s="1"/>
  <c r="N187" i="28"/>
  <c r="O187" i="28"/>
  <c r="Q187" i="28"/>
  <c r="R187" i="28"/>
  <c r="S187" i="28"/>
  <c r="T187" i="28"/>
  <c r="O190" i="28"/>
  <c r="P190" i="28"/>
  <c r="T190" i="28"/>
  <c r="U190" i="28"/>
  <c r="L191" i="28"/>
  <c r="M191" i="28"/>
  <c r="N191" i="28"/>
  <c r="Q191" i="28"/>
  <c r="T191" i="28" s="1"/>
  <c r="R191" i="28"/>
  <c r="R189" i="28" s="1"/>
  <c r="U189" i="28" s="1"/>
  <c r="S191" i="28"/>
  <c r="O193" i="28"/>
  <c r="P193" i="28"/>
  <c r="T193" i="28"/>
  <c r="U193" i="28"/>
  <c r="L194" i="28"/>
  <c r="L192" i="28" s="1"/>
  <c r="M194" i="28"/>
  <c r="M192" i="28" s="1"/>
  <c r="N194" i="28"/>
  <c r="Q194" i="28"/>
  <c r="Q192" i="28" s="1"/>
  <c r="R194" i="28"/>
  <c r="S194" i="28"/>
  <c r="S192" i="28" s="1"/>
  <c r="J195" i="28"/>
  <c r="L196" i="28"/>
  <c r="O196" i="28" s="1"/>
  <c r="P196" i="28"/>
  <c r="I198" i="28"/>
  <c r="I195" i="28" s="1"/>
  <c r="K195" i="28" s="1"/>
  <c r="J199" i="28"/>
  <c r="J202" i="28"/>
  <c r="N203" i="28"/>
  <c r="P203" i="28"/>
  <c r="S203" i="28"/>
  <c r="U203" i="28"/>
  <c r="L204" i="28"/>
  <c r="L205" i="28"/>
  <c r="L206" i="28"/>
  <c r="Q206" i="28"/>
  <c r="Q203" i="28" s="1"/>
  <c r="T203" i="28" s="1"/>
  <c r="L207" i="28"/>
  <c r="I209" i="28"/>
  <c r="I211" i="28"/>
  <c r="K211" i="28" s="1"/>
  <c r="I212" i="28"/>
  <c r="K212" i="28" s="1"/>
  <c r="J213" i="28"/>
  <c r="N214" i="28"/>
  <c r="P214" i="28"/>
  <c r="S214" i="28"/>
  <c r="U214" i="28"/>
  <c r="L215" i="28"/>
  <c r="L216" i="28"/>
  <c r="L217" i="28"/>
  <c r="Q217" i="28"/>
  <c r="Q214" i="28" s="1"/>
  <c r="T214" i="28" s="1"/>
  <c r="I219" i="28"/>
  <c r="K219" i="28" s="1"/>
  <c r="I220" i="28"/>
  <c r="K220" i="28" s="1"/>
  <c r="J221" i="28"/>
  <c r="N222" i="28"/>
  <c r="P222" i="28"/>
  <c r="L223" i="28"/>
  <c r="L224" i="28"/>
  <c r="L225" i="28"/>
  <c r="I228" i="28"/>
  <c r="K228" i="28" s="1"/>
  <c r="I229" i="28"/>
  <c r="I221" i="28" s="1"/>
  <c r="K221" i="28" s="1"/>
  <c r="I230" i="28"/>
  <c r="N233" i="28"/>
  <c r="N234" i="28"/>
  <c r="N235" i="28"/>
  <c r="N236" i="28"/>
  <c r="J238" i="28"/>
  <c r="J240" i="28"/>
  <c r="J241" i="28"/>
  <c r="J242" i="28"/>
  <c r="N243" i="28"/>
  <c r="P243" i="28"/>
  <c r="L244" i="28"/>
  <c r="L245" i="28"/>
  <c r="L246" i="28"/>
  <c r="L247" i="28"/>
  <c r="I249" i="28"/>
  <c r="I242" i="28" s="1"/>
  <c r="I251" i="28"/>
  <c r="I252" i="28"/>
  <c r="J253" i="28"/>
  <c r="N254" i="28"/>
  <c r="N232" i="28" s="1"/>
  <c r="P254" i="28"/>
  <c r="L255" i="28"/>
  <c r="L256" i="28"/>
  <c r="L257" i="28"/>
  <c r="L258" i="28"/>
  <c r="I260" i="28"/>
  <c r="I253" i="28" s="1"/>
  <c r="K253" i="28" s="1"/>
  <c r="K262" i="28"/>
  <c r="K263" i="28"/>
  <c r="J265" i="28"/>
  <c r="L267" i="28"/>
  <c r="O267" i="28" s="1"/>
  <c r="M267" i="28"/>
  <c r="P267" i="28" s="1"/>
  <c r="N267" i="28"/>
  <c r="Q267" i="28"/>
  <c r="R267" i="28"/>
  <c r="U267" i="28" s="1"/>
  <c r="S267" i="28"/>
  <c r="O270" i="28"/>
  <c r="P270" i="28"/>
  <c r="T270" i="28"/>
  <c r="U270" i="28"/>
  <c r="L271" i="28"/>
  <c r="M271" i="28"/>
  <c r="N271" i="28"/>
  <c r="Q271" i="28"/>
  <c r="R271" i="28"/>
  <c r="R268" i="28" s="1"/>
  <c r="S271" i="28"/>
  <c r="Q272" i="28"/>
  <c r="T272" i="28" s="1"/>
  <c r="R272" i="28"/>
  <c r="U272" i="28" s="1"/>
  <c r="S272" i="28"/>
  <c r="O273" i="28"/>
  <c r="P273" i="28"/>
  <c r="T273" i="28"/>
  <c r="U273" i="28"/>
  <c r="L274" i="28"/>
  <c r="O274" i="28" s="1"/>
  <c r="M274" i="28"/>
  <c r="P274" i="28" s="1"/>
  <c r="N274" i="28"/>
  <c r="N272" i="28" s="1"/>
  <c r="T274" i="28"/>
  <c r="U274" i="28"/>
  <c r="I276" i="28"/>
  <c r="K276" i="28" s="1"/>
  <c r="J281" i="28"/>
  <c r="L283" i="28"/>
  <c r="M283" i="28"/>
  <c r="P283" i="28" s="1"/>
  <c r="N283" i="28"/>
  <c r="Q283" i="28"/>
  <c r="Q282" i="28" s="1"/>
  <c r="T282" i="28" s="1"/>
  <c r="R283" i="28"/>
  <c r="S283" i="28"/>
  <c r="Q284" i="28"/>
  <c r="T284" i="28" s="1"/>
  <c r="R284" i="28"/>
  <c r="U284" i="28" s="1"/>
  <c r="S284" i="28"/>
  <c r="Q285" i="28"/>
  <c r="T285" i="28" s="1"/>
  <c r="R285" i="28"/>
  <c r="U285" i="28" s="1"/>
  <c r="S285" i="28"/>
  <c r="O286" i="28"/>
  <c r="P286" i="28"/>
  <c r="T286" i="28"/>
  <c r="U286" i="28"/>
  <c r="L287" i="28"/>
  <c r="L285" i="28" s="1"/>
  <c r="O285" i="28" s="1"/>
  <c r="M287" i="28"/>
  <c r="M285" i="28" s="1"/>
  <c r="P285" i="28" s="1"/>
  <c r="N287" i="28"/>
  <c r="T287" i="28"/>
  <c r="U287" i="28"/>
  <c r="Q288" i="28"/>
  <c r="T288" i="28" s="1"/>
  <c r="R288" i="28"/>
  <c r="S288" i="28"/>
  <c r="U288" i="28"/>
  <c r="O289" i="28"/>
  <c r="P289" i="28"/>
  <c r="T289" i="28"/>
  <c r="U289" i="28"/>
  <c r="L290" i="28"/>
  <c r="L288" i="28" s="1"/>
  <c r="O288" i="28" s="1"/>
  <c r="M290" i="28"/>
  <c r="P290" i="28" s="1"/>
  <c r="N290" i="28"/>
  <c r="N288" i="28" s="1"/>
  <c r="T290" i="28"/>
  <c r="U290" i="28"/>
  <c r="I292" i="28"/>
  <c r="I281" i="28" s="1"/>
  <c r="K281" i="28" s="1"/>
  <c r="I293" i="28"/>
  <c r="J293" i="28"/>
  <c r="J280" i="28" s="1"/>
  <c r="I295" i="28"/>
  <c r="K295" i="28" s="1"/>
  <c r="I296" i="28"/>
  <c r="K296" i="28" s="1"/>
  <c r="J302" i="28"/>
  <c r="L304" i="28"/>
  <c r="M304" i="28"/>
  <c r="P304" i="28" s="1"/>
  <c r="N304" i="28"/>
  <c r="Q304" i="28"/>
  <c r="T304" i="28" s="1"/>
  <c r="R304" i="28"/>
  <c r="S304" i="28"/>
  <c r="O307" i="28"/>
  <c r="P307" i="28"/>
  <c r="T307" i="28"/>
  <c r="U307" i="28"/>
  <c r="L308" i="28"/>
  <c r="M308" i="28"/>
  <c r="N308" i="28"/>
  <c r="N306" i="28" s="1"/>
  <c r="Q308" i="28"/>
  <c r="R308" i="28"/>
  <c r="R305" i="28" s="1"/>
  <c r="S308" i="28"/>
  <c r="S305" i="28" s="1"/>
  <c r="Q309" i="28"/>
  <c r="T309" i="28" s="1"/>
  <c r="R309" i="28"/>
  <c r="U309" i="28" s="1"/>
  <c r="S309" i="28"/>
  <c r="O310" i="28"/>
  <c r="P310" i="28"/>
  <c r="T310" i="28"/>
  <c r="U310" i="28"/>
  <c r="L311" i="28"/>
  <c r="L309" i="28" s="1"/>
  <c r="O309" i="28" s="1"/>
  <c r="M311" i="28"/>
  <c r="P311" i="28" s="1"/>
  <c r="N311" i="28"/>
  <c r="N309" i="28" s="1"/>
  <c r="T311" i="28"/>
  <c r="U311" i="28"/>
  <c r="I314" i="28"/>
  <c r="I302" i="28" s="1"/>
  <c r="J319" i="28"/>
  <c r="L321" i="28"/>
  <c r="O321" i="28" s="1"/>
  <c r="M321" i="28"/>
  <c r="P321" i="28" s="1"/>
  <c r="N321" i="28"/>
  <c r="Q321" i="28"/>
  <c r="R321" i="28"/>
  <c r="S321" i="28"/>
  <c r="Q322" i="28"/>
  <c r="T322" i="28" s="1"/>
  <c r="R322" i="28"/>
  <c r="U322" i="28" s="1"/>
  <c r="S322" i="28"/>
  <c r="Q323" i="28"/>
  <c r="T323" i="28" s="1"/>
  <c r="R323" i="28"/>
  <c r="S323" i="28"/>
  <c r="U323" i="28"/>
  <c r="O324" i="28"/>
  <c r="P324" i="28"/>
  <c r="T324" i="28"/>
  <c r="U324" i="28"/>
  <c r="L325" i="28"/>
  <c r="O325" i="28" s="1"/>
  <c r="M325" i="28"/>
  <c r="N325" i="28"/>
  <c r="T325" i="28"/>
  <c r="U325" i="28"/>
  <c r="Q326" i="28"/>
  <c r="T326" i="28" s="1"/>
  <c r="R326" i="28"/>
  <c r="U326" i="28" s="1"/>
  <c r="S326" i="28"/>
  <c r="O327" i="28"/>
  <c r="P327" i="28"/>
  <c r="T327" i="28"/>
  <c r="U327" i="28"/>
  <c r="L328" i="28"/>
  <c r="L326" i="28" s="1"/>
  <c r="O326" i="28" s="1"/>
  <c r="M328" i="28"/>
  <c r="M326" i="28" s="1"/>
  <c r="P326" i="28" s="1"/>
  <c r="N328" i="28"/>
  <c r="N326" i="28" s="1"/>
  <c r="T328" i="28"/>
  <c r="U328" i="28"/>
  <c r="I330" i="28"/>
  <c r="K330" i="28" s="1"/>
  <c r="L334" i="28"/>
  <c r="M334" i="28"/>
  <c r="N334" i="28"/>
  <c r="P334" i="28"/>
  <c r="Q334" i="28"/>
  <c r="R334" i="28"/>
  <c r="S334" i="28"/>
  <c r="Q335" i="28"/>
  <c r="T335" i="28" s="1"/>
  <c r="R335" i="28"/>
  <c r="U335" i="28" s="1"/>
  <c r="S335" i="28"/>
  <c r="Q336" i="28"/>
  <c r="R336" i="28"/>
  <c r="U336" i="28" s="1"/>
  <c r="S336" i="28"/>
  <c r="T336" i="28"/>
  <c r="O337" i="28"/>
  <c r="P337" i="28"/>
  <c r="T337" i="28"/>
  <c r="U337" i="28"/>
  <c r="L338" i="28"/>
  <c r="L336" i="28" s="1"/>
  <c r="M338" i="28"/>
  <c r="N338" i="28"/>
  <c r="T338" i="28"/>
  <c r="U338" i="28"/>
  <c r="Q339" i="28"/>
  <c r="T339" i="28" s="1"/>
  <c r="R339" i="28"/>
  <c r="U339" i="28" s="1"/>
  <c r="S339" i="28"/>
  <c r="O340" i="28"/>
  <c r="P340" i="28"/>
  <c r="T340" i="28"/>
  <c r="U340" i="28"/>
  <c r="L341" i="28"/>
  <c r="L339" i="28" s="1"/>
  <c r="O339" i="28" s="1"/>
  <c r="M341" i="28"/>
  <c r="N341" i="28"/>
  <c r="N339" i="28" s="1"/>
  <c r="T341" i="28"/>
  <c r="U341" i="28"/>
  <c r="I344" i="28"/>
  <c r="J344" i="28"/>
  <c r="I346" i="28"/>
  <c r="J346" i="28"/>
  <c r="J347" i="28"/>
  <c r="J348" i="28"/>
  <c r="J349" i="28"/>
  <c r="D350" i="28"/>
  <c r="J352" i="28"/>
  <c r="J353" i="28"/>
  <c r="J354" i="28"/>
  <c r="L357" i="28"/>
  <c r="M357" i="28"/>
  <c r="P357" i="28" s="1"/>
  <c r="N357" i="28"/>
  <c r="Q357" i="28"/>
  <c r="Q356" i="28" s="1"/>
  <c r="T356" i="28" s="1"/>
  <c r="R357" i="28"/>
  <c r="U357" i="28" s="1"/>
  <c r="S357" i="28"/>
  <c r="S356" i="28" s="1"/>
  <c r="T357" i="28"/>
  <c r="Q358" i="28"/>
  <c r="T358" i="28" s="1"/>
  <c r="R358" i="28"/>
  <c r="U358" i="28" s="1"/>
  <c r="S358" i="28"/>
  <c r="Q359" i="28"/>
  <c r="T359" i="28" s="1"/>
  <c r="R359" i="28"/>
  <c r="U359" i="28" s="1"/>
  <c r="S359" i="28"/>
  <c r="O360" i="28"/>
  <c r="P360" i="28"/>
  <c r="T360" i="28"/>
  <c r="U360" i="28"/>
  <c r="L361" i="28"/>
  <c r="L359" i="28" s="1"/>
  <c r="M361" i="28"/>
  <c r="M359" i="28" s="1"/>
  <c r="N361" i="28"/>
  <c r="T361" i="28"/>
  <c r="U361" i="28"/>
  <c r="Q362" i="28"/>
  <c r="R362" i="28"/>
  <c r="S362" i="28"/>
  <c r="T362" i="28"/>
  <c r="U362" i="28"/>
  <c r="O363" i="28"/>
  <c r="P363" i="28"/>
  <c r="T363" i="28"/>
  <c r="U363" i="28"/>
  <c r="L364" i="28"/>
  <c r="M364" i="28"/>
  <c r="N364" i="28"/>
  <c r="N362" i="28" s="1"/>
  <c r="T364" i="28"/>
  <c r="U364" i="28"/>
  <c r="J367" i="28"/>
  <c r="K367" i="28"/>
  <c r="I368" i="28"/>
  <c r="K368" i="28" s="1"/>
  <c r="J368" i="28"/>
  <c r="I369" i="28"/>
  <c r="K369" i="28" s="1"/>
  <c r="J369" i="28"/>
  <c r="J370" i="28"/>
  <c r="K370" i="28"/>
  <c r="I371" i="28"/>
  <c r="K371" i="28" s="1"/>
  <c r="J371" i="28"/>
  <c r="J365" i="28" s="1"/>
  <c r="J372" i="28"/>
  <c r="K372" i="28"/>
  <c r="D373" i="28"/>
  <c r="J374" i="28"/>
  <c r="L376" i="28"/>
  <c r="M376" i="28"/>
  <c r="N376" i="28"/>
  <c r="O376" i="28"/>
  <c r="Q376" i="28"/>
  <c r="T376" i="28" s="1"/>
  <c r="R376" i="28"/>
  <c r="S376" i="28"/>
  <c r="U376" i="28"/>
  <c r="O379" i="28"/>
  <c r="P379" i="28"/>
  <c r="T379" i="28"/>
  <c r="U379" i="28"/>
  <c r="L380" i="28"/>
  <c r="M380" i="28"/>
  <c r="M378" i="28" s="1"/>
  <c r="P378" i="28" s="1"/>
  <c r="N380" i="28"/>
  <c r="N378" i="28" s="1"/>
  <c r="Q380" i="28"/>
  <c r="T380" i="28" s="1"/>
  <c r="R380" i="28"/>
  <c r="R378" i="28" s="1"/>
  <c r="U378" i="28" s="1"/>
  <c r="S380" i="28"/>
  <c r="S378" i="28" s="1"/>
  <c r="Q381" i="28"/>
  <c r="T381" i="28" s="1"/>
  <c r="R381" i="28"/>
  <c r="U381" i="28" s="1"/>
  <c r="S381" i="28"/>
  <c r="O382" i="28"/>
  <c r="P382" i="28"/>
  <c r="T382" i="28"/>
  <c r="U382" i="28"/>
  <c r="L383" i="28"/>
  <c r="O383" i="28" s="1"/>
  <c r="M383" i="28"/>
  <c r="N383" i="28"/>
  <c r="N381" i="28" s="1"/>
  <c r="T383" i="28"/>
  <c r="U383" i="28"/>
  <c r="I385" i="28"/>
  <c r="I386" i="28"/>
  <c r="K386" i="28" s="1"/>
  <c r="K387" i="28"/>
  <c r="K388" i="28"/>
  <c r="I391" i="28"/>
  <c r="K391" i="28" s="1"/>
  <c r="J391" i="28"/>
  <c r="L393" i="28"/>
  <c r="L392" i="28" s="1"/>
  <c r="O392" i="28" s="1"/>
  <c r="M393" i="28"/>
  <c r="N393" i="28"/>
  <c r="Q393" i="28"/>
  <c r="R393" i="28"/>
  <c r="S393" i="28"/>
  <c r="U393" i="28"/>
  <c r="L394" i="28"/>
  <c r="M394" i="28"/>
  <c r="P394" i="28" s="1"/>
  <c r="N394" i="28"/>
  <c r="O394" i="28"/>
  <c r="L395" i="28"/>
  <c r="O395" i="28" s="1"/>
  <c r="M395" i="28"/>
  <c r="P395" i="28" s="1"/>
  <c r="N395" i="28"/>
  <c r="O396" i="28"/>
  <c r="P396" i="28"/>
  <c r="T396" i="28"/>
  <c r="U396" i="28"/>
  <c r="O397" i="28"/>
  <c r="P397" i="28"/>
  <c r="Q397" i="28"/>
  <c r="Q394" i="28" s="1"/>
  <c r="T394" i="28" s="1"/>
  <c r="R397" i="28"/>
  <c r="S397" i="28"/>
  <c r="S394" i="28" s="1"/>
  <c r="L398" i="28"/>
  <c r="M398" i="28"/>
  <c r="P398" i="28" s="1"/>
  <c r="N398" i="28"/>
  <c r="O398" i="28"/>
  <c r="Q398" i="28"/>
  <c r="R398" i="28"/>
  <c r="S398" i="28"/>
  <c r="T398" i="28"/>
  <c r="U398" i="28"/>
  <c r="O399" i="28"/>
  <c r="P399" i="28"/>
  <c r="T399" i="28"/>
  <c r="U399" i="28"/>
  <c r="O400" i="28"/>
  <c r="P400" i="28"/>
  <c r="T400" i="28"/>
  <c r="U400" i="28"/>
  <c r="L414" i="28"/>
  <c r="M414" i="28"/>
  <c r="P414" i="28" s="1"/>
  <c r="N414" i="28"/>
  <c r="O414" i="28"/>
  <c r="Q414" i="28"/>
  <c r="R414" i="28"/>
  <c r="S414" i="28"/>
  <c r="T414" i="28"/>
  <c r="U414" i="28"/>
  <c r="O417" i="28"/>
  <c r="P417" i="28"/>
  <c r="T417" i="28"/>
  <c r="U417" i="28"/>
  <c r="L418" i="28"/>
  <c r="L416" i="28" s="1"/>
  <c r="O416" i="28" s="1"/>
  <c r="M418" i="28"/>
  <c r="M416" i="28" s="1"/>
  <c r="N418" i="28"/>
  <c r="Q418" i="28"/>
  <c r="T418" i="28" s="1"/>
  <c r="R418" i="28"/>
  <c r="R415" i="28" s="1"/>
  <c r="U415" i="28" s="1"/>
  <c r="S418" i="28"/>
  <c r="S415" i="28" s="1"/>
  <c r="S413" i="28" s="1"/>
  <c r="Q419" i="28"/>
  <c r="T419" i="28" s="1"/>
  <c r="R419" i="28"/>
  <c r="U419" i="28" s="1"/>
  <c r="S419" i="28"/>
  <c r="O420" i="28"/>
  <c r="P420" i="28"/>
  <c r="T420" i="28"/>
  <c r="U420" i="28"/>
  <c r="L421" i="28"/>
  <c r="L419" i="28" s="1"/>
  <c r="O419" i="28" s="1"/>
  <c r="M421" i="28"/>
  <c r="M419" i="28" s="1"/>
  <c r="P419" i="28" s="1"/>
  <c r="N421" i="28"/>
  <c r="N419" i="28" s="1"/>
  <c r="T421" i="28"/>
  <c r="U421" i="28"/>
  <c r="I424" i="28"/>
  <c r="K424" i="28" s="1"/>
  <c r="J424" i="28"/>
  <c r="I425" i="28"/>
  <c r="K425" i="28" s="1"/>
  <c r="J425" i="28"/>
  <c r="I432" i="28"/>
  <c r="K432" i="28" s="1"/>
  <c r="J432" i="28"/>
  <c r="I433" i="28"/>
  <c r="K433" i="28" s="1"/>
  <c r="J433" i="28"/>
  <c r="I440" i="28"/>
  <c r="I441" i="28"/>
  <c r="K441" i="28" s="1"/>
  <c r="J446" i="28"/>
  <c r="J440" i="28" s="1"/>
  <c r="J423" i="28" s="1"/>
  <c r="J412" i="28" s="1"/>
  <c r="J447" i="28"/>
  <c r="J441" i="28" s="1"/>
  <c r="I457" i="28"/>
  <c r="I456" i="28" s="1"/>
  <c r="K456" i="28" s="1"/>
  <c r="I458" i="28"/>
  <c r="K458" i="28" s="1"/>
  <c r="J459" i="28"/>
  <c r="J457" i="28" s="1"/>
  <c r="J456" i="28" s="1"/>
  <c r="J460" i="28"/>
  <c r="J467" i="28"/>
  <c r="J468" i="28"/>
  <c r="J475" i="28"/>
  <c r="K475" i="28"/>
  <c r="J476" i="28"/>
  <c r="K476" i="28"/>
  <c r="J477" i="28"/>
  <c r="K477" i="28"/>
  <c r="J482" i="28"/>
  <c r="J483" i="28"/>
  <c r="I484" i="28"/>
  <c r="K484" i="28" s="1"/>
  <c r="J484" i="28"/>
  <c r="I485" i="28"/>
  <c r="K485" i="28" s="1"/>
  <c r="J485" i="28"/>
  <c r="L494" i="28"/>
  <c r="M494" i="28"/>
  <c r="N494" i="28"/>
  <c r="Q494" i="28"/>
  <c r="T494" i="28" s="1"/>
  <c r="R494" i="28"/>
  <c r="S494" i="28"/>
  <c r="O497" i="28"/>
  <c r="P497" i="28"/>
  <c r="T497" i="28"/>
  <c r="U497" i="28"/>
  <c r="L498" i="28"/>
  <c r="L496" i="28" s="1"/>
  <c r="O496" i="28" s="1"/>
  <c r="M498" i="28"/>
  <c r="N498" i="28"/>
  <c r="N496" i="28" s="1"/>
  <c r="Q498" i="28"/>
  <c r="R498" i="28"/>
  <c r="R496" i="28" s="1"/>
  <c r="U496" i="28" s="1"/>
  <c r="S498" i="28"/>
  <c r="S496" i="28" s="1"/>
  <c r="Q499" i="28"/>
  <c r="T499" i="28" s="1"/>
  <c r="R499" i="28"/>
  <c r="S499" i="28"/>
  <c r="U499" i="28"/>
  <c r="O500" i="28"/>
  <c r="P500" i="28"/>
  <c r="T500" i="28"/>
  <c r="U500" i="28"/>
  <c r="L501" i="28"/>
  <c r="L499" i="28" s="1"/>
  <c r="O499" i="28" s="1"/>
  <c r="M501" i="28"/>
  <c r="N501" i="28"/>
  <c r="N499" i="28" s="1"/>
  <c r="T501" i="28"/>
  <c r="U501" i="28"/>
  <c r="I503" i="28"/>
  <c r="I492" i="28" s="1"/>
  <c r="K492" i="28" s="1"/>
  <c r="I504" i="28"/>
  <c r="K504" i="28" s="1"/>
  <c r="I505" i="28"/>
  <c r="K505" i="28" s="1"/>
  <c r="I506" i="28"/>
  <c r="K506" i="28" s="1"/>
  <c r="I507" i="28"/>
  <c r="K507" i="28" s="1"/>
  <c r="K508" i="28"/>
  <c r="I509" i="28"/>
  <c r="K509" i="28" s="1"/>
  <c r="I512" i="28"/>
  <c r="K512" i="28" s="1"/>
  <c r="J512" i="28"/>
  <c r="L514" i="28"/>
  <c r="M514" i="28"/>
  <c r="N514" i="28"/>
  <c r="O514" i="28"/>
  <c r="P514" i="28"/>
  <c r="Q514" i="28"/>
  <c r="R514" i="28"/>
  <c r="S514" i="28"/>
  <c r="U514" i="28"/>
  <c r="Q515" i="28"/>
  <c r="T515" i="28" s="1"/>
  <c r="R515" i="28"/>
  <c r="S515" i="28"/>
  <c r="S513" i="28" s="1"/>
  <c r="Q516" i="28"/>
  <c r="T516" i="28" s="1"/>
  <c r="R516" i="28"/>
  <c r="U516" i="28" s="1"/>
  <c r="S516" i="28"/>
  <c r="O517" i="28"/>
  <c r="P517" i="28"/>
  <c r="T517" i="28"/>
  <c r="U517" i="28"/>
  <c r="L518" i="28"/>
  <c r="M518" i="28"/>
  <c r="P518" i="28" s="1"/>
  <c r="N518" i="28"/>
  <c r="T518" i="28"/>
  <c r="U518" i="28"/>
  <c r="Q519" i="28"/>
  <c r="T519" i="28" s="1"/>
  <c r="R519" i="28"/>
  <c r="U519" i="28" s="1"/>
  <c r="S519" i="28"/>
  <c r="O520" i="28"/>
  <c r="P520" i="28"/>
  <c r="T520" i="28"/>
  <c r="U520" i="28"/>
  <c r="L521" i="28"/>
  <c r="O521" i="28" s="1"/>
  <c r="M521" i="28"/>
  <c r="N521" i="28"/>
  <c r="N519" i="28" s="1"/>
  <c r="T521" i="28"/>
  <c r="U521" i="28"/>
  <c r="K523" i="28"/>
  <c r="K524" i="28"/>
  <c r="I533" i="28"/>
  <c r="K533" i="28" s="1"/>
  <c r="J533" i="28"/>
  <c r="L535" i="28"/>
  <c r="M535" i="28"/>
  <c r="N535" i="28"/>
  <c r="P535" i="28"/>
  <c r="Q535" i="28"/>
  <c r="R535" i="28"/>
  <c r="S535" i="28"/>
  <c r="Q536" i="28"/>
  <c r="T536" i="28" s="1"/>
  <c r="R536" i="28"/>
  <c r="U536" i="28" s="1"/>
  <c r="S536" i="28"/>
  <c r="S534" i="28" s="1"/>
  <c r="Q537" i="28"/>
  <c r="R537" i="28"/>
  <c r="U537" i="28" s="1"/>
  <c r="S537" i="28"/>
  <c r="T537" i="28"/>
  <c r="O538" i="28"/>
  <c r="P538" i="28"/>
  <c r="T538" i="28"/>
  <c r="U538" i="28"/>
  <c r="L539" i="28"/>
  <c r="M539" i="28"/>
  <c r="N539" i="28"/>
  <c r="N537" i="28" s="1"/>
  <c r="T539" i="28"/>
  <c r="U539" i="28"/>
  <c r="Q540" i="28"/>
  <c r="T540" i="28" s="1"/>
  <c r="R540" i="28"/>
  <c r="U540" i="28" s="1"/>
  <c r="S540" i="28"/>
  <c r="O541" i="28"/>
  <c r="P541" i="28"/>
  <c r="T541" i="28"/>
  <c r="U541" i="28"/>
  <c r="L542" i="28"/>
  <c r="L540" i="28" s="1"/>
  <c r="O540" i="28" s="1"/>
  <c r="M542" i="28"/>
  <c r="M540" i="28" s="1"/>
  <c r="P540" i="28" s="1"/>
  <c r="N542" i="28"/>
  <c r="N540" i="28" s="1"/>
  <c r="T542" i="28"/>
  <c r="U542" i="28"/>
  <c r="I554" i="28"/>
  <c r="J554" i="28"/>
  <c r="K554" i="28"/>
  <c r="L556" i="28"/>
  <c r="M556" i="28"/>
  <c r="P556" i="28" s="1"/>
  <c r="N556" i="28"/>
  <c r="O556" i="28"/>
  <c r="Q556" i="28"/>
  <c r="Q555" i="28" s="1"/>
  <c r="T555" i="28" s="1"/>
  <c r="R556" i="28"/>
  <c r="S556" i="28"/>
  <c r="T556" i="28"/>
  <c r="U556" i="28"/>
  <c r="Q557" i="28"/>
  <c r="T557" i="28" s="1"/>
  <c r="R557" i="28"/>
  <c r="R555" i="28" s="1"/>
  <c r="U555" i="28" s="1"/>
  <c r="S557" i="28"/>
  <c r="S555" i="28" s="1"/>
  <c r="Q558" i="28"/>
  <c r="T558" i="28" s="1"/>
  <c r="R558" i="28"/>
  <c r="U558" i="28" s="1"/>
  <c r="S558" i="28"/>
  <c r="O559" i="28"/>
  <c r="P559" i="28"/>
  <c r="T559" i="28"/>
  <c r="U559" i="28"/>
  <c r="L560" i="28"/>
  <c r="O560" i="28" s="1"/>
  <c r="M560" i="28"/>
  <c r="M558" i="28" s="1"/>
  <c r="P558" i="28" s="1"/>
  <c r="N560" i="28"/>
  <c r="N558" i="28" s="1"/>
  <c r="T560" i="28"/>
  <c r="U560" i="28"/>
  <c r="Q561" i="28"/>
  <c r="R561" i="28"/>
  <c r="U561" i="28" s="1"/>
  <c r="S561" i="28"/>
  <c r="T561" i="28"/>
  <c r="O562" i="28"/>
  <c r="P562" i="28"/>
  <c r="T562" i="28"/>
  <c r="U562" i="28"/>
  <c r="L563" i="28"/>
  <c r="M563" i="28"/>
  <c r="N563" i="28"/>
  <c r="N561" i="28" s="1"/>
  <c r="T563" i="28"/>
  <c r="U563" i="28"/>
  <c r="I575" i="28"/>
  <c r="K575" i="28" s="1"/>
  <c r="J575" i="28"/>
  <c r="L577" i="28"/>
  <c r="O577" i="28" s="1"/>
  <c r="M577" i="28"/>
  <c r="N577" i="28"/>
  <c r="P577" i="28"/>
  <c r="Q577" i="28"/>
  <c r="Q576" i="28" s="1"/>
  <c r="T576" i="28" s="1"/>
  <c r="R577" i="28"/>
  <c r="R576" i="28" s="1"/>
  <c r="U576" i="28" s="1"/>
  <c r="S577" i="28"/>
  <c r="Q578" i="28"/>
  <c r="R578" i="28"/>
  <c r="U578" i="28" s="1"/>
  <c r="S578" i="28"/>
  <c r="S576" i="28" s="1"/>
  <c r="T578" i="28"/>
  <c r="Q579" i="28"/>
  <c r="R579" i="28"/>
  <c r="S579" i="28"/>
  <c r="T579" i="28"/>
  <c r="U579" i="28"/>
  <c r="O580" i="28"/>
  <c r="P580" i="28"/>
  <c r="T580" i="28"/>
  <c r="U580" i="28"/>
  <c r="L581" i="28"/>
  <c r="O581" i="28" s="1"/>
  <c r="M581" i="28"/>
  <c r="P581" i="28" s="1"/>
  <c r="N581" i="28"/>
  <c r="T581" i="28"/>
  <c r="U581" i="28"/>
  <c r="Q582" i="28"/>
  <c r="T582" i="28" s="1"/>
  <c r="R582" i="28"/>
  <c r="U582" i="28" s="1"/>
  <c r="S582" i="28"/>
  <c r="O583" i="28"/>
  <c r="P583" i="28"/>
  <c r="T583" i="28"/>
  <c r="U583" i="28"/>
  <c r="L584" i="28"/>
  <c r="L582" i="28" s="1"/>
  <c r="O582" i="28" s="1"/>
  <c r="M584" i="28"/>
  <c r="P584" i="28" s="1"/>
  <c r="N584" i="28"/>
  <c r="N582" i="28" s="1"/>
  <c r="T584" i="28"/>
  <c r="U584" i="28"/>
  <c r="L600" i="28"/>
  <c r="M600" i="28"/>
  <c r="N600" i="28"/>
  <c r="P600" i="28"/>
  <c r="Q600" i="28"/>
  <c r="R600" i="28"/>
  <c r="S600" i="28"/>
  <c r="O603" i="28"/>
  <c r="P603" i="28"/>
  <c r="T603" i="28"/>
  <c r="U603" i="28"/>
  <c r="L604" i="28"/>
  <c r="M604" i="28"/>
  <c r="N604" i="28"/>
  <c r="Q604" i="28"/>
  <c r="R604" i="28"/>
  <c r="S604" i="28"/>
  <c r="O606" i="28"/>
  <c r="P606" i="28"/>
  <c r="T606" i="28"/>
  <c r="U606" i="28"/>
  <c r="L607" i="28"/>
  <c r="O607" i="28" s="1"/>
  <c r="M607" i="28"/>
  <c r="P607" i="28" s="1"/>
  <c r="N607" i="28"/>
  <c r="N605" i="28" s="1"/>
  <c r="Q607" i="28"/>
  <c r="Q605" i="28" s="1"/>
  <c r="T605" i="28" s="1"/>
  <c r="R607" i="28"/>
  <c r="U607" i="28" s="1"/>
  <c r="S607" i="28"/>
  <c r="S605" i="28" s="1"/>
  <c r="L616" i="28"/>
  <c r="O616" i="28" s="1"/>
  <c r="L617" i="28"/>
  <c r="M617" i="28"/>
  <c r="M616" i="28" s="1"/>
  <c r="P616" i="28" s="1"/>
  <c r="N617" i="28"/>
  <c r="N616" i="28" s="1"/>
  <c r="O617" i="28"/>
  <c r="Q617" i="28"/>
  <c r="R617" i="28"/>
  <c r="S617" i="28"/>
  <c r="T617" i="28"/>
  <c r="U617" i="28"/>
  <c r="L618" i="28"/>
  <c r="O618" i="28" s="1"/>
  <c r="M618" i="28"/>
  <c r="N618" i="28"/>
  <c r="P618" i="28"/>
  <c r="L619" i="28"/>
  <c r="O619" i="28" s="1"/>
  <c r="M619" i="28"/>
  <c r="P619" i="28" s="1"/>
  <c r="N619" i="28"/>
  <c r="O620" i="28"/>
  <c r="P620" i="28"/>
  <c r="T620" i="28"/>
  <c r="U620" i="28"/>
  <c r="O621" i="28"/>
  <c r="P621" i="28"/>
  <c r="Q621" i="28"/>
  <c r="Q618" i="28" s="1"/>
  <c r="R621" i="28"/>
  <c r="R618" i="28" s="1"/>
  <c r="S621" i="28"/>
  <c r="S619" i="28" s="1"/>
  <c r="L622" i="28"/>
  <c r="M622" i="28"/>
  <c r="N622" i="28"/>
  <c r="O622" i="28"/>
  <c r="P622" i="28"/>
  <c r="Q622" i="28"/>
  <c r="R622" i="28"/>
  <c r="S622" i="28"/>
  <c r="T622" i="28"/>
  <c r="U622" i="28"/>
  <c r="O623" i="28"/>
  <c r="P623" i="28"/>
  <c r="T623" i="28"/>
  <c r="U623" i="28"/>
  <c r="O624" i="28"/>
  <c r="P624" i="28"/>
  <c r="T624" i="28"/>
  <c r="U624" i="28"/>
  <c r="I626" i="28"/>
  <c r="K631" i="28" s="1"/>
  <c r="I627" i="28"/>
  <c r="K627" i="28" s="1"/>
  <c r="I628" i="28"/>
  <c r="K628" i="28" s="1"/>
  <c r="J632" i="28"/>
  <c r="J626" i="28" s="1"/>
  <c r="I635" i="28"/>
  <c r="K635" i="28" s="1"/>
  <c r="J636" i="28"/>
  <c r="J635" i="28" s="1"/>
  <c r="L643" i="28"/>
  <c r="M643" i="28"/>
  <c r="M642" i="28" s="1"/>
  <c r="P642" i="28" s="1"/>
  <c r="N643" i="28"/>
  <c r="N642" i="28" s="1"/>
  <c r="Q643" i="28"/>
  <c r="R643" i="28"/>
  <c r="S643" i="28"/>
  <c r="T643" i="28"/>
  <c r="L644" i="28"/>
  <c r="M644" i="28"/>
  <c r="N644" i="28"/>
  <c r="O644" i="28"/>
  <c r="P644" i="28"/>
  <c r="L645" i="28"/>
  <c r="O645" i="28" s="1"/>
  <c r="M645" i="28"/>
  <c r="P645" i="28" s="1"/>
  <c r="N645" i="28"/>
  <c r="O646" i="28"/>
  <c r="P646" i="28"/>
  <c r="T646" i="28"/>
  <c r="U646" i="28"/>
  <c r="O647" i="28"/>
  <c r="P647" i="28"/>
  <c r="Q647" i="28"/>
  <c r="Q644" i="28" s="1"/>
  <c r="R647" i="28"/>
  <c r="R645" i="28" s="1"/>
  <c r="S647" i="28"/>
  <c r="S645" i="28" s="1"/>
  <c r="L648" i="28"/>
  <c r="M648" i="28"/>
  <c r="P648" i="28" s="1"/>
  <c r="N648" i="28"/>
  <c r="O648" i="28"/>
  <c r="Q648" i="28"/>
  <c r="T648" i="28" s="1"/>
  <c r="R648" i="28"/>
  <c r="S648" i="28"/>
  <c r="U648" i="28"/>
  <c r="O649" i="28"/>
  <c r="P649" i="28"/>
  <c r="T649" i="28"/>
  <c r="U649" i="28"/>
  <c r="O650" i="28"/>
  <c r="P650" i="28"/>
  <c r="T650" i="28"/>
  <c r="U650" i="28"/>
  <c r="I652" i="28"/>
  <c r="K652" i="28" s="1"/>
  <c r="J652" i="28"/>
  <c r="I653" i="28"/>
  <c r="J653" i="28"/>
  <c r="I654" i="28"/>
  <c r="K654" i="28" s="1"/>
  <c r="J654" i="28"/>
  <c r="I657" i="28"/>
  <c r="I660" i="28"/>
  <c r="I661" i="28"/>
  <c r="J661" i="28"/>
  <c r="J671" i="28"/>
  <c r="J672" i="28"/>
  <c r="I673" i="28"/>
  <c r="J673" i="28"/>
  <c r="I674" i="28"/>
  <c r="I675" i="28"/>
  <c r="I676" i="28"/>
  <c r="J676" i="28"/>
  <c r="J677" i="28"/>
  <c r="I678" i="28"/>
  <c r="J678" i="28"/>
  <c r="I679" i="28"/>
  <c r="J679" i="28"/>
  <c r="J680" i="28"/>
  <c r="I681" i="28"/>
  <c r="J681" i="28"/>
  <c r="I682" i="28"/>
  <c r="J682" i="28"/>
  <c r="L691" i="28"/>
  <c r="M691" i="28"/>
  <c r="N691" i="28"/>
  <c r="N690" i="28" s="1"/>
  <c r="Q691" i="28"/>
  <c r="R691" i="28"/>
  <c r="S691" i="28"/>
  <c r="T691" i="28"/>
  <c r="L692" i="28"/>
  <c r="O692" i="28" s="1"/>
  <c r="M692" i="28"/>
  <c r="N692" i="28"/>
  <c r="P692" i="28"/>
  <c r="L693" i="28"/>
  <c r="O693" i="28" s="1"/>
  <c r="M693" i="28"/>
  <c r="P693" i="28" s="1"/>
  <c r="N693" i="28"/>
  <c r="O694" i="28"/>
  <c r="P694" i="28"/>
  <c r="T694" i="28"/>
  <c r="U694" i="28"/>
  <c r="O695" i="28"/>
  <c r="P695" i="28"/>
  <c r="Q695" i="28"/>
  <c r="R695" i="28"/>
  <c r="R693" i="28" s="1"/>
  <c r="S695" i="28"/>
  <c r="S693" i="28" s="1"/>
  <c r="L696" i="28"/>
  <c r="M696" i="28"/>
  <c r="P696" i="28" s="1"/>
  <c r="N696" i="28"/>
  <c r="O696" i="28"/>
  <c r="Q696" i="28"/>
  <c r="T696" i="28" s="1"/>
  <c r="R696" i="28"/>
  <c r="U696" i="28" s="1"/>
  <c r="S696" i="28"/>
  <c r="O697" i="28"/>
  <c r="P697" i="28"/>
  <c r="T697" i="28"/>
  <c r="U697" i="28"/>
  <c r="O698" i="28"/>
  <c r="P698" i="28"/>
  <c r="T698" i="28"/>
  <c r="U698" i="28"/>
  <c r="I700" i="28"/>
  <c r="K700" i="28" s="1"/>
  <c r="K702" i="28"/>
  <c r="I703" i="28"/>
  <c r="J703" i="28"/>
  <c r="J704" i="28"/>
  <c r="K704" i="28"/>
  <c r="I705" i="28"/>
  <c r="J705" i="28"/>
  <c r="J706" i="28"/>
  <c r="K706" i="28"/>
  <c r="I707" i="28"/>
  <c r="I689" i="28" s="1"/>
  <c r="K689" i="28" s="1"/>
  <c r="J707" i="28"/>
  <c r="J689" i="28" s="1"/>
  <c r="J708" i="28"/>
  <c r="K708" i="28"/>
  <c r="I709" i="28"/>
  <c r="J709" i="28"/>
  <c r="J710" i="28"/>
  <c r="K710" i="28"/>
  <c r="J712" i="28"/>
  <c r="K712" i="28"/>
  <c r="L715" i="28"/>
  <c r="L714" i="28" s="1"/>
  <c r="O714" i="28" s="1"/>
  <c r="M715" i="28"/>
  <c r="M714" i="28" s="1"/>
  <c r="P714" i="28" s="1"/>
  <c r="N715" i="28"/>
  <c r="P715" i="28"/>
  <c r="Q715" i="28"/>
  <c r="R715" i="28"/>
  <c r="S715" i="28"/>
  <c r="L716" i="28"/>
  <c r="O716" i="28" s="1"/>
  <c r="M716" i="28"/>
  <c r="P716" i="28" s="1"/>
  <c r="N716" i="28"/>
  <c r="N714" i="28" s="1"/>
  <c r="Q716" i="28"/>
  <c r="T716" i="28" s="1"/>
  <c r="R716" i="28"/>
  <c r="U716" i="28" s="1"/>
  <c r="S716" i="28"/>
  <c r="L717" i="28"/>
  <c r="M717" i="28"/>
  <c r="P717" i="28" s="1"/>
  <c r="N717" i="28"/>
  <c r="O717" i="28"/>
  <c r="Q717" i="28"/>
  <c r="R717" i="28"/>
  <c r="S717" i="28"/>
  <c r="T717" i="28"/>
  <c r="U717" i="28"/>
  <c r="O718" i="28"/>
  <c r="P718" i="28"/>
  <c r="T718" i="28"/>
  <c r="U718" i="28"/>
  <c r="O719" i="28"/>
  <c r="P719" i="28"/>
  <c r="T719" i="28"/>
  <c r="U719" i="28"/>
  <c r="L720" i="28"/>
  <c r="M720" i="28"/>
  <c r="P720" i="28" s="1"/>
  <c r="N720" i="28"/>
  <c r="O720" i="28"/>
  <c r="Q720" i="28"/>
  <c r="R720" i="28"/>
  <c r="S720" i="28"/>
  <c r="T720" i="28"/>
  <c r="U720" i="28"/>
  <c r="O721" i="28"/>
  <c r="P721" i="28"/>
  <c r="T721" i="28"/>
  <c r="U721" i="28"/>
  <c r="O722" i="28"/>
  <c r="P722" i="28"/>
  <c r="T722" i="28"/>
  <c r="U722" i="28"/>
  <c r="I726" i="28"/>
  <c r="K726" i="28" s="1"/>
  <c r="J726" i="28"/>
  <c r="I727" i="28"/>
  <c r="K727" i="28" s="1"/>
  <c r="J727" i="28"/>
  <c r="L729" i="28"/>
  <c r="M729" i="28"/>
  <c r="N729" i="28"/>
  <c r="N728" i="28" s="1"/>
  <c r="Q729" i="28"/>
  <c r="R729" i="28"/>
  <c r="S729" i="28"/>
  <c r="L730" i="28"/>
  <c r="O730" i="28" s="1"/>
  <c r="M730" i="28"/>
  <c r="P730" i="28" s="1"/>
  <c r="N730" i="28"/>
  <c r="L731" i="28"/>
  <c r="M731" i="28"/>
  <c r="P731" i="28" s="1"/>
  <c r="N731" i="28"/>
  <c r="O731" i="28"/>
  <c r="O732" i="28"/>
  <c r="P732" i="28"/>
  <c r="T732" i="28"/>
  <c r="U732" i="28"/>
  <c r="O733" i="28"/>
  <c r="P733" i="28"/>
  <c r="Q733" i="28"/>
  <c r="Q731" i="28" s="1"/>
  <c r="T731" i="28" s="1"/>
  <c r="R733" i="28"/>
  <c r="R731" i="28" s="1"/>
  <c r="U731" i="28" s="1"/>
  <c r="S733" i="28"/>
  <c r="L734" i="28"/>
  <c r="O734" i="28" s="1"/>
  <c r="M734" i="28"/>
  <c r="P734" i="28" s="1"/>
  <c r="N734" i="28"/>
  <c r="Q734" i="28"/>
  <c r="T734" i="28" s="1"/>
  <c r="R734" i="28"/>
  <c r="U734" i="28" s="1"/>
  <c r="S734" i="28"/>
  <c r="O735" i="28"/>
  <c r="P735" i="28"/>
  <c r="T735" i="28"/>
  <c r="U735" i="28"/>
  <c r="O736" i="28"/>
  <c r="P736" i="28"/>
  <c r="T736" i="28"/>
  <c r="U736" i="28"/>
  <c r="I740" i="28"/>
  <c r="K740" i="28" s="1"/>
  <c r="I742" i="28"/>
  <c r="K742" i="28" s="1"/>
  <c r="I744" i="28"/>
  <c r="K744" i="28" s="1"/>
  <c r="I746" i="28"/>
  <c r="K746" i="28" s="1"/>
  <c r="I749" i="28"/>
  <c r="K749" i="28" s="1"/>
  <c r="I752" i="28"/>
  <c r="K752" i="28" s="1"/>
  <c r="I755" i="28"/>
  <c r="K755" i="28" s="1"/>
  <c r="J758" i="28"/>
  <c r="J759" i="28"/>
  <c r="L761" i="28"/>
  <c r="M761" i="28"/>
  <c r="N761" i="28"/>
  <c r="Q761" i="28"/>
  <c r="R761" i="28"/>
  <c r="S761" i="28"/>
  <c r="L762" i="28"/>
  <c r="O762" i="28" s="1"/>
  <c r="M762" i="28"/>
  <c r="P762" i="28" s="1"/>
  <c r="N762" i="28"/>
  <c r="L763" i="28"/>
  <c r="M763" i="28"/>
  <c r="P763" i="28" s="1"/>
  <c r="N763" i="28"/>
  <c r="O763" i="28"/>
  <c r="O764" i="28"/>
  <c r="P764" i="28"/>
  <c r="T764" i="28"/>
  <c r="U764" i="28"/>
  <c r="O765" i="28"/>
  <c r="P765" i="28"/>
  <c r="Q765" i="28"/>
  <c r="Q763" i="28" s="1"/>
  <c r="T763" i="28" s="1"/>
  <c r="R765" i="28"/>
  <c r="R763" i="28" s="1"/>
  <c r="U763" i="28" s="1"/>
  <c r="S765" i="28"/>
  <c r="S763" i="28" s="1"/>
  <c r="L766" i="28"/>
  <c r="O766" i="28" s="1"/>
  <c r="M766" i="28"/>
  <c r="P766" i="28" s="1"/>
  <c r="N766" i="28"/>
  <c r="Q766" i="28"/>
  <c r="R766" i="28"/>
  <c r="U766" i="28" s="1"/>
  <c r="S766" i="28"/>
  <c r="T766" i="28"/>
  <c r="O767" i="28"/>
  <c r="P767" i="28"/>
  <c r="T767" i="28"/>
  <c r="U767" i="28"/>
  <c r="O768" i="28"/>
  <c r="P768" i="28"/>
  <c r="T768" i="28"/>
  <c r="U768" i="28"/>
  <c r="I770" i="28"/>
  <c r="K770" i="28" s="1"/>
  <c r="I772" i="28"/>
  <c r="I758" i="28" s="1"/>
  <c r="K758" i="28" s="1"/>
  <c r="I774" i="28"/>
  <c r="K774" i="28" s="1"/>
  <c r="I775" i="28"/>
  <c r="I776" i="28"/>
  <c r="H777" i="28"/>
  <c r="I778" i="28"/>
  <c r="J778" i="28"/>
  <c r="I779" i="28"/>
  <c r="J779" i="28"/>
  <c r="I780" i="28"/>
  <c r="J780" i="28"/>
  <c r="I781" i="28"/>
  <c r="J781" i="28"/>
  <c r="I782" i="28"/>
  <c r="J782" i="28"/>
  <c r="I783" i="28"/>
  <c r="J783" i="28"/>
  <c r="I784" i="28"/>
  <c r="J784" i="28"/>
  <c r="I785" i="28"/>
  <c r="J785" i="28"/>
  <c r="A788" i="28"/>
  <c r="A789" i="28"/>
  <c r="L22" i="27"/>
  <c r="O22" i="27" s="1"/>
  <c r="M22" i="27"/>
  <c r="N22" i="27"/>
  <c r="N19" i="27" s="1"/>
  <c r="Q22" i="27"/>
  <c r="T22" i="27" s="1"/>
  <c r="R22" i="27"/>
  <c r="S22" i="27"/>
  <c r="L25" i="27"/>
  <c r="M25" i="27"/>
  <c r="N25" i="27"/>
  <c r="O25" i="27"/>
  <c r="Q25" i="27"/>
  <c r="T25" i="27" s="1"/>
  <c r="R25" i="27"/>
  <c r="U25" i="27" s="1"/>
  <c r="S25" i="27"/>
  <c r="L45" i="27"/>
  <c r="O45" i="27" s="1"/>
  <c r="M45" i="27"/>
  <c r="N45" i="27"/>
  <c r="P45" i="27"/>
  <c r="Q45" i="27"/>
  <c r="R45" i="27"/>
  <c r="U45" i="27" s="1"/>
  <c r="S45" i="27"/>
  <c r="T45" i="27"/>
  <c r="Q46" i="27"/>
  <c r="T46" i="27" s="1"/>
  <c r="R46" i="27"/>
  <c r="U46" i="27" s="1"/>
  <c r="S46" i="27"/>
  <c r="Q47" i="27"/>
  <c r="T47" i="27" s="1"/>
  <c r="R47" i="27"/>
  <c r="U47" i="27" s="1"/>
  <c r="S47" i="27"/>
  <c r="O48" i="27"/>
  <c r="P48" i="27"/>
  <c r="T48" i="27"/>
  <c r="U48" i="27"/>
  <c r="L49" i="27"/>
  <c r="M49" i="27"/>
  <c r="M47" i="27" s="1"/>
  <c r="N49" i="27"/>
  <c r="N47" i="27" s="1"/>
  <c r="T49" i="27"/>
  <c r="U49" i="27"/>
  <c r="Q50" i="27"/>
  <c r="T50" i="27" s="1"/>
  <c r="R50" i="27"/>
  <c r="S50" i="27"/>
  <c r="U50" i="27"/>
  <c r="O51" i="27"/>
  <c r="P51" i="27"/>
  <c r="T51" i="27"/>
  <c r="U51" i="27"/>
  <c r="L52" i="27"/>
  <c r="O52" i="27" s="1"/>
  <c r="M52" i="27"/>
  <c r="M50" i="27" s="1"/>
  <c r="P50" i="27" s="1"/>
  <c r="N52" i="27"/>
  <c r="T52" i="27"/>
  <c r="U52" i="27"/>
  <c r="L60" i="27"/>
  <c r="M60" i="27"/>
  <c r="P60" i="27" s="1"/>
  <c r="N60" i="27"/>
  <c r="Q60" i="27"/>
  <c r="Q59" i="27" s="1"/>
  <c r="T59" i="27" s="1"/>
  <c r="R60" i="27"/>
  <c r="U60" i="27" s="1"/>
  <c r="S60" i="27"/>
  <c r="T60" i="27"/>
  <c r="Q61" i="27"/>
  <c r="T61" i="27" s="1"/>
  <c r="R61" i="27"/>
  <c r="U61" i="27" s="1"/>
  <c r="S61" i="27"/>
  <c r="S59" i="27" s="1"/>
  <c r="Q62" i="27"/>
  <c r="R62" i="27"/>
  <c r="U62" i="27" s="1"/>
  <c r="S62" i="27"/>
  <c r="T62" i="27"/>
  <c r="O63" i="27"/>
  <c r="P63" i="27"/>
  <c r="T63" i="27"/>
  <c r="U63" i="27"/>
  <c r="L64" i="27"/>
  <c r="L62" i="27" s="1"/>
  <c r="M64" i="27"/>
  <c r="M62" i="27" s="1"/>
  <c r="N64" i="27"/>
  <c r="N62" i="27" s="1"/>
  <c r="T64" i="27"/>
  <c r="U64" i="27"/>
  <c r="Q65" i="27"/>
  <c r="T65" i="27" s="1"/>
  <c r="R65" i="27"/>
  <c r="S65" i="27"/>
  <c r="U65" i="27"/>
  <c r="O66" i="27"/>
  <c r="P66" i="27"/>
  <c r="T66" i="27"/>
  <c r="U66" i="27"/>
  <c r="L67" i="27"/>
  <c r="L65" i="27" s="1"/>
  <c r="O65" i="27" s="1"/>
  <c r="M67" i="27"/>
  <c r="N67" i="27"/>
  <c r="N65" i="27" s="1"/>
  <c r="T67" i="27"/>
  <c r="U67" i="27"/>
  <c r="J71" i="27"/>
  <c r="L73" i="27"/>
  <c r="O73" i="27" s="1"/>
  <c r="M73" i="27"/>
  <c r="N73" i="27"/>
  <c r="P73" i="27"/>
  <c r="Q73" i="27"/>
  <c r="R73" i="27"/>
  <c r="U73" i="27" s="1"/>
  <c r="S73" i="27"/>
  <c r="O76" i="27"/>
  <c r="P76" i="27"/>
  <c r="T76" i="27"/>
  <c r="U76" i="27"/>
  <c r="L77" i="27"/>
  <c r="L75" i="27" s="1"/>
  <c r="O75" i="27" s="1"/>
  <c r="M77" i="27"/>
  <c r="M75" i="27" s="1"/>
  <c r="P75" i="27" s="1"/>
  <c r="N77" i="27"/>
  <c r="Q77" i="27"/>
  <c r="T77" i="27" s="1"/>
  <c r="R77" i="27"/>
  <c r="S77" i="27"/>
  <c r="O79" i="27"/>
  <c r="P79" i="27"/>
  <c r="T79" i="27"/>
  <c r="U79" i="27"/>
  <c r="L80" i="27"/>
  <c r="L78" i="27" s="1"/>
  <c r="O78" i="27" s="1"/>
  <c r="M80" i="27"/>
  <c r="N80" i="27"/>
  <c r="N78" i="27" s="1"/>
  <c r="Q80" i="27"/>
  <c r="T80" i="27" s="1"/>
  <c r="R80" i="27"/>
  <c r="R78" i="27" s="1"/>
  <c r="U78" i="27" s="1"/>
  <c r="S80" i="27"/>
  <c r="J82" i="27"/>
  <c r="J70" i="27" s="1"/>
  <c r="J83" i="27"/>
  <c r="I84" i="27"/>
  <c r="I85" i="27"/>
  <c r="K85" i="27" s="1"/>
  <c r="I86" i="27"/>
  <c r="K86" i="27" s="1"/>
  <c r="I87" i="27"/>
  <c r="K87" i="27" s="1"/>
  <c r="I88" i="27"/>
  <c r="K88" i="27" s="1"/>
  <c r="I89" i="27"/>
  <c r="K89" i="27" s="1"/>
  <c r="I90" i="27"/>
  <c r="K90" i="27" s="1"/>
  <c r="J92" i="27"/>
  <c r="J93" i="27"/>
  <c r="L95" i="27"/>
  <c r="M95" i="27"/>
  <c r="P95" i="27" s="1"/>
  <c r="N95" i="27"/>
  <c r="Q95" i="27"/>
  <c r="R95" i="27"/>
  <c r="S95" i="27"/>
  <c r="T95" i="27"/>
  <c r="O98" i="27"/>
  <c r="P98" i="27"/>
  <c r="T98" i="27"/>
  <c r="U98" i="27"/>
  <c r="L99" i="27"/>
  <c r="M99" i="27"/>
  <c r="M97" i="27" s="1"/>
  <c r="N99" i="27"/>
  <c r="N97" i="27" s="1"/>
  <c r="Q99" i="27"/>
  <c r="Q97" i="27" s="1"/>
  <c r="R99" i="27"/>
  <c r="R96" i="27" s="1"/>
  <c r="S99" i="27"/>
  <c r="Q100" i="27"/>
  <c r="T100" i="27" s="1"/>
  <c r="R100" i="27"/>
  <c r="U100" i="27" s="1"/>
  <c r="S100" i="27"/>
  <c r="O101" i="27"/>
  <c r="P101" i="27"/>
  <c r="T101" i="27"/>
  <c r="U101" i="27"/>
  <c r="L102" i="27"/>
  <c r="M102" i="27"/>
  <c r="N102" i="27"/>
  <c r="N100" i="27" s="1"/>
  <c r="T102" i="27"/>
  <c r="U102" i="27"/>
  <c r="I108" i="27"/>
  <c r="K108" i="27" s="1"/>
  <c r="I109" i="27"/>
  <c r="I93" i="27" s="1"/>
  <c r="I113" i="27"/>
  <c r="K113" i="27" s="1"/>
  <c r="I114" i="27"/>
  <c r="K114" i="27" s="1"/>
  <c r="J116" i="27"/>
  <c r="L118" i="27"/>
  <c r="M118" i="27"/>
  <c r="N118" i="27"/>
  <c r="P118" i="27"/>
  <c r="Q118" i="27"/>
  <c r="R118" i="27"/>
  <c r="S118" i="27"/>
  <c r="T118" i="27"/>
  <c r="O121" i="27"/>
  <c r="P121" i="27"/>
  <c r="T121" i="27"/>
  <c r="U121" i="27"/>
  <c r="L122" i="27"/>
  <c r="L120" i="27" s="1"/>
  <c r="O120" i="27" s="1"/>
  <c r="M122" i="27"/>
  <c r="N122" i="27"/>
  <c r="Q122" i="27"/>
  <c r="R122" i="27"/>
  <c r="S122" i="27"/>
  <c r="O124" i="27"/>
  <c r="P124" i="27"/>
  <c r="T124" i="27"/>
  <c r="U124" i="27"/>
  <c r="L125" i="27"/>
  <c r="L123" i="27" s="1"/>
  <c r="O123" i="27" s="1"/>
  <c r="M125" i="27"/>
  <c r="M123" i="27" s="1"/>
  <c r="P123" i="27" s="1"/>
  <c r="N125" i="27"/>
  <c r="N123" i="27" s="1"/>
  <c r="Q125" i="27"/>
  <c r="Q123" i="27" s="1"/>
  <c r="T123" i="27" s="1"/>
  <c r="R125" i="27"/>
  <c r="R123" i="27" s="1"/>
  <c r="U123" i="27" s="1"/>
  <c r="S125" i="27"/>
  <c r="S123" i="27" s="1"/>
  <c r="I127" i="27"/>
  <c r="K127" i="27" s="1"/>
  <c r="I128" i="27"/>
  <c r="K128" i="27" s="1"/>
  <c r="I129" i="27"/>
  <c r="K129" i="27" s="1"/>
  <c r="I130" i="27"/>
  <c r="K130" i="27" s="1"/>
  <c r="J136" i="27"/>
  <c r="J137" i="27"/>
  <c r="J138" i="27"/>
  <c r="L140" i="27"/>
  <c r="M140" i="27"/>
  <c r="N140" i="27"/>
  <c r="Q140" i="27"/>
  <c r="T140" i="27" s="1"/>
  <c r="R140" i="27"/>
  <c r="S140" i="27"/>
  <c r="U140" i="27"/>
  <c r="O143" i="27"/>
  <c r="P143" i="27"/>
  <c r="T143" i="27"/>
  <c r="U143" i="27"/>
  <c r="L144" i="27"/>
  <c r="L142" i="27" s="1"/>
  <c r="M144" i="27"/>
  <c r="M142" i="27" s="1"/>
  <c r="N144" i="27"/>
  <c r="Q144" i="27"/>
  <c r="R144" i="27"/>
  <c r="R142" i="27" s="1"/>
  <c r="S144" i="27"/>
  <c r="O146" i="27"/>
  <c r="P146" i="27"/>
  <c r="T146" i="27"/>
  <c r="U146" i="27"/>
  <c r="L147" i="27"/>
  <c r="O147" i="27" s="1"/>
  <c r="M147" i="27"/>
  <c r="M145" i="27" s="1"/>
  <c r="P145" i="27" s="1"/>
  <c r="N147" i="27"/>
  <c r="N145" i="27" s="1"/>
  <c r="Q147" i="27"/>
  <c r="T147" i="27" s="1"/>
  <c r="R147" i="27"/>
  <c r="U147" i="27" s="1"/>
  <c r="S147" i="27"/>
  <c r="S145" i="27" s="1"/>
  <c r="I150" i="27"/>
  <c r="K150" i="27" s="1"/>
  <c r="I151" i="27"/>
  <c r="K151" i="27" s="1"/>
  <c r="I152" i="27"/>
  <c r="I153" i="27"/>
  <c r="K153" i="27" s="1"/>
  <c r="I154" i="27"/>
  <c r="J156" i="27"/>
  <c r="L158" i="27"/>
  <c r="M158" i="27"/>
  <c r="N158" i="27"/>
  <c r="P158" i="27"/>
  <c r="Q158" i="27"/>
  <c r="T158" i="27" s="1"/>
  <c r="R158" i="27"/>
  <c r="U158" i="27" s="1"/>
  <c r="S158" i="27"/>
  <c r="O161" i="27"/>
  <c r="P161" i="27"/>
  <c r="T161" i="27"/>
  <c r="U161" i="27"/>
  <c r="L162" i="27"/>
  <c r="O162" i="27" s="1"/>
  <c r="M162" i="27"/>
  <c r="N162" i="27"/>
  <c r="N160" i="27" s="1"/>
  <c r="Q162" i="27"/>
  <c r="Q159" i="27" s="1"/>
  <c r="Q157" i="27" s="1"/>
  <c r="T157" i="27" s="1"/>
  <c r="R162" i="27"/>
  <c r="U162" i="27" s="1"/>
  <c r="S162" i="27"/>
  <c r="S160" i="27" s="1"/>
  <c r="Q163" i="27"/>
  <c r="R163" i="27"/>
  <c r="U163" i="27" s="1"/>
  <c r="S163" i="27"/>
  <c r="T163" i="27"/>
  <c r="O164" i="27"/>
  <c r="P164" i="27"/>
  <c r="T164" i="27"/>
  <c r="U164" i="27"/>
  <c r="L165" i="27"/>
  <c r="O165" i="27" s="1"/>
  <c r="M165" i="27"/>
  <c r="N165" i="27"/>
  <c r="T165" i="27"/>
  <c r="U165" i="27"/>
  <c r="I167" i="27"/>
  <c r="K167" i="27" s="1"/>
  <c r="I168" i="27"/>
  <c r="K168" i="27" s="1"/>
  <c r="I169" i="27"/>
  <c r="K169" i="27" s="1"/>
  <c r="J172" i="27"/>
  <c r="L174" i="27"/>
  <c r="O174" i="27" s="1"/>
  <c r="M174" i="27"/>
  <c r="N174" i="27"/>
  <c r="Q174" i="27"/>
  <c r="T174" i="27" s="1"/>
  <c r="R174" i="27"/>
  <c r="S174" i="27"/>
  <c r="O177" i="27"/>
  <c r="P177" i="27"/>
  <c r="T177" i="27"/>
  <c r="U177" i="27"/>
  <c r="L178" i="27"/>
  <c r="M178" i="27"/>
  <c r="M176" i="27" s="1"/>
  <c r="N178" i="27"/>
  <c r="N176" i="27" s="1"/>
  <c r="Q178" i="27"/>
  <c r="Q175" i="27" s="1"/>
  <c r="R178" i="27"/>
  <c r="R175" i="27" s="1"/>
  <c r="S178" i="27"/>
  <c r="Q179" i="27"/>
  <c r="T179" i="27" s="1"/>
  <c r="R179" i="27"/>
  <c r="S179" i="27"/>
  <c r="U179" i="27"/>
  <c r="O180" i="27"/>
  <c r="P180" i="27"/>
  <c r="T180" i="27"/>
  <c r="U180" i="27"/>
  <c r="L181" i="27"/>
  <c r="L179" i="27" s="1"/>
  <c r="O179" i="27" s="1"/>
  <c r="M181" i="27"/>
  <c r="N181" i="27"/>
  <c r="N179" i="27" s="1"/>
  <c r="T181" i="27"/>
  <c r="U181" i="27"/>
  <c r="I183" i="27"/>
  <c r="K183" i="27" s="1"/>
  <c r="K184" i="27"/>
  <c r="L187" i="27"/>
  <c r="M187" i="27"/>
  <c r="N187" i="27"/>
  <c r="Q187" i="27"/>
  <c r="T187" i="27" s="1"/>
  <c r="R187" i="27"/>
  <c r="S187" i="27"/>
  <c r="O190" i="27"/>
  <c r="P190" i="27"/>
  <c r="T190" i="27"/>
  <c r="U190" i="27"/>
  <c r="L191" i="27"/>
  <c r="M191" i="27"/>
  <c r="N191" i="27"/>
  <c r="Q191" i="27"/>
  <c r="Q189" i="27" s="1"/>
  <c r="R191" i="27"/>
  <c r="R189" i="27" s="1"/>
  <c r="S191" i="27"/>
  <c r="O193" i="27"/>
  <c r="P193" i="27"/>
  <c r="T193" i="27"/>
  <c r="U193" i="27"/>
  <c r="L194" i="27"/>
  <c r="L192" i="27" s="1"/>
  <c r="O192" i="27" s="1"/>
  <c r="M194" i="27"/>
  <c r="P194" i="27" s="1"/>
  <c r="N194" i="27"/>
  <c r="N192" i="27" s="1"/>
  <c r="Q194" i="27"/>
  <c r="R194" i="27"/>
  <c r="R192" i="27" s="1"/>
  <c r="U192" i="27" s="1"/>
  <c r="S194" i="27"/>
  <c r="S192" i="27" s="1"/>
  <c r="J195" i="27"/>
  <c r="L196" i="27"/>
  <c r="O196" i="27" s="1"/>
  <c r="P196" i="27"/>
  <c r="I198" i="27"/>
  <c r="I195" i="27" s="1"/>
  <c r="J199" i="27"/>
  <c r="J202" i="27"/>
  <c r="N203" i="27"/>
  <c r="P203" i="27"/>
  <c r="S203" i="27"/>
  <c r="U203" i="27"/>
  <c r="L204" i="27"/>
  <c r="L205" i="27"/>
  <c r="L206" i="27"/>
  <c r="Q206" i="27"/>
  <c r="Q203" i="27" s="1"/>
  <c r="L207" i="27"/>
  <c r="I209" i="27"/>
  <c r="I202" i="27" s="1"/>
  <c r="K202" i="27" s="1"/>
  <c r="I211" i="27"/>
  <c r="K211" i="27" s="1"/>
  <c r="I212" i="27"/>
  <c r="K212" i="27" s="1"/>
  <c r="J213" i="27"/>
  <c r="N214" i="27"/>
  <c r="P214" i="27"/>
  <c r="S214" i="27"/>
  <c r="U214" i="27"/>
  <c r="L215" i="27"/>
  <c r="L216" i="27"/>
  <c r="L217" i="27"/>
  <c r="Q217" i="27"/>
  <c r="Q214" i="27" s="1"/>
  <c r="T214" i="27" s="1"/>
  <c r="I219" i="27"/>
  <c r="K219" i="27" s="1"/>
  <c r="I220" i="27"/>
  <c r="I213" i="27" s="1"/>
  <c r="K213" i="27" s="1"/>
  <c r="J221" i="27"/>
  <c r="N222" i="27"/>
  <c r="P222" i="27"/>
  <c r="L223" i="27"/>
  <c r="L224" i="27"/>
  <c r="L225" i="27"/>
  <c r="I228" i="27"/>
  <c r="K228" i="27" s="1"/>
  <c r="I229" i="27"/>
  <c r="I221" i="27" s="1"/>
  <c r="K221" i="27" s="1"/>
  <c r="I230" i="27"/>
  <c r="K230" i="27" s="1"/>
  <c r="N233" i="27"/>
  <c r="N234" i="27"/>
  <c r="N235" i="27"/>
  <c r="N236" i="27"/>
  <c r="J238" i="27"/>
  <c r="J240" i="27"/>
  <c r="J241" i="27"/>
  <c r="J242" i="27"/>
  <c r="J231" i="27" s="1"/>
  <c r="J185" i="27" s="1"/>
  <c r="N243" i="27"/>
  <c r="N232" i="27" s="1"/>
  <c r="P243" i="27"/>
  <c r="L244" i="27"/>
  <c r="L245" i="27"/>
  <c r="L246" i="27"/>
  <c r="L247" i="27"/>
  <c r="I249" i="27"/>
  <c r="I251" i="27"/>
  <c r="K251" i="27" s="1"/>
  <c r="I252" i="27"/>
  <c r="K252" i="27" s="1"/>
  <c r="J253" i="27"/>
  <c r="N254" i="27"/>
  <c r="P254" i="27"/>
  <c r="L255" i="27"/>
  <c r="L256" i="27"/>
  <c r="L257" i="27"/>
  <c r="L258" i="27"/>
  <c r="I260" i="27"/>
  <c r="K260" i="27" s="1"/>
  <c r="K262" i="27"/>
  <c r="K263" i="27"/>
  <c r="J265" i="27"/>
  <c r="L267" i="27"/>
  <c r="M267" i="27"/>
  <c r="N267" i="27"/>
  <c r="Q267" i="27"/>
  <c r="T267" i="27" s="1"/>
  <c r="R267" i="27"/>
  <c r="S267" i="27"/>
  <c r="O270" i="27"/>
  <c r="P270" i="27"/>
  <c r="T270" i="27"/>
  <c r="U270" i="27"/>
  <c r="L271" i="27"/>
  <c r="L269" i="27" s="1"/>
  <c r="M271" i="27"/>
  <c r="N271" i="27"/>
  <c r="N269" i="27" s="1"/>
  <c r="Q271" i="27"/>
  <c r="Q269" i="27" s="1"/>
  <c r="R271" i="27"/>
  <c r="S271" i="27"/>
  <c r="S268" i="27" s="1"/>
  <c r="Q272" i="27"/>
  <c r="T272" i="27" s="1"/>
  <c r="R272" i="27"/>
  <c r="U272" i="27" s="1"/>
  <c r="S272" i="27"/>
  <c r="O273" i="27"/>
  <c r="P273" i="27"/>
  <c r="T273" i="27"/>
  <c r="U273" i="27"/>
  <c r="L274" i="27"/>
  <c r="L272" i="27" s="1"/>
  <c r="O272" i="27" s="1"/>
  <c r="M274" i="27"/>
  <c r="M272" i="27" s="1"/>
  <c r="P272" i="27" s="1"/>
  <c r="N274" i="27"/>
  <c r="N272" i="27" s="1"/>
  <c r="T274" i="27"/>
  <c r="U274" i="27"/>
  <c r="I276" i="27"/>
  <c r="J281" i="27"/>
  <c r="L283" i="27"/>
  <c r="M283" i="27"/>
  <c r="P283" i="27" s="1"/>
  <c r="N283" i="27"/>
  <c r="O283" i="27"/>
  <c r="Q283" i="27"/>
  <c r="R283" i="27"/>
  <c r="S283" i="27"/>
  <c r="S282" i="27" s="1"/>
  <c r="T283" i="27"/>
  <c r="U283" i="27"/>
  <c r="Q284" i="27"/>
  <c r="T284" i="27" s="1"/>
  <c r="R284" i="27"/>
  <c r="U284" i="27" s="1"/>
  <c r="S284" i="27"/>
  <c r="Q285" i="27"/>
  <c r="T285" i="27" s="1"/>
  <c r="R285" i="27"/>
  <c r="S285" i="27"/>
  <c r="U285" i="27"/>
  <c r="O286" i="27"/>
  <c r="P286" i="27"/>
  <c r="T286" i="27"/>
  <c r="U286" i="27"/>
  <c r="L287" i="27"/>
  <c r="L285" i="27" s="1"/>
  <c r="O285" i="27" s="1"/>
  <c r="M287" i="27"/>
  <c r="N287" i="27"/>
  <c r="T287" i="27"/>
  <c r="U287" i="27"/>
  <c r="Q288" i="27"/>
  <c r="T288" i="27" s="1"/>
  <c r="R288" i="27"/>
  <c r="U288" i="27" s="1"/>
  <c r="S288" i="27"/>
  <c r="O289" i="27"/>
  <c r="P289" i="27"/>
  <c r="T289" i="27"/>
  <c r="U289" i="27"/>
  <c r="L290" i="27"/>
  <c r="M290" i="27"/>
  <c r="M288" i="27" s="1"/>
  <c r="P288" i="27" s="1"/>
  <c r="N290" i="27"/>
  <c r="N288" i="27" s="1"/>
  <c r="T290" i="27"/>
  <c r="U290" i="27"/>
  <c r="I292" i="27"/>
  <c r="I293" i="27"/>
  <c r="K293" i="27" s="1"/>
  <c r="J293" i="27"/>
  <c r="J280" i="27" s="1"/>
  <c r="I295" i="27"/>
  <c r="K295" i="27" s="1"/>
  <c r="I296" i="27"/>
  <c r="K296" i="27" s="1"/>
  <c r="J302" i="27"/>
  <c r="L304" i="27"/>
  <c r="M304" i="27"/>
  <c r="P304" i="27" s="1"/>
  <c r="N304" i="27"/>
  <c r="O304" i="27"/>
  <c r="Q304" i="27"/>
  <c r="R304" i="27"/>
  <c r="U304" i="27" s="1"/>
  <c r="S304" i="27"/>
  <c r="T304" i="27"/>
  <c r="O307" i="27"/>
  <c r="P307" i="27"/>
  <c r="T307" i="27"/>
  <c r="U307" i="27"/>
  <c r="L308" i="27"/>
  <c r="M308" i="27"/>
  <c r="N308" i="27"/>
  <c r="N306" i="27" s="1"/>
  <c r="Q308" i="27"/>
  <c r="Q305" i="27" s="1"/>
  <c r="R308" i="27"/>
  <c r="R305" i="27" s="1"/>
  <c r="S308" i="27"/>
  <c r="Q309" i="27"/>
  <c r="T309" i="27" s="1"/>
  <c r="R309" i="27"/>
  <c r="U309" i="27" s="1"/>
  <c r="S309" i="27"/>
  <c r="O310" i="27"/>
  <c r="P310" i="27"/>
  <c r="T310" i="27"/>
  <c r="U310" i="27"/>
  <c r="L311" i="27"/>
  <c r="O311" i="27" s="1"/>
  <c r="M311" i="27"/>
  <c r="M309" i="27" s="1"/>
  <c r="P309" i="27" s="1"/>
  <c r="N311" i="27"/>
  <c r="N309" i="27" s="1"/>
  <c r="T311" i="27"/>
  <c r="U311" i="27"/>
  <c r="I314" i="27"/>
  <c r="K314" i="27" s="1"/>
  <c r="J319" i="27"/>
  <c r="L321" i="27"/>
  <c r="M321" i="27"/>
  <c r="N321" i="27"/>
  <c r="Q321" i="27"/>
  <c r="Q320" i="27" s="1"/>
  <c r="T320" i="27" s="1"/>
  <c r="R321" i="27"/>
  <c r="S321" i="27"/>
  <c r="Q322" i="27"/>
  <c r="R322" i="27"/>
  <c r="S322" i="27"/>
  <c r="T322" i="27"/>
  <c r="U322" i="27"/>
  <c r="Q323" i="27"/>
  <c r="T323" i="27" s="1"/>
  <c r="R323" i="27"/>
  <c r="U323" i="27" s="1"/>
  <c r="S323" i="27"/>
  <c r="O324" i="27"/>
  <c r="P324" i="27"/>
  <c r="T324" i="27"/>
  <c r="U324" i="27"/>
  <c r="L325" i="27"/>
  <c r="L323" i="27" s="1"/>
  <c r="O323" i="27" s="1"/>
  <c r="M325" i="27"/>
  <c r="P325" i="27" s="1"/>
  <c r="N325" i="27"/>
  <c r="N323" i="27" s="1"/>
  <c r="T325" i="27"/>
  <c r="U325" i="27"/>
  <c r="Q326" i="27"/>
  <c r="R326" i="27"/>
  <c r="S326" i="27"/>
  <c r="T326" i="27"/>
  <c r="U326" i="27"/>
  <c r="O327" i="27"/>
  <c r="P327" i="27"/>
  <c r="T327" i="27"/>
  <c r="U327" i="27"/>
  <c r="L328" i="27"/>
  <c r="M328" i="27"/>
  <c r="P328" i="27" s="1"/>
  <c r="N328" i="27"/>
  <c r="N326" i="27" s="1"/>
  <c r="T328" i="27"/>
  <c r="U328" i="27"/>
  <c r="I330" i="27"/>
  <c r="I319" i="27" s="1"/>
  <c r="K319" i="27" s="1"/>
  <c r="L334" i="27"/>
  <c r="M334" i="27"/>
  <c r="N334" i="27"/>
  <c r="O334" i="27"/>
  <c r="Q334" i="27"/>
  <c r="Q333" i="27" s="1"/>
  <c r="T333" i="27" s="1"/>
  <c r="R334" i="27"/>
  <c r="S334" i="27"/>
  <c r="S333" i="27" s="1"/>
  <c r="U334" i="27"/>
  <c r="Q335" i="27"/>
  <c r="T335" i="27" s="1"/>
  <c r="R335" i="27"/>
  <c r="U335" i="27" s="1"/>
  <c r="S335" i="27"/>
  <c r="Q336" i="27"/>
  <c r="T336" i="27" s="1"/>
  <c r="R336" i="27"/>
  <c r="U336" i="27" s="1"/>
  <c r="S336" i="27"/>
  <c r="O337" i="27"/>
  <c r="P337" i="27"/>
  <c r="T337" i="27"/>
  <c r="U337" i="27"/>
  <c r="L338" i="27"/>
  <c r="M338" i="27"/>
  <c r="M336" i="27" s="1"/>
  <c r="N338" i="27"/>
  <c r="T338" i="27"/>
  <c r="U338" i="27"/>
  <c r="Q339" i="27"/>
  <c r="R339" i="27"/>
  <c r="S339" i="27"/>
  <c r="T339" i="27"/>
  <c r="U339" i="27"/>
  <c r="O340" i="27"/>
  <c r="P340" i="27"/>
  <c r="T340" i="27"/>
  <c r="U340" i="27"/>
  <c r="L341" i="27"/>
  <c r="M341" i="27"/>
  <c r="N341" i="27"/>
  <c r="N339" i="27" s="1"/>
  <c r="T341" i="27"/>
  <c r="U341" i="27"/>
  <c r="I344" i="27"/>
  <c r="I332" i="27" s="1"/>
  <c r="J344" i="27"/>
  <c r="I346" i="27"/>
  <c r="J346" i="27"/>
  <c r="J347" i="27"/>
  <c r="J348" i="27"/>
  <c r="J349" i="27"/>
  <c r="D350" i="27"/>
  <c r="J352" i="27"/>
  <c r="J353" i="27"/>
  <c r="J354" i="27"/>
  <c r="L357" i="27"/>
  <c r="O357" i="27" s="1"/>
  <c r="M357" i="27"/>
  <c r="P357" i="27" s="1"/>
  <c r="N357" i="27"/>
  <c r="Q357" i="27"/>
  <c r="R357" i="27"/>
  <c r="U357" i="27" s="1"/>
  <c r="S357" i="27"/>
  <c r="Q358" i="27"/>
  <c r="T358" i="27" s="1"/>
  <c r="R358" i="27"/>
  <c r="S358" i="27"/>
  <c r="Q359" i="27"/>
  <c r="T359" i="27" s="1"/>
  <c r="R359" i="27"/>
  <c r="U359" i="27" s="1"/>
  <c r="S359" i="27"/>
  <c r="O360" i="27"/>
  <c r="P360" i="27"/>
  <c r="T360" i="27"/>
  <c r="U360" i="27"/>
  <c r="L361" i="27"/>
  <c r="M361" i="27"/>
  <c r="N361" i="27"/>
  <c r="T361" i="27"/>
  <c r="U361" i="27"/>
  <c r="Q362" i="27"/>
  <c r="T362" i="27" s="1"/>
  <c r="R362" i="27"/>
  <c r="U362" i="27" s="1"/>
  <c r="S362" i="27"/>
  <c r="O363" i="27"/>
  <c r="P363" i="27"/>
  <c r="T363" i="27"/>
  <c r="U363" i="27"/>
  <c r="L364" i="27"/>
  <c r="L362" i="27" s="1"/>
  <c r="O362" i="27" s="1"/>
  <c r="M364" i="27"/>
  <c r="M362" i="27" s="1"/>
  <c r="P362" i="27" s="1"/>
  <c r="N364" i="27"/>
  <c r="N362" i="27" s="1"/>
  <c r="T364" i="27"/>
  <c r="U364" i="27"/>
  <c r="J367" i="27"/>
  <c r="K367" i="27"/>
  <c r="I368" i="27"/>
  <c r="J368" i="27"/>
  <c r="I369" i="27"/>
  <c r="J369" i="27"/>
  <c r="J370" i="27"/>
  <c r="K370" i="27"/>
  <c r="I371" i="27"/>
  <c r="J371" i="27"/>
  <c r="J365" i="27" s="1"/>
  <c r="J372" i="27"/>
  <c r="K372" i="27"/>
  <c r="D373" i="27"/>
  <c r="L376" i="27"/>
  <c r="M376" i="27"/>
  <c r="N376" i="27"/>
  <c r="Q376" i="27"/>
  <c r="T376" i="27" s="1"/>
  <c r="R376" i="27"/>
  <c r="S376" i="27"/>
  <c r="O379" i="27"/>
  <c r="P379" i="27"/>
  <c r="T379" i="27"/>
  <c r="U379" i="27"/>
  <c r="L380" i="27"/>
  <c r="L378" i="27" s="1"/>
  <c r="O378" i="27" s="1"/>
  <c r="M380" i="27"/>
  <c r="M378" i="27" s="1"/>
  <c r="P378" i="27" s="1"/>
  <c r="N380" i="27"/>
  <c r="Q380" i="27"/>
  <c r="R380" i="27"/>
  <c r="R378" i="27" s="1"/>
  <c r="S380" i="27"/>
  <c r="S377" i="27" s="1"/>
  <c r="Q381" i="27"/>
  <c r="T381" i="27" s="1"/>
  <c r="R381" i="27"/>
  <c r="U381" i="27" s="1"/>
  <c r="S381" i="27"/>
  <c r="O382" i="27"/>
  <c r="P382" i="27"/>
  <c r="T382" i="27"/>
  <c r="U382" i="27"/>
  <c r="L383" i="27"/>
  <c r="L381" i="27" s="1"/>
  <c r="O381" i="27" s="1"/>
  <c r="M383" i="27"/>
  <c r="M381" i="27" s="1"/>
  <c r="P381" i="27" s="1"/>
  <c r="N383" i="27"/>
  <c r="N381" i="27" s="1"/>
  <c r="T383" i="27"/>
  <c r="U383" i="27"/>
  <c r="J385" i="27"/>
  <c r="K385" i="27"/>
  <c r="I386" i="27"/>
  <c r="J386" i="27"/>
  <c r="J387" i="27"/>
  <c r="K387" i="27"/>
  <c r="I388" i="27"/>
  <c r="K388" i="27" s="1"/>
  <c r="J388" i="27"/>
  <c r="I391" i="27"/>
  <c r="K391" i="27" s="1"/>
  <c r="J391" i="27"/>
  <c r="L393" i="27"/>
  <c r="M393" i="27"/>
  <c r="M392" i="27" s="1"/>
  <c r="P392" i="27" s="1"/>
  <c r="N393" i="27"/>
  <c r="O393" i="27"/>
  <c r="Q393" i="27"/>
  <c r="R393" i="27"/>
  <c r="S393" i="27"/>
  <c r="T393" i="27"/>
  <c r="U393" i="27"/>
  <c r="L394" i="27"/>
  <c r="O394" i="27" s="1"/>
  <c r="M394" i="27"/>
  <c r="N394" i="27"/>
  <c r="P394" i="27"/>
  <c r="L395" i="27"/>
  <c r="O395" i="27" s="1"/>
  <c r="M395" i="27"/>
  <c r="P395" i="27" s="1"/>
  <c r="N395" i="27"/>
  <c r="O396" i="27"/>
  <c r="P396" i="27"/>
  <c r="T396" i="27"/>
  <c r="U396" i="27"/>
  <c r="O397" i="27"/>
  <c r="P397" i="27"/>
  <c r="Q397" i="27"/>
  <c r="Q395" i="27" s="1"/>
  <c r="T395" i="27" s="1"/>
  <c r="R397" i="27"/>
  <c r="R394" i="27" s="1"/>
  <c r="U394" i="27" s="1"/>
  <c r="S397" i="27"/>
  <c r="S394" i="27" s="1"/>
  <c r="L398" i="27"/>
  <c r="M398" i="27"/>
  <c r="P398" i="27" s="1"/>
  <c r="N398" i="27"/>
  <c r="O398" i="27"/>
  <c r="Q398" i="27"/>
  <c r="T398" i="27" s="1"/>
  <c r="R398" i="27"/>
  <c r="S398" i="27"/>
  <c r="U398" i="27"/>
  <c r="O399" i="27"/>
  <c r="P399" i="27"/>
  <c r="T399" i="27"/>
  <c r="U399" i="27"/>
  <c r="O400" i="27"/>
  <c r="P400" i="27"/>
  <c r="T400" i="27"/>
  <c r="U400" i="27"/>
  <c r="L414" i="27"/>
  <c r="O414" i="27" s="1"/>
  <c r="M414" i="27"/>
  <c r="N414" i="27"/>
  <c r="P414" i="27"/>
  <c r="Q414" i="27"/>
  <c r="T414" i="27" s="1"/>
  <c r="R414" i="27"/>
  <c r="S414" i="27"/>
  <c r="O417" i="27"/>
  <c r="P417" i="27"/>
  <c r="T417" i="27"/>
  <c r="U417" i="27"/>
  <c r="L418" i="27"/>
  <c r="M418" i="27"/>
  <c r="P418" i="27" s="1"/>
  <c r="N418" i="27"/>
  <c r="Q418" i="27"/>
  <c r="Q416" i="27" s="1"/>
  <c r="T416" i="27" s="1"/>
  <c r="R418" i="27"/>
  <c r="R415" i="27" s="1"/>
  <c r="U415" i="27" s="1"/>
  <c r="S418" i="27"/>
  <c r="Q419" i="27"/>
  <c r="T419" i="27" s="1"/>
  <c r="R419" i="27"/>
  <c r="U419" i="27" s="1"/>
  <c r="S419" i="27"/>
  <c r="O420" i="27"/>
  <c r="P420" i="27"/>
  <c r="T420" i="27"/>
  <c r="U420" i="27"/>
  <c r="L421" i="27"/>
  <c r="O421" i="27" s="1"/>
  <c r="M421" i="27"/>
  <c r="P421" i="27" s="1"/>
  <c r="N421" i="27"/>
  <c r="N419" i="27" s="1"/>
  <c r="T421" i="27"/>
  <c r="U421" i="27"/>
  <c r="I424" i="27"/>
  <c r="K424" i="27" s="1"/>
  <c r="J424" i="27"/>
  <c r="I425" i="27"/>
  <c r="K425" i="27" s="1"/>
  <c r="J425" i="27"/>
  <c r="I432" i="27"/>
  <c r="K432" i="27" s="1"/>
  <c r="J432" i="27"/>
  <c r="I433" i="27"/>
  <c r="K433" i="27" s="1"/>
  <c r="J433" i="27"/>
  <c r="I440" i="27"/>
  <c r="I441" i="27"/>
  <c r="K441" i="27" s="1"/>
  <c r="J441" i="27"/>
  <c r="J446" i="27"/>
  <c r="J440" i="27" s="1"/>
  <c r="J423" i="27" s="1"/>
  <c r="J412" i="27" s="1"/>
  <c r="J447" i="27"/>
  <c r="I457" i="27"/>
  <c r="K457" i="27" s="1"/>
  <c r="I458" i="27"/>
  <c r="K458" i="27" s="1"/>
  <c r="J459" i="27"/>
  <c r="J460" i="27"/>
  <c r="J458" i="27" s="1"/>
  <c r="J467" i="27"/>
  <c r="J468" i="27"/>
  <c r="J475" i="27"/>
  <c r="K475" i="27"/>
  <c r="J476" i="27"/>
  <c r="K476" i="27"/>
  <c r="J477" i="27"/>
  <c r="K477" i="27"/>
  <c r="J482" i="27"/>
  <c r="J483" i="27"/>
  <c r="I484" i="27"/>
  <c r="K484" i="27" s="1"/>
  <c r="J484" i="27"/>
  <c r="I485" i="27"/>
  <c r="K485" i="27" s="1"/>
  <c r="J485" i="27"/>
  <c r="L494" i="27"/>
  <c r="M494" i="27"/>
  <c r="P494" i="27" s="1"/>
  <c r="N494" i="27"/>
  <c r="Q494" i="27"/>
  <c r="R494" i="27"/>
  <c r="S494" i="27"/>
  <c r="T494" i="27"/>
  <c r="O497" i="27"/>
  <c r="P497" i="27"/>
  <c r="T497" i="27"/>
  <c r="U497" i="27"/>
  <c r="L498" i="27"/>
  <c r="L496" i="27" s="1"/>
  <c r="O496" i="27" s="1"/>
  <c r="M498" i="27"/>
  <c r="P498" i="27" s="1"/>
  <c r="N498" i="27"/>
  <c r="N496" i="27" s="1"/>
  <c r="Q498" i="27"/>
  <c r="Q495" i="27" s="1"/>
  <c r="R498" i="27"/>
  <c r="S498" i="27"/>
  <c r="S495" i="27" s="1"/>
  <c r="Q499" i="27"/>
  <c r="T499" i="27" s="1"/>
  <c r="R499" i="27"/>
  <c r="U499" i="27" s="1"/>
  <c r="S499" i="27"/>
  <c r="O500" i="27"/>
  <c r="P500" i="27"/>
  <c r="T500" i="27"/>
  <c r="U500" i="27"/>
  <c r="L501" i="27"/>
  <c r="M501" i="27"/>
  <c r="M499" i="27" s="1"/>
  <c r="P499" i="27" s="1"/>
  <c r="N501" i="27"/>
  <c r="N499" i="27" s="1"/>
  <c r="T501" i="27"/>
  <c r="U501" i="27"/>
  <c r="I503" i="27"/>
  <c r="I492" i="27" s="1"/>
  <c r="K492" i="27" s="1"/>
  <c r="I504" i="27"/>
  <c r="K504" i="27" s="1"/>
  <c r="I505" i="27"/>
  <c r="I506" i="27"/>
  <c r="K506" i="27" s="1"/>
  <c r="I507" i="27"/>
  <c r="K507" i="27" s="1"/>
  <c r="K508" i="27"/>
  <c r="I509" i="27"/>
  <c r="K509" i="27" s="1"/>
  <c r="I512" i="27"/>
  <c r="K512" i="27" s="1"/>
  <c r="J512" i="27"/>
  <c r="L514" i="27"/>
  <c r="O514" i="27" s="1"/>
  <c r="M514" i="27"/>
  <c r="P514" i="27" s="1"/>
  <c r="N514" i="27"/>
  <c r="Q514" i="27"/>
  <c r="R514" i="27"/>
  <c r="U514" i="27" s="1"/>
  <c r="S514" i="27"/>
  <c r="T514" i="27"/>
  <c r="Q515" i="27"/>
  <c r="R515" i="27"/>
  <c r="S515" i="27"/>
  <c r="T515" i="27"/>
  <c r="Q516" i="27"/>
  <c r="T516" i="27" s="1"/>
  <c r="R516" i="27"/>
  <c r="U516" i="27" s="1"/>
  <c r="S516" i="27"/>
  <c r="O517" i="27"/>
  <c r="P517" i="27"/>
  <c r="T517" i="27"/>
  <c r="U517" i="27"/>
  <c r="L518" i="27"/>
  <c r="O518" i="27" s="1"/>
  <c r="M518" i="27"/>
  <c r="M516" i="27" s="1"/>
  <c r="P516" i="27" s="1"/>
  <c r="N518" i="27"/>
  <c r="T518" i="27"/>
  <c r="U518" i="27"/>
  <c r="Q519" i="27"/>
  <c r="T519" i="27" s="1"/>
  <c r="R519" i="27"/>
  <c r="U519" i="27" s="1"/>
  <c r="S519" i="27"/>
  <c r="O520" i="27"/>
  <c r="P520" i="27"/>
  <c r="T520" i="27"/>
  <c r="U520" i="27"/>
  <c r="L521" i="27"/>
  <c r="L519" i="27" s="1"/>
  <c r="O519" i="27" s="1"/>
  <c r="M521" i="27"/>
  <c r="M519" i="27" s="1"/>
  <c r="P519" i="27" s="1"/>
  <c r="N521" i="27"/>
  <c r="N519" i="27" s="1"/>
  <c r="T521" i="27"/>
  <c r="U521" i="27"/>
  <c r="K523" i="27"/>
  <c r="K524" i="27"/>
  <c r="I533" i="27"/>
  <c r="K533" i="27" s="1"/>
  <c r="J533" i="27"/>
  <c r="L535" i="27"/>
  <c r="O535" i="27" s="1"/>
  <c r="M535" i="27"/>
  <c r="N535" i="27"/>
  <c r="Q535" i="27"/>
  <c r="T535" i="27" s="1"/>
  <c r="R535" i="27"/>
  <c r="R534" i="27" s="1"/>
  <c r="U534" i="27" s="1"/>
  <c r="S535" i="27"/>
  <c r="Q536" i="27"/>
  <c r="T536" i="27" s="1"/>
  <c r="R536" i="27"/>
  <c r="U536" i="27" s="1"/>
  <c r="S536" i="27"/>
  <c r="S534" i="27" s="1"/>
  <c r="Q537" i="27"/>
  <c r="T537" i="27" s="1"/>
  <c r="R537" i="27"/>
  <c r="U537" i="27" s="1"/>
  <c r="S537" i="27"/>
  <c r="O538" i="27"/>
  <c r="P538" i="27"/>
  <c r="T538" i="27"/>
  <c r="U538" i="27"/>
  <c r="L539" i="27"/>
  <c r="O539" i="27" s="1"/>
  <c r="M539" i="27"/>
  <c r="M537" i="27" s="1"/>
  <c r="P537" i="27" s="1"/>
  <c r="N539" i="27"/>
  <c r="N537" i="27" s="1"/>
  <c r="T539" i="27"/>
  <c r="U539" i="27"/>
  <c r="Q540" i="27"/>
  <c r="R540" i="27"/>
  <c r="U540" i="27" s="1"/>
  <c r="S540" i="27"/>
  <c r="T540" i="27"/>
  <c r="O541" i="27"/>
  <c r="P541" i="27"/>
  <c r="T541" i="27"/>
  <c r="U541" i="27"/>
  <c r="L542" i="27"/>
  <c r="O542" i="27" s="1"/>
  <c r="M542" i="27"/>
  <c r="P542" i="27" s="1"/>
  <c r="N542" i="27"/>
  <c r="N540" i="27" s="1"/>
  <c r="T542" i="27"/>
  <c r="U542" i="27"/>
  <c r="I554" i="27"/>
  <c r="K554" i="27" s="1"/>
  <c r="J554" i="27"/>
  <c r="L556" i="27"/>
  <c r="M556" i="27"/>
  <c r="N556" i="27"/>
  <c r="P556" i="27"/>
  <c r="Q556" i="27"/>
  <c r="R556" i="27"/>
  <c r="U556" i="27" s="1"/>
  <c r="S556" i="27"/>
  <c r="Q557" i="27"/>
  <c r="T557" i="27" s="1"/>
  <c r="R557" i="27"/>
  <c r="U557" i="27" s="1"/>
  <c r="S557" i="27"/>
  <c r="S555" i="27" s="1"/>
  <c r="Q558" i="27"/>
  <c r="R558" i="27"/>
  <c r="U558" i="27" s="1"/>
  <c r="S558" i="27"/>
  <c r="T558" i="27"/>
  <c r="O559" i="27"/>
  <c r="P559" i="27"/>
  <c r="T559" i="27"/>
  <c r="U559" i="27"/>
  <c r="L560" i="27"/>
  <c r="L558" i="27" s="1"/>
  <c r="O558" i="27" s="1"/>
  <c r="M560" i="27"/>
  <c r="M558" i="27" s="1"/>
  <c r="P558" i="27" s="1"/>
  <c r="N560" i="27"/>
  <c r="T560" i="27"/>
  <c r="U560" i="27"/>
  <c r="Q561" i="27"/>
  <c r="T561" i="27" s="1"/>
  <c r="R561" i="27"/>
  <c r="U561" i="27" s="1"/>
  <c r="S561" i="27"/>
  <c r="O562" i="27"/>
  <c r="P562" i="27"/>
  <c r="T562" i="27"/>
  <c r="U562" i="27"/>
  <c r="L563" i="27"/>
  <c r="L561" i="27" s="1"/>
  <c r="O561" i="27" s="1"/>
  <c r="M563" i="27"/>
  <c r="M561" i="27" s="1"/>
  <c r="P561" i="27" s="1"/>
  <c r="N563" i="27"/>
  <c r="N561" i="27" s="1"/>
  <c r="T563" i="27"/>
  <c r="U563" i="27"/>
  <c r="I575" i="27"/>
  <c r="K575" i="27" s="1"/>
  <c r="J575" i="27"/>
  <c r="L577" i="27"/>
  <c r="O577" i="27" s="1"/>
  <c r="M577" i="27"/>
  <c r="P577" i="27" s="1"/>
  <c r="N577" i="27"/>
  <c r="Q577" i="27"/>
  <c r="R577" i="27"/>
  <c r="U577" i="27" s="1"/>
  <c r="S577" i="27"/>
  <c r="Q578" i="27"/>
  <c r="R578" i="27"/>
  <c r="U578" i="27" s="1"/>
  <c r="S578" i="27"/>
  <c r="T578" i="27"/>
  <c r="Q579" i="27"/>
  <c r="T579" i="27" s="1"/>
  <c r="R579" i="27"/>
  <c r="U579" i="27" s="1"/>
  <c r="S579" i="27"/>
  <c r="O580" i="27"/>
  <c r="P580" i="27"/>
  <c r="T580" i="27"/>
  <c r="U580" i="27"/>
  <c r="L581" i="27"/>
  <c r="O581" i="27" s="1"/>
  <c r="M581" i="27"/>
  <c r="P581" i="27" s="1"/>
  <c r="N581" i="27"/>
  <c r="N579" i="27" s="1"/>
  <c r="T581" i="27"/>
  <c r="U581" i="27"/>
  <c r="Q582" i="27"/>
  <c r="R582" i="27"/>
  <c r="S582" i="27"/>
  <c r="T582" i="27"/>
  <c r="U582" i="27"/>
  <c r="O583" i="27"/>
  <c r="P583" i="27"/>
  <c r="T583" i="27"/>
  <c r="U583" i="27"/>
  <c r="L584" i="27"/>
  <c r="M584" i="27"/>
  <c r="M582" i="27" s="1"/>
  <c r="P582" i="27" s="1"/>
  <c r="N584" i="27"/>
  <c r="T584" i="27"/>
  <c r="U584" i="27"/>
  <c r="L600" i="27"/>
  <c r="O600" i="27" s="1"/>
  <c r="M600" i="27"/>
  <c r="P600" i="27" s="1"/>
  <c r="N600" i="27"/>
  <c r="Q600" i="27"/>
  <c r="R600" i="27"/>
  <c r="S600" i="27"/>
  <c r="O603" i="27"/>
  <c r="P603" i="27"/>
  <c r="T603" i="27"/>
  <c r="U603" i="27"/>
  <c r="L604" i="27"/>
  <c r="L602" i="27" s="1"/>
  <c r="M604" i="27"/>
  <c r="N604" i="27"/>
  <c r="Q604" i="27"/>
  <c r="Q602" i="27" s="1"/>
  <c r="T602" i="27" s="1"/>
  <c r="R604" i="27"/>
  <c r="R602" i="27" s="1"/>
  <c r="U602" i="27" s="1"/>
  <c r="S604" i="27"/>
  <c r="O606" i="27"/>
  <c r="P606" i="27"/>
  <c r="T606" i="27"/>
  <c r="U606" i="27"/>
  <c r="L607" i="27"/>
  <c r="O607" i="27" s="1"/>
  <c r="M607" i="27"/>
  <c r="M605" i="27" s="1"/>
  <c r="P605" i="27" s="1"/>
  <c r="N607" i="27"/>
  <c r="N605" i="27" s="1"/>
  <c r="Q607" i="27"/>
  <c r="Q605" i="27" s="1"/>
  <c r="T605" i="27" s="1"/>
  <c r="R607" i="27"/>
  <c r="U607" i="27" s="1"/>
  <c r="S607" i="27"/>
  <c r="S605" i="27" s="1"/>
  <c r="L617" i="27"/>
  <c r="M617" i="27"/>
  <c r="P617" i="27" s="1"/>
  <c r="N617" i="27"/>
  <c r="N616" i="27" s="1"/>
  <c r="Q617" i="27"/>
  <c r="R617" i="27"/>
  <c r="S617" i="27"/>
  <c r="L618" i="27"/>
  <c r="O618" i="27" s="1"/>
  <c r="M618" i="27"/>
  <c r="P618" i="27" s="1"/>
  <c r="N618" i="27"/>
  <c r="L619" i="27"/>
  <c r="O619" i="27" s="1"/>
  <c r="M619" i="27"/>
  <c r="N619" i="27"/>
  <c r="P619" i="27"/>
  <c r="O620" i="27"/>
  <c r="P620" i="27"/>
  <c r="T620" i="27"/>
  <c r="U620" i="27"/>
  <c r="O621" i="27"/>
  <c r="P621" i="27"/>
  <c r="Q621" i="27"/>
  <c r="Q619" i="27" s="1"/>
  <c r="R621" i="27"/>
  <c r="S621" i="27"/>
  <c r="S619" i="27" s="1"/>
  <c r="L622" i="27"/>
  <c r="O622" i="27" s="1"/>
  <c r="M622" i="27"/>
  <c r="P622" i="27" s="1"/>
  <c r="N622" i="27"/>
  <c r="Q622" i="27"/>
  <c r="T622" i="27" s="1"/>
  <c r="R622" i="27"/>
  <c r="U622" i="27" s="1"/>
  <c r="S622" i="27"/>
  <c r="O623" i="27"/>
  <c r="P623" i="27"/>
  <c r="T623" i="27"/>
  <c r="U623" i="27"/>
  <c r="O624" i="27"/>
  <c r="P624" i="27"/>
  <c r="T624" i="27"/>
  <c r="U624" i="27"/>
  <c r="I626" i="27"/>
  <c r="K630" i="27" s="1"/>
  <c r="I627" i="27"/>
  <c r="K627" i="27" s="1"/>
  <c r="I628" i="27"/>
  <c r="K628" i="27" s="1"/>
  <c r="J632" i="27"/>
  <c r="J626" i="27" s="1"/>
  <c r="J615" i="27" s="1"/>
  <c r="I635" i="27"/>
  <c r="K635" i="27" s="1"/>
  <c r="J636" i="27"/>
  <c r="J635" i="27" s="1"/>
  <c r="L643" i="27"/>
  <c r="M643" i="27"/>
  <c r="N643" i="27"/>
  <c r="O643" i="27"/>
  <c r="P643" i="27"/>
  <c r="Q643" i="27"/>
  <c r="T643" i="27" s="1"/>
  <c r="R643" i="27"/>
  <c r="U643" i="27" s="1"/>
  <c r="S643" i="27"/>
  <c r="L644" i="27"/>
  <c r="O644" i="27" s="1"/>
  <c r="M644" i="27"/>
  <c r="P644" i="27" s="1"/>
  <c r="N644" i="27"/>
  <c r="N642" i="27" s="1"/>
  <c r="L645" i="27"/>
  <c r="M645" i="27"/>
  <c r="N645" i="27"/>
  <c r="O645" i="27"/>
  <c r="P645" i="27"/>
  <c r="O646" i="27"/>
  <c r="P646" i="27"/>
  <c r="T646" i="27"/>
  <c r="U646" i="27"/>
  <c r="O647" i="27"/>
  <c r="P647" i="27"/>
  <c r="Q647" i="27"/>
  <c r="R647" i="27"/>
  <c r="R645" i="27" s="1"/>
  <c r="S647" i="27"/>
  <c r="L648" i="27"/>
  <c r="O648" i="27" s="1"/>
  <c r="M648" i="27"/>
  <c r="N648" i="27"/>
  <c r="P648" i="27"/>
  <c r="Q648" i="27"/>
  <c r="T648" i="27" s="1"/>
  <c r="R648" i="27"/>
  <c r="U648" i="27" s="1"/>
  <c r="S648" i="27"/>
  <c r="O649" i="27"/>
  <c r="P649" i="27"/>
  <c r="T649" i="27"/>
  <c r="U649" i="27"/>
  <c r="O650" i="27"/>
  <c r="P650" i="27"/>
  <c r="T650" i="27"/>
  <c r="U650" i="27"/>
  <c r="I652" i="27"/>
  <c r="K652" i="27" s="1"/>
  <c r="J652" i="27"/>
  <c r="I653" i="27"/>
  <c r="K653" i="27" s="1"/>
  <c r="J653" i="27"/>
  <c r="I654" i="27"/>
  <c r="K654" i="27" s="1"/>
  <c r="J654" i="27"/>
  <c r="I657" i="27"/>
  <c r="I660" i="27"/>
  <c r="I661" i="27"/>
  <c r="J661" i="27"/>
  <c r="J671" i="27"/>
  <c r="J672" i="27"/>
  <c r="I673" i="27"/>
  <c r="J673" i="27"/>
  <c r="I674" i="27"/>
  <c r="I675" i="27"/>
  <c r="I676" i="27"/>
  <c r="J676" i="27"/>
  <c r="J677" i="27"/>
  <c r="I678" i="27"/>
  <c r="J678" i="27"/>
  <c r="I679" i="27"/>
  <c r="J679" i="27"/>
  <c r="J680" i="27"/>
  <c r="I681" i="27"/>
  <c r="J681" i="27"/>
  <c r="I682" i="27"/>
  <c r="K682" i="27" s="1"/>
  <c r="J682" i="27"/>
  <c r="L691" i="27"/>
  <c r="M691" i="27"/>
  <c r="M690" i="27" s="1"/>
  <c r="P690" i="27" s="1"/>
  <c r="N691" i="27"/>
  <c r="Q691" i="27"/>
  <c r="R691" i="27"/>
  <c r="U691" i="27" s="1"/>
  <c r="S691" i="27"/>
  <c r="L692" i="27"/>
  <c r="O692" i="27" s="1"/>
  <c r="M692" i="27"/>
  <c r="P692" i="27" s="1"/>
  <c r="N692" i="27"/>
  <c r="N690" i="27" s="1"/>
  <c r="L693" i="27"/>
  <c r="M693" i="27"/>
  <c r="P693" i="27" s="1"/>
  <c r="N693" i="27"/>
  <c r="O693" i="27"/>
  <c r="O694" i="27"/>
  <c r="P694" i="27"/>
  <c r="T694" i="27"/>
  <c r="U694" i="27"/>
  <c r="O695" i="27"/>
  <c r="P695" i="27"/>
  <c r="Q695" i="27"/>
  <c r="Q693" i="27" s="1"/>
  <c r="R695" i="27"/>
  <c r="S695" i="27"/>
  <c r="S692" i="27" s="1"/>
  <c r="L696" i="27"/>
  <c r="O696" i="27" s="1"/>
  <c r="M696" i="27"/>
  <c r="P696" i="27" s="1"/>
  <c r="N696" i="27"/>
  <c r="Q696" i="27"/>
  <c r="T696" i="27" s="1"/>
  <c r="R696" i="27"/>
  <c r="U696" i="27" s="1"/>
  <c r="S696" i="27"/>
  <c r="O697" i="27"/>
  <c r="P697" i="27"/>
  <c r="T697" i="27"/>
  <c r="U697" i="27"/>
  <c r="O698" i="27"/>
  <c r="P698" i="27"/>
  <c r="T698" i="27"/>
  <c r="U698" i="27"/>
  <c r="I700" i="27"/>
  <c r="K700" i="27" s="1"/>
  <c r="K702" i="27"/>
  <c r="I703" i="27"/>
  <c r="J703" i="27"/>
  <c r="J704" i="27"/>
  <c r="K704" i="27"/>
  <c r="I705" i="27"/>
  <c r="J705" i="27"/>
  <c r="J706" i="27"/>
  <c r="K706" i="27"/>
  <c r="I707" i="27"/>
  <c r="J707" i="27"/>
  <c r="J689" i="27" s="1"/>
  <c r="J708" i="27"/>
  <c r="K708" i="27"/>
  <c r="I709" i="27"/>
  <c r="J709" i="27"/>
  <c r="J710" i="27"/>
  <c r="K710" i="27"/>
  <c r="J712" i="27"/>
  <c r="K712" i="27"/>
  <c r="Q714" i="27"/>
  <c r="T714" i="27" s="1"/>
  <c r="L715" i="27"/>
  <c r="O715" i="27" s="1"/>
  <c r="M715" i="27"/>
  <c r="M714" i="27" s="1"/>
  <c r="P714" i="27" s="1"/>
  <c r="N715" i="27"/>
  <c r="Q715" i="27"/>
  <c r="R715" i="27"/>
  <c r="R714" i="27" s="1"/>
  <c r="U714" i="27" s="1"/>
  <c r="S715" i="27"/>
  <c r="S714" i="27" s="1"/>
  <c r="T715" i="27"/>
  <c r="U715" i="27"/>
  <c r="L716" i="27"/>
  <c r="M716" i="27"/>
  <c r="N716" i="27"/>
  <c r="O716" i="27"/>
  <c r="P716" i="27"/>
  <c r="Q716" i="27"/>
  <c r="T716" i="27" s="1"/>
  <c r="R716" i="27"/>
  <c r="U716" i="27" s="1"/>
  <c r="S716" i="27"/>
  <c r="L717" i="27"/>
  <c r="O717" i="27" s="1"/>
  <c r="M717" i="27"/>
  <c r="P717" i="27" s="1"/>
  <c r="N717" i="27"/>
  <c r="Q717" i="27"/>
  <c r="R717" i="27"/>
  <c r="U717" i="27" s="1"/>
  <c r="S717" i="27"/>
  <c r="T717" i="27"/>
  <c r="O718" i="27"/>
  <c r="P718" i="27"/>
  <c r="T718" i="27"/>
  <c r="U718" i="27"/>
  <c r="O719" i="27"/>
  <c r="P719" i="27"/>
  <c r="T719" i="27"/>
  <c r="U719" i="27"/>
  <c r="L720" i="27"/>
  <c r="O720" i="27" s="1"/>
  <c r="M720" i="27"/>
  <c r="P720" i="27" s="1"/>
  <c r="N720" i="27"/>
  <c r="Q720" i="27"/>
  <c r="T720" i="27" s="1"/>
  <c r="R720" i="27"/>
  <c r="S720" i="27"/>
  <c r="U720" i="27"/>
  <c r="O721" i="27"/>
  <c r="P721" i="27"/>
  <c r="T721" i="27"/>
  <c r="U721" i="27"/>
  <c r="O722" i="27"/>
  <c r="P722" i="27"/>
  <c r="T722" i="27"/>
  <c r="U722" i="27"/>
  <c r="I726" i="27"/>
  <c r="J726" i="27"/>
  <c r="I727" i="27"/>
  <c r="J727" i="27"/>
  <c r="L729" i="27"/>
  <c r="M729" i="27"/>
  <c r="N729" i="27"/>
  <c r="Q729" i="27"/>
  <c r="R729" i="27"/>
  <c r="S729" i="27"/>
  <c r="L730" i="27"/>
  <c r="O730" i="27" s="1"/>
  <c r="M730" i="27"/>
  <c r="P730" i="27" s="1"/>
  <c r="N730" i="27"/>
  <c r="N728" i="27" s="1"/>
  <c r="L731" i="27"/>
  <c r="O731" i="27" s="1"/>
  <c r="M731" i="27"/>
  <c r="P731" i="27" s="1"/>
  <c r="N731" i="27"/>
  <c r="O732" i="27"/>
  <c r="P732" i="27"/>
  <c r="T732" i="27"/>
  <c r="U732" i="27"/>
  <c r="O733" i="27"/>
  <c r="P733" i="27"/>
  <c r="Q733" i="27"/>
  <c r="Q731" i="27" s="1"/>
  <c r="R733" i="27"/>
  <c r="S733" i="27"/>
  <c r="L734" i="27"/>
  <c r="O734" i="27" s="1"/>
  <c r="M734" i="27"/>
  <c r="P734" i="27" s="1"/>
  <c r="N734" i="27"/>
  <c r="Q734" i="27"/>
  <c r="T734" i="27" s="1"/>
  <c r="R734" i="27"/>
  <c r="U734" i="27" s="1"/>
  <c r="S734" i="27"/>
  <c r="O735" i="27"/>
  <c r="P735" i="27"/>
  <c r="T735" i="27"/>
  <c r="U735" i="27"/>
  <c r="O736" i="27"/>
  <c r="P736" i="27"/>
  <c r="T736" i="27"/>
  <c r="U736" i="27"/>
  <c r="I740" i="27"/>
  <c r="K740" i="27" s="1"/>
  <c r="I742" i="27"/>
  <c r="K742" i="27" s="1"/>
  <c r="I744" i="27"/>
  <c r="K744" i="27" s="1"/>
  <c r="I746" i="27"/>
  <c r="K746" i="27" s="1"/>
  <c r="I749" i="27"/>
  <c r="K749" i="27" s="1"/>
  <c r="I752" i="27"/>
  <c r="K752" i="27" s="1"/>
  <c r="I755" i="27"/>
  <c r="K755" i="27" s="1"/>
  <c r="J758" i="27"/>
  <c r="J759" i="27"/>
  <c r="L761" i="27"/>
  <c r="M761" i="27"/>
  <c r="N761" i="27"/>
  <c r="Q761" i="27"/>
  <c r="T761" i="27" s="1"/>
  <c r="R761" i="27"/>
  <c r="S761" i="27"/>
  <c r="L762" i="27"/>
  <c r="O762" i="27" s="1"/>
  <c r="M762" i="27"/>
  <c r="P762" i="27" s="1"/>
  <c r="N762" i="27"/>
  <c r="L763" i="27"/>
  <c r="O763" i="27" s="1"/>
  <c r="M763" i="27"/>
  <c r="P763" i="27" s="1"/>
  <c r="N763" i="27"/>
  <c r="O764" i="27"/>
  <c r="P764" i="27"/>
  <c r="T764" i="27"/>
  <c r="U764" i="27"/>
  <c r="O765" i="27"/>
  <c r="P765" i="27"/>
  <c r="Q765" i="27"/>
  <c r="Q762" i="27" s="1"/>
  <c r="R765" i="27"/>
  <c r="R763" i="27" s="1"/>
  <c r="S765" i="27"/>
  <c r="S763" i="27" s="1"/>
  <c r="L766" i="27"/>
  <c r="O766" i="27" s="1"/>
  <c r="M766" i="27"/>
  <c r="P766" i="27" s="1"/>
  <c r="N766" i="27"/>
  <c r="Q766" i="27"/>
  <c r="T766" i="27" s="1"/>
  <c r="R766" i="27"/>
  <c r="U766" i="27" s="1"/>
  <c r="S766" i="27"/>
  <c r="O767" i="27"/>
  <c r="P767" i="27"/>
  <c r="T767" i="27"/>
  <c r="U767" i="27"/>
  <c r="O768" i="27"/>
  <c r="P768" i="27"/>
  <c r="T768" i="27"/>
  <c r="U768" i="27"/>
  <c r="I770" i="27"/>
  <c r="K770" i="27" s="1"/>
  <c r="I772" i="27"/>
  <c r="I758" i="27" s="1"/>
  <c r="K758" i="27" s="1"/>
  <c r="I774" i="27"/>
  <c r="K774" i="27" s="1"/>
  <c r="I775" i="27"/>
  <c r="I776" i="27"/>
  <c r="H777" i="27"/>
  <c r="I778" i="27"/>
  <c r="J778" i="27"/>
  <c r="I779" i="27"/>
  <c r="J779" i="27"/>
  <c r="I780" i="27"/>
  <c r="J780" i="27"/>
  <c r="I781" i="27"/>
  <c r="J781" i="27"/>
  <c r="I782" i="27"/>
  <c r="J782" i="27"/>
  <c r="I783" i="27"/>
  <c r="J783" i="27"/>
  <c r="I784" i="27"/>
  <c r="J784" i="27"/>
  <c r="I785" i="27"/>
  <c r="J785" i="27"/>
  <c r="A788" i="27"/>
  <c r="A789" i="27"/>
  <c r="L22" i="26"/>
  <c r="M22" i="26"/>
  <c r="N22" i="26"/>
  <c r="O22" i="26"/>
  <c r="Q22" i="26"/>
  <c r="R22" i="26"/>
  <c r="U22" i="26" s="1"/>
  <c r="S22" i="26"/>
  <c r="L25" i="26"/>
  <c r="O25" i="26" s="1"/>
  <c r="M25" i="26"/>
  <c r="N25" i="26"/>
  <c r="Q25" i="26"/>
  <c r="R25" i="26"/>
  <c r="S25" i="26"/>
  <c r="T25" i="26"/>
  <c r="U25" i="26"/>
  <c r="L45" i="26"/>
  <c r="M45" i="26"/>
  <c r="P45" i="26" s="1"/>
  <c r="N45" i="26"/>
  <c r="O45" i="26"/>
  <c r="Q45" i="26"/>
  <c r="Q44" i="26" s="1"/>
  <c r="T44" i="26" s="1"/>
  <c r="R45" i="26"/>
  <c r="S45" i="26"/>
  <c r="T45" i="26"/>
  <c r="U45" i="26"/>
  <c r="Q46" i="26"/>
  <c r="T46" i="26" s="1"/>
  <c r="R46" i="26"/>
  <c r="U46" i="26" s="1"/>
  <c r="S46" i="26"/>
  <c r="Q47" i="26"/>
  <c r="T47" i="26" s="1"/>
  <c r="R47" i="26"/>
  <c r="U47" i="26" s="1"/>
  <c r="S47" i="26"/>
  <c r="O48" i="26"/>
  <c r="P48" i="26"/>
  <c r="T48" i="26"/>
  <c r="U48" i="26"/>
  <c r="L49" i="26"/>
  <c r="L47" i="26" s="1"/>
  <c r="M49" i="26"/>
  <c r="M47" i="26" s="1"/>
  <c r="N49" i="26"/>
  <c r="T49" i="26"/>
  <c r="U49" i="26"/>
  <c r="Q50" i="26"/>
  <c r="T50" i="26" s="1"/>
  <c r="R50" i="26"/>
  <c r="U50" i="26" s="1"/>
  <c r="S50" i="26"/>
  <c r="O51" i="26"/>
  <c r="P51" i="26"/>
  <c r="T51" i="26"/>
  <c r="U51" i="26"/>
  <c r="L52" i="26"/>
  <c r="O52" i="26" s="1"/>
  <c r="M52" i="26"/>
  <c r="N52" i="26"/>
  <c r="T52" i="26"/>
  <c r="U52" i="26"/>
  <c r="L60" i="26"/>
  <c r="O60" i="26" s="1"/>
  <c r="M60" i="26"/>
  <c r="N60" i="26"/>
  <c r="P60" i="26"/>
  <c r="Q60" i="26"/>
  <c r="R60" i="26"/>
  <c r="U60" i="26" s="1"/>
  <c r="S60" i="26"/>
  <c r="Q61" i="26"/>
  <c r="R61" i="26"/>
  <c r="U61" i="26" s="1"/>
  <c r="S61" i="26"/>
  <c r="T61" i="26"/>
  <c r="Q62" i="26"/>
  <c r="R62" i="26"/>
  <c r="U62" i="26" s="1"/>
  <c r="S62" i="26"/>
  <c r="T62" i="26"/>
  <c r="O63" i="26"/>
  <c r="P63" i="26"/>
  <c r="T63" i="26"/>
  <c r="U63" i="26"/>
  <c r="L64" i="26"/>
  <c r="M64" i="26"/>
  <c r="M62" i="26" s="1"/>
  <c r="N64" i="26"/>
  <c r="N62" i="26" s="1"/>
  <c r="T64" i="26"/>
  <c r="U64" i="26"/>
  <c r="Q65" i="26"/>
  <c r="T65" i="26" s="1"/>
  <c r="R65" i="26"/>
  <c r="S65" i="26"/>
  <c r="U65" i="26"/>
  <c r="O66" i="26"/>
  <c r="P66" i="26"/>
  <c r="T66" i="26"/>
  <c r="U66" i="26"/>
  <c r="L67" i="26"/>
  <c r="L65" i="26" s="1"/>
  <c r="O65" i="26" s="1"/>
  <c r="M67" i="26"/>
  <c r="P67" i="26" s="1"/>
  <c r="N67" i="26"/>
  <c r="N65" i="26" s="1"/>
  <c r="T67" i="26"/>
  <c r="U67" i="26"/>
  <c r="L73" i="26"/>
  <c r="O73" i="26" s="1"/>
  <c r="M73" i="26"/>
  <c r="P73" i="26" s="1"/>
  <c r="N73" i="26"/>
  <c r="Q73" i="26"/>
  <c r="R73" i="26"/>
  <c r="U73" i="26" s="1"/>
  <c r="S73" i="26"/>
  <c r="T73" i="26"/>
  <c r="O76" i="26"/>
  <c r="P76" i="26"/>
  <c r="T76" i="26"/>
  <c r="U76" i="26"/>
  <c r="L77" i="26"/>
  <c r="M77" i="26"/>
  <c r="M75" i="26" s="1"/>
  <c r="P75" i="26" s="1"/>
  <c r="N77" i="26"/>
  <c r="N75" i="26" s="1"/>
  <c r="Q77" i="26"/>
  <c r="T77" i="26" s="1"/>
  <c r="R77" i="26"/>
  <c r="S77" i="26"/>
  <c r="S75" i="26" s="1"/>
  <c r="O79" i="26"/>
  <c r="P79" i="26"/>
  <c r="T79" i="26"/>
  <c r="U79" i="26"/>
  <c r="L80" i="26"/>
  <c r="O80" i="26" s="1"/>
  <c r="M80" i="26"/>
  <c r="M78" i="26" s="1"/>
  <c r="P78" i="26" s="1"/>
  <c r="N80" i="26"/>
  <c r="N78" i="26" s="1"/>
  <c r="Q80" i="26"/>
  <c r="T80" i="26" s="1"/>
  <c r="R80" i="26"/>
  <c r="R78" i="26" s="1"/>
  <c r="U78" i="26" s="1"/>
  <c r="S80" i="26"/>
  <c r="S78" i="26" s="1"/>
  <c r="J82" i="26"/>
  <c r="J70" i="26" s="1"/>
  <c r="J83" i="26"/>
  <c r="J71" i="26" s="1"/>
  <c r="I84" i="26"/>
  <c r="K84" i="26" s="1"/>
  <c r="I85" i="26"/>
  <c r="K85" i="26" s="1"/>
  <c r="I86" i="26"/>
  <c r="K86" i="26" s="1"/>
  <c r="I87" i="26"/>
  <c r="I88" i="26"/>
  <c r="K88" i="26" s="1"/>
  <c r="I89" i="26"/>
  <c r="K89" i="26" s="1"/>
  <c r="I90" i="26"/>
  <c r="K90" i="26" s="1"/>
  <c r="J92" i="26"/>
  <c r="J93" i="26"/>
  <c r="L95" i="26"/>
  <c r="M95" i="26"/>
  <c r="P95" i="26" s="1"/>
  <c r="N95" i="26"/>
  <c r="Q95" i="26"/>
  <c r="R95" i="26"/>
  <c r="S95" i="26"/>
  <c r="T95" i="26"/>
  <c r="O98" i="26"/>
  <c r="P98" i="26"/>
  <c r="T98" i="26"/>
  <c r="U98" i="26"/>
  <c r="L99" i="26"/>
  <c r="M99" i="26"/>
  <c r="N99" i="26"/>
  <c r="Q99" i="26"/>
  <c r="Q97" i="26" s="1"/>
  <c r="R99" i="26"/>
  <c r="R96" i="26" s="1"/>
  <c r="S99" i="26"/>
  <c r="Q100" i="26"/>
  <c r="R100" i="26"/>
  <c r="U100" i="26" s="1"/>
  <c r="S100" i="26"/>
  <c r="T100" i="26"/>
  <c r="O101" i="26"/>
  <c r="P101" i="26"/>
  <c r="T101" i="26"/>
  <c r="U101" i="26"/>
  <c r="L102" i="26"/>
  <c r="M102" i="26"/>
  <c r="M100" i="26" s="1"/>
  <c r="P100" i="26" s="1"/>
  <c r="N102" i="26"/>
  <c r="N100" i="26" s="1"/>
  <c r="T102" i="26"/>
  <c r="U102" i="26"/>
  <c r="I108" i="26"/>
  <c r="I109" i="26"/>
  <c r="I93" i="26" s="1"/>
  <c r="K93" i="26" s="1"/>
  <c r="I113" i="26"/>
  <c r="K113" i="26" s="1"/>
  <c r="I114" i="26"/>
  <c r="K114" i="26" s="1"/>
  <c r="J116" i="26"/>
  <c r="L118" i="26"/>
  <c r="O118" i="26" s="1"/>
  <c r="M118" i="26"/>
  <c r="N118" i="26"/>
  <c r="P118" i="26"/>
  <c r="Q118" i="26"/>
  <c r="T118" i="26" s="1"/>
  <c r="R118" i="26"/>
  <c r="U118" i="26" s="1"/>
  <c r="S118" i="26"/>
  <c r="O121" i="26"/>
  <c r="P121" i="26"/>
  <c r="T121" i="26"/>
  <c r="U121" i="26"/>
  <c r="L122" i="26"/>
  <c r="M122" i="26"/>
  <c r="P122" i="26" s="1"/>
  <c r="N122" i="26"/>
  <c r="N120" i="26" s="1"/>
  <c r="Q122" i="26"/>
  <c r="Q120" i="26" s="1"/>
  <c r="R122" i="26"/>
  <c r="R120" i="26" s="1"/>
  <c r="S122" i="26"/>
  <c r="O124" i="26"/>
  <c r="P124" i="26"/>
  <c r="T124" i="26"/>
  <c r="U124" i="26"/>
  <c r="L125" i="26"/>
  <c r="M125" i="26"/>
  <c r="N125" i="26"/>
  <c r="N123" i="26" s="1"/>
  <c r="Q125" i="26"/>
  <c r="Q123" i="26" s="1"/>
  <c r="T123" i="26" s="1"/>
  <c r="R125" i="26"/>
  <c r="U125" i="26" s="1"/>
  <c r="S125" i="26"/>
  <c r="S123" i="26" s="1"/>
  <c r="I127" i="26"/>
  <c r="I128" i="26"/>
  <c r="K128" i="26" s="1"/>
  <c r="I129" i="26"/>
  <c r="K129" i="26" s="1"/>
  <c r="I130" i="26"/>
  <c r="K130" i="26" s="1"/>
  <c r="J136" i="26"/>
  <c r="J137" i="26"/>
  <c r="J138" i="26"/>
  <c r="L140" i="26"/>
  <c r="M140" i="26"/>
  <c r="P140" i="26" s="1"/>
  <c r="N140" i="26"/>
  <c r="O140" i="26"/>
  <c r="Q140" i="26"/>
  <c r="R140" i="26"/>
  <c r="S140" i="26"/>
  <c r="U140" i="26"/>
  <c r="O143" i="26"/>
  <c r="P143" i="26"/>
  <c r="T143" i="26"/>
  <c r="U143" i="26"/>
  <c r="L144" i="26"/>
  <c r="L142" i="26" s="1"/>
  <c r="O142" i="26" s="1"/>
  <c r="M144" i="26"/>
  <c r="N144" i="26"/>
  <c r="Q144" i="26"/>
  <c r="R144" i="26"/>
  <c r="R142" i="26" s="1"/>
  <c r="U142" i="26" s="1"/>
  <c r="S144" i="26"/>
  <c r="O146" i="26"/>
  <c r="P146" i="26"/>
  <c r="T146" i="26"/>
  <c r="U146" i="26"/>
  <c r="L147" i="26"/>
  <c r="M147" i="26"/>
  <c r="N147" i="26"/>
  <c r="N145" i="26" s="1"/>
  <c r="Q147" i="26"/>
  <c r="R147" i="26"/>
  <c r="S147" i="26"/>
  <c r="S145" i="26" s="1"/>
  <c r="I150" i="26"/>
  <c r="K150" i="26" s="1"/>
  <c r="I151" i="26"/>
  <c r="K151" i="26" s="1"/>
  <c r="I152" i="26"/>
  <c r="I153" i="26"/>
  <c r="I138" i="26" s="1"/>
  <c r="K138" i="26" s="1"/>
  <c r="I154" i="26"/>
  <c r="I136" i="26" s="1"/>
  <c r="K136" i="26" s="1"/>
  <c r="J156" i="26"/>
  <c r="L158" i="26"/>
  <c r="M158" i="26"/>
  <c r="N158" i="26"/>
  <c r="O158" i="26"/>
  <c r="P158" i="26"/>
  <c r="Q158" i="26"/>
  <c r="T158" i="26" s="1"/>
  <c r="R158" i="26"/>
  <c r="S158" i="26"/>
  <c r="U158" i="26"/>
  <c r="O161" i="26"/>
  <c r="P161" i="26"/>
  <c r="T161" i="26"/>
  <c r="U161" i="26"/>
  <c r="L162" i="26"/>
  <c r="M162" i="26"/>
  <c r="N162" i="26"/>
  <c r="N160" i="26" s="1"/>
  <c r="Q162" i="26"/>
  <c r="T162" i="26" s="1"/>
  <c r="R162" i="26"/>
  <c r="S162" i="26"/>
  <c r="S159" i="26" s="1"/>
  <c r="Q163" i="26"/>
  <c r="T163" i="26" s="1"/>
  <c r="R163" i="26"/>
  <c r="U163" i="26" s="1"/>
  <c r="S163" i="26"/>
  <c r="O164" i="26"/>
  <c r="P164" i="26"/>
  <c r="T164" i="26"/>
  <c r="U164" i="26"/>
  <c r="L165" i="26"/>
  <c r="M165" i="26"/>
  <c r="M163" i="26" s="1"/>
  <c r="P163" i="26" s="1"/>
  <c r="N165" i="26"/>
  <c r="N163" i="26" s="1"/>
  <c r="T165" i="26"/>
  <c r="U165" i="26"/>
  <c r="I167" i="26"/>
  <c r="I156" i="26" s="1"/>
  <c r="J172" i="26"/>
  <c r="L174" i="26"/>
  <c r="O174" i="26" s="1"/>
  <c r="M174" i="26"/>
  <c r="N174" i="26"/>
  <c r="Q174" i="26"/>
  <c r="R174" i="26"/>
  <c r="S174" i="26"/>
  <c r="T174" i="26"/>
  <c r="U174" i="26"/>
  <c r="O177" i="26"/>
  <c r="P177" i="26"/>
  <c r="T177" i="26"/>
  <c r="U177" i="26"/>
  <c r="L178" i="26"/>
  <c r="M178" i="26"/>
  <c r="N178" i="26"/>
  <c r="Q178" i="26"/>
  <c r="T178" i="26" s="1"/>
  <c r="R178" i="26"/>
  <c r="R176" i="26" s="1"/>
  <c r="U176" i="26" s="1"/>
  <c r="S178" i="26"/>
  <c r="S175" i="26" s="1"/>
  <c r="Q179" i="26"/>
  <c r="R179" i="26"/>
  <c r="U179" i="26" s="1"/>
  <c r="S179" i="26"/>
  <c r="T179" i="26"/>
  <c r="O180" i="26"/>
  <c r="P180" i="26"/>
  <c r="T180" i="26"/>
  <c r="U180" i="26"/>
  <c r="L181" i="26"/>
  <c r="M181" i="26"/>
  <c r="N181" i="26"/>
  <c r="N179" i="26" s="1"/>
  <c r="T181" i="26"/>
  <c r="U181" i="26"/>
  <c r="I183" i="26"/>
  <c r="I172" i="26" s="1"/>
  <c r="K184" i="26"/>
  <c r="L187" i="26"/>
  <c r="O187" i="26" s="1"/>
  <c r="M187" i="26"/>
  <c r="N187" i="26"/>
  <c r="Q187" i="26"/>
  <c r="T187" i="26" s="1"/>
  <c r="R187" i="26"/>
  <c r="U187" i="26" s="1"/>
  <c r="S187" i="26"/>
  <c r="O190" i="26"/>
  <c r="P190" i="26"/>
  <c r="T190" i="26"/>
  <c r="U190" i="26"/>
  <c r="L191" i="26"/>
  <c r="L189" i="26" s="1"/>
  <c r="M191" i="26"/>
  <c r="M189" i="26" s="1"/>
  <c r="N191" i="26"/>
  <c r="Q191" i="26"/>
  <c r="R191" i="26"/>
  <c r="S191" i="26"/>
  <c r="S189" i="26" s="1"/>
  <c r="O193" i="26"/>
  <c r="P193" i="26"/>
  <c r="T193" i="26"/>
  <c r="U193" i="26"/>
  <c r="L194" i="26"/>
  <c r="O194" i="26" s="1"/>
  <c r="M194" i="26"/>
  <c r="P194" i="26" s="1"/>
  <c r="N194" i="26"/>
  <c r="N192" i="26" s="1"/>
  <c r="Q194" i="26"/>
  <c r="R194" i="26"/>
  <c r="U194" i="26" s="1"/>
  <c r="S194" i="26"/>
  <c r="S192" i="26" s="1"/>
  <c r="J195" i="26"/>
  <c r="L196" i="26"/>
  <c r="O196" i="26" s="1"/>
  <c r="P196" i="26"/>
  <c r="I198" i="26"/>
  <c r="K198" i="26" s="1"/>
  <c r="J199" i="26"/>
  <c r="J202" i="26"/>
  <c r="N203" i="26"/>
  <c r="P203" i="26"/>
  <c r="S203" i="26"/>
  <c r="U203" i="26"/>
  <c r="L204" i="26"/>
  <c r="L205" i="26"/>
  <c r="L206" i="26"/>
  <c r="Q206" i="26"/>
  <c r="Q203" i="26" s="1"/>
  <c r="T203" i="26" s="1"/>
  <c r="L207" i="26"/>
  <c r="I209" i="26"/>
  <c r="I211" i="26"/>
  <c r="K211" i="26" s="1"/>
  <c r="I212" i="26"/>
  <c r="K212" i="26" s="1"/>
  <c r="J213" i="26"/>
  <c r="N214" i="26"/>
  <c r="P214" i="26"/>
  <c r="S214" i="26"/>
  <c r="U214" i="26"/>
  <c r="L215" i="26"/>
  <c r="L216" i="26"/>
  <c r="L217" i="26"/>
  <c r="Q217" i="26"/>
  <c r="Q214" i="26" s="1"/>
  <c r="T214" i="26" s="1"/>
  <c r="I219" i="26"/>
  <c r="K219" i="26" s="1"/>
  <c r="I220" i="26"/>
  <c r="I213" i="26" s="1"/>
  <c r="K213" i="26" s="1"/>
  <c r="J221" i="26"/>
  <c r="N222" i="26"/>
  <c r="P222" i="26"/>
  <c r="L223" i="26"/>
  <c r="L224" i="26"/>
  <c r="L225" i="26"/>
  <c r="I228" i="26"/>
  <c r="K228" i="26" s="1"/>
  <c r="I229" i="26"/>
  <c r="I221" i="26" s="1"/>
  <c r="K221" i="26" s="1"/>
  <c r="I230" i="26"/>
  <c r="N232" i="26"/>
  <c r="N233" i="26"/>
  <c r="N234" i="26"/>
  <c r="N235" i="26"/>
  <c r="N236" i="26"/>
  <c r="J238" i="26"/>
  <c r="I240" i="26"/>
  <c r="K240" i="26" s="1"/>
  <c r="J240" i="26"/>
  <c r="I241" i="26"/>
  <c r="K241" i="26" s="1"/>
  <c r="J241" i="26"/>
  <c r="J242" i="26"/>
  <c r="N243" i="26"/>
  <c r="P243" i="26"/>
  <c r="L244" i="26"/>
  <c r="L245" i="26"/>
  <c r="L246" i="26"/>
  <c r="L247" i="26"/>
  <c r="I249" i="26"/>
  <c r="I242" i="26" s="1"/>
  <c r="K251" i="26"/>
  <c r="K252" i="26"/>
  <c r="J253" i="26"/>
  <c r="J231" i="26" s="1"/>
  <c r="J185" i="26" s="1"/>
  <c r="N254" i="26"/>
  <c r="P254" i="26"/>
  <c r="L255" i="26"/>
  <c r="L256" i="26"/>
  <c r="L257" i="26"/>
  <c r="L258" i="26"/>
  <c r="I260" i="26"/>
  <c r="I253" i="26" s="1"/>
  <c r="K253" i="26" s="1"/>
  <c r="K262" i="26"/>
  <c r="K263" i="26"/>
  <c r="J265" i="26"/>
  <c r="L267" i="26"/>
  <c r="M267" i="26"/>
  <c r="N267" i="26"/>
  <c r="O267" i="26"/>
  <c r="Q267" i="26"/>
  <c r="T267" i="26" s="1"/>
  <c r="R267" i="26"/>
  <c r="S267" i="26"/>
  <c r="U267" i="26"/>
  <c r="O270" i="26"/>
  <c r="P270" i="26"/>
  <c r="T270" i="26"/>
  <c r="U270" i="26"/>
  <c r="L271" i="26"/>
  <c r="M271" i="26"/>
  <c r="M269" i="26" s="1"/>
  <c r="N271" i="26"/>
  <c r="N269" i="26" s="1"/>
  <c r="Q271" i="26"/>
  <c r="Q268" i="26" s="1"/>
  <c r="Q266" i="26" s="1"/>
  <c r="R271" i="26"/>
  <c r="R268" i="26" s="1"/>
  <c r="S271" i="26"/>
  <c r="S269" i="26" s="1"/>
  <c r="Q272" i="26"/>
  <c r="T272" i="26" s="1"/>
  <c r="R272" i="26"/>
  <c r="U272" i="26" s="1"/>
  <c r="S272" i="26"/>
  <c r="O273" i="26"/>
  <c r="P273" i="26"/>
  <c r="T273" i="26"/>
  <c r="U273" i="26"/>
  <c r="L274" i="26"/>
  <c r="L272" i="26" s="1"/>
  <c r="O272" i="26" s="1"/>
  <c r="M274" i="26"/>
  <c r="M272" i="26" s="1"/>
  <c r="P272" i="26" s="1"/>
  <c r="N274" i="26"/>
  <c r="N272" i="26" s="1"/>
  <c r="T274" i="26"/>
  <c r="U274" i="26"/>
  <c r="I276" i="26"/>
  <c r="I265" i="26" s="1"/>
  <c r="K265" i="26" s="1"/>
  <c r="J280" i="26"/>
  <c r="J281" i="26"/>
  <c r="S282" i="26"/>
  <c r="L283" i="26"/>
  <c r="M283" i="26"/>
  <c r="N283" i="26"/>
  <c r="O283" i="26"/>
  <c r="P283" i="26"/>
  <c r="Q283" i="26"/>
  <c r="R283" i="26"/>
  <c r="R282" i="26" s="1"/>
  <c r="U282" i="26" s="1"/>
  <c r="S283" i="26"/>
  <c r="T283" i="26"/>
  <c r="U283" i="26"/>
  <c r="Q284" i="26"/>
  <c r="T284" i="26" s="1"/>
  <c r="R284" i="26"/>
  <c r="U284" i="26" s="1"/>
  <c r="S284" i="26"/>
  <c r="Q285" i="26"/>
  <c r="T285" i="26" s="1"/>
  <c r="R285" i="26"/>
  <c r="U285" i="26" s="1"/>
  <c r="S285" i="26"/>
  <c r="O286" i="26"/>
  <c r="P286" i="26"/>
  <c r="T286" i="26"/>
  <c r="U286" i="26"/>
  <c r="L287" i="26"/>
  <c r="L285" i="26" s="1"/>
  <c r="O285" i="26" s="1"/>
  <c r="M287" i="26"/>
  <c r="P287" i="26" s="1"/>
  <c r="N287" i="26"/>
  <c r="N285" i="26" s="1"/>
  <c r="T287" i="26"/>
  <c r="U287" i="26"/>
  <c r="Q288" i="26"/>
  <c r="T288" i="26" s="1"/>
  <c r="R288" i="26"/>
  <c r="U288" i="26" s="1"/>
  <c r="S288" i="26"/>
  <c r="O289" i="26"/>
  <c r="P289" i="26"/>
  <c r="T289" i="26"/>
  <c r="U289" i="26"/>
  <c r="L290" i="26"/>
  <c r="M290" i="26"/>
  <c r="N290" i="26"/>
  <c r="N288" i="26" s="1"/>
  <c r="T290" i="26"/>
  <c r="U290" i="26"/>
  <c r="I292" i="26"/>
  <c r="I281" i="26" s="1"/>
  <c r="K281" i="26" s="1"/>
  <c r="I293" i="26"/>
  <c r="I280" i="26" s="1"/>
  <c r="K280" i="26" s="1"/>
  <c r="J293" i="26"/>
  <c r="I295" i="26"/>
  <c r="K295" i="26" s="1"/>
  <c r="I296" i="26"/>
  <c r="K296" i="26" s="1"/>
  <c r="J302" i="26"/>
  <c r="L304" i="26"/>
  <c r="M304" i="26"/>
  <c r="P304" i="26" s="1"/>
  <c r="N304" i="26"/>
  <c r="O304" i="26"/>
  <c r="Q304" i="26"/>
  <c r="R304" i="26"/>
  <c r="S304" i="26"/>
  <c r="T304" i="26"/>
  <c r="U304" i="26"/>
  <c r="O307" i="26"/>
  <c r="P307" i="26"/>
  <c r="T307" i="26"/>
  <c r="U307" i="26"/>
  <c r="L308" i="26"/>
  <c r="M308" i="26"/>
  <c r="N308" i="26"/>
  <c r="N306" i="26" s="1"/>
  <c r="Q308" i="26"/>
  <c r="Q305" i="26" s="1"/>
  <c r="R308" i="26"/>
  <c r="R305" i="26" s="1"/>
  <c r="R303" i="26" s="1"/>
  <c r="S308" i="26"/>
  <c r="S305" i="26" s="1"/>
  <c r="Q309" i="26"/>
  <c r="R309" i="26"/>
  <c r="U309" i="26" s="1"/>
  <c r="S309" i="26"/>
  <c r="T309" i="26"/>
  <c r="O310" i="26"/>
  <c r="P310" i="26"/>
  <c r="T310" i="26"/>
  <c r="U310" i="26"/>
  <c r="L311" i="26"/>
  <c r="O311" i="26" s="1"/>
  <c r="M311" i="26"/>
  <c r="N311" i="26"/>
  <c r="N309" i="26" s="1"/>
  <c r="T311" i="26"/>
  <c r="U311" i="26"/>
  <c r="I314" i="26"/>
  <c r="I302" i="26" s="1"/>
  <c r="J319" i="26"/>
  <c r="L321" i="26"/>
  <c r="M321" i="26"/>
  <c r="N321" i="26"/>
  <c r="Q321" i="26"/>
  <c r="R321" i="26"/>
  <c r="S321" i="26"/>
  <c r="Q322" i="26"/>
  <c r="R322" i="26"/>
  <c r="S322" i="26"/>
  <c r="T322" i="26"/>
  <c r="U322" i="26"/>
  <c r="Q323" i="26"/>
  <c r="T323" i="26" s="1"/>
  <c r="R323" i="26"/>
  <c r="U323" i="26" s="1"/>
  <c r="S323" i="26"/>
  <c r="O324" i="26"/>
  <c r="P324" i="26"/>
  <c r="T324" i="26"/>
  <c r="U324" i="26"/>
  <c r="L325" i="26"/>
  <c r="M325" i="26"/>
  <c r="N325" i="26"/>
  <c r="N323" i="26" s="1"/>
  <c r="T325" i="26"/>
  <c r="U325" i="26"/>
  <c r="Q326" i="26"/>
  <c r="R326" i="26"/>
  <c r="S326" i="26"/>
  <c r="T326" i="26"/>
  <c r="U326" i="26"/>
  <c r="O327" i="26"/>
  <c r="P327" i="26"/>
  <c r="T327" i="26"/>
  <c r="U327" i="26"/>
  <c r="L328" i="26"/>
  <c r="M328" i="26"/>
  <c r="P328" i="26" s="1"/>
  <c r="N328" i="26"/>
  <c r="N326" i="26" s="1"/>
  <c r="T328" i="26"/>
  <c r="U328" i="26"/>
  <c r="I330" i="26"/>
  <c r="I319" i="26" s="1"/>
  <c r="K319" i="26" s="1"/>
  <c r="L334" i="26"/>
  <c r="M334" i="26"/>
  <c r="N334" i="26"/>
  <c r="O334" i="26"/>
  <c r="Q334" i="26"/>
  <c r="Q333" i="26" s="1"/>
  <c r="T333" i="26" s="1"/>
  <c r="R334" i="26"/>
  <c r="R333" i="26" s="1"/>
  <c r="U333" i="26" s="1"/>
  <c r="S334" i="26"/>
  <c r="U334" i="26"/>
  <c r="Q335" i="26"/>
  <c r="T335" i="26" s="1"/>
  <c r="R335" i="26"/>
  <c r="S335" i="26"/>
  <c r="U335" i="26"/>
  <c r="Q336" i="26"/>
  <c r="T336" i="26" s="1"/>
  <c r="R336" i="26"/>
  <c r="U336" i="26" s="1"/>
  <c r="S336" i="26"/>
  <c r="O337" i="26"/>
  <c r="P337" i="26"/>
  <c r="T337" i="26"/>
  <c r="U337" i="26"/>
  <c r="L338" i="26"/>
  <c r="M338" i="26"/>
  <c r="M336" i="26" s="1"/>
  <c r="N338" i="26"/>
  <c r="N336" i="26" s="1"/>
  <c r="T338" i="26"/>
  <c r="U338" i="26"/>
  <c r="Q339" i="26"/>
  <c r="T339" i="26" s="1"/>
  <c r="R339" i="26"/>
  <c r="S339" i="26"/>
  <c r="U339" i="26"/>
  <c r="O340" i="26"/>
  <c r="P340" i="26"/>
  <c r="T340" i="26"/>
  <c r="U340" i="26"/>
  <c r="L341" i="26"/>
  <c r="L339" i="26" s="1"/>
  <c r="O339" i="26" s="1"/>
  <c r="M341" i="26"/>
  <c r="N341" i="26"/>
  <c r="N339" i="26" s="1"/>
  <c r="T341" i="26"/>
  <c r="U341" i="26"/>
  <c r="I344" i="26"/>
  <c r="I332" i="26" s="1"/>
  <c r="J344" i="26"/>
  <c r="I346" i="26"/>
  <c r="J346" i="26"/>
  <c r="J347" i="26"/>
  <c r="J348" i="26"/>
  <c r="J349" i="26"/>
  <c r="D350" i="26"/>
  <c r="J352" i="26"/>
  <c r="J353" i="26"/>
  <c r="J354" i="26"/>
  <c r="L357" i="26"/>
  <c r="O357" i="26" s="1"/>
  <c r="M357" i="26"/>
  <c r="P357" i="26" s="1"/>
  <c r="N357" i="26"/>
  <c r="Q357" i="26"/>
  <c r="R357" i="26"/>
  <c r="U357" i="26" s="1"/>
  <c r="S357" i="26"/>
  <c r="Q358" i="26"/>
  <c r="R358" i="26"/>
  <c r="S358" i="26"/>
  <c r="T358" i="26"/>
  <c r="Q359" i="26"/>
  <c r="R359" i="26"/>
  <c r="U359" i="26" s="1"/>
  <c r="S359" i="26"/>
  <c r="T359" i="26"/>
  <c r="O360" i="26"/>
  <c r="P360" i="26"/>
  <c r="T360" i="26"/>
  <c r="U360" i="26"/>
  <c r="L361" i="26"/>
  <c r="L359" i="26" s="1"/>
  <c r="M361" i="26"/>
  <c r="M359" i="26" s="1"/>
  <c r="N361" i="26"/>
  <c r="T361" i="26"/>
  <c r="U361" i="26"/>
  <c r="Q362" i="26"/>
  <c r="T362" i="26" s="1"/>
  <c r="R362" i="26"/>
  <c r="U362" i="26" s="1"/>
  <c r="S362" i="26"/>
  <c r="O363" i="26"/>
  <c r="P363" i="26"/>
  <c r="T363" i="26"/>
  <c r="U363" i="26"/>
  <c r="L364" i="26"/>
  <c r="L362" i="26" s="1"/>
  <c r="O362" i="26" s="1"/>
  <c r="M364" i="26"/>
  <c r="M362" i="26" s="1"/>
  <c r="P362" i="26" s="1"/>
  <c r="N364" i="26"/>
  <c r="N362" i="26" s="1"/>
  <c r="T364" i="26"/>
  <c r="U364" i="26"/>
  <c r="J367" i="26"/>
  <c r="K367" i="26"/>
  <c r="I368" i="26"/>
  <c r="J368" i="26"/>
  <c r="I369" i="26"/>
  <c r="J369" i="26"/>
  <c r="J370" i="26"/>
  <c r="K370" i="26"/>
  <c r="I371" i="26"/>
  <c r="I365" i="26" s="1"/>
  <c r="J371" i="26"/>
  <c r="J365" i="26" s="1"/>
  <c r="J372" i="26"/>
  <c r="K372" i="26"/>
  <c r="D373" i="26"/>
  <c r="L376" i="26"/>
  <c r="M376" i="26"/>
  <c r="P376" i="26" s="1"/>
  <c r="N376" i="26"/>
  <c r="Q376" i="26"/>
  <c r="R376" i="26"/>
  <c r="S376" i="26"/>
  <c r="T376" i="26"/>
  <c r="O379" i="26"/>
  <c r="P379" i="26"/>
  <c r="T379" i="26"/>
  <c r="U379" i="26"/>
  <c r="L380" i="26"/>
  <c r="M380" i="26"/>
  <c r="N380" i="26"/>
  <c r="N378" i="26" s="1"/>
  <c r="Q380" i="26"/>
  <c r="Q378" i="26" s="1"/>
  <c r="R380" i="26"/>
  <c r="S380" i="26"/>
  <c r="Q381" i="26"/>
  <c r="R381" i="26"/>
  <c r="S381" i="26"/>
  <c r="T381" i="26"/>
  <c r="U381" i="26"/>
  <c r="O382" i="26"/>
  <c r="P382" i="26"/>
  <c r="T382" i="26"/>
  <c r="U382" i="26"/>
  <c r="L383" i="26"/>
  <c r="M383" i="26"/>
  <c r="P383" i="26" s="1"/>
  <c r="N383" i="26"/>
  <c r="N381" i="26" s="1"/>
  <c r="T383" i="26"/>
  <c r="U383" i="26"/>
  <c r="J385" i="26"/>
  <c r="K385" i="26"/>
  <c r="I386" i="26"/>
  <c r="J386" i="26"/>
  <c r="J387" i="26"/>
  <c r="K387" i="26"/>
  <c r="I388" i="26"/>
  <c r="K388" i="26" s="1"/>
  <c r="J388" i="26"/>
  <c r="I391" i="26"/>
  <c r="K391" i="26" s="1"/>
  <c r="J391" i="26"/>
  <c r="L393" i="26"/>
  <c r="M393" i="26"/>
  <c r="N393" i="26"/>
  <c r="Q393" i="26"/>
  <c r="R393" i="26"/>
  <c r="S393" i="26"/>
  <c r="T393" i="26"/>
  <c r="L394" i="26"/>
  <c r="O394" i="26" s="1"/>
  <c r="M394" i="26"/>
  <c r="N394" i="26"/>
  <c r="P394" i="26"/>
  <c r="L395" i="26"/>
  <c r="O395" i="26" s="1"/>
  <c r="M395" i="26"/>
  <c r="P395" i="26" s="1"/>
  <c r="N395" i="26"/>
  <c r="O396" i="26"/>
  <c r="P396" i="26"/>
  <c r="T396" i="26"/>
  <c r="U396" i="26"/>
  <c r="O397" i="26"/>
  <c r="P397" i="26"/>
  <c r="Q397" i="26"/>
  <c r="R397" i="26"/>
  <c r="S397" i="26"/>
  <c r="S395" i="26" s="1"/>
  <c r="L398" i="26"/>
  <c r="M398" i="26"/>
  <c r="P398" i="26" s="1"/>
  <c r="N398" i="26"/>
  <c r="O398" i="26"/>
  <c r="Q398" i="26"/>
  <c r="T398" i="26" s="1"/>
  <c r="R398" i="26"/>
  <c r="U398" i="26" s="1"/>
  <c r="S398" i="26"/>
  <c r="O399" i="26"/>
  <c r="P399" i="26"/>
  <c r="T399" i="26"/>
  <c r="U399" i="26"/>
  <c r="O400" i="26"/>
  <c r="P400" i="26"/>
  <c r="T400" i="26"/>
  <c r="U400" i="26"/>
  <c r="L414" i="26"/>
  <c r="M414" i="26"/>
  <c r="P414" i="26" s="1"/>
  <c r="N414" i="26"/>
  <c r="Q414" i="26"/>
  <c r="R414" i="26"/>
  <c r="S414" i="26"/>
  <c r="T414" i="26"/>
  <c r="O417" i="26"/>
  <c r="P417" i="26"/>
  <c r="T417" i="26"/>
  <c r="U417" i="26"/>
  <c r="L418" i="26"/>
  <c r="M418" i="26"/>
  <c r="M416" i="26" s="1"/>
  <c r="N418" i="26"/>
  <c r="Q418" i="26"/>
  <c r="R418" i="26"/>
  <c r="R415" i="26" s="1"/>
  <c r="S418" i="26"/>
  <c r="S415" i="26" s="1"/>
  <c r="Q419" i="26"/>
  <c r="T419" i="26" s="1"/>
  <c r="R419" i="26"/>
  <c r="U419" i="26" s="1"/>
  <c r="S419" i="26"/>
  <c r="O420" i="26"/>
  <c r="P420" i="26"/>
  <c r="T420" i="26"/>
  <c r="U420" i="26"/>
  <c r="L421" i="26"/>
  <c r="L419" i="26" s="1"/>
  <c r="O419" i="26" s="1"/>
  <c r="M421" i="26"/>
  <c r="P421" i="26" s="1"/>
  <c r="N421" i="26"/>
  <c r="N419" i="26" s="1"/>
  <c r="T421" i="26"/>
  <c r="U421" i="26"/>
  <c r="I424" i="26"/>
  <c r="K424" i="26" s="1"/>
  <c r="J424" i="26"/>
  <c r="I425" i="26"/>
  <c r="K425" i="26" s="1"/>
  <c r="J425" i="26"/>
  <c r="I432" i="26"/>
  <c r="K432" i="26" s="1"/>
  <c r="J432" i="26"/>
  <c r="I433" i="26"/>
  <c r="K433" i="26" s="1"/>
  <c r="J433" i="26"/>
  <c r="I440" i="26"/>
  <c r="K440" i="26" s="1"/>
  <c r="I441" i="26"/>
  <c r="K441" i="26" s="1"/>
  <c r="J441" i="26"/>
  <c r="J446" i="26"/>
  <c r="J440" i="26" s="1"/>
  <c r="J423" i="26" s="1"/>
  <c r="J412" i="26" s="1"/>
  <c r="J447" i="26"/>
  <c r="I457" i="26"/>
  <c r="I456" i="26" s="1"/>
  <c r="I458" i="26"/>
  <c r="K458" i="26" s="1"/>
  <c r="J459" i="26"/>
  <c r="J457" i="26" s="1"/>
  <c r="J460" i="26"/>
  <c r="J458" i="26" s="1"/>
  <c r="J467" i="26"/>
  <c r="J468" i="26"/>
  <c r="J475" i="26"/>
  <c r="K475" i="26"/>
  <c r="J476" i="26"/>
  <c r="K476" i="26"/>
  <c r="J477" i="26"/>
  <c r="K477" i="26"/>
  <c r="J482" i="26"/>
  <c r="J483" i="26"/>
  <c r="I484" i="26"/>
  <c r="J484" i="26"/>
  <c r="K484" i="26"/>
  <c r="I485" i="26"/>
  <c r="J485" i="26"/>
  <c r="K485" i="26"/>
  <c r="L494" i="26"/>
  <c r="M494" i="26"/>
  <c r="P494" i="26" s="1"/>
  <c r="N494" i="26"/>
  <c r="Q494" i="26"/>
  <c r="T494" i="26" s="1"/>
  <c r="R494" i="26"/>
  <c r="S494" i="26"/>
  <c r="O497" i="26"/>
  <c r="P497" i="26"/>
  <c r="T497" i="26"/>
  <c r="U497" i="26"/>
  <c r="L498" i="26"/>
  <c r="M498" i="26"/>
  <c r="N498" i="26"/>
  <c r="Q498" i="26"/>
  <c r="Q495" i="26" s="1"/>
  <c r="R498" i="26"/>
  <c r="S498" i="26"/>
  <c r="S495" i="26" s="1"/>
  <c r="Q499" i="26"/>
  <c r="T499" i="26" s="1"/>
  <c r="R499" i="26"/>
  <c r="S499" i="26"/>
  <c r="U499" i="26"/>
  <c r="O500" i="26"/>
  <c r="P500" i="26"/>
  <c r="T500" i="26"/>
  <c r="U500" i="26"/>
  <c r="L501" i="26"/>
  <c r="M501" i="26"/>
  <c r="P501" i="26" s="1"/>
  <c r="N501" i="26"/>
  <c r="N499" i="26" s="1"/>
  <c r="T501" i="26"/>
  <c r="U501" i="26"/>
  <c r="I503" i="26"/>
  <c r="I492" i="26" s="1"/>
  <c r="K492" i="26" s="1"/>
  <c r="I504" i="26"/>
  <c r="K504" i="26" s="1"/>
  <c r="I505" i="26"/>
  <c r="I506" i="26"/>
  <c r="K506" i="26" s="1"/>
  <c r="I507" i="26"/>
  <c r="K507" i="26" s="1"/>
  <c r="K508" i="26"/>
  <c r="I509" i="26"/>
  <c r="K509" i="26" s="1"/>
  <c r="I512" i="26"/>
  <c r="K512" i="26" s="1"/>
  <c r="J512" i="26"/>
  <c r="L514" i="26"/>
  <c r="M514" i="26"/>
  <c r="P514" i="26" s="1"/>
  <c r="N514" i="26"/>
  <c r="O514" i="26"/>
  <c r="Q514" i="26"/>
  <c r="Q513" i="26" s="1"/>
  <c r="T513" i="26" s="1"/>
  <c r="R514" i="26"/>
  <c r="S514" i="26"/>
  <c r="T514" i="26"/>
  <c r="U514" i="26"/>
  <c r="Q515" i="26"/>
  <c r="T515" i="26" s="1"/>
  <c r="R515" i="26"/>
  <c r="U515" i="26" s="1"/>
  <c r="S515" i="26"/>
  <c r="S513" i="26" s="1"/>
  <c r="Q516" i="26"/>
  <c r="T516" i="26" s="1"/>
  <c r="R516" i="26"/>
  <c r="U516" i="26" s="1"/>
  <c r="S516" i="26"/>
  <c r="O517" i="26"/>
  <c r="P517" i="26"/>
  <c r="T517" i="26"/>
  <c r="U517" i="26"/>
  <c r="L518" i="26"/>
  <c r="L516" i="26" s="1"/>
  <c r="O516" i="26" s="1"/>
  <c r="M518" i="26"/>
  <c r="M516" i="26" s="1"/>
  <c r="P516" i="26" s="1"/>
  <c r="N518" i="26"/>
  <c r="N516" i="26" s="1"/>
  <c r="T518" i="26"/>
  <c r="U518" i="26"/>
  <c r="Q519" i="26"/>
  <c r="T519" i="26" s="1"/>
  <c r="R519" i="26"/>
  <c r="U519" i="26" s="1"/>
  <c r="S519" i="26"/>
  <c r="O520" i="26"/>
  <c r="P520" i="26"/>
  <c r="T520" i="26"/>
  <c r="U520" i="26"/>
  <c r="L521" i="26"/>
  <c r="M521" i="26"/>
  <c r="N521" i="26"/>
  <c r="N519" i="26" s="1"/>
  <c r="T521" i="26"/>
  <c r="U521" i="26"/>
  <c r="K523" i="26"/>
  <c r="K524" i="26"/>
  <c r="I533" i="26"/>
  <c r="K533" i="26" s="1"/>
  <c r="J533" i="26"/>
  <c r="L535" i="26"/>
  <c r="M535" i="26"/>
  <c r="P535" i="26" s="1"/>
  <c r="N535" i="26"/>
  <c r="Q535" i="26"/>
  <c r="R535" i="26"/>
  <c r="S535" i="26"/>
  <c r="S534" i="26" s="1"/>
  <c r="Q536" i="26"/>
  <c r="T536" i="26" s="1"/>
  <c r="R536" i="26"/>
  <c r="U536" i="26" s="1"/>
  <c r="S536" i="26"/>
  <c r="Q537" i="26"/>
  <c r="T537" i="26" s="1"/>
  <c r="R537" i="26"/>
  <c r="S537" i="26"/>
  <c r="U537" i="26"/>
  <c r="O538" i="26"/>
  <c r="P538" i="26"/>
  <c r="T538" i="26"/>
  <c r="U538" i="26"/>
  <c r="L539" i="26"/>
  <c r="M539" i="26"/>
  <c r="M537" i="26" s="1"/>
  <c r="P537" i="26" s="1"/>
  <c r="N539" i="26"/>
  <c r="N537" i="26" s="1"/>
  <c r="T539" i="26"/>
  <c r="U539" i="26"/>
  <c r="Q540" i="26"/>
  <c r="T540" i="26" s="1"/>
  <c r="R540" i="26"/>
  <c r="U540" i="26" s="1"/>
  <c r="S540" i="26"/>
  <c r="O541" i="26"/>
  <c r="P541" i="26"/>
  <c r="T541" i="26"/>
  <c r="U541" i="26"/>
  <c r="L542" i="26"/>
  <c r="M542" i="26"/>
  <c r="M540" i="26" s="1"/>
  <c r="P540" i="26" s="1"/>
  <c r="N542" i="26"/>
  <c r="N540" i="26" s="1"/>
  <c r="T542" i="26"/>
  <c r="U542" i="26"/>
  <c r="I554" i="26"/>
  <c r="J554" i="26"/>
  <c r="K554" i="26"/>
  <c r="L556" i="26"/>
  <c r="M556" i="26"/>
  <c r="P556" i="26" s="1"/>
  <c r="N556" i="26"/>
  <c r="Q556" i="26"/>
  <c r="R556" i="26"/>
  <c r="S556" i="26"/>
  <c r="S555" i="26" s="1"/>
  <c r="T556" i="26"/>
  <c r="Q557" i="26"/>
  <c r="R557" i="26"/>
  <c r="U557" i="26" s="1"/>
  <c r="S557" i="26"/>
  <c r="Q558" i="26"/>
  <c r="T558" i="26" s="1"/>
  <c r="R558" i="26"/>
  <c r="U558" i="26" s="1"/>
  <c r="S558" i="26"/>
  <c r="O559" i="26"/>
  <c r="P559" i="26"/>
  <c r="T559" i="26"/>
  <c r="U559" i="26"/>
  <c r="L560" i="26"/>
  <c r="L558" i="26" s="1"/>
  <c r="O558" i="26" s="1"/>
  <c r="M560" i="26"/>
  <c r="P560" i="26" s="1"/>
  <c r="N560" i="26"/>
  <c r="N558" i="26" s="1"/>
  <c r="T560" i="26"/>
  <c r="U560" i="26"/>
  <c r="Q561" i="26"/>
  <c r="T561" i="26" s="1"/>
  <c r="R561" i="26"/>
  <c r="U561" i="26" s="1"/>
  <c r="S561" i="26"/>
  <c r="O562" i="26"/>
  <c r="P562" i="26"/>
  <c r="T562" i="26"/>
  <c r="U562" i="26"/>
  <c r="L563" i="26"/>
  <c r="O563" i="26" s="1"/>
  <c r="M563" i="26"/>
  <c r="P563" i="26" s="1"/>
  <c r="N563" i="26"/>
  <c r="N561" i="26" s="1"/>
  <c r="T563" i="26"/>
  <c r="U563" i="26"/>
  <c r="I575" i="26"/>
  <c r="J575" i="26"/>
  <c r="L577" i="26"/>
  <c r="O577" i="26" s="1"/>
  <c r="M577" i="26"/>
  <c r="N577" i="26"/>
  <c r="Q577" i="26"/>
  <c r="R577" i="26"/>
  <c r="S577" i="26"/>
  <c r="S576" i="26" s="1"/>
  <c r="Q578" i="26"/>
  <c r="T578" i="26" s="1"/>
  <c r="R578" i="26"/>
  <c r="U578" i="26" s="1"/>
  <c r="S578" i="26"/>
  <c r="Q579" i="26"/>
  <c r="T579" i="26" s="1"/>
  <c r="R579" i="26"/>
  <c r="S579" i="26"/>
  <c r="U579" i="26"/>
  <c r="O580" i="26"/>
  <c r="P580" i="26"/>
  <c r="T580" i="26"/>
  <c r="U580" i="26"/>
  <c r="L581" i="26"/>
  <c r="M581" i="26"/>
  <c r="M579" i="26" s="1"/>
  <c r="N581" i="26"/>
  <c r="N579" i="26" s="1"/>
  <c r="T581" i="26"/>
  <c r="U581" i="26"/>
  <c r="Q582" i="26"/>
  <c r="T582" i="26" s="1"/>
  <c r="R582" i="26"/>
  <c r="U582" i="26" s="1"/>
  <c r="S582" i="26"/>
  <c r="O583" i="26"/>
  <c r="P583" i="26"/>
  <c r="T583" i="26"/>
  <c r="U583" i="26"/>
  <c r="L584" i="26"/>
  <c r="M584" i="26"/>
  <c r="P584" i="26" s="1"/>
  <c r="N584" i="26"/>
  <c r="N582" i="26" s="1"/>
  <c r="T584" i="26"/>
  <c r="U584" i="26"/>
  <c r="K586" i="26"/>
  <c r="K587" i="26"/>
  <c r="L600" i="26"/>
  <c r="M600" i="26"/>
  <c r="N600" i="26"/>
  <c r="O600" i="26"/>
  <c r="Q600" i="26"/>
  <c r="R600" i="26"/>
  <c r="S600" i="26"/>
  <c r="T600" i="26"/>
  <c r="U600" i="26"/>
  <c r="O603" i="26"/>
  <c r="P603" i="26"/>
  <c r="T603" i="26"/>
  <c r="U603" i="26"/>
  <c r="L604" i="26"/>
  <c r="L602" i="26" s="1"/>
  <c r="O602" i="26" s="1"/>
  <c r="M604" i="26"/>
  <c r="P604" i="26" s="1"/>
  <c r="N604" i="26"/>
  <c r="Q604" i="26"/>
  <c r="Q602" i="26" s="1"/>
  <c r="T602" i="26" s="1"/>
  <c r="R604" i="26"/>
  <c r="R602" i="26" s="1"/>
  <c r="U602" i="26" s="1"/>
  <c r="S604" i="26"/>
  <c r="O606" i="26"/>
  <c r="P606" i="26"/>
  <c r="T606" i="26"/>
  <c r="U606" i="26"/>
  <c r="L607" i="26"/>
  <c r="M607" i="26"/>
  <c r="N607" i="26"/>
  <c r="N605" i="26" s="1"/>
  <c r="Q607" i="26"/>
  <c r="T607" i="26" s="1"/>
  <c r="R607" i="26"/>
  <c r="S607" i="26"/>
  <c r="S605" i="26" s="1"/>
  <c r="L617" i="26"/>
  <c r="M617" i="26"/>
  <c r="N617" i="26"/>
  <c r="P617" i="26"/>
  <c r="Q617" i="26"/>
  <c r="T617" i="26" s="1"/>
  <c r="R617" i="26"/>
  <c r="S617" i="26"/>
  <c r="L618" i="26"/>
  <c r="O618" i="26" s="1"/>
  <c r="M618" i="26"/>
  <c r="P618" i="26" s="1"/>
  <c r="N618" i="26"/>
  <c r="N616" i="26" s="1"/>
  <c r="L619" i="26"/>
  <c r="M619" i="26"/>
  <c r="N619" i="26"/>
  <c r="O619" i="26"/>
  <c r="P619" i="26"/>
  <c r="O620" i="26"/>
  <c r="P620" i="26"/>
  <c r="T620" i="26"/>
  <c r="U620" i="26"/>
  <c r="O621" i="26"/>
  <c r="P621" i="26"/>
  <c r="Q621" i="26"/>
  <c r="Q619" i="26" s="1"/>
  <c r="R621" i="26"/>
  <c r="R619" i="26" s="1"/>
  <c r="S621" i="26"/>
  <c r="S619" i="26" s="1"/>
  <c r="L622" i="26"/>
  <c r="O622" i="26" s="1"/>
  <c r="M622" i="26"/>
  <c r="P622" i="26" s="1"/>
  <c r="N622" i="26"/>
  <c r="Q622" i="26"/>
  <c r="T622" i="26" s="1"/>
  <c r="R622" i="26"/>
  <c r="U622" i="26" s="1"/>
  <c r="S622" i="26"/>
  <c r="O623" i="26"/>
  <c r="P623" i="26"/>
  <c r="T623" i="26"/>
  <c r="U623" i="26"/>
  <c r="O624" i="26"/>
  <c r="P624" i="26"/>
  <c r="T624" i="26"/>
  <c r="U624" i="26"/>
  <c r="I626" i="26"/>
  <c r="I615" i="26" s="1"/>
  <c r="K615" i="26" s="1"/>
  <c r="I627" i="26"/>
  <c r="K627" i="26" s="1"/>
  <c r="I628" i="26"/>
  <c r="K628" i="26" s="1"/>
  <c r="J632" i="26"/>
  <c r="J626" i="26" s="1"/>
  <c r="J615" i="26" s="1"/>
  <c r="I635" i="26"/>
  <c r="K635" i="26" s="1"/>
  <c r="J635" i="26"/>
  <c r="J636" i="26"/>
  <c r="L643" i="26"/>
  <c r="M643" i="26"/>
  <c r="P643" i="26" s="1"/>
  <c r="N643" i="26"/>
  <c r="Q643" i="26"/>
  <c r="R643" i="26"/>
  <c r="S643" i="26"/>
  <c r="L644" i="26"/>
  <c r="O644" i="26" s="1"/>
  <c r="M644" i="26"/>
  <c r="P644" i="26" s="1"/>
  <c r="N644" i="26"/>
  <c r="L645" i="26"/>
  <c r="M645" i="26"/>
  <c r="P645" i="26" s="1"/>
  <c r="N645" i="26"/>
  <c r="O645" i="26"/>
  <c r="O646" i="26"/>
  <c r="P646" i="26"/>
  <c r="T646" i="26"/>
  <c r="U646" i="26"/>
  <c r="O647" i="26"/>
  <c r="P647" i="26"/>
  <c r="Q647" i="26"/>
  <c r="Q645" i="26" s="1"/>
  <c r="T645" i="26" s="1"/>
  <c r="R647" i="26"/>
  <c r="S647" i="26"/>
  <c r="L648" i="26"/>
  <c r="O648" i="26" s="1"/>
  <c r="M648" i="26"/>
  <c r="P648" i="26" s="1"/>
  <c r="N648" i="26"/>
  <c r="Q648" i="26"/>
  <c r="T648" i="26" s="1"/>
  <c r="R648" i="26"/>
  <c r="U648" i="26" s="1"/>
  <c r="S648" i="26"/>
  <c r="O649" i="26"/>
  <c r="P649" i="26"/>
  <c r="T649" i="26"/>
  <c r="U649" i="26"/>
  <c r="O650" i="26"/>
  <c r="P650" i="26"/>
  <c r="T650" i="26"/>
  <c r="U650" i="26"/>
  <c r="I652" i="26"/>
  <c r="K652" i="26" s="1"/>
  <c r="J652" i="26"/>
  <c r="I653" i="26"/>
  <c r="K653" i="26" s="1"/>
  <c r="J653" i="26"/>
  <c r="I654" i="26"/>
  <c r="K654" i="26" s="1"/>
  <c r="J654" i="26"/>
  <c r="I657" i="26"/>
  <c r="I660" i="26"/>
  <c r="I661" i="26"/>
  <c r="K661" i="26" s="1"/>
  <c r="J661" i="26"/>
  <c r="J671" i="26"/>
  <c r="J672" i="26"/>
  <c r="I673" i="26"/>
  <c r="K673" i="26" s="1"/>
  <c r="J673" i="26"/>
  <c r="I674" i="26"/>
  <c r="K674" i="26" s="1"/>
  <c r="I675" i="26"/>
  <c r="K675" i="26" s="1"/>
  <c r="I676" i="26"/>
  <c r="K676" i="26" s="1"/>
  <c r="J676" i="26"/>
  <c r="J677" i="26"/>
  <c r="I678" i="26"/>
  <c r="K678" i="26" s="1"/>
  <c r="J678" i="26"/>
  <c r="I679" i="26"/>
  <c r="K679" i="26" s="1"/>
  <c r="J679" i="26"/>
  <c r="J680" i="26"/>
  <c r="I681" i="26"/>
  <c r="K681" i="26" s="1"/>
  <c r="J681" i="26"/>
  <c r="I682" i="26"/>
  <c r="K682" i="26" s="1"/>
  <c r="J682" i="26"/>
  <c r="L691" i="26"/>
  <c r="M691" i="26"/>
  <c r="P691" i="26" s="1"/>
  <c r="N691" i="26"/>
  <c r="Q691" i="26"/>
  <c r="R691" i="26"/>
  <c r="S691" i="26"/>
  <c r="L692" i="26"/>
  <c r="O692" i="26" s="1"/>
  <c r="M692" i="26"/>
  <c r="P692" i="26" s="1"/>
  <c r="N692" i="26"/>
  <c r="N690" i="26" s="1"/>
  <c r="L693" i="26"/>
  <c r="O693" i="26" s="1"/>
  <c r="M693" i="26"/>
  <c r="P693" i="26" s="1"/>
  <c r="N693" i="26"/>
  <c r="O694" i="26"/>
  <c r="P694" i="26"/>
  <c r="T694" i="26"/>
  <c r="U694" i="26"/>
  <c r="O695" i="26"/>
  <c r="P695" i="26"/>
  <c r="Q695" i="26"/>
  <c r="Q693" i="26" s="1"/>
  <c r="R695" i="26"/>
  <c r="R693" i="26" s="1"/>
  <c r="S695" i="26"/>
  <c r="S693" i="26" s="1"/>
  <c r="L696" i="26"/>
  <c r="O696" i="26" s="1"/>
  <c r="M696" i="26"/>
  <c r="P696" i="26" s="1"/>
  <c r="N696" i="26"/>
  <c r="Q696" i="26"/>
  <c r="T696" i="26" s="1"/>
  <c r="R696" i="26"/>
  <c r="U696" i="26" s="1"/>
  <c r="S696" i="26"/>
  <c r="O697" i="26"/>
  <c r="P697" i="26"/>
  <c r="T697" i="26"/>
  <c r="U697" i="26"/>
  <c r="O698" i="26"/>
  <c r="P698" i="26"/>
  <c r="T698" i="26"/>
  <c r="U698" i="26"/>
  <c r="I700" i="26"/>
  <c r="K700" i="26" s="1"/>
  <c r="K702" i="26"/>
  <c r="I703" i="26"/>
  <c r="J703" i="26"/>
  <c r="J704" i="26"/>
  <c r="K704" i="26"/>
  <c r="I705" i="26"/>
  <c r="J705" i="26"/>
  <c r="J706" i="26"/>
  <c r="K706" i="26"/>
  <c r="I707" i="26"/>
  <c r="I689" i="26" s="1"/>
  <c r="J707" i="26"/>
  <c r="J689" i="26" s="1"/>
  <c r="J708" i="26"/>
  <c r="K708" i="26"/>
  <c r="I709" i="26"/>
  <c r="J709" i="26"/>
  <c r="J710" i="26"/>
  <c r="K710" i="26"/>
  <c r="J712" i="26"/>
  <c r="K712" i="26"/>
  <c r="S714" i="26"/>
  <c r="L715" i="26"/>
  <c r="O715" i="26" s="1"/>
  <c r="M715" i="26"/>
  <c r="N715" i="26"/>
  <c r="P715" i="26"/>
  <c r="Q715" i="26"/>
  <c r="T715" i="26" s="1"/>
  <c r="R715" i="26"/>
  <c r="S715" i="26"/>
  <c r="L716" i="26"/>
  <c r="M716" i="26"/>
  <c r="N716" i="26"/>
  <c r="Q716" i="26"/>
  <c r="T716" i="26" s="1"/>
  <c r="R716" i="26"/>
  <c r="U716" i="26" s="1"/>
  <c r="S716" i="26"/>
  <c r="L717" i="26"/>
  <c r="O717" i="26" s="1"/>
  <c r="M717" i="26"/>
  <c r="P717" i="26" s="1"/>
  <c r="N717" i="26"/>
  <c r="Q717" i="26"/>
  <c r="T717" i="26" s="1"/>
  <c r="R717" i="26"/>
  <c r="U717" i="26" s="1"/>
  <c r="S717" i="26"/>
  <c r="O718" i="26"/>
  <c r="P718" i="26"/>
  <c r="T718" i="26"/>
  <c r="U718" i="26"/>
  <c r="O719" i="26"/>
  <c r="P719" i="26"/>
  <c r="T719" i="26"/>
  <c r="U719" i="26"/>
  <c r="L720" i="26"/>
  <c r="O720" i="26" s="1"/>
  <c r="M720" i="26"/>
  <c r="P720" i="26" s="1"/>
  <c r="N720" i="26"/>
  <c r="Q720" i="26"/>
  <c r="R720" i="26"/>
  <c r="U720" i="26" s="1"/>
  <c r="S720" i="26"/>
  <c r="T720" i="26"/>
  <c r="O721" i="26"/>
  <c r="P721" i="26"/>
  <c r="T721" i="26"/>
  <c r="U721" i="26"/>
  <c r="O722" i="26"/>
  <c r="P722" i="26"/>
  <c r="T722" i="26"/>
  <c r="U722" i="26"/>
  <c r="I726" i="26"/>
  <c r="K726" i="26" s="1"/>
  <c r="J726" i="26"/>
  <c r="I727" i="26"/>
  <c r="K727" i="26" s="1"/>
  <c r="J727" i="26"/>
  <c r="L729" i="26"/>
  <c r="O729" i="26" s="1"/>
  <c r="M729" i="26"/>
  <c r="P729" i="26" s="1"/>
  <c r="N729" i="26"/>
  <c r="N728" i="26" s="1"/>
  <c r="Q729" i="26"/>
  <c r="R729" i="26"/>
  <c r="U729" i="26" s="1"/>
  <c r="S729" i="26"/>
  <c r="T729" i="26"/>
  <c r="L730" i="26"/>
  <c r="M730" i="26"/>
  <c r="N730" i="26"/>
  <c r="O730" i="26"/>
  <c r="P730" i="26"/>
  <c r="L731" i="26"/>
  <c r="O731" i="26" s="1"/>
  <c r="M731" i="26"/>
  <c r="P731" i="26" s="1"/>
  <c r="N731" i="26"/>
  <c r="O732" i="26"/>
  <c r="P732" i="26"/>
  <c r="T732" i="26"/>
  <c r="U732" i="26"/>
  <c r="O733" i="26"/>
  <c r="P733" i="26"/>
  <c r="Q733" i="26"/>
  <c r="Q730" i="26" s="1"/>
  <c r="Q728" i="26" s="1"/>
  <c r="R733" i="26"/>
  <c r="R730" i="26" s="1"/>
  <c r="S733" i="26"/>
  <c r="S730" i="26" s="1"/>
  <c r="L734" i="26"/>
  <c r="M734" i="26"/>
  <c r="P734" i="26" s="1"/>
  <c r="N734" i="26"/>
  <c r="O734" i="26"/>
  <c r="Q734" i="26"/>
  <c r="R734" i="26"/>
  <c r="S734" i="26"/>
  <c r="T734" i="26"/>
  <c r="U734" i="26"/>
  <c r="O735" i="26"/>
  <c r="P735" i="26"/>
  <c r="T735" i="26"/>
  <c r="U735" i="26"/>
  <c r="O736" i="26"/>
  <c r="P736" i="26"/>
  <c r="T736" i="26"/>
  <c r="U736" i="26"/>
  <c r="I740" i="26"/>
  <c r="K740" i="26" s="1"/>
  <c r="I742" i="26"/>
  <c r="K742" i="26" s="1"/>
  <c r="I744" i="26"/>
  <c r="K744" i="26" s="1"/>
  <c r="I746" i="26"/>
  <c r="K746" i="26" s="1"/>
  <c r="I749" i="26"/>
  <c r="K749" i="26" s="1"/>
  <c r="I752" i="26"/>
  <c r="K752" i="26" s="1"/>
  <c r="I755" i="26"/>
  <c r="K755" i="26" s="1"/>
  <c r="J758" i="26"/>
  <c r="J759" i="26"/>
  <c r="L761" i="26"/>
  <c r="M761" i="26"/>
  <c r="N761" i="26"/>
  <c r="O761" i="26"/>
  <c r="P761" i="26"/>
  <c r="Q761" i="26"/>
  <c r="R761" i="26"/>
  <c r="S761" i="26"/>
  <c r="U761" i="26"/>
  <c r="L762" i="26"/>
  <c r="O762" i="26" s="1"/>
  <c r="M762" i="26"/>
  <c r="M760" i="26" s="1"/>
  <c r="P760" i="26" s="1"/>
  <c r="N762" i="26"/>
  <c r="N760" i="26" s="1"/>
  <c r="L763" i="26"/>
  <c r="O763" i="26" s="1"/>
  <c r="M763" i="26"/>
  <c r="P763" i="26" s="1"/>
  <c r="N763" i="26"/>
  <c r="O764" i="26"/>
  <c r="P764" i="26"/>
  <c r="T764" i="26"/>
  <c r="U764" i="26"/>
  <c r="O765" i="26"/>
  <c r="P765" i="26"/>
  <c r="Q765" i="26"/>
  <c r="Q763" i="26" s="1"/>
  <c r="T763" i="26" s="1"/>
  <c r="R765" i="26"/>
  <c r="S765" i="26"/>
  <c r="L766" i="26"/>
  <c r="M766" i="26"/>
  <c r="P766" i="26" s="1"/>
  <c r="N766" i="26"/>
  <c r="O766" i="26"/>
  <c r="Q766" i="26"/>
  <c r="T766" i="26" s="1"/>
  <c r="R766" i="26"/>
  <c r="U766" i="26" s="1"/>
  <c r="S766" i="26"/>
  <c r="O767" i="26"/>
  <c r="P767" i="26"/>
  <c r="T767" i="26"/>
  <c r="U767" i="26"/>
  <c r="O768" i="26"/>
  <c r="P768" i="26"/>
  <c r="T768" i="26"/>
  <c r="U768" i="26"/>
  <c r="I770" i="26"/>
  <c r="K770" i="26" s="1"/>
  <c r="I772" i="26"/>
  <c r="I758" i="26" s="1"/>
  <c r="K758" i="26" s="1"/>
  <c r="I774" i="26"/>
  <c r="I775" i="26"/>
  <c r="I776" i="26"/>
  <c r="H777" i="26"/>
  <c r="I778" i="26"/>
  <c r="J778" i="26"/>
  <c r="I779" i="26"/>
  <c r="J779" i="26"/>
  <c r="I780" i="26"/>
  <c r="J780" i="26"/>
  <c r="I781" i="26"/>
  <c r="J781" i="26"/>
  <c r="I782" i="26"/>
  <c r="J782" i="26"/>
  <c r="I783" i="26"/>
  <c r="J783" i="26"/>
  <c r="I784" i="26"/>
  <c r="J784" i="26"/>
  <c r="I785" i="26"/>
  <c r="J785" i="26"/>
  <c r="A788" i="26"/>
  <c r="A789" i="26"/>
  <c r="L22" i="25"/>
  <c r="O22" i="25" s="1"/>
  <c r="M22" i="25"/>
  <c r="N22" i="25"/>
  <c r="Q22" i="25"/>
  <c r="T22" i="25" s="1"/>
  <c r="R22" i="25"/>
  <c r="S22" i="25"/>
  <c r="L25" i="25"/>
  <c r="M25" i="25"/>
  <c r="N25" i="25"/>
  <c r="O25" i="25"/>
  <c r="Q25" i="25"/>
  <c r="T25" i="25" s="1"/>
  <c r="R25" i="25"/>
  <c r="U25" i="25" s="1"/>
  <c r="S25" i="25"/>
  <c r="R44" i="25"/>
  <c r="U44" i="25" s="1"/>
  <c r="L45" i="25"/>
  <c r="O45" i="25" s="1"/>
  <c r="M45" i="25"/>
  <c r="P45" i="25" s="1"/>
  <c r="N45" i="25"/>
  <c r="Q45" i="25"/>
  <c r="R45" i="25"/>
  <c r="U45" i="25" s="1"/>
  <c r="S45" i="25"/>
  <c r="T45" i="25"/>
  <c r="Q46" i="25"/>
  <c r="R46" i="25"/>
  <c r="U46" i="25" s="1"/>
  <c r="S46" i="25"/>
  <c r="T46" i="25"/>
  <c r="Q47" i="25"/>
  <c r="T47" i="25" s="1"/>
  <c r="R47" i="25"/>
  <c r="U47" i="25" s="1"/>
  <c r="S47" i="25"/>
  <c r="O48" i="25"/>
  <c r="P48" i="25"/>
  <c r="T48" i="25"/>
  <c r="U48" i="25"/>
  <c r="L49" i="25"/>
  <c r="L47" i="25" s="1"/>
  <c r="M49" i="25"/>
  <c r="M47" i="25" s="1"/>
  <c r="N49" i="25"/>
  <c r="N47" i="25" s="1"/>
  <c r="T49" i="25"/>
  <c r="U49" i="25"/>
  <c r="Q50" i="25"/>
  <c r="T50" i="25" s="1"/>
  <c r="R50" i="25"/>
  <c r="U50" i="25" s="1"/>
  <c r="S50" i="25"/>
  <c r="O51" i="25"/>
  <c r="P51" i="25"/>
  <c r="T51" i="25"/>
  <c r="U51" i="25"/>
  <c r="L52" i="25"/>
  <c r="M52" i="25"/>
  <c r="N52" i="25"/>
  <c r="T52" i="25"/>
  <c r="U52" i="25"/>
  <c r="L60" i="25"/>
  <c r="O60" i="25" s="1"/>
  <c r="M60" i="25"/>
  <c r="N60" i="25"/>
  <c r="P60" i="25"/>
  <c r="Q60" i="25"/>
  <c r="R60" i="25"/>
  <c r="U60" i="25" s="1"/>
  <c r="S60" i="25"/>
  <c r="Q61" i="25"/>
  <c r="R61" i="25"/>
  <c r="U61" i="25" s="1"/>
  <c r="S61" i="25"/>
  <c r="S59" i="25" s="1"/>
  <c r="T61" i="25"/>
  <c r="Q62" i="25"/>
  <c r="R62" i="25"/>
  <c r="U62" i="25" s="1"/>
  <c r="S62" i="25"/>
  <c r="T62" i="25"/>
  <c r="O63" i="25"/>
  <c r="P63" i="25"/>
  <c r="T63" i="25"/>
  <c r="U63" i="25"/>
  <c r="L64" i="25"/>
  <c r="M64" i="25"/>
  <c r="N64" i="25"/>
  <c r="N62" i="25" s="1"/>
  <c r="T64" i="25"/>
  <c r="U64" i="25"/>
  <c r="Q65" i="25"/>
  <c r="T65" i="25" s="1"/>
  <c r="R65" i="25"/>
  <c r="U65" i="25" s="1"/>
  <c r="S65" i="25"/>
  <c r="O66" i="25"/>
  <c r="P66" i="25"/>
  <c r="T66" i="25"/>
  <c r="U66" i="25"/>
  <c r="L67" i="25"/>
  <c r="M67" i="25"/>
  <c r="N67" i="25"/>
  <c r="N65" i="25" s="1"/>
  <c r="T67" i="25"/>
  <c r="U67" i="25"/>
  <c r="L73" i="25"/>
  <c r="O73" i="25" s="1"/>
  <c r="M73" i="25"/>
  <c r="P73" i="25" s="1"/>
  <c r="N73" i="25"/>
  <c r="Q73" i="25"/>
  <c r="R73" i="25"/>
  <c r="U73" i="25" s="1"/>
  <c r="S73" i="25"/>
  <c r="T73" i="25"/>
  <c r="O76" i="25"/>
  <c r="P76" i="25"/>
  <c r="T76" i="25"/>
  <c r="U76" i="25"/>
  <c r="L77" i="25"/>
  <c r="M77" i="25"/>
  <c r="M75" i="25" s="1"/>
  <c r="P75" i="25" s="1"/>
  <c r="N77" i="25"/>
  <c r="N75" i="25" s="1"/>
  <c r="Q77" i="25"/>
  <c r="T77" i="25" s="1"/>
  <c r="R77" i="25"/>
  <c r="S77" i="25"/>
  <c r="S75" i="25" s="1"/>
  <c r="O79" i="25"/>
  <c r="P79" i="25"/>
  <c r="T79" i="25"/>
  <c r="U79" i="25"/>
  <c r="L80" i="25"/>
  <c r="O80" i="25" s="1"/>
  <c r="M80" i="25"/>
  <c r="N80" i="25"/>
  <c r="N78" i="25" s="1"/>
  <c r="Q80" i="25"/>
  <c r="T80" i="25" s="1"/>
  <c r="R80" i="25"/>
  <c r="R78" i="25" s="1"/>
  <c r="U78" i="25" s="1"/>
  <c r="S80" i="25"/>
  <c r="S78" i="25" s="1"/>
  <c r="J82" i="25"/>
  <c r="J70" i="25" s="1"/>
  <c r="J83" i="25"/>
  <c r="J71" i="25" s="1"/>
  <c r="I84" i="25"/>
  <c r="K84" i="25" s="1"/>
  <c r="I85" i="25"/>
  <c r="I86" i="25"/>
  <c r="K86" i="25" s="1"/>
  <c r="I87" i="25"/>
  <c r="K87" i="25" s="1"/>
  <c r="I88" i="25"/>
  <c r="K88" i="25" s="1"/>
  <c r="I89" i="25"/>
  <c r="K89" i="25" s="1"/>
  <c r="I90" i="25"/>
  <c r="K90" i="25" s="1"/>
  <c r="J92" i="25"/>
  <c r="J93" i="25"/>
  <c r="L95" i="25"/>
  <c r="M95" i="25"/>
  <c r="P95" i="25" s="1"/>
  <c r="N95" i="25"/>
  <c r="Q95" i="25"/>
  <c r="R95" i="25"/>
  <c r="S95" i="25"/>
  <c r="T95" i="25"/>
  <c r="O98" i="25"/>
  <c r="P98" i="25"/>
  <c r="T98" i="25"/>
  <c r="U98" i="25"/>
  <c r="L99" i="25"/>
  <c r="M99" i="25"/>
  <c r="N99" i="25"/>
  <c r="Q99" i="25"/>
  <c r="Q97" i="25" s="1"/>
  <c r="R99" i="25"/>
  <c r="S99" i="25"/>
  <c r="Q100" i="25"/>
  <c r="T100" i="25" s="1"/>
  <c r="R100" i="25"/>
  <c r="U100" i="25" s="1"/>
  <c r="S100" i="25"/>
  <c r="O101" i="25"/>
  <c r="P101" i="25"/>
  <c r="T101" i="25"/>
  <c r="U101" i="25"/>
  <c r="L102" i="25"/>
  <c r="O102" i="25" s="1"/>
  <c r="M102" i="25"/>
  <c r="M100" i="25" s="1"/>
  <c r="P100" i="25" s="1"/>
  <c r="N102" i="25"/>
  <c r="N100" i="25" s="1"/>
  <c r="T102" i="25"/>
  <c r="U102" i="25"/>
  <c r="I108" i="25"/>
  <c r="I109" i="25"/>
  <c r="I93" i="25" s="1"/>
  <c r="K93" i="25" s="1"/>
  <c r="I113" i="25"/>
  <c r="K113" i="25" s="1"/>
  <c r="I114" i="25"/>
  <c r="K114" i="25" s="1"/>
  <c r="J116" i="25"/>
  <c r="L118" i="25"/>
  <c r="O118" i="25" s="1"/>
  <c r="M118" i="25"/>
  <c r="N118" i="25"/>
  <c r="Q118" i="25"/>
  <c r="R118" i="25"/>
  <c r="U118" i="25" s="1"/>
  <c r="S118" i="25"/>
  <c r="T118" i="25"/>
  <c r="O121" i="25"/>
  <c r="P121" i="25"/>
  <c r="T121" i="25"/>
  <c r="U121" i="25"/>
  <c r="L122" i="25"/>
  <c r="M122" i="25"/>
  <c r="P122" i="25" s="1"/>
  <c r="N122" i="25"/>
  <c r="N120" i="25" s="1"/>
  <c r="Q122" i="25"/>
  <c r="R122" i="25"/>
  <c r="S122" i="25"/>
  <c r="O124" i="25"/>
  <c r="P124" i="25"/>
  <c r="T124" i="25"/>
  <c r="U124" i="25"/>
  <c r="L125" i="25"/>
  <c r="M125" i="25"/>
  <c r="M123" i="25" s="1"/>
  <c r="P123" i="25" s="1"/>
  <c r="N125" i="25"/>
  <c r="N123" i="25" s="1"/>
  <c r="Q125" i="25"/>
  <c r="Q123" i="25" s="1"/>
  <c r="T123" i="25" s="1"/>
  <c r="R125" i="25"/>
  <c r="S125" i="25"/>
  <c r="S123" i="25" s="1"/>
  <c r="I127" i="25"/>
  <c r="I116" i="25" s="1"/>
  <c r="K116" i="25" s="1"/>
  <c r="I128" i="25"/>
  <c r="K128" i="25" s="1"/>
  <c r="I129" i="25"/>
  <c r="K129" i="25" s="1"/>
  <c r="I130" i="25"/>
  <c r="K130" i="25" s="1"/>
  <c r="J136" i="25"/>
  <c r="J137" i="25"/>
  <c r="J138" i="25"/>
  <c r="L140" i="25"/>
  <c r="M140" i="25"/>
  <c r="P140" i="25" s="1"/>
  <c r="N140" i="25"/>
  <c r="O140" i="25"/>
  <c r="Q140" i="25"/>
  <c r="R140" i="25"/>
  <c r="S140" i="25"/>
  <c r="U140" i="25"/>
  <c r="O143" i="25"/>
  <c r="P143" i="25"/>
  <c r="T143" i="25"/>
  <c r="U143" i="25"/>
  <c r="L144" i="25"/>
  <c r="O144" i="25" s="1"/>
  <c r="M144" i="25"/>
  <c r="N144" i="25"/>
  <c r="Q144" i="25"/>
  <c r="T144" i="25" s="1"/>
  <c r="R144" i="25"/>
  <c r="S144" i="25"/>
  <c r="S142" i="25" s="1"/>
  <c r="O146" i="25"/>
  <c r="P146" i="25"/>
  <c r="T146" i="25"/>
  <c r="U146" i="25"/>
  <c r="L147" i="25"/>
  <c r="M147" i="25"/>
  <c r="N147" i="25"/>
  <c r="N145" i="25" s="1"/>
  <c r="Q147" i="25"/>
  <c r="R147" i="25"/>
  <c r="S147" i="25"/>
  <c r="S145" i="25" s="1"/>
  <c r="I150" i="25"/>
  <c r="K150" i="25" s="1"/>
  <c r="I151" i="25"/>
  <c r="K151" i="25" s="1"/>
  <c r="I152" i="25"/>
  <c r="K152" i="25" s="1"/>
  <c r="I153" i="25"/>
  <c r="I138" i="25" s="1"/>
  <c r="K138" i="25" s="1"/>
  <c r="I154" i="25"/>
  <c r="I136" i="25" s="1"/>
  <c r="K136" i="25" s="1"/>
  <c r="J156" i="25"/>
  <c r="L158" i="25"/>
  <c r="O158" i="25" s="1"/>
  <c r="M158" i="25"/>
  <c r="P158" i="25" s="1"/>
  <c r="N158" i="25"/>
  <c r="Q158" i="25"/>
  <c r="R158" i="25"/>
  <c r="U158" i="25" s="1"/>
  <c r="S158" i="25"/>
  <c r="T158" i="25"/>
  <c r="O161" i="25"/>
  <c r="P161" i="25"/>
  <c r="T161" i="25"/>
  <c r="U161" i="25"/>
  <c r="L162" i="25"/>
  <c r="O162" i="25" s="1"/>
  <c r="M162" i="25"/>
  <c r="N162" i="25"/>
  <c r="Q162" i="25"/>
  <c r="Q159" i="25" s="1"/>
  <c r="R162" i="25"/>
  <c r="S162" i="25"/>
  <c r="S159" i="25" s="1"/>
  <c r="Q163" i="25"/>
  <c r="T163" i="25" s="1"/>
  <c r="R163" i="25"/>
  <c r="U163" i="25" s="1"/>
  <c r="S163" i="25"/>
  <c r="O164" i="25"/>
  <c r="P164" i="25"/>
  <c r="T164" i="25"/>
  <c r="U164" i="25"/>
  <c r="L165" i="25"/>
  <c r="O165" i="25" s="1"/>
  <c r="M165" i="25"/>
  <c r="M163" i="25" s="1"/>
  <c r="P163" i="25" s="1"/>
  <c r="N165" i="25"/>
  <c r="N163" i="25" s="1"/>
  <c r="T165" i="25"/>
  <c r="U165" i="25"/>
  <c r="I167" i="25"/>
  <c r="K167" i="25" s="1"/>
  <c r="I168" i="25"/>
  <c r="K168" i="25" s="1"/>
  <c r="I169" i="25"/>
  <c r="I156" i="25" s="1"/>
  <c r="K156" i="25" s="1"/>
  <c r="J172" i="25"/>
  <c r="L174" i="25"/>
  <c r="O174" i="25" s="1"/>
  <c r="M174" i="25"/>
  <c r="P174" i="25" s="1"/>
  <c r="N174" i="25"/>
  <c r="Q174" i="25"/>
  <c r="R174" i="25"/>
  <c r="U174" i="25" s="1"/>
  <c r="S174" i="25"/>
  <c r="T174" i="25"/>
  <c r="O177" i="25"/>
  <c r="P177" i="25"/>
  <c r="T177" i="25"/>
  <c r="U177" i="25"/>
  <c r="L178" i="25"/>
  <c r="M178" i="25"/>
  <c r="N178" i="25"/>
  <c r="N176" i="25" s="1"/>
  <c r="Q178" i="25"/>
  <c r="R178" i="25"/>
  <c r="R176" i="25" s="1"/>
  <c r="U176" i="25" s="1"/>
  <c r="S178" i="25"/>
  <c r="S175" i="25" s="1"/>
  <c r="Q179" i="25"/>
  <c r="R179" i="25"/>
  <c r="U179" i="25" s="1"/>
  <c r="S179" i="25"/>
  <c r="T179" i="25"/>
  <c r="O180" i="25"/>
  <c r="P180" i="25"/>
  <c r="T180" i="25"/>
  <c r="U180" i="25"/>
  <c r="L181" i="25"/>
  <c r="M181" i="25"/>
  <c r="M179" i="25" s="1"/>
  <c r="P179" i="25" s="1"/>
  <c r="N181" i="25"/>
  <c r="N179" i="25" s="1"/>
  <c r="T181" i="25"/>
  <c r="U181" i="25"/>
  <c r="I183" i="25"/>
  <c r="I172" i="25" s="1"/>
  <c r="K172" i="25" s="1"/>
  <c r="K184" i="25"/>
  <c r="L187" i="25"/>
  <c r="M187" i="25"/>
  <c r="P187" i="25" s="1"/>
  <c r="N187" i="25"/>
  <c r="Q187" i="25"/>
  <c r="T187" i="25" s="1"/>
  <c r="R187" i="25"/>
  <c r="S187" i="25"/>
  <c r="O190" i="25"/>
  <c r="P190" i="25"/>
  <c r="T190" i="25"/>
  <c r="U190" i="25"/>
  <c r="L191" i="25"/>
  <c r="L189" i="25" s="1"/>
  <c r="M191" i="25"/>
  <c r="M189" i="25" s="1"/>
  <c r="N191" i="25"/>
  <c r="Q191" i="25"/>
  <c r="R191" i="25"/>
  <c r="S191" i="25"/>
  <c r="O193" i="25"/>
  <c r="P193" i="25"/>
  <c r="T193" i="25"/>
  <c r="U193" i="25"/>
  <c r="L194" i="25"/>
  <c r="M194" i="25"/>
  <c r="M192" i="25" s="1"/>
  <c r="P192" i="25" s="1"/>
  <c r="N194" i="25"/>
  <c r="N192" i="25" s="1"/>
  <c r="Q194" i="25"/>
  <c r="R194" i="25"/>
  <c r="U194" i="25" s="1"/>
  <c r="S194" i="25"/>
  <c r="S192" i="25" s="1"/>
  <c r="J195" i="25"/>
  <c r="L196" i="25"/>
  <c r="O196" i="25" s="1"/>
  <c r="P196" i="25"/>
  <c r="I198" i="25"/>
  <c r="I195" i="25" s="1"/>
  <c r="K195" i="25" s="1"/>
  <c r="J199" i="25"/>
  <c r="J202" i="25"/>
  <c r="N203" i="25"/>
  <c r="P203" i="25"/>
  <c r="S203" i="25"/>
  <c r="U203" i="25"/>
  <c r="L204" i="25"/>
  <c r="L205" i="25"/>
  <c r="L206" i="25"/>
  <c r="Q206" i="25"/>
  <c r="Q203" i="25" s="1"/>
  <c r="T203" i="25" s="1"/>
  <c r="L207" i="25"/>
  <c r="I209" i="25"/>
  <c r="K209" i="25" s="1"/>
  <c r="I211" i="25"/>
  <c r="K211" i="25" s="1"/>
  <c r="I212" i="25"/>
  <c r="K212" i="25" s="1"/>
  <c r="J213" i="25"/>
  <c r="N214" i="25"/>
  <c r="P214" i="25"/>
  <c r="S214" i="25"/>
  <c r="U214" i="25"/>
  <c r="L215" i="25"/>
  <c r="L216" i="25"/>
  <c r="L217" i="25"/>
  <c r="Q217" i="25"/>
  <c r="Q214" i="25" s="1"/>
  <c r="T214" i="25" s="1"/>
  <c r="I219" i="25"/>
  <c r="K219" i="25" s="1"/>
  <c r="I220" i="25"/>
  <c r="I213" i="25" s="1"/>
  <c r="K213" i="25" s="1"/>
  <c r="J221" i="25"/>
  <c r="N222" i="25"/>
  <c r="P222" i="25"/>
  <c r="L223" i="25"/>
  <c r="L224" i="25"/>
  <c r="L225" i="25"/>
  <c r="I228" i="25"/>
  <c r="K228" i="25" s="1"/>
  <c r="I229" i="25"/>
  <c r="I221" i="25" s="1"/>
  <c r="K221" i="25" s="1"/>
  <c r="I230" i="25"/>
  <c r="N233" i="25"/>
  <c r="N234" i="25"/>
  <c r="N235" i="25"/>
  <c r="N236" i="25"/>
  <c r="J238" i="25"/>
  <c r="J240" i="25"/>
  <c r="J241" i="25"/>
  <c r="J242" i="25"/>
  <c r="N243" i="25"/>
  <c r="N232" i="25" s="1"/>
  <c r="P243" i="25"/>
  <c r="L244" i="25"/>
  <c r="L245" i="25"/>
  <c r="L246" i="25"/>
  <c r="L247" i="25"/>
  <c r="I249" i="25"/>
  <c r="I242" i="25" s="1"/>
  <c r="I251" i="25"/>
  <c r="I252" i="25"/>
  <c r="I241" i="25" s="1"/>
  <c r="K241" i="25" s="1"/>
  <c r="J253" i="25"/>
  <c r="J231" i="25" s="1"/>
  <c r="J185" i="25" s="1"/>
  <c r="N254" i="25"/>
  <c r="P254" i="25"/>
  <c r="L255" i="25"/>
  <c r="L256" i="25"/>
  <c r="L257" i="25"/>
  <c r="L258" i="25"/>
  <c r="I260" i="25"/>
  <c r="I253" i="25" s="1"/>
  <c r="K253" i="25" s="1"/>
  <c r="K262" i="25"/>
  <c r="K263" i="25"/>
  <c r="J265" i="25"/>
  <c r="L267" i="25"/>
  <c r="M267" i="25"/>
  <c r="P267" i="25" s="1"/>
  <c r="N267" i="25"/>
  <c r="O267" i="25"/>
  <c r="Q267" i="25"/>
  <c r="R267" i="25"/>
  <c r="S267" i="25"/>
  <c r="U267" i="25"/>
  <c r="O270" i="25"/>
  <c r="P270" i="25"/>
  <c r="T270" i="25"/>
  <c r="U270" i="25"/>
  <c r="L271" i="25"/>
  <c r="M271" i="25"/>
  <c r="M269" i="25" s="1"/>
  <c r="N271" i="25"/>
  <c r="N269" i="25" s="1"/>
  <c r="Q271" i="25"/>
  <c r="Q268" i="25" s="1"/>
  <c r="R271" i="25"/>
  <c r="R268" i="25" s="1"/>
  <c r="S271" i="25"/>
  <c r="S268" i="25" s="1"/>
  <c r="Q272" i="25"/>
  <c r="R272" i="25"/>
  <c r="S272" i="25"/>
  <c r="T272" i="25"/>
  <c r="U272" i="25"/>
  <c r="O273" i="25"/>
  <c r="P273" i="25"/>
  <c r="T273" i="25"/>
  <c r="U273" i="25"/>
  <c r="L274" i="25"/>
  <c r="O274" i="25" s="1"/>
  <c r="M274" i="25"/>
  <c r="P274" i="25" s="1"/>
  <c r="N274" i="25"/>
  <c r="N272" i="25" s="1"/>
  <c r="T274" i="25"/>
  <c r="U274" i="25"/>
  <c r="I276" i="25"/>
  <c r="I265" i="25" s="1"/>
  <c r="K265" i="25" s="1"/>
  <c r="J281" i="25"/>
  <c r="L283" i="25"/>
  <c r="M283" i="25"/>
  <c r="P283" i="25" s="1"/>
  <c r="N283" i="25"/>
  <c r="Q283" i="25"/>
  <c r="T283" i="25" s="1"/>
  <c r="R283" i="25"/>
  <c r="R282" i="25" s="1"/>
  <c r="U282" i="25" s="1"/>
  <c r="S283" i="25"/>
  <c r="S282" i="25" s="1"/>
  <c r="Q284" i="25"/>
  <c r="T284" i="25" s="1"/>
  <c r="R284" i="25"/>
  <c r="U284" i="25" s="1"/>
  <c r="S284" i="25"/>
  <c r="Q285" i="25"/>
  <c r="T285" i="25" s="1"/>
  <c r="R285" i="25"/>
  <c r="U285" i="25" s="1"/>
  <c r="S285" i="25"/>
  <c r="O286" i="25"/>
  <c r="P286" i="25"/>
  <c r="T286" i="25"/>
  <c r="U286" i="25"/>
  <c r="L287" i="25"/>
  <c r="M287" i="25"/>
  <c r="N287" i="25"/>
  <c r="T287" i="25"/>
  <c r="U287" i="25"/>
  <c r="Q288" i="25"/>
  <c r="T288" i="25" s="1"/>
  <c r="R288" i="25"/>
  <c r="U288" i="25" s="1"/>
  <c r="S288" i="25"/>
  <c r="O289" i="25"/>
  <c r="P289" i="25"/>
  <c r="T289" i="25"/>
  <c r="U289" i="25"/>
  <c r="L290" i="25"/>
  <c r="M290" i="25"/>
  <c r="N290" i="25"/>
  <c r="N288" i="25" s="1"/>
  <c r="T290" i="25"/>
  <c r="U290" i="25"/>
  <c r="I292" i="25"/>
  <c r="I293" i="25"/>
  <c r="I280" i="25" s="1"/>
  <c r="K280" i="25" s="1"/>
  <c r="J293" i="25"/>
  <c r="J280" i="25" s="1"/>
  <c r="I295" i="25"/>
  <c r="K295" i="25" s="1"/>
  <c r="I296" i="25"/>
  <c r="K296" i="25" s="1"/>
  <c r="J302" i="25"/>
  <c r="L304" i="25"/>
  <c r="M304" i="25"/>
  <c r="N304" i="25"/>
  <c r="Q304" i="25"/>
  <c r="T304" i="25" s="1"/>
  <c r="R304" i="25"/>
  <c r="S304" i="25"/>
  <c r="O307" i="25"/>
  <c r="P307" i="25"/>
  <c r="T307" i="25"/>
  <c r="U307" i="25"/>
  <c r="L308" i="25"/>
  <c r="L306" i="25" s="1"/>
  <c r="O306" i="25" s="1"/>
  <c r="M308" i="25"/>
  <c r="N308" i="25"/>
  <c r="N306" i="25" s="1"/>
  <c r="Q308" i="25"/>
  <c r="Q305" i="25" s="1"/>
  <c r="Q303" i="25" s="1"/>
  <c r="R308" i="25"/>
  <c r="S308" i="25"/>
  <c r="S305" i="25" s="1"/>
  <c r="Q309" i="25"/>
  <c r="T309" i="25" s="1"/>
  <c r="R309" i="25"/>
  <c r="U309" i="25" s="1"/>
  <c r="S309" i="25"/>
  <c r="O310" i="25"/>
  <c r="P310" i="25"/>
  <c r="T310" i="25"/>
  <c r="U310" i="25"/>
  <c r="L311" i="25"/>
  <c r="L309" i="25" s="1"/>
  <c r="O309" i="25" s="1"/>
  <c r="M311" i="25"/>
  <c r="P311" i="25" s="1"/>
  <c r="N311" i="25"/>
  <c r="N309" i="25" s="1"/>
  <c r="T311" i="25"/>
  <c r="U311" i="25"/>
  <c r="I314" i="25"/>
  <c r="I302" i="25" s="1"/>
  <c r="K302" i="25" s="1"/>
  <c r="J319" i="25"/>
  <c r="L321" i="25"/>
  <c r="O321" i="25" s="1"/>
  <c r="M321" i="25"/>
  <c r="N321" i="25"/>
  <c r="P321" i="25"/>
  <c r="Q321" i="25"/>
  <c r="R321" i="25"/>
  <c r="S321" i="25"/>
  <c r="U321" i="25"/>
  <c r="Q322" i="25"/>
  <c r="T322" i="25" s="1"/>
  <c r="R322" i="25"/>
  <c r="U322" i="25" s="1"/>
  <c r="S322" i="25"/>
  <c r="Q323" i="25"/>
  <c r="R323" i="25"/>
  <c r="S323" i="25"/>
  <c r="T323" i="25"/>
  <c r="U323" i="25"/>
  <c r="O324" i="25"/>
  <c r="P324" i="25"/>
  <c r="T324" i="25"/>
  <c r="U324" i="25"/>
  <c r="L325" i="25"/>
  <c r="O325" i="25" s="1"/>
  <c r="M325" i="25"/>
  <c r="N325" i="25"/>
  <c r="T325" i="25"/>
  <c r="U325" i="25"/>
  <c r="Q326" i="25"/>
  <c r="T326" i="25" s="1"/>
  <c r="R326" i="25"/>
  <c r="U326" i="25" s="1"/>
  <c r="S326" i="25"/>
  <c r="O327" i="25"/>
  <c r="P327" i="25"/>
  <c r="T327" i="25"/>
  <c r="U327" i="25"/>
  <c r="L328" i="25"/>
  <c r="L326" i="25" s="1"/>
  <c r="O326" i="25" s="1"/>
  <c r="M328" i="25"/>
  <c r="M326" i="25" s="1"/>
  <c r="P326" i="25" s="1"/>
  <c r="N328" i="25"/>
  <c r="N326" i="25" s="1"/>
  <c r="T328" i="25"/>
  <c r="U328" i="25"/>
  <c r="I330" i="25"/>
  <c r="K330" i="25" s="1"/>
  <c r="L334" i="25"/>
  <c r="O334" i="25" s="1"/>
  <c r="M334" i="25"/>
  <c r="N334" i="25"/>
  <c r="P334" i="25"/>
  <c r="Q334" i="25"/>
  <c r="R334" i="25"/>
  <c r="U334" i="25" s="1"/>
  <c r="S334" i="25"/>
  <c r="Q335" i="25"/>
  <c r="R335" i="25"/>
  <c r="U335" i="25" s="1"/>
  <c r="S335" i="25"/>
  <c r="S333" i="25" s="1"/>
  <c r="T335" i="25"/>
  <c r="Q336" i="25"/>
  <c r="R336" i="25"/>
  <c r="S336" i="25"/>
  <c r="T336" i="25"/>
  <c r="U336" i="25"/>
  <c r="O337" i="25"/>
  <c r="P337" i="25"/>
  <c r="T337" i="25"/>
  <c r="U337" i="25"/>
  <c r="L338" i="25"/>
  <c r="M338" i="25"/>
  <c r="N338" i="25"/>
  <c r="T338" i="25"/>
  <c r="U338" i="25"/>
  <c r="Q339" i="25"/>
  <c r="T339" i="25" s="1"/>
  <c r="R339" i="25"/>
  <c r="U339" i="25" s="1"/>
  <c r="S339" i="25"/>
  <c r="O340" i="25"/>
  <c r="P340" i="25"/>
  <c r="T340" i="25"/>
  <c r="U340" i="25"/>
  <c r="L341" i="25"/>
  <c r="L339" i="25" s="1"/>
  <c r="O339" i="25" s="1"/>
  <c r="M341" i="25"/>
  <c r="M339" i="25" s="1"/>
  <c r="P339" i="25" s="1"/>
  <c r="N341" i="25"/>
  <c r="N339" i="25" s="1"/>
  <c r="T341" i="25"/>
  <c r="U341" i="25"/>
  <c r="I344" i="25"/>
  <c r="I332" i="25" s="1"/>
  <c r="J344" i="25"/>
  <c r="I346" i="25"/>
  <c r="J346" i="25"/>
  <c r="J347" i="25"/>
  <c r="J348" i="25"/>
  <c r="J349" i="25"/>
  <c r="D350" i="25"/>
  <c r="J352" i="25"/>
  <c r="J353" i="25"/>
  <c r="J354" i="25"/>
  <c r="L357" i="25"/>
  <c r="M357" i="25"/>
  <c r="P357" i="25" s="1"/>
  <c r="N357" i="25"/>
  <c r="Q357" i="25"/>
  <c r="R357" i="25"/>
  <c r="S357" i="25"/>
  <c r="Q358" i="25"/>
  <c r="R358" i="25"/>
  <c r="U358" i="25" s="1"/>
  <c r="S358" i="25"/>
  <c r="T358" i="25"/>
  <c r="Q359" i="25"/>
  <c r="T359" i="25" s="1"/>
  <c r="R359" i="25"/>
  <c r="U359" i="25" s="1"/>
  <c r="S359" i="25"/>
  <c r="O360" i="25"/>
  <c r="P360" i="25"/>
  <c r="T360" i="25"/>
  <c r="U360" i="25"/>
  <c r="L361" i="25"/>
  <c r="M361" i="25"/>
  <c r="M359" i="25" s="1"/>
  <c r="N361" i="25"/>
  <c r="T361" i="25"/>
  <c r="U361" i="25"/>
  <c r="Q362" i="25"/>
  <c r="R362" i="25"/>
  <c r="S362" i="25"/>
  <c r="T362" i="25"/>
  <c r="U362" i="25"/>
  <c r="O363" i="25"/>
  <c r="P363" i="25"/>
  <c r="T363" i="25"/>
  <c r="U363" i="25"/>
  <c r="L364" i="25"/>
  <c r="O364" i="25" s="1"/>
  <c r="M364" i="25"/>
  <c r="N364" i="25"/>
  <c r="N362" i="25" s="1"/>
  <c r="T364" i="25"/>
  <c r="U364" i="25"/>
  <c r="J367" i="25"/>
  <c r="K367" i="25"/>
  <c r="I368" i="25"/>
  <c r="K368" i="25" s="1"/>
  <c r="J368" i="25"/>
  <c r="I369" i="25"/>
  <c r="K369" i="25" s="1"/>
  <c r="J369" i="25"/>
  <c r="J370" i="25"/>
  <c r="K370" i="25"/>
  <c r="I371" i="25"/>
  <c r="J371" i="25"/>
  <c r="J365" i="25" s="1"/>
  <c r="J372" i="25"/>
  <c r="K372" i="25"/>
  <c r="D373" i="25"/>
  <c r="J374" i="25"/>
  <c r="L376" i="25"/>
  <c r="O376" i="25" s="1"/>
  <c r="M376" i="25"/>
  <c r="N376" i="25"/>
  <c r="Q376" i="25"/>
  <c r="R376" i="25"/>
  <c r="S376" i="25"/>
  <c r="U376" i="25"/>
  <c r="O379" i="25"/>
  <c r="P379" i="25"/>
  <c r="T379" i="25"/>
  <c r="U379" i="25"/>
  <c r="L380" i="25"/>
  <c r="M380" i="25"/>
  <c r="N380" i="25"/>
  <c r="Q380" i="25"/>
  <c r="Q378" i="25" s="1"/>
  <c r="T378" i="25" s="1"/>
  <c r="R380" i="25"/>
  <c r="U380" i="25" s="1"/>
  <c r="S380" i="25"/>
  <c r="Q381" i="25"/>
  <c r="R381" i="25"/>
  <c r="U381" i="25" s="1"/>
  <c r="S381" i="25"/>
  <c r="T381" i="25"/>
  <c r="O382" i="25"/>
  <c r="P382" i="25"/>
  <c r="T382" i="25"/>
  <c r="U382" i="25"/>
  <c r="L383" i="25"/>
  <c r="M383" i="25"/>
  <c r="N383" i="25"/>
  <c r="N381" i="25" s="1"/>
  <c r="T383" i="25"/>
  <c r="U383" i="25"/>
  <c r="I385" i="25"/>
  <c r="I374" i="25" s="1"/>
  <c r="K374" i="25" s="1"/>
  <c r="I386" i="25"/>
  <c r="K386" i="25" s="1"/>
  <c r="K387" i="25"/>
  <c r="K388" i="25"/>
  <c r="I391" i="25"/>
  <c r="K391" i="25" s="1"/>
  <c r="J391" i="25"/>
  <c r="L393" i="25"/>
  <c r="O393" i="25" s="1"/>
  <c r="M393" i="25"/>
  <c r="N393" i="25"/>
  <c r="N392" i="25" s="1"/>
  <c r="P393" i="25"/>
  <c r="Q393" i="25"/>
  <c r="R393" i="25"/>
  <c r="U393" i="25" s="1"/>
  <c r="S393" i="25"/>
  <c r="T393" i="25"/>
  <c r="L394" i="25"/>
  <c r="M394" i="25"/>
  <c r="P394" i="25" s="1"/>
  <c r="N394" i="25"/>
  <c r="L395" i="25"/>
  <c r="O395" i="25" s="1"/>
  <c r="M395" i="25"/>
  <c r="P395" i="25" s="1"/>
  <c r="N395" i="25"/>
  <c r="O396" i="25"/>
  <c r="P396" i="25"/>
  <c r="T396" i="25"/>
  <c r="U396" i="25"/>
  <c r="O397" i="25"/>
  <c r="P397" i="25"/>
  <c r="Q397" i="25"/>
  <c r="R397" i="25"/>
  <c r="R394" i="25" s="1"/>
  <c r="U394" i="25" s="1"/>
  <c r="S397" i="25"/>
  <c r="L398" i="25"/>
  <c r="O398" i="25" s="1"/>
  <c r="M398" i="25"/>
  <c r="P398" i="25" s="1"/>
  <c r="N398" i="25"/>
  <c r="Q398" i="25"/>
  <c r="T398" i="25" s="1"/>
  <c r="R398" i="25"/>
  <c r="U398" i="25" s="1"/>
  <c r="S398" i="25"/>
  <c r="O399" i="25"/>
  <c r="P399" i="25"/>
  <c r="T399" i="25"/>
  <c r="U399" i="25"/>
  <c r="O400" i="25"/>
  <c r="P400" i="25"/>
  <c r="T400" i="25"/>
  <c r="U400" i="25"/>
  <c r="L414" i="25"/>
  <c r="O414" i="25" s="1"/>
  <c r="M414" i="25"/>
  <c r="P414" i="25" s="1"/>
  <c r="N414" i="25"/>
  <c r="Q414" i="25"/>
  <c r="R414" i="25"/>
  <c r="S414" i="25"/>
  <c r="T414" i="25"/>
  <c r="O417" i="25"/>
  <c r="P417" i="25"/>
  <c r="T417" i="25"/>
  <c r="U417" i="25"/>
  <c r="L418" i="25"/>
  <c r="M418" i="25"/>
  <c r="M416" i="25" s="1"/>
  <c r="N418" i="25"/>
  <c r="Q418" i="25"/>
  <c r="Q415" i="25" s="1"/>
  <c r="R418" i="25"/>
  <c r="R416" i="25" s="1"/>
  <c r="S418" i="25"/>
  <c r="S415" i="25" s="1"/>
  <c r="Q419" i="25"/>
  <c r="T419" i="25" s="1"/>
  <c r="R419" i="25"/>
  <c r="U419" i="25" s="1"/>
  <c r="S419" i="25"/>
  <c r="O420" i="25"/>
  <c r="P420" i="25"/>
  <c r="T420" i="25"/>
  <c r="U420" i="25"/>
  <c r="L421" i="25"/>
  <c r="O421" i="25" s="1"/>
  <c r="M421" i="25"/>
  <c r="N421" i="25"/>
  <c r="N419" i="25" s="1"/>
  <c r="T421" i="25"/>
  <c r="U421" i="25"/>
  <c r="I424" i="25"/>
  <c r="K424" i="25" s="1"/>
  <c r="J424" i="25"/>
  <c r="I425" i="25"/>
  <c r="K425" i="25" s="1"/>
  <c r="J425" i="25"/>
  <c r="I432" i="25"/>
  <c r="K432" i="25" s="1"/>
  <c r="J432" i="25"/>
  <c r="I433" i="25"/>
  <c r="K433" i="25" s="1"/>
  <c r="J433" i="25"/>
  <c r="I440" i="25"/>
  <c r="I441" i="25"/>
  <c r="K441" i="25" s="1"/>
  <c r="J446" i="25"/>
  <c r="J440" i="25" s="1"/>
  <c r="J423" i="25" s="1"/>
  <c r="J412" i="25" s="1"/>
  <c r="J447" i="25"/>
  <c r="J441" i="25" s="1"/>
  <c r="I457" i="25"/>
  <c r="I456" i="25" s="1"/>
  <c r="J457" i="25"/>
  <c r="J456" i="25" s="1"/>
  <c r="I458" i="25"/>
  <c r="K458" i="25" s="1"/>
  <c r="J459" i="25"/>
  <c r="J460" i="25"/>
  <c r="J467" i="25"/>
  <c r="J468" i="25"/>
  <c r="J475" i="25"/>
  <c r="K475" i="25"/>
  <c r="J476" i="25"/>
  <c r="K476" i="25"/>
  <c r="J477" i="25"/>
  <c r="K477" i="25"/>
  <c r="J482" i="25"/>
  <c r="J483" i="25"/>
  <c r="I484" i="25"/>
  <c r="J484" i="25"/>
  <c r="K484" i="25"/>
  <c r="I485" i="25"/>
  <c r="K485" i="25" s="1"/>
  <c r="J485" i="25"/>
  <c r="L494" i="25"/>
  <c r="M494" i="25"/>
  <c r="N494" i="25"/>
  <c r="P494" i="25"/>
  <c r="Q494" i="25"/>
  <c r="R494" i="25"/>
  <c r="S494" i="25"/>
  <c r="T494" i="25"/>
  <c r="O497" i="25"/>
  <c r="P497" i="25"/>
  <c r="T497" i="25"/>
  <c r="U497" i="25"/>
  <c r="L498" i="25"/>
  <c r="M498" i="25"/>
  <c r="P498" i="25" s="1"/>
  <c r="N498" i="25"/>
  <c r="N496" i="25" s="1"/>
  <c r="Q498" i="25"/>
  <c r="Q496" i="25" s="1"/>
  <c r="T496" i="25" s="1"/>
  <c r="R498" i="25"/>
  <c r="R495" i="25" s="1"/>
  <c r="U495" i="25" s="1"/>
  <c r="S498" i="25"/>
  <c r="S495" i="25" s="1"/>
  <c r="S493" i="25" s="1"/>
  <c r="Q499" i="25"/>
  <c r="R499" i="25"/>
  <c r="U499" i="25" s="1"/>
  <c r="S499" i="25"/>
  <c r="T499" i="25"/>
  <c r="O500" i="25"/>
  <c r="P500" i="25"/>
  <c r="T500" i="25"/>
  <c r="U500" i="25"/>
  <c r="L501" i="25"/>
  <c r="M501" i="25"/>
  <c r="M499" i="25" s="1"/>
  <c r="P499" i="25" s="1"/>
  <c r="N501" i="25"/>
  <c r="N499" i="25" s="1"/>
  <c r="T501" i="25"/>
  <c r="U501" i="25"/>
  <c r="I503" i="25"/>
  <c r="I492" i="25" s="1"/>
  <c r="K492" i="25" s="1"/>
  <c r="I504" i="25"/>
  <c r="K504" i="25" s="1"/>
  <c r="I505" i="25"/>
  <c r="I506" i="25"/>
  <c r="K506" i="25" s="1"/>
  <c r="I507" i="25"/>
  <c r="K507" i="25" s="1"/>
  <c r="K508" i="25"/>
  <c r="I509" i="25"/>
  <c r="K509" i="25" s="1"/>
  <c r="I512" i="25"/>
  <c r="J512" i="25"/>
  <c r="K512" i="25"/>
  <c r="L514" i="25"/>
  <c r="O514" i="25" s="1"/>
  <c r="M514" i="25"/>
  <c r="N514" i="25"/>
  <c r="P514" i="25"/>
  <c r="Q514" i="25"/>
  <c r="T514" i="25" s="1"/>
  <c r="R514" i="25"/>
  <c r="U514" i="25" s="1"/>
  <c r="S514" i="25"/>
  <c r="Q515" i="25"/>
  <c r="T515" i="25" s="1"/>
  <c r="R515" i="25"/>
  <c r="U515" i="25" s="1"/>
  <c r="S515" i="25"/>
  <c r="Q516" i="25"/>
  <c r="T516" i="25" s="1"/>
  <c r="R516" i="25"/>
  <c r="U516" i="25" s="1"/>
  <c r="S516" i="25"/>
  <c r="O517" i="25"/>
  <c r="P517" i="25"/>
  <c r="T517" i="25"/>
  <c r="U517" i="25"/>
  <c r="L518" i="25"/>
  <c r="L516" i="25" s="1"/>
  <c r="O516" i="25" s="1"/>
  <c r="M518" i="25"/>
  <c r="M516" i="25" s="1"/>
  <c r="P516" i="25" s="1"/>
  <c r="N518" i="25"/>
  <c r="T518" i="25"/>
  <c r="U518" i="25"/>
  <c r="Q519" i="25"/>
  <c r="T519" i="25" s="1"/>
  <c r="R519" i="25"/>
  <c r="U519" i="25" s="1"/>
  <c r="S519" i="25"/>
  <c r="O520" i="25"/>
  <c r="P520" i="25"/>
  <c r="T520" i="25"/>
  <c r="U520" i="25"/>
  <c r="L521" i="25"/>
  <c r="M521" i="25"/>
  <c r="N521" i="25"/>
  <c r="N519" i="25" s="1"/>
  <c r="T521" i="25"/>
  <c r="U521" i="25"/>
  <c r="K523" i="25"/>
  <c r="K524" i="25"/>
  <c r="I533" i="25"/>
  <c r="K533" i="25" s="1"/>
  <c r="J533" i="25"/>
  <c r="L535" i="25"/>
  <c r="M535" i="25"/>
  <c r="P535" i="25" s="1"/>
  <c r="N535" i="25"/>
  <c r="O535" i="25"/>
  <c r="Q535" i="25"/>
  <c r="T535" i="25" s="1"/>
  <c r="R535" i="25"/>
  <c r="U535" i="25" s="1"/>
  <c r="S535" i="25"/>
  <c r="Q536" i="25"/>
  <c r="T536" i="25" s="1"/>
  <c r="R536" i="25"/>
  <c r="U536" i="25" s="1"/>
  <c r="S536" i="25"/>
  <c r="S534" i="25" s="1"/>
  <c r="Q537" i="25"/>
  <c r="T537" i="25" s="1"/>
  <c r="R537" i="25"/>
  <c r="U537" i="25" s="1"/>
  <c r="S537" i="25"/>
  <c r="O538" i="25"/>
  <c r="P538" i="25"/>
  <c r="T538" i="25"/>
  <c r="U538" i="25"/>
  <c r="L539" i="25"/>
  <c r="M539" i="25"/>
  <c r="N539" i="25"/>
  <c r="N537" i="25" s="1"/>
  <c r="T539" i="25"/>
  <c r="U539" i="25"/>
  <c r="Q540" i="25"/>
  <c r="R540" i="25"/>
  <c r="U540" i="25" s="1"/>
  <c r="S540" i="25"/>
  <c r="T540" i="25"/>
  <c r="O541" i="25"/>
  <c r="P541" i="25"/>
  <c r="T541" i="25"/>
  <c r="U541" i="25"/>
  <c r="L542" i="25"/>
  <c r="O542" i="25" s="1"/>
  <c r="M542" i="25"/>
  <c r="N542" i="25"/>
  <c r="N540" i="25" s="1"/>
  <c r="T542" i="25"/>
  <c r="U542" i="25"/>
  <c r="I554" i="25"/>
  <c r="K554" i="25" s="1"/>
  <c r="J554" i="25"/>
  <c r="L556" i="25"/>
  <c r="O556" i="25" s="1"/>
  <c r="M556" i="25"/>
  <c r="N556" i="25"/>
  <c r="P556" i="25"/>
  <c r="Q556" i="25"/>
  <c r="R556" i="25"/>
  <c r="S556" i="25"/>
  <c r="Q557" i="25"/>
  <c r="T557" i="25" s="1"/>
  <c r="R557" i="25"/>
  <c r="U557" i="25" s="1"/>
  <c r="S557" i="25"/>
  <c r="Q558" i="25"/>
  <c r="T558" i="25" s="1"/>
  <c r="R558" i="25"/>
  <c r="U558" i="25" s="1"/>
  <c r="S558" i="25"/>
  <c r="O559" i="25"/>
  <c r="P559" i="25"/>
  <c r="T559" i="25"/>
  <c r="U559" i="25"/>
  <c r="L560" i="25"/>
  <c r="M560" i="25"/>
  <c r="M558" i="25" s="1"/>
  <c r="P558" i="25" s="1"/>
  <c r="N560" i="25"/>
  <c r="N558" i="25" s="1"/>
  <c r="T560" i="25"/>
  <c r="U560" i="25"/>
  <c r="Q561" i="25"/>
  <c r="R561" i="25"/>
  <c r="U561" i="25" s="1"/>
  <c r="S561" i="25"/>
  <c r="T561" i="25"/>
  <c r="O562" i="25"/>
  <c r="P562" i="25"/>
  <c r="T562" i="25"/>
  <c r="U562" i="25"/>
  <c r="L563" i="25"/>
  <c r="O563" i="25" s="1"/>
  <c r="M563" i="25"/>
  <c r="M561" i="25" s="1"/>
  <c r="P561" i="25" s="1"/>
  <c r="N563" i="25"/>
  <c r="T563" i="25"/>
  <c r="U563" i="25"/>
  <c r="I575" i="25"/>
  <c r="K575" i="25" s="1"/>
  <c r="J575" i="25"/>
  <c r="R576" i="25"/>
  <c r="U576" i="25" s="1"/>
  <c r="S576" i="25"/>
  <c r="L577" i="25"/>
  <c r="M577" i="25"/>
  <c r="N577" i="25"/>
  <c r="O577" i="25"/>
  <c r="P577" i="25"/>
  <c r="Q577" i="25"/>
  <c r="T577" i="25" s="1"/>
  <c r="R577" i="25"/>
  <c r="S577" i="25"/>
  <c r="U577" i="25"/>
  <c r="Q578" i="25"/>
  <c r="T578" i="25" s="1"/>
  <c r="R578" i="25"/>
  <c r="U578" i="25" s="1"/>
  <c r="S578" i="25"/>
  <c r="Q579" i="25"/>
  <c r="T579" i="25" s="1"/>
  <c r="R579" i="25"/>
  <c r="U579" i="25" s="1"/>
  <c r="S579" i="25"/>
  <c r="O580" i="25"/>
  <c r="P580" i="25"/>
  <c r="T580" i="25"/>
  <c r="U580" i="25"/>
  <c r="L581" i="25"/>
  <c r="L579" i="25" s="1"/>
  <c r="O579" i="25" s="1"/>
  <c r="M581" i="25"/>
  <c r="P581" i="25" s="1"/>
  <c r="N581" i="25"/>
  <c r="N579" i="25" s="1"/>
  <c r="T581" i="25"/>
  <c r="U581" i="25"/>
  <c r="Q582" i="25"/>
  <c r="T582" i="25" s="1"/>
  <c r="R582" i="25"/>
  <c r="U582" i="25" s="1"/>
  <c r="S582" i="25"/>
  <c r="O583" i="25"/>
  <c r="P583" i="25"/>
  <c r="T583" i="25"/>
  <c r="U583" i="25"/>
  <c r="L584" i="25"/>
  <c r="O584" i="25" s="1"/>
  <c r="M584" i="25"/>
  <c r="N584" i="25"/>
  <c r="N582" i="25" s="1"/>
  <c r="T584" i="25"/>
  <c r="U584" i="25"/>
  <c r="L600" i="25"/>
  <c r="O600" i="25" s="1"/>
  <c r="M600" i="25"/>
  <c r="P600" i="25" s="1"/>
  <c r="N600" i="25"/>
  <c r="Q600" i="25"/>
  <c r="T600" i="25" s="1"/>
  <c r="R600" i="25"/>
  <c r="S600" i="25"/>
  <c r="O603" i="25"/>
  <c r="P603" i="25"/>
  <c r="T603" i="25"/>
  <c r="U603" i="25"/>
  <c r="L604" i="25"/>
  <c r="L602" i="25" s="1"/>
  <c r="M604" i="25"/>
  <c r="M602" i="25" s="1"/>
  <c r="N604" i="25"/>
  <c r="Q604" i="25"/>
  <c r="Q602" i="25" s="1"/>
  <c r="T602" i="25" s="1"/>
  <c r="R604" i="25"/>
  <c r="S604" i="25"/>
  <c r="S602" i="25" s="1"/>
  <c r="O606" i="25"/>
  <c r="P606" i="25"/>
  <c r="T606" i="25"/>
  <c r="U606" i="25"/>
  <c r="L607" i="25"/>
  <c r="M607" i="25"/>
  <c r="M605" i="25" s="1"/>
  <c r="P605" i="25" s="1"/>
  <c r="N607" i="25"/>
  <c r="N605" i="25" s="1"/>
  <c r="Q607" i="25"/>
  <c r="T607" i="25" s="1"/>
  <c r="R607" i="25"/>
  <c r="S607" i="25"/>
  <c r="S605" i="25" s="1"/>
  <c r="L617" i="25"/>
  <c r="M617" i="25"/>
  <c r="N617" i="25"/>
  <c r="N616" i="25" s="1"/>
  <c r="O617" i="25"/>
  <c r="Q617" i="25"/>
  <c r="T617" i="25" s="1"/>
  <c r="R617" i="25"/>
  <c r="S617" i="25"/>
  <c r="U617" i="25"/>
  <c r="L618" i="25"/>
  <c r="M618" i="25"/>
  <c r="P618" i="25" s="1"/>
  <c r="N618" i="25"/>
  <c r="L619" i="25"/>
  <c r="O619" i="25" s="1"/>
  <c r="M619" i="25"/>
  <c r="P619" i="25" s="1"/>
  <c r="N619" i="25"/>
  <c r="O620" i="25"/>
  <c r="P620" i="25"/>
  <c r="T620" i="25"/>
  <c r="U620" i="25"/>
  <c r="O621" i="25"/>
  <c r="P621" i="25"/>
  <c r="Q621" i="25"/>
  <c r="Q619" i="25" s="1"/>
  <c r="R621" i="25"/>
  <c r="R619" i="25" s="1"/>
  <c r="S621" i="25"/>
  <c r="S618" i="25" s="1"/>
  <c r="L622" i="25"/>
  <c r="O622" i="25" s="1"/>
  <c r="M622" i="25"/>
  <c r="N622" i="25"/>
  <c r="P622" i="25"/>
  <c r="Q622" i="25"/>
  <c r="T622" i="25" s="1"/>
  <c r="R622" i="25"/>
  <c r="U622" i="25" s="1"/>
  <c r="S622" i="25"/>
  <c r="O623" i="25"/>
  <c r="P623" i="25"/>
  <c r="T623" i="25"/>
  <c r="U623" i="25"/>
  <c r="O624" i="25"/>
  <c r="P624" i="25"/>
  <c r="T624" i="25"/>
  <c r="U624" i="25"/>
  <c r="I626" i="25"/>
  <c r="K631" i="25" s="1"/>
  <c r="I627" i="25"/>
  <c r="K627" i="25" s="1"/>
  <c r="I628" i="25"/>
  <c r="K628" i="25" s="1"/>
  <c r="J632" i="25"/>
  <c r="J626" i="25" s="1"/>
  <c r="J615" i="25" s="1"/>
  <c r="I635" i="25"/>
  <c r="K635" i="25" s="1"/>
  <c r="J636" i="25"/>
  <c r="J635" i="25" s="1"/>
  <c r="L643" i="25"/>
  <c r="O643" i="25" s="1"/>
  <c r="M643" i="25"/>
  <c r="N643" i="25"/>
  <c r="N642" i="25" s="1"/>
  <c r="Q643" i="25"/>
  <c r="R643" i="25"/>
  <c r="S643" i="25"/>
  <c r="T643" i="25"/>
  <c r="L644" i="25"/>
  <c r="O644" i="25" s="1"/>
  <c r="M644" i="25"/>
  <c r="P644" i="25" s="1"/>
  <c r="N644" i="25"/>
  <c r="L645" i="25"/>
  <c r="O645" i="25" s="1"/>
  <c r="M645" i="25"/>
  <c r="P645" i="25" s="1"/>
  <c r="N645" i="25"/>
  <c r="O646" i="25"/>
  <c r="P646" i="25"/>
  <c r="T646" i="25"/>
  <c r="U646" i="25"/>
  <c r="O647" i="25"/>
  <c r="P647" i="25"/>
  <c r="Q647" i="25"/>
  <c r="R647" i="25"/>
  <c r="S647" i="25"/>
  <c r="S644" i="25" s="1"/>
  <c r="L648" i="25"/>
  <c r="M648" i="25"/>
  <c r="P648" i="25" s="1"/>
  <c r="N648" i="25"/>
  <c r="O648" i="25"/>
  <c r="Q648" i="25"/>
  <c r="T648" i="25" s="1"/>
  <c r="R648" i="25"/>
  <c r="S648" i="25"/>
  <c r="U648" i="25"/>
  <c r="O649" i="25"/>
  <c r="P649" i="25"/>
  <c r="T649" i="25"/>
  <c r="U649" i="25"/>
  <c r="O650" i="25"/>
  <c r="P650" i="25"/>
  <c r="T650" i="25"/>
  <c r="U650" i="25"/>
  <c r="I652" i="25"/>
  <c r="K652" i="25" s="1"/>
  <c r="J652" i="25"/>
  <c r="I653" i="25"/>
  <c r="K653" i="25" s="1"/>
  <c r="J653" i="25"/>
  <c r="I654" i="25"/>
  <c r="J654" i="25"/>
  <c r="I657" i="25"/>
  <c r="I660" i="25"/>
  <c r="I661" i="25"/>
  <c r="J661" i="25"/>
  <c r="J671" i="25"/>
  <c r="J672" i="25"/>
  <c r="I673" i="25"/>
  <c r="J673" i="25"/>
  <c r="I674" i="25"/>
  <c r="I675" i="25"/>
  <c r="I676" i="25"/>
  <c r="J676" i="25"/>
  <c r="J677" i="25"/>
  <c r="I678" i="25"/>
  <c r="J678" i="25"/>
  <c r="I679" i="25"/>
  <c r="J679" i="25"/>
  <c r="J680" i="25"/>
  <c r="I681" i="25"/>
  <c r="J681" i="25"/>
  <c r="I682" i="25"/>
  <c r="J682" i="25"/>
  <c r="L691" i="25"/>
  <c r="M691" i="25"/>
  <c r="N691" i="25"/>
  <c r="N690" i="25" s="1"/>
  <c r="O691" i="25"/>
  <c r="P691" i="25"/>
  <c r="Q691" i="25"/>
  <c r="R691" i="25"/>
  <c r="S691" i="25"/>
  <c r="T691" i="25"/>
  <c r="U691" i="25"/>
  <c r="L692" i="25"/>
  <c r="O692" i="25" s="1"/>
  <c r="M692" i="25"/>
  <c r="N692" i="25"/>
  <c r="P692" i="25"/>
  <c r="L693" i="25"/>
  <c r="O693" i="25" s="1"/>
  <c r="M693" i="25"/>
  <c r="P693" i="25" s="1"/>
  <c r="N693" i="25"/>
  <c r="O694" i="25"/>
  <c r="P694" i="25"/>
  <c r="T694" i="25"/>
  <c r="U694" i="25"/>
  <c r="O695" i="25"/>
  <c r="P695" i="25"/>
  <c r="Q695" i="25"/>
  <c r="Q692" i="25" s="1"/>
  <c r="R695" i="25"/>
  <c r="R692" i="25" s="1"/>
  <c r="S695" i="25"/>
  <c r="S692" i="25" s="1"/>
  <c r="L696" i="25"/>
  <c r="M696" i="25"/>
  <c r="P696" i="25" s="1"/>
  <c r="N696" i="25"/>
  <c r="O696" i="25"/>
  <c r="Q696" i="25"/>
  <c r="T696" i="25" s="1"/>
  <c r="R696" i="25"/>
  <c r="U696" i="25" s="1"/>
  <c r="S696" i="25"/>
  <c r="O697" i="25"/>
  <c r="P697" i="25"/>
  <c r="T697" i="25"/>
  <c r="U697" i="25"/>
  <c r="O698" i="25"/>
  <c r="P698" i="25"/>
  <c r="T698" i="25"/>
  <c r="U698" i="25"/>
  <c r="I700" i="25"/>
  <c r="K700" i="25" s="1"/>
  <c r="K702" i="25"/>
  <c r="I703" i="25"/>
  <c r="K703" i="25" s="1"/>
  <c r="J703" i="25"/>
  <c r="J704" i="25"/>
  <c r="K704" i="25"/>
  <c r="I705" i="25"/>
  <c r="J705" i="25"/>
  <c r="J706" i="25"/>
  <c r="K706" i="25"/>
  <c r="I707" i="25"/>
  <c r="I689" i="25" s="1"/>
  <c r="K689" i="25" s="1"/>
  <c r="J707" i="25"/>
  <c r="J689" i="25" s="1"/>
  <c r="J708" i="25"/>
  <c r="K708" i="25"/>
  <c r="I709" i="25"/>
  <c r="J709" i="25"/>
  <c r="J710" i="25"/>
  <c r="K710" i="25"/>
  <c r="J712" i="25"/>
  <c r="K712" i="25"/>
  <c r="L715" i="25"/>
  <c r="O715" i="25" s="1"/>
  <c r="M715" i="25"/>
  <c r="N715" i="25"/>
  <c r="Q715" i="25"/>
  <c r="R715" i="25"/>
  <c r="U715" i="25" s="1"/>
  <c r="S715" i="25"/>
  <c r="S714" i="25" s="1"/>
  <c r="T715" i="25"/>
  <c r="L716" i="25"/>
  <c r="O716" i="25" s="1"/>
  <c r="M716" i="25"/>
  <c r="N716" i="25"/>
  <c r="P716" i="25"/>
  <c r="Q716" i="25"/>
  <c r="T716" i="25" s="1"/>
  <c r="R716" i="25"/>
  <c r="U716" i="25" s="1"/>
  <c r="S716" i="25"/>
  <c r="L717" i="25"/>
  <c r="O717" i="25" s="1"/>
  <c r="M717" i="25"/>
  <c r="P717" i="25" s="1"/>
  <c r="N717" i="25"/>
  <c r="Q717" i="25"/>
  <c r="R717" i="25"/>
  <c r="U717" i="25" s="1"/>
  <c r="S717" i="25"/>
  <c r="T717" i="25"/>
  <c r="O718" i="25"/>
  <c r="P718" i="25"/>
  <c r="T718" i="25"/>
  <c r="U718" i="25"/>
  <c r="O719" i="25"/>
  <c r="P719" i="25"/>
  <c r="T719" i="25"/>
  <c r="U719" i="25"/>
  <c r="L720" i="25"/>
  <c r="O720" i="25" s="1"/>
  <c r="M720" i="25"/>
  <c r="N720" i="25"/>
  <c r="P720" i="25"/>
  <c r="Q720" i="25"/>
  <c r="T720" i="25" s="1"/>
  <c r="R720" i="25"/>
  <c r="U720" i="25" s="1"/>
  <c r="S720" i="25"/>
  <c r="O721" i="25"/>
  <c r="P721" i="25"/>
  <c r="T721" i="25"/>
  <c r="U721" i="25"/>
  <c r="O722" i="25"/>
  <c r="P722" i="25"/>
  <c r="T722" i="25"/>
  <c r="U722" i="25"/>
  <c r="I726" i="25"/>
  <c r="K726" i="25" s="1"/>
  <c r="J726" i="25"/>
  <c r="I727" i="25"/>
  <c r="K727" i="25" s="1"/>
  <c r="J727" i="25"/>
  <c r="N728" i="25"/>
  <c r="L729" i="25"/>
  <c r="M729" i="25"/>
  <c r="N729" i="25"/>
  <c r="P729" i="25"/>
  <c r="Q729" i="25"/>
  <c r="T729" i="25" s="1"/>
  <c r="R729" i="25"/>
  <c r="S729" i="25"/>
  <c r="L730" i="25"/>
  <c r="M730" i="25"/>
  <c r="N730" i="25"/>
  <c r="O730" i="25"/>
  <c r="P730" i="25"/>
  <c r="L731" i="25"/>
  <c r="O731" i="25" s="1"/>
  <c r="M731" i="25"/>
  <c r="N731" i="25"/>
  <c r="P731" i="25"/>
  <c r="O732" i="25"/>
  <c r="P732" i="25"/>
  <c r="T732" i="25"/>
  <c r="U732" i="25"/>
  <c r="O733" i="25"/>
  <c r="P733" i="25"/>
  <c r="Q733" i="25"/>
  <c r="Q731" i="25" s="1"/>
  <c r="T731" i="25" s="1"/>
  <c r="R733" i="25"/>
  <c r="R730" i="25" s="1"/>
  <c r="U730" i="25" s="1"/>
  <c r="S733" i="25"/>
  <c r="S731" i="25" s="1"/>
  <c r="L734" i="25"/>
  <c r="O734" i="25" s="1"/>
  <c r="M734" i="25"/>
  <c r="P734" i="25" s="1"/>
  <c r="N734" i="25"/>
  <c r="Q734" i="25"/>
  <c r="T734" i="25" s="1"/>
  <c r="R734" i="25"/>
  <c r="U734" i="25" s="1"/>
  <c r="S734" i="25"/>
  <c r="O735" i="25"/>
  <c r="P735" i="25"/>
  <c r="T735" i="25"/>
  <c r="U735" i="25"/>
  <c r="O736" i="25"/>
  <c r="P736" i="25"/>
  <c r="T736" i="25"/>
  <c r="U736" i="25"/>
  <c r="I740" i="25"/>
  <c r="K740" i="25" s="1"/>
  <c r="I742" i="25"/>
  <c r="K742" i="25" s="1"/>
  <c r="I744" i="25"/>
  <c r="K744" i="25" s="1"/>
  <c r="I746" i="25"/>
  <c r="K746" i="25" s="1"/>
  <c r="I749" i="25"/>
  <c r="K749" i="25" s="1"/>
  <c r="I752" i="25"/>
  <c r="K752" i="25" s="1"/>
  <c r="I755" i="25"/>
  <c r="K755" i="25" s="1"/>
  <c r="J758" i="25"/>
  <c r="J759" i="25"/>
  <c r="L761" i="25"/>
  <c r="M761" i="25"/>
  <c r="P761" i="25" s="1"/>
  <c r="N761" i="25"/>
  <c r="N760" i="25" s="1"/>
  <c r="O761" i="25"/>
  <c r="Q761" i="25"/>
  <c r="R761" i="25"/>
  <c r="S761" i="25"/>
  <c r="U761" i="25"/>
  <c r="L762" i="25"/>
  <c r="M762" i="25"/>
  <c r="P762" i="25" s="1"/>
  <c r="N762" i="25"/>
  <c r="L763" i="25"/>
  <c r="O763" i="25" s="1"/>
  <c r="M763" i="25"/>
  <c r="N763" i="25"/>
  <c r="P763" i="25"/>
  <c r="O764" i="25"/>
  <c r="P764" i="25"/>
  <c r="T764" i="25"/>
  <c r="U764" i="25"/>
  <c r="O765" i="25"/>
  <c r="P765" i="25"/>
  <c r="Q765" i="25"/>
  <c r="R765" i="25"/>
  <c r="S765" i="25"/>
  <c r="L766" i="25"/>
  <c r="M766" i="25"/>
  <c r="P766" i="25" s="1"/>
  <c r="N766" i="25"/>
  <c r="O766" i="25"/>
  <c r="Q766" i="25"/>
  <c r="T766" i="25" s="1"/>
  <c r="R766" i="25"/>
  <c r="U766" i="25" s="1"/>
  <c r="S766" i="25"/>
  <c r="O767" i="25"/>
  <c r="P767" i="25"/>
  <c r="T767" i="25"/>
  <c r="U767" i="25"/>
  <c r="O768" i="25"/>
  <c r="P768" i="25"/>
  <c r="T768" i="25"/>
  <c r="U768" i="25"/>
  <c r="I770" i="25"/>
  <c r="K770" i="25" s="1"/>
  <c r="I772" i="25"/>
  <c r="I758" i="25" s="1"/>
  <c r="I774" i="25"/>
  <c r="I759" i="25" s="1"/>
  <c r="K759" i="25" s="1"/>
  <c r="I775" i="25"/>
  <c r="I776" i="25"/>
  <c r="H777" i="25"/>
  <c r="I778" i="25"/>
  <c r="J778" i="25"/>
  <c r="I779" i="25"/>
  <c r="J779" i="25"/>
  <c r="I780" i="25"/>
  <c r="J780" i="25"/>
  <c r="I781" i="25"/>
  <c r="J781" i="25"/>
  <c r="I782" i="25"/>
  <c r="J782" i="25"/>
  <c r="I783" i="25"/>
  <c r="J783" i="25"/>
  <c r="I784" i="25"/>
  <c r="J784" i="25"/>
  <c r="I785" i="25"/>
  <c r="J785" i="25"/>
  <c r="A788" i="25"/>
  <c r="A789" i="25"/>
  <c r="L22" i="24"/>
  <c r="O22" i="24" s="1"/>
  <c r="M22" i="24"/>
  <c r="N22" i="24"/>
  <c r="Q22" i="24"/>
  <c r="T22" i="24" s="1"/>
  <c r="R22" i="24"/>
  <c r="U22" i="24" s="1"/>
  <c r="S22" i="24"/>
  <c r="L25" i="24"/>
  <c r="O25" i="24" s="1"/>
  <c r="M25" i="24"/>
  <c r="N25" i="24"/>
  <c r="Q25" i="24"/>
  <c r="T25" i="24" s="1"/>
  <c r="R25" i="24"/>
  <c r="U25" i="24" s="1"/>
  <c r="S25" i="24"/>
  <c r="L45" i="24"/>
  <c r="O45" i="24" s="1"/>
  <c r="M45" i="24"/>
  <c r="P45" i="24" s="1"/>
  <c r="N45" i="24"/>
  <c r="Q45" i="24"/>
  <c r="R45" i="24"/>
  <c r="U45" i="24" s="1"/>
  <c r="S45" i="24"/>
  <c r="Q46" i="24"/>
  <c r="R46" i="24"/>
  <c r="U46" i="24" s="1"/>
  <c r="S46" i="24"/>
  <c r="S44" i="24" s="1"/>
  <c r="T46" i="24"/>
  <c r="Q47" i="24"/>
  <c r="T47" i="24" s="1"/>
  <c r="R47" i="24"/>
  <c r="U47" i="24" s="1"/>
  <c r="S47" i="24"/>
  <c r="O48" i="24"/>
  <c r="P48" i="24"/>
  <c r="T48" i="24"/>
  <c r="U48" i="24"/>
  <c r="L49" i="24"/>
  <c r="M49" i="24"/>
  <c r="N49" i="24"/>
  <c r="N47" i="24" s="1"/>
  <c r="T49" i="24"/>
  <c r="U49" i="24"/>
  <c r="Q50" i="24"/>
  <c r="T50" i="24" s="1"/>
  <c r="R50" i="24"/>
  <c r="U50" i="24" s="1"/>
  <c r="S50" i="24"/>
  <c r="O51" i="24"/>
  <c r="P51" i="24"/>
  <c r="T51" i="24"/>
  <c r="U51" i="24"/>
  <c r="L52" i="24"/>
  <c r="O52" i="24" s="1"/>
  <c r="M52" i="24"/>
  <c r="N52" i="24"/>
  <c r="T52" i="24"/>
  <c r="U52" i="24"/>
  <c r="L60" i="24"/>
  <c r="O60" i="24" s="1"/>
  <c r="M60" i="24"/>
  <c r="P60" i="24" s="1"/>
  <c r="N60" i="24"/>
  <c r="Q60" i="24"/>
  <c r="R60" i="24"/>
  <c r="U60" i="24" s="1"/>
  <c r="S60" i="24"/>
  <c r="Q61" i="24"/>
  <c r="R61" i="24"/>
  <c r="U61" i="24" s="1"/>
  <c r="S61" i="24"/>
  <c r="S59" i="24" s="1"/>
  <c r="T61" i="24"/>
  <c r="Q62" i="24"/>
  <c r="R62" i="24"/>
  <c r="U62" i="24" s="1"/>
  <c r="S62" i="24"/>
  <c r="T62" i="24"/>
  <c r="O63" i="24"/>
  <c r="P63" i="24"/>
  <c r="T63" i="24"/>
  <c r="U63" i="24"/>
  <c r="L64" i="24"/>
  <c r="M64" i="24"/>
  <c r="N64" i="24"/>
  <c r="N62" i="24" s="1"/>
  <c r="T64" i="24"/>
  <c r="U64" i="24"/>
  <c r="Q65" i="24"/>
  <c r="T65" i="24" s="1"/>
  <c r="R65" i="24"/>
  <c r="U65" i="24" s="1"/>
  <c r="S65" i="24"/>
  <c r="O66" i="24"/>
  <c r="P66" i="24"/>
  <c r="T66" i="24"/>
  <c r="U66" i="24"/>
  <c r="L67" i="24"/>
  <c r="L65" i="24" s="1"/>
  <c r="O65" i="24" s="1"/>
  <c r="M67" i="24"/>
  <c r="N67" i="24"/>
  <c r="N65" i="24" s="1"/>
  <c r="T67" i="24"/>
  <c r="U67" i="24"/>
  <c r="L73" i="24"/>
  <c r="M73" i="24"/>
  <c r="P73" i="24" s="1"/>
  <c r="N73" i="24"/>
  <c r="Q73" i="24"/>
  <c r="R73" i="24"/>
  <c r="U73" i="24" s="1"/>
  <c r="S73" i="24"/>
  <c r="T73" i="24"/>
  <c r="O76" i="24"/>
  <c r="P76" i="24"/>
  <c r="T76" i="24"/>
  <c r="U76" i="24"/>
  <c r="L77" i="24"/>
  <c r="M77" i="24"/>
  <c r="M75" i="24" s="1"/>
  <c r="P75" i="24" s="1"/>
  <c r="N77" i="24"/>
  <c r="N75" i="24" s="1"/>
  <c r="Q77" i="24"/>
  <c r="R77" i="24"/>
  <c r="S77" i="24"/>
  <c r="S75" i="24" s="1"/>
  <c r="O79" i="24"/>
  <c r="P79" i="24"/>
  <c r="T79" i="24"/>
  <c r="U79" i="24"/>
  <c r="L80" i="24"/>
  <c r="O80" i="24" s="1"/>
  <c r="M80" i="24"/>
  <c r="M78" i="24" s="1"/>
  <c r="P78" i="24" s="1"/>
  <c r="N80" i="24"/>
  <c r="N78" i="24" s="1"/>
  <c r="Q80" i="24"/>
  <c r="T80" i="24" s="1"/>
  <c r="R80" i="24"/>
  <c r="R78" i="24" s="1"/>
  <c r="U78" i="24" s="1"/>
  <c r="S80" i="24"/>
  <c r="S78" i="24" s="1"/>
  <c r="J82" i="24"/>
  <c r="J70" i="24" s="1"/>
  <c r="J83" i="24"/>
  <c r="J71" i="24" s="1"/>
  <c r="I84" i="24"/>
  <c r="I85" i="24"/>
  <c r="K85" i="24" s="1"/>
  <c r="I86" i="24"/>
  <c r="K86" i="24" s="1"/>
  <c r="I87" i="24"/>
  <c r="I88" i="24"/>
  <c r="K88" i="24" s="1"/>
  <c r="I89" i="24"/>
  <c r="K89" i="24" s="1"/>
  <c r="I90" i="24"/>
  <c r="K90" i="24" s="1"/>
  <c r="J92" i="24"/>
  <c r="J93" i="24"/>
  <c r="L95" i="24"/>
  <c r="M95" i="24"/>
  <c r="P95" i="24" s="1"/>
  <c r="N95" i="24"/>
  <c r="Q95" i="24"/>
  <c r="R95" i="24"/>
  <c r="S95" i="24"/>
  <c r="T95" i="24"/>
  <c r="O98" i="24"/>
  <c r="P98" i="24"/>
  <c r="T98" i="24"/>
  <c r="U98" i="24"/>
  <c r="L99" i="24"/>
  <c r="O99" i="24" s="1"/>
  <c r="M99" i="24"/>
  <c r="M97" i="24" s="1"/>
  <c r="P97" i="24" s="1"/>
  <c r="N99" i="24"/>
  <c r="Q99" i="24"/>
  <c r="Q97" i="24" s="1"/>
  <c r="T97" i="24" s="1"/>
  <c r="R99" i="24"/>
  <c r="U99" i="24" s="1"/>
  <c r="S99" i="24"/>
  <c r="S96" i="24" s="1"/>
  <c r="Q100" i="24"/>
  <c r="T100" i="24" s="1"/>
  <c r="R100" i="24"/>
  <c r="U100" i="24" s="1"/>
  <c r="S100" i="24"/>
  <c r="O101" i="24"/>
  <c r="P101" i="24"/>
  <c r="T101" i="24"/>
  <c r="U101" i="24"/>
  <c r="L102" i="24"/>
  <c r="O102" i="24" s="1"/>
  <c r="M102" i="24"/>
  <c r="M100" i="24" s="1"/>
  <c r="P100" i="24" s="1"/>
  <c r="N102" i="24"/>
  <c r="N100" i="24" s="1"/>
  <c r="T102" i="24"/>
  <c r="U102" i="24"/>
  <c r="I108" i="24"/>
  <c r="I92" i="24" s="1"/>
  <c r="K92" i="24" s="1"/>
  <c r="I109" i="24"/>
  <c r="K109" i="24" s="1"/>
  <c r="I114" i="24"/>
  <c r="K114" i="24" s="1"/>
  <c r="J116" i="24"/>
  <c r="L118" i="24"/>
  <c r="M118" i="24"/>
  <c r="N118" i="24"/>
  <c r="P118" i="24"/>
  <c r="Q118" i="24"/>
  <c r="T118" i="24" s="1"/>
  <c r="R118" i="24"/>
  <c r="S118" i="24"/>
  <c r="O121" i="24"/>
  <c r="P121" i="24"/>
  <c r="T121" i="24"/>
  <c r="U121" i="24"/>
  <c r="L122" i="24"/>
  <c r="O122" i="24" s="1"/>
  <c r="M122" i="24"/>
  <c r="M120" i="24" s="1"/>
  <c r="P120" i="24" s="1"/>
  <c r="N122" i="24"/>
  <c r="Q122" i="24"/>
  <c r="Q120" i="24" s="1"/>
  <c r="R122" i="24"/>
  <c r="S122" i="24"/>
  <c r="S120" i="24" s="1"/>
  <c r="O124" i="24"/>
  <c r="P124" i="24"/>
  <c r="T124" i="24"/>
  <c r="U124" i="24"/>
  <c r="L125" i="24"/>
  <c r="O125" i="24" s="1"/>
  <c r="M125" i="24"/>
  <c r="P125" i="24" s="1"/>
  <c r="N125" i="24"/>
  <c r="N123" i="24" s="1"/>
  <c r="Q125" i="24"/>
  <c r="R125" i="24"/>
  <c r="U125" i="24" s="1"/>
  <c r="S125" i="24"/>
  <c r="S123" i="24" s="1"/>
  <c r="I127" i="24"/>
  <c r="I116" i="24" s="1"/>
  <c r="K116" i="24" s="1"/>
  <c r="I128" i="24"/>
  <c r="K128" i="24" s="1"/>
  <c r="I129" i="24"/>
  <c r="K129" i="24" s="1"/>
  <c r="I130" i="24"/>
  <c r="K130" i="24" s="1"/>
  <c r="J136" i="24"/>
  <c r="J137" i="24"/>
  <c r="J138" i="24"/>
  <c r="L140" i="24"/>
  <c r="M140" i="24"/>
  <c r="N140" i="24"/>
  <c r="O140" i="24"/>
  <c r="Q140" i="24"/>
  <c r="R140" i="24"/>
  <c r="S140" i="24"/>
  <c r="U140" i="24"/>
  <c r="O143" i="24"/>
  <c r="P143" i="24"/>
  <c r="T143" i="24"/>
  <c r="U143" i="24"/>
  <c r="L144" i="24"/>
  <c r="L142" i="24" s="1"/>
  <c r="O142" i="24" s="1"/>
  <c r="M144" i="24"/>
  <c r="P144" i="24" s="1"/>
  <c r="N144" i="24"/>
  <c r="N142" i="24" s="1"/>
  <c r="Q144" i="24"/>
  <c r="Q142" i="24" s="1"/>
  <c r="T142" i="24" s="1"/>
  <c r="R144" i="24"/>
  <c r="R142" i="24" s="1"/>
  <c r="U142" i="24" s="1"/>
  <c r="S144" i="24"/>
  <c r="S142" i="24" s="1"/>
  <c r="O146" i="24"/>
  <c r="P146" i="24"/>
  <c r="T146" i="24"/>
  <c r="U146" i="24"/>
  <c r="L147" i="24"/>
  <c r="M147" i="24"/>
  <c r="P147" i="24" s="1"/>
  <c r="N147" i="24"/>
  <c r="N145" i="24" s="1"/>
  <c r="Q147" i="24"/>
  <c r="T147" i="24" s="1"/>
  <c r="R147" i="24"/>
  <c r="R145" i="24" s="1"/>
  <c r="U145" i="24" s="1"/>
  <c r="S147" i="24"/>
  <c r="S145" i="24" s="1"/>
  <c r="I150" i="24"/>
  <c r="K150" i="24" s="1"/>
  <c r="I151" i="24"/>
  <c r="K151" i="24" s="1"/>
  <c r="I152" i="24"/>
  <c r="I153" i="24"/>
  <c r="K153" i="24" s="1"/>
  <c r="I154" i="24"/>
  <c r="I136" i="24" s="1"/>
  <c r="K136" i="24" s="1"/>
  <c r="J156" i="24"/>
  <c r="L158" i="24"/>
  <c r="M158" i="24"/>
  <c r="N158" i="24"/>
  <c r="P158" i="24"/>
  <c r="Q158" i="24"/>
  <c r="R158" i="24"/>
  <c r="S158" i="24"/>
  <c r="O161" i="24"/>
  <c r="P161" i="24"/>
  <c r="T161" i="24"/>
  <c r="U161" i="24"/>
  <c r="L162" i="24"/>
  <c r="O162" i="24" s="1"/>
  <c r="M162" i="24"/>
  <c r="P162" i="24" s="1"/>
  <c r="N162" i="24"/>
  <c r="N160" i="24" s="1"/>
  <c r="Q162" i="24"/>
  <c r="R162" i="24"/>
  <c r="U162" i="24" s="1"/>
  <c r="S162" i="24"/>
  <c r="S159" i="24" s="1"/>
  <c r="Q163" i="24"/>
  <c r="T163" i="24" s="1"/>
  <c r="R163" i="24"/>
  <c r="U163" i="24" s="1"/>
  <c r="S163" i="24"/>
  <c r="O164" i="24"/>
  <c r="P164" i="24"/>
  <c r="T164" i="24"/>
  <c r="U164" i="24"/>
  <c r="L165" i="24"/>
  <c r="O165" i="24" s="1"/>
  <c r="M165" i="24"/>
  <c r="P165" i="24" s="1"/>
  <c r="N165" i="24"/>
  <c r="N163" i="24" s="1"/>
  <c r="T165" i="24"/>
  <c r="U165" i="24"/>
  <c r="I167" i="24"/>
  <c r="K167" i="24" s="1"/>
  <c r="I168" i="24"/>
  <c r="K168" i="24" s="1"/>
  <c r="I169" i="24"/>
  <c r="K169" i="24" s="1"/>
  <c r="J172" i="24"/>
  <c r="L174" i="24"/>
  <c r="M174" i="24"/>
  <c r="N174" i="24"/>
  <c r="P174" i="24"/>
  <c r="Q174" i="24"/>
  <c r="R174" i="24"/>
  <c r="S174" i="24"/>
  <c r="O177" i="24"/>
  <c r="P177" i="24"/>
  <c r="T177" i="24"/>
  <c r="U177" i="24"/>
  <c r="L178" i="24"/>
  <c r="M178" i="24"/>
  <c r="N178" i="24"/>
  <c r="N176" i="24" s="1"/>
  <c r="Q178" i="24"/>
  <c r="T178" i="24" s="1"/>
  <c r="R178" i="24"/>
  <c r="U178" i="24" s="1"/>
  <c r="S178" i="24"/>
  <c r="S176" i="24" s="1"/>
  <c r="Q179" i="24"/>
  <c r="R179" i="24"/>
  <c r="S179" i="24"/>
  <c r="T179" i="24"/>
  <c r="U179" i="24"/>
  <c r="O180" i="24"/>
  <c r="P180" i="24"/>
  <c r="T180" i="24"/>
  <c r="U180" i="24"/>
  <c r="L181" i="24"/>
  <c r="M181" i="24"/>
  <c r="N181" i="24"/>
  <c r="N179" i="24" s="1"/>
  <c r="T181" i="24"/>
  <c r="U181" i="24"/>
  <c r="I183" i="24"/>
  <c r="I172" i="24" s="1"/>
  <c r="K184" i="24"/>
  <c r="L187" i="24"/>
  <c r="M187" i="24"/>
  <c r="N187" i="24"/>
  <c r="Q187" i="24"/>
  <c r="R187" i="24"/>
  <c r="S187" i="24"/>
  <c r="O190" i="24"/>
  <c r="P190" i="24"/>
  <c r="T190" i="24"/>
  <c r="U190" i="24"/>
  <c r="L191" i="24"/>
  <c r="L189" i="24" s="1"/>
  <c r="M191" i="24"/>
  <c r="N191" i="24"/>
  <c r="Q191" i="24"/>
  <c r="T191" i="24" s="1"/>
  <c r="R191" i="24"/>
  <c r="S191" i="24"/>
  <c r="O193" i="24"/>
  <c r="P193" i="24"/>
  <c r="T193" i="24"/>
  <c r="U193" i="24"/>
  <c r="L194" i="24"/>
  <c r="O194" i="24" s="1"/>
  <c r="M194" i="24"/>
  <c r="N194" i="24"/>
  <c r="N192" i="24" s="1"/>
  <c r="Q194" i="24"/>
  <c r="Q192" i="24" s="1"/>
  <c r="T192" i="24" s="1"/>
  <c r="R194" i="24"/>
  <c r="R192" i="24" s="1"/>
  <c r="U192" i="24" s="1"/>
  <c r="S194" i="24"/>
  <c r="S192" i="24" s="1"/>
  <c r="J195" i="24"/>
  <c r="L196" i="24"/>
  <c r="O196" i="24" s="1"/>
  <c r="P196" i="24"/>
  <c r="I198" i="24"/>
  <c r="I195" i="24" s="1"/>
  <c r="J199" i="24"/>
  <c r="J202" i="24"/>
  <c r="N203" i="24"/>
  <c r="P203" i="24"/>
  <c r="S203" i="24"/>
  <c r="U203" i="24"/>
  <c r="L204" i="24"/>
  <c r="L205" i="24"/>
  <c r="L206" i="24"/>
  <c r="Q206" i="24"/>
  <c r="Q203" i="24" s="1"/>
  <c r="T203" i="24" s="1"/>
  <c r="L207" i="24"/>
  <c r="I209" i="24"/>
  <c r="K209" i="24" s="1"/>
  <c r="I211" i="24"/>
  <c r="K211" i="24" s="1"/>
  <c r="I212" i="24"/>
  <c r="K212" i="24" s="1"/>
  <c r="J213" i="24"/>
  <c r="N214" i="24"/>
  <c r="P214" i="24"/>
  <c r="S214" i="24"/>
  <c r="U214" i="24"/>
  <c r="L215" i="24"/>
  <c r="L216" i="24"/>
  <c r="L217" i="24"/>
  <c r="Q217" i="24"/>
  <c r="Q214" i="24" s="1"/>
  <c r="T214" i="24" s="1"/>
  <c r="I219" i="24"/>
  <c r="K219" i="24" s="1"/>
  <c r="I220" i="24"/>
  <c r="I213" i="24" s="1"/>
  <c r="K213" i="24" s="1"/>
  <c r="J221" i="24"/>
  <c r="N222" i="24"/>
  <c r="P222" i="24"/>
  <c r="L223" i="24"/>
  <c r="L224" i="24"/>
  <c r="L225" i="24"/>
  <c r="I228" i="24"/>
  <c r="K228" i="24" s="1"/>
  <c r="I229" i="24"/>
  <c r="I230" i="24"/>
  <c r="K230" i="24" s="1"/>
  <c r="N233" i="24"/>
  <c r="N234" i="24"/>
  <c r="N235" i="24"/>
  <c r="N236" i="24"/>
  <c r="J238" i="24"/>
  <c r="J240" i="24"/>
  <c r="J241" i="24"/>
  <c r="J242" i="24"/>
  <c r="N243" i="24"/>
  <c r="N232" i="24" s="1"/>
  <c r="P243" i="24"/>
  <c r="L244" i="24"/>
  <c r="L245" i="24"/>
  <c r="L246" i="24"/>
  <c r="L247" i="24"/>
  <c r="I249" i="24"/>
  <c r="I251" i="24"/>
  <c r="K251" i="24" s="1"/>
  <c r="I252" i="24"/>
  <c r="I241" i="24" s="1"/>
  <c r="K241" i="24" s="1"/>
  <c r="J253" i="24"/>
  <c r="N254" i="24"/>
  <c r="P254" i="24"/>
  <c r="L255" i="24"/>
  <c r="L256" i="24"/>
  <c r="L257" i="24"/>
  <c r="L258" i="24"/>
  <c r="I260" i="24"/>
  <c r="K260" i="24" s="1"/>
  <c r="K262" i="24"/>
  <c r="K263" i="24"/>
  <c r="J265" i="24"/>
  <c r="L267" i="24"/>
  <c r="O267" i="24" s="1"/>
  <c r="M267" i="24"/>
  <c r="N267" i="24"/>
  <c r="P267" i="24"/>
  <c r="Q267" i="24"/>
  <c r="R267" i="24"/>
  <c r="S267" i="24"/>
  <c r="U267" i="24"/>
  <c r="O270" i="24"/>
  <c r="P270" i="24"/>
  <c r="T270" i="24"/>
  <c r="U270" i="24"/>
  <c r="L271" i="24"/>
  <c r="M271" i="24"/>
  <c r="N271" i="24"/>
  <c r="N269" i="24" s="1"/>
  <c r="Q271" i="24"/>
  <c r="Q268" i="24" s="1"/>
  <c r="R271" i="24"/>
  <c r="S271" i="24"/>
  <c r="S269" i="24" s="1"/>
  <c r="Q272" i="24"/>
  <c r="R272" i="24"/>
  <c r="U272" i="24" s="1"/>
  <c r="S272" i="24"/>
  <c r="T272" i="24"/>
  <c r="O273" i="24"/>
  <c r="P273" i="24"/>
  <c r="T273" i="24"/>
  <c r="U273" i="24"/>
  <c r="L274" i="24"/>
  <c r="M274" i="24"/>
  <c r="N274" i="24"/>
  <c r="N272" i="24" s="1"/>
  <c r="T274" i="24"/>
  <c r="U274" i="24"/>
  <c r="I276" i="24"/>
  <c r="J281" i="24"/>
  <c r="S282" i="24"/>
  <c r="L283" i="24"/>
  <c r="M283" i="24"/>
  <c r="P283" i="24" s="1"/>
  <c r="N283" i="24"/>
  <c r="Q283" i="24"/>
  <c r="R283" i="24"/>
  <c r="S283" i="24"/>
  <c r="Q284" i="24"/>
  <c r="T284" i="24" s="1"/>
  <c r="R284" i="24"/>
  <c r="U284" i="24" s="1"/>
  <c r="S284" i="24"/>
  <c r="Q285" i="24"/>
  <c r="R285" i="24"/>
  <c r="U285" i="24" s="1"/>
  <c r="S285" i="24"/>
  <c r="T285" i="24"/>
  <c r="O286" i="24"/>
  <c r="P286" i="24"/>
  <c r="T286" i="24"/>
  <c r="U286" i="24"/>
  <c r="L287" i="24"/>
  <c r="M287" i="24"/>
  <c r="N287" i="24"/>
  <c r="T287" i="24"/>
  <c r="U287" i="24"/>
  <c r="Q288" i="24"/>
  <c r="T288" i="24" s="1"/>
  <c r="R288" i="24"/>
  <c r="U288" i="24" s="1"/>
  <c r="S288" i="24"/>
  <c r="O289" i="24"/>
  <c r="P289" i="24"/>
  <c r="T289" i="24"/>
  <c r="U289" i="24"/>
  <c r="L290" i="24"/>
  <c r="L288" i="24" s="1"/>
  <c r="O288" i="24" s="1"/>
  <c r="M290" i="24"/>
  <c r="N290" i="24"/>
  <c r="N288" i="24" s="1"/>
  <c r="T290" i="24"/>
  <c r="U290" i="24"/>
  <c r="I292" i="24"/>
  <c r="K292" i="24" s="1"/>
  <c r="I293" i="24"/>
  <c r="I280" i="24" s="1"/>
  <c r="K280" i="24" s="1"/>
  <c r="J293" i="24"/>
  <c r="J280" i="24" s="1"/>
  <c r="I295" i="24"/>
  <c r="K295" i="24" s="1"/>
  <c r="I296" i="24"/>
  <c r="K296" i="24" s="1"/>
  <c r="J302" i="24"/>
  <c r="L304" i="24"/>
  <c r="O304" i="24" s="1"/>
  <c r="M304" i="24"/>
  <c r="N304" i="24"/>
  <c r="P304" i="24"/>
  <c r="Q304" i="24"/>
  <c r="R304" i="24"/>
  <c r="S304" i="24"/>
  <c r="U304" i="24"/>
  <c r="O307" i="24"/>
  <c r="P307" i="24"/>
  <c r="T307" i="24"/>
  <c r="U307" i="24"/>
  <c r="L308" i="24"/>
  <c r="M308" i="24"/>
  <c r="P308" i="24" s="1"/>
  <c r="N308" i="24"/>
  <c r="Q308" i="24"/>
  <c r="Q306" i="24" s="1"/>
  <c r="T306" i="24" s="1"/>
  <c r="R308" i="24"/>
  <c r="R305" i="24" s="1"/>
  <c r="U305" i="24" s="1"/>
  <c r="S308" i="24"/>
  <c r="S305" i="24" s="1"/>
  <c r="Q309" i="24"/>
  <c r="T309" i="24" s="1"/>
  <c r="R309" i="24"/>
  <c r="S309" i="24"/>
  <c r="U309" i="24"/>
  <c r="O310" i="24"/>
  <c r="P310" i="24"/>
  <c r="T310" i="24"/>
  <c r="U310" i="24"/>
  <c r="L311" i="24"/>
  <c r="M311" i="24"/>
  <c r="P311" i="24" s="1"/>
  <c r="N311" i="24"/>
  <c r="N309" i="24" s="1"/>
  <c r="T311" i="24"/>
  <c r="U311" i="24"/>
  <c r="I314" i="24"/>
  <c r="J319" i="24"/>
  <c r="L321" i="24"/>
  <c r="O321" i="24" s="1"/>
  <c r="M321" i="24"/>
  <c r="N321" i="24"/>
  <c r="Q321" i="24"/>
  <c r="R321" i="24"/>
  <c r="S321" i="24"/>
  <c r="S320" i="24" s="1"/>
  <c r="T321" i="24"/>
  <c r="U321" i="24"/>
  <c r="Q322" i="24"/>
  <c r="R322" i="24"/>
  <c r="R320" i="24" s="1"/>
  <c r="U320" i="24" s="1"/>
  <c r="S322" i="24"/>
  <c r="U322" i="24"/>
  <c r="Q323" i="24"/>
  <c r="R323" i="24"/>
  <c r="U323" i="24" s="1"/>
  <c r="S323" i="24"/>
  <c r="T323" i="24"/>
  <c r="O324" i="24"/>
  <c r="P324" i="24"/>
  <c r="T324" i="24"/>
  <c r="U324" i="24"/>
  <c r="L325" i="24"/>
  <c r="O325" i="24" s="1"/>
  <c r="M325" i="24"/>
  <c r="M323" i="24" s="1"/>
  <c r="P323" i="24" s="1"/>
  <c r="N325" i="24"/>
  <c r="N323" i="24" s="1"/>
  <c r="T325" i="24"/>
  <c r="U325" i="24"/>
  <c r="Q326" i="24"/>
  <c r="R326" i="24"/>
  <c r="U326" i="24" s="1"/>
  <c r="S326" i="24"/>
  <c r="T326" i="24"/>
  <c r="O327" i="24"/>
  <c r="P327" i="24"/>
  <c r="T327" i="24"/>
  <c r="U327" i="24"/>
  <c r="L328" i="24"/>
  <c r="M328" i="24"/>
  <c r="N328" i="24"/>
  <c r="N326" i="24" s="1"/>
  <c r="T328" i="24"/>
  <c r="U328" i="24"/>
  <c r="I330" i="24"/>
  <c r="S333" i="24"/>
  <c r="L334" i="24"/>
  <c r="M334" i="24"/>
  <c r="N334" i="24"/>
  <c r="O334" i="24"/>
  <c r="P334" i="24"/>
  <c r="Q334" i="24"/>
  <c r="R334" i="24"/>
  <c r="S334" i="24"/>
  <c r="T334" i="24"/>
  <c r="U334" i="24"/>
  <c r="Q335" i="24"/>
  <c r="T335" i="24" s="1"/>
  <c r="R335" i="24"/>
  <c r="U335" i="24" s="1"/>
  <c r="S335" i="24"/>
  <c r="Q336" i="24"/>
  <c r="R336" i="24"/>
  <c r="S336" i="24"/>
  <c r="T336" i="24"/>
  <c r="U336" i="24"/>
  <c r="O337" i="24"/>
  <c r="P337" i="24"/>
  <c r="T337" i="24"/>
  <c r="U337" i="24"/>
  <c r="L338" i="24"/>
  <c r="L336" i="24" s="1"/>
  <c r="M338" i="24"/>
  <c r="N338" i="24"/>
  <c r="T338" i="24"/>
  <c r="U338" i="24"/>
  <c r="Q339" i="24"/>
  <c r="T339" i="24" s="1"/>
  <c r="R339" i="24"/>
  <c r="U339" i="24" s="1"/>
  <c r="S339" i="24"/>
  <c r="O340" i="24"/>
  <c r="P340" i="24"/>
  <c r="T340" i="24"/>
  <c r="U340" i="24"/>
  <c r="L341" i="24"/>
  <c r="L339" i="24" s="1"/>
  <c r="O339" i="24" s="1"/>
  <c r="M341" i="24"/>
  <c r="N341" i="24"/>
  <c r="N339" i="24" s="1"/>
  <c r="T341" i="24"/>
  <c r="U341" i="24"/>
  <c r="I344" i="24"/>
  <c r="I332" i="24" s="1"/>
  <c r="J344" i="24"/>
  <c r="I346" i="24"/>
  <c r="J346" i="24"/>
  <c r="J347" i="24"/>
  <c r="J348" i="24"/>
  <c r="J349" i="24"/>
  <c r="D350" i="24"/>
  <c r="J352" i="24"/>
  <c r="J353" i="24"/>
  <c r="J354" i="24"/>
  <c r="L357" i="24"/>
  <c r="O357" i="24" s="1"/>
  <c r="M357" i="24"/>
  <c r="N357" i="24"/>
  <c r="Q357" i="24"/>
  <c r="R357" i="24"/>
  <c r="U357" i="24" s="1"/>
  <c r="S357" i="24"/>
  <c r="Q358" i="24"/>
  <c r="R358" i="24"/>
  <c r="U358" i="24" s="1"/>
  <c r="S358" i="24"/>
  <c r="T358" i="24"/>
  <c r="Q359" i="24"/>
  <c r="T359" i="24" s="1"/>
  <c r="R359" i="24"/>
  <c r="U359" i="24" s="1"/>
  <c r="S359" i="24"/>
  <c r="O360" i="24"/>
  <c r="P360" i="24"/>
  <c r="T360" i="24"/>
  <c r="U360" i="24"/>
  <c r="L361" i="24"/>
  <c r="L359" i="24" s="1"/>
  <c r="M361" i="24"/>
  <c r="M359" i="24" s="1"/>
  <c r="N361" i="24"/>
  <c r="T361" i="24"/>
  <c r="U361" i="24"/>
  <c r="Q362" i="24"/>
  <c r="T362" i="24" s="1"/>
  <c r="R362" i="24"/>
  <c r="U362" i="24" s="1"/>
  <c r="S362" i="24"/>
  <c r="O363" i="24"/>
  <c r="P363" i="24"/>
  <c r="T363" i="24"/>
  <c r="U363" i="24"/>
  <c r="L364" i="24"/>
  <c r="M364" i="24"/>
  <c r="P364" i="24" s="1"/>
  <c r="N364" i="24"/>
  <c r="N362" i="24" s="1"/>
  <c r="T364" i="24"/>
  <c r="U364" i="24"/>
  <c r="J367" i="24"/>
  <c r="K367" i="24"/>
  <c r="I368" i="24"/>
  <c r="K368" i="24" s="1"/>
  <c r="J368" i="24"/>
  <c r="I369" i="24"/>
  <c r="K369" i="24" s="1"/>
  <c r="J369" i="24"/>
  <c r="J370" i="24"/>
  <c r="K370" i="24"/>
  <c r="I371" i="24"/>
  <c r="I365" i="24" s="1"/>
  <c r="K365" i="24" s="1"/>
  <c r="J371" i="24"/>
  <c r="J365" i="24" s="1"/>
  <c r="J372" i="24"/>
  <c r="K372" i="24"/>
  <c r="D373" i="24"/>
  <c r="J374" i="24"/>
  <c r="L376" i="24"/>
  <c r="M376" i="24"/>
  <c r="P376" i="24" s="1"/>
  <c r="N376" i="24"/>
  <c r="O376" i="24"/>
  <c r="Q376" i="24"/>
  <c r="T376" i="24" s="1"/>
  <c r="R376" i="24"/>
  <c r="U376" i="24" s="1"/>
  <c r="S376" i="24"/>
  <c r="O379" i="24"/>
  <c r="P379" i="24"/>
  <c r="T379" i="24"/>
  <c r="U379" i="24"/>
  <c r="L380" i="24"/>
  <c r="O380" i="24" s="1"/>
  <c r="M380" i="24"/>
  <c r="M378" i="24" s="1"/>
  <c r="P378" i="24" s="1"/>
  <c r="N380" i="24"/>
  <c r="Q380" i="24"/>
  <c r="R380" i="24"/>
  <c r="U380" i="24" s="1"/>
  <c r="S380" i="24"/>
  <c r="S377" i="24" s="1"/>
  <c r="Q381" i="24"/>
  <c r="T381" i="24" s="1"/>
  <c r="R381" i="24"/>
  <c r="U381" i="24" s="1"/>
  <c r="S381" i="24"/>
  <c r="O382" i="24"/>
  <c r="P382" i="24"/>
  <c r="T382" i="24"/>
  <c r="U382" i="24"/>
  <c r="L383" i="24"/>
  <c r="M383" i="24"/>
  <c r="N383" i="24"/>
  <c r="N381" i="24" s="1"/>
  <c r="T383" i="24"/>
  <c r="U383" i="24"/>
  <c r="I385" i="24"/>
  <c r="I386" i="24"/>
  <c r="K386" i="24" s="1"/>
  <c r="K387" i="24"/>
  <c r="K388" i="24"/>
  <c r="I391" i="24"/>
  <c r="K391" i="24" s="1"/>
  <c r="J391" i="24"/>
  <c r="L393" i="24"/>
  <c r="M393" i="24"/>
  <c r="N393" i="24"/>
  <c r="Q393" i="24"/>
  <c r="R393" i="24"/>
  <c r="U393" i="24" s="1"/>
  <c r="S393" i="24"/>
  <c r="T393" i="24"/>
  <c r="L394" i="24"/>
  <c r="O394" i="24" s="1"/>
  <c r="M394" i="24"/>
  <c r="N394" i="24"/>
  <c r="N392" i="24" s="1"/>
  <c r="P394" i="24"/>
  <c r="L395" i="24"/>
  <c r="O395" i="24" s="1"/>
  <c r="M395" i="24"/>
  <c r="N395" i="24"/>
  <c r="P395" i="24"/>
  <c r="O396" i="24"/>
  <c r="P396" i="24"/>
  <c r="T396" i="24"/>
  <c r="U396" i="24"/>
  <c r="O397" i="24"/>
  <c r="P397" i="24"/>
  <c r="Q397" i="24"/>
  <c r="Q395" i="24" s="1"/>
  <c r="T395" i="24" s="1"/>
  <c r="R397" i="24"/>
  <c r="U397" i="24" s="1"/>
  <c r="S397" i="24"/>
  <c r="L398" i="24"/>
  <c r="M398" i="24"/>
  <c r="P398" i="24" s="1"/>
  <c r="N398" i="24"/>
  <c r="O398" i="24"/>
  <c r="Q398" i="24"/>
  <c r="R398" i="24"/>
  <c r="S398" i="24"/>
  <c r="T398" i="24"/>
  <c r="U398" i="24"/>
  <c r="O399" i="24"/>
  <c r="P399" i="24"/>
  <c r="T399" i="24"/>
  <c r="U399" i="24"/>
  <c r="O400" i="24"/>
  <c r="P400" i="24"/>
  <c r="T400" i="24"/>
  <c r="U400" i="24"/>
  <c r="L414" i="24"/>
  <c r="O414" i="24" s="1"/>
  <c r="M414" i="24"/>
  <c r="N414" i="24"/>
  <c r="Q414" i="24"/>
  <c r="R414" i="24"/>
  <c r="S414" i="24"/>
  <c r="T414" i="24"/>
  <c r="O417" i="24"/>
  <c r="P417" i="24"/>
  <c r="T417" i="24"/>
  <c r="U417" i="24"/>
  <c r="L418" i="24"/>
  <c r="O418" i="24" s="1"/>
  <c r="M418" i="24"/>
  <c r="N418" i="24"/>
  <c r="Q418" i="24"/>
  <c r="Q416" i="24" s="1"/>
  <c r="T416" i="24" s="1"/>
  <c r="R418" i="24"/>
  <c r="U418" i="24" s="1"/>
  <c r="S418" i="24"/>
  <c r="S415" i="24" s="1"/>
  <c r="Q419" i="24"/>
  <c r="R419" i="24"/>
  <c r="U419" i="24" s="1"/>
  <c r="S419" i="24"/>
  <c r="T419" i="24"/>
  <c r="O420" i="24"/>
  <c r="P420" i="24"/>
  <c r="T420" i="24"/>
  <c r="U420" i="24"/>
  <c r="L421" i="24"/>
  <c r="L419" i="24" s="1"/>
  <c r="O419" i="24" s="1"/>
  <c r="M421" i="24"/>
  <c r="M419" i="24" s="1"/>
  <c r="P419" i="24" s="1"/>
  <c r="N421" i="24"/>
  <c r="N419" i="24" s="1"/>
  <c r="T421" i="24"/>
  <c r="U421" i="24"/>
  <c r="J423" i="24"/>
  <c r="J412" i="24" s="1"/>
  <c r="I424" i="24"/>
  <c r="K424" i="24" s="1"/>
  <c r="J424" i="24"/>
  <c r="I425" i="24"/>
  <c r="K425" i="24" s="1"/>
  <c r="J425" i="24"/>
  <c r="I432" i="24"/>
  <c r="K432" i="24" s="1"/>
  <c r="J432" i="24"/>
  <c r="I433" i="24"/>
  <c r="K433" i="24" s="1"/>
  <c r="J433" i="24"/>
  <c r="I440" i="24"/>
  <c r="I423" i="24" s="1"/>
  <c r="I441" i="24"/>
  <c r="K441" i="24" s="1"/>
  <c r="J441" i="24"/>
  <c r="J446" i="24"/>
  <c r="J440" i="24" s="1"/>
  <c r="J447" i="24"/>
  <c r="I457" i="24"/>
  <c r="K457" i="24" s="1"/>
  <c r="I458" i="24"/>
  <c r="K458" i="24" s="1"/>
  <c r="J459" i="24"/>
  <c r="J460" i="24"/>
  <c r="J458" i="24" s="1"/>
  <c r="J467" i="24"/>
  <c r="J468" i="24"/>
  <c r="J475" i="24"/>
  <c r="K475" i="24"/>
  <c r="J476" i="24"/>
  <c r="K476" i="24"/>
  <c r="J477" i="24"/>
  <c r="K477" i="24"/>
  <c r="J482" i="24"/>
  <c r="J483" i="24"/>
  <c r="I484" i="24"/>
  <c r="K484" i="24" s="1"/>
  <c r="J484" i="24"/>
  <c r="I485" i="24"/>
  <c r="K485" i="24" s="1"/>
  <c r="J485" i="24"/>
  <c r="L494" i="24"/>
  <c r="O494" i="24" s="1"/>
  <c r="M494" i="24"/>
  <c r="N494" i="24"/>
  <c r="Q494" i="24"/>
  <c r="R494" i="24"/>
  <c r="U494" i="24" s="1"/>
  <c r="S494" i="24"/>
  <c r="O497" i="24"/>
  <c r="P497" i="24"/>
  <c r="T497" i="24"/>
  <c r="U497" i="24"/>
  <c r="L498" i="24"/>
  <c r="M498" i="24"/>
  <c r="M496" i="24" s="1"/>
  <c r="P496" i="24" s="1"/>
  <c r="N498" i="24"/>
  <c r="N496" i="24" s="1"/>
  <c r="Q498" i="24"/>
  <c r="R498" i="24"/>
  <c r="S498" i="24"/>
  <c r="S496" i="24" s="1"/>
  <c r="Q499" i="24"/>
  <c r="T499" i="24" s="1"/>
  <c r="R499" i="24"/>
  <c r="U499" i="24" s="1"/>
  <c r="S499" i="24"/>
  <c r="O500" i="24"/>
  <c r="P500" i="24"/>
  <c r="T500" i="24"/>
  <c r="U500" i="24"/>
  <c r="L501" i="24"/>
  <c r="M501" i="24"/>
  <c r="M499" i="24" s="1"/>
  <c r="P499" i="24" s="1"/>
  <c r="N501" i="24"/>
  <c r="N499" i="24" s="1"/>
  <c r="T501" i="24"/>
  <c r="U501" i="24"/>
  <c r="I503" i="24"/>
  <c r="I504" i="24"/>
  <c r="I505" i="24"/>
  <c r="K505" i="24" s="1"/>
  <c r="I506" i="24"/>
  <c r="K506" i="24" s="1"/>
  <c r="I507" i="24"/>
  <c r="K507" i="24" s="1"/>
  <c r="K508" i="24"/>
  <c r="I509" i="24"/>
  <c r="K509" i="24" s="1"/>
  <c r="I512" i="24"/>
  <c r="K512" i="24" s="1"/>
  <c r="J512" i="24"/>
  <c r="L514" i="24"/>
  <c r="M514" i="24"/>
  <c r="P514" i="24" s="1"/>
  <c r="N514" i="24"/>
  <c r="O514" i="24"/>
  <c r="Q514" i="24"/>
  <c r="Q513" i="24" s="1"/>
  <c r="T513" i="24" s="1"/>
  <c r="R514" i="24"/>
  <c r="R513" i="24" s="1"/>
  <c r="U513" i="24" s="1"/>
  <c r="S514" i="24"/>
  <c r="U514" i="24"/>
  <c r="Q515" i="24"/>
  <c r="T515" i="24" s="1"/>
  <c r="R515" i="24"/>
  <c r="U515" i="24" s="1"/>
  <c r="S515" i="24"/>
  <c r="Q516" i="24"/>
  <c r="T516" i="24" s="1"/>
  <c r="R516" i="24"/>
  <c r="U516" i="24" s="1"/>
  <c r="S516" i="24"/>
  <c r="O517" i="24"/>
  <c r="P517" i="24"/>
  <c r="T517" i="24"/>
  <c r="U517" i="24"/>
  <c r="L518" i="24"/>
  <c r="O518" i="24" s="1"/>
  <c r="M518" i="24"/>
  <c r="P518" i="24" s="1"/>
  <c r="N518" i="24"/>
  <c r="N516" i="24" s="1"/>
  <c r="T518" i="24"/>
  <c r="U518" i="24"/>
  <c r="Q519" i="24"/>
  <c r="T519" i="24" s="1"/>
  <c r="R519" i="24"/>
  <c r="U519" i="24" s="1"/>
  <c r="S519" i="24"/>
  <c r="O520" i="24"/>
  <c r="P520" i="24"/>
  <c r="T520" i="24"/>
  <c r="U520" i="24"/>
  <c r="L521" i="24"/>
  <c r="M521" i="24"/>
  <c r="P521" i="24" s="1"/>
  <c r="N521" i="24"/>
  <c r="N519" i="24" s="1"/>
  <c r="T521" i="24"/>
  <c r="U521" i="24"/>
  <c r="K523" i="24"/>
  <c r="K524" i="24"/>
  <c r="I533" i="24"/>
  <c r="J533" i="24"/>
  <c r="K533" i="24"/>
  <c r="L535" i="24"/>
  <c r="O535" i="24" s="1"/>
  <c r="M535" i="24"/>
  <c r="P535" i="24" s="1"/>
  <c r="N535" i="24"/>
  <c r="Q535" i="24"/>
  <c r="T535" i="24" s="1"/>
  <c r="R535" i="24"/>
  <c r="U535" i="24" s="1"/>
  <c r="S535" i="24"/>
  <c r="S534" i="24" s="1"/>
  <c r="Q536" i="24"/>
  <c r="R536" i="24"/>
  <c r="U536" i="24" s="1"/>
  <c r="S536" i="24"/>
  <c r="T536" i="24"/>
  <c r="Q537" i="24"/>
  <c r="T537" i="24" s="1"/>
  <c r="R537" i="24"/>
  <c r="U537" i="24" s="1"/>
  <c r="S537" i="24"/>
  <c r="O538" i="24"/>
  <c r="P538" i="24"/>
  <c r="T538" i="24"/>
  <c r="U538" i="24"/>
  <c r="L539" i="24"/>
  <c r="M539" i="24"/>
  <c r="M537" i="24" s="1"/>
  <c r="P537" i="24" s="1"/>
  <c r="N539" i="24"/>
  <c r="T539" i="24"/>
  <c r="U539" i="24"/>
  <c r="Q540" i="24"/>
  <c r="T540" i="24" s="1"/>
  <c r="R540" i="24"/>
  <c r="U540" i="24" s="1"/>
  <c r="S540" i="24"/>
  <c r="O541" i="24"/>
  <c r="P541" i="24"/>
  <c r="T541" i="24"/>
  <c r="U541" i="24"/>
  <c r="L542" i="24"/>
  <c r="M542" i="24"/>
  <c r="P542" i="24" s="1"/>
  <c r="N542" i="24"/>
  <c r="N540" i="24" s="1"/>
  <c r="T542" i="24"/>
  <c r="U542" i="24"/>
  <c r="I554" i="24"/>
  <c r="K554" i="24" s="1"/>
  <c r="J554" i="24"/>
  <c r="L556" i="24"/>
  <c r="M556" i="24"/>
  <c r="P556" i="24" s="1"/>
  <c r="N556" i="24"/>
  <c r="Q556" i="24"/>
  <c r="T556" i="24" s="1"/>
  <c r="R556" i="24"/>
  <c r="R555" i="24" s="1"/>
  <c r="U555" i="24" s="1"/>
  <c r="S556" i="24"/>
  <c r="U556" i="24"/>
  <c r="Q557" i="24"/>
  <c r="R557" i="24"/>
  <c r="U557" i="24" s="1"/>
  <c r="S557" i="24"/>
  <c r="Q558" i="24"/>
  <c r="T558" i="24" s="1"/>
  <c r="R558" i="24"/>
  <c r="S558" i="24"/>
  <c r="U558" i="24"/>
  <c r="O559" i="24"/>
  <c r="P559" i="24"/>
  <c r="T559" i="24"/>
  <c r="U559" i="24"/>
  <c r="L560" i="24"/>
  <c r="L558" i="24" s="1"/>
  <c r="O558" i="24" s="1"/>
  <c r="M560" i="24"/>
  <c r="P560" i="24" s="1"/>
  <c r="N560" i="24"/>
  <c r="N558" i="24" s="1"/>
  <c r="T560" i="24"/>
  <c r="U560" i="24"/>
  <c r="Q561" i="24"/>
  <c r="R561" i="24"/>
  <c r="U561" i="24" s="1"/>
  <c r="S561" i="24"/>
  <c r="T561" i="24"/>
  <c r="O562" i="24"/>
  <c r="P562" i="24"/>
  <c r="T562" i="24"/>
  <c r="U562" i="24"/>
  <c r="L563" i="24"/>
  <c r="M563" i="24"/>
  <c r="M561" i="24" s="1"/>
  <c r="P561" i="24" s="1"/>
  <c r="N563" i="24"/>
  <c r="T563" i="24"/>
  <c r="U563" i="24"/>
  <c r="I575" i="24"/>
  <c r="K575" i="24" s="1"/>
  <c r="J575" i="24"/>
  <c r="L577" i="24"/>
  <c r="O577" i="24" s="1"/>
  <c r="M577" i="24"/>
  <c r="P577" i="24" s="1"/>
  <c r="N577" i="24"/>
  <c r="Q577" i="24"/>
  <c r="R577" i="24"/>
  <c r="R576" i="24" s="1"/>
  <c r="U576" i="24" s="1"/>
  <c r="S577" i="24"/>
  <c r="S576" i="24" s="1"/>
  <c r="T577" i="24"/>
  <c r="Q578" i="24"/>
  <c r="R578" i="24"/>
  <c r="U578" i="24" s="1"/>
  <c r="S578" i="24"/>
  <c r="Q579" i="24"/>
  <c r="T579" i="24" s="1"/>
  <c r="R579" i="24"/>
  <c r="U579" i="24" s="1"/>
  <c r="S579" i="24"/>
  <c r="O580" i="24"/>
  <c r="P580" i="24"/>
  <c r="T580" i="24"/>
  <c r="U580" i="24"/>
  <c r="L581" i="24"/>
  <c r="M581" i="24"/>
  <c r="P581" i="24" s="1"/>
  <c r="N581" i="24"/>
  <c r="T581" i="24"/>
  <c r="U581" i="24"/>
  <c r="Q582" i="24"/>
  <c r="T582" i="24" s="1"/>
  <c r="R582" i="24"/>
  <c r="U582" i="24" s="1"/>
  <c r="S582" i="24"/>
  <c r="O583" i="24"/>
  <c r="P583" i="24"/>
  <c r="T583" i="24"/>
  <c r="U583" i="24"/>
  <c r="L584" i="24"/>
  <c r="M584" i="24"/>
  <c r="P584" i="24" s="1"/>
  <c r="N584" i="24"/>
  <c r="N582" i="24" s="1"/>
  <c r="T584" i="24"/>
  <c r="U584" i="24"/>
  <c r="L600" i="24"/>
  <c r="O600" i="24" s="1"/>
  <c r="M600" i="24"/>
  <c r="N600" i="24"/>
  <c r="P600" i="24"/>
  <c r="Q600" i="24"/>
  <c r="R600" i="24"/>
  <c r="U600" i="24" s="1"/>
  <c r="S600" i="24"/>
  <c r="T600" i="24"/>
  <c r="O603" i="24"/>
  <c r="P603" i="24"/>
  <c r="T603" i="24"/>
  <c r="U603" i="24"/>
  <c r="L604" i="24"/>
  <c r="M604" i="24"/>
  <c r="M602" i="24" s="1"/>
  <c r="N604" i="24"/>
  <c r="Q604" i="24"/>
  <c r="R604" i="24"/>
  <c r="S604" i="24"/>
  <c r="S602" i="24" s="1"/>
  <c r="O606" i="24"/>
  <c r="P606" i="24"/>
  <c r="T606" i="24"/>
  <c r="U606" i="24"/>
  <c r="L607" i="24"/>
  <c r="M607" i="24"/>
  <c r="M605" i="24" s="1"/>
  <c r="P605" i="24" s="1"/>
  <c r="N607" i="24"/>
  <c r="N605" i="24" s="1"/>
  <c r="Q607" i="24"/>
  <c r="R607" i="24"/>
  <c r="S607" i="24"/>
  <c r="S605" i="24" s="1"/>
  <c r="L617" i="24"/>
  <c r="M617" i="24"/>
  <c r="N617" i="24"/>
  <c r="Q617" i="24"/>
  <c r="T617" i="24" s="1"/>
  <c r="R617" i="24"/>
  <c r="S617" i="24"/>
  <c r="L618" i="24"/>
  <c r="O618" i="24" s="1"/>
  <c r="M618" i="24"/>
  <c r="P618" i="24" s="1"/>
  <c r="N618" i="24"/>
  <c r="N616" i="24" s="1"/>
  <c r="L619" i="24"/>
  <c r="M619" i="24"/>
  <c r="P619" i="24" s="1"/>
  <c r="N619" i="24"/>
  <c r="O619" i="24"/>
  <c r="O620" i="24"/>
  <c r="P620" i="24"/>
  <c r="T620" i="24"/>
  <c r="U620" i="24"/>
  <c r="O621" i="24"/>
  <c r="P621" i="24"/>
  <c r="Q621" i="24"/>
  <c r="Q618" i="24" s="1"/>
  <c r="R621" i="24"/>
  <c r="S621" i="24"/>
  <c r="L622" i="24"/>
  <c r="O622" i="24" s="1"/>
  <c r="M622" i="24"/>
  <c r="N622" i="24"/>
  <c r="P622" i="24"/>
  <c r="Q622" i="24"/>
  <c r="R622" i="24"/>
  <c r="U622" i="24" s="1"/>
  <c r="S622" i="24"/>
  <c r="T622" i="24"/>
  <c r="O623" i="24"/>
  <c r="P623" i="24"/>
  <c r="T623" i="24"/>
  <c r="U623" i="24"/>
  <c r="O624" i="24"/>
  <c r="P624" i="24"/>
  <c r="T624" i="24"/>
  <c r="U624" i="24"/>
  <c r="I626" i="24"/>
  <c r="I627" i="24"/>
  <c r="K627" i="24" s="1"/>
  <c r="I628" i="24"/>
  <c r="K628" i="24" s="1"/>
  <c r="J632" i="24"/>
  <c r="J626" i="24" s="1"/>
  <c r="J615" i="24" s="1"/>
  <c r="I635" i="24"/>
  <c r="K635" i="24" s="1"/>
  <c r="J636" i="24"/>
  <c r="J635" i="24" s="1"/>
  <c r="L643" i="24"/>
  <c r="O643" i="24" s="1"/>
  <c r="M643" i="24"/>
  <c r="N643" i="24"/>
  <c r="P643" i="24"/>
  <c r="Q643" i="24"/>
  <c r="T643" i="24" s="1"/>
  <c r="R643" i="24"/>
  <c r="U643" i="24" s="1"/>
  <c r="S643" i="24"/>
  <c r="L644" i="24"/>
  <c r="O644" i="24" s="1"/>
  <c r="M644" i="24"/>
  <c r="P644" i="24" s="1"/>
  <c r="N644" i="24"/>
  <c r="L645" i="24"/>
  <c r="O645" i="24" s="1"/>
  <c r="M645" i="24"/>
  <c r="P645" i="24" s="1"/>
  <c r="N645" i="24"/>
  <c r="O646" i="24"/>
  <c r="P646" i="24"/>
  <c r="T646" i="24"/>
  <c r="U646" i="24"/>
  <c r="O647" i="24"/>
  <c r="P647" i="24"/>
  <c r="Q647" i="24"/>
  <c r="R647" i="24"/>
  <c r="S647" i="24"/>
  <c r="S644" i="24" s="1"/>
  <c r="L648" i="24"/>
  <c r="O648" i="24" s="1"/>
  <c r="M648" i="24"/>
  <c r="P648" i="24" s="1"/>
  <c r="N648" i="24"/>
  <c r="Q648" i="24"/>
  <c r="T648" i="24" s="1"/>
  <c r="R648" i="24"/>
  <c r="U648" i="24" s="1"/>
  <c r="S648" i="24"/>
  <c r="O649" i="24"/>
  <c r="P649" i="24"/>
  <c r="T649" i="24"/>
  <c r="U649" i="24"/>
  <c r="O650" i="24"/>
  <c r="P650" i="24"/>
  <c r="T650" i="24"/>
  <c r="U650" i="24"/>
  <c r="I652" i="24"/>
  <c r="K652" i="24" s="1"/>
  <c r="J652" i="24"/>
  <c r="I653" i="24"/>
  <c r="K653" i="24" s="1"/>
  <c r="J653" i="24"/>
  <c r="I654" i="24"/>
  <c r="J654" i="24"/>
  <c r="I657" i="24"/>
  <c r="I660" i="24"/>
  <c r="I661" i="24"/>
  <c r="J661" i="24"/>
  <c r="J671" i="24"/>
  <c r="J672" i="24"/>
  <c r="I673" i="24"/>
  <c r="J673" i="24"/>
  <c r="I674" i="24"/>
  <c r="I675" i="24"/>
  <c r="I676" i="24"/>
  <c r="J676" i="24"/>
  <c r="J677" i="24"/>
  <c r="I678" i="24"/>
  <c r="J678" i="24"/>
  <c r="I679" i="24"/>
  <c r="J679" i="24"/>
  <c r="J680" i="24"/>
  <c r="I681" i="24"/>
  <c r="J681" i="24"/>
  <c r="I682" i="24"/>
  <c r="K682" i="24" s="1"/>
  <c r="J682" i="24"/>
  <c r="L691" i="24"/>
  <c r="O691" i="24" s="1"/>
  <c r="M691" i="24"/>
  <c r="N691" i="24"/>
  <c r="P691" i="24"/>
  <c r="Q691" i="24"/>
  <c r="T691" i="24" s="1"/>
  <c r="R691" i="24"/>
  <c r="U691" i="24" s="1"/>
  <c r="S691" i="24"/>
  <c r="L692" i="24"/>
  <c r="O692" i="24" s="1"/>
  <c r="M692" i="24"/>
  <c r="P692" i="24" s="1"/>
  <c r="N692" i="24"/>
  <c r="L693" i="24"/>
  <c r="M693" i="24"/>
  <c r="N693" i="24"/>
  <c r="O693" i="24"/>
  <c r="P693" i="24"/>
  <c r="O694" i="24"/>
  <c r="P694" i="24"/>
  <c r="T694" i="24"/>
  <c r="U694" i="24"/>
  <c r="O695" i="24"/>
  <c r="P695" i="24"/>
  <c r="Q695" i="24"/>
  <c r="Q692" i="24" s="1"/>
  <c r="T692" i="24" s="1"/>
  <c r="R695" i="24"/>
  <c r="R692" i="24" s="1"/>
  <c r="U692" i="24" s="1"/>
  <c r="S695" i="24"/>
  <c r="L696" i="24"/>
  <c r="O696" i="24" s="1"/>
  <c r="M696" i="24"/>
  <c r="P696" i="24" s="1"/>
  <c r="N696" i="24"/>
  <c r="Q696" i="24"/>
  <c r="T696" i="24" s="1"/>
  <c r="R696" i="24"/>
  <c r="U696" i="24" s="1"/>
  <c r="S696" i="24"/>
  <c r="O697" i="24"/>
  <c r="P697" i="24"/>
  <c r="T697" i="24"/>
  <c r="U697" i="24"/>
  <c r="O698" i="24"/>
  <c r="P698" i="24"/>
  <c r="T698" i="24"/>
  <c r="U698" i="24"/>
  <c r="I700" i="24"/>
  <c r="K700" i="24" s="1"/>
  <c r="K702" i="24"/>
  <c r="I703" i="24"/>
  <c r="J703" i="24"/>
  <c r="J704" i="24"/>
  <c r="K704" i="24"/>
  <c r="I705" i="24"/>
  <c r="K705" i="24" s="1"/>
  <c r="J705" i="24"/>
  <c r="J706" i="24"/>
  <c r="K706" i="24"/>
  <c r="I707" i="24"/>
  <c r="I689" i="24" s="1"/>
  <c r="K689" i="24" s="1"/>
  <c r="J707" i="24"/>
  <c r="J689" i="24" s="1"/>
  <c r="J708" i="24"/>
  <c r="K708" i="24"/>
  <c r="I709" i="24"/>
  <c r="K709" i="24" s="1"/>
  <c r="J709" i="24"/>
  <c r="J710" i="24"/>
  <c r="K710" i="24"/>
  <c r="J712" i="24"/>
  <c r="K712" i="24"/>
  <c r="L715" i="24"/>
  <c r="M715" i="24"/>
  <c r="M714" i="24" s="1"/>
  <c r="P714" i="24" s="1"/>
  <c r="N715" i="24"/>
  <c r="Q715" i="24"/>
  <c r="R715" i="24"/>
  <c r="S715" i="24"/>
  <c r="S714" i="24" s="1"/>
  <c r="T715" i="24"/>
  <c r="L716" i="24"/>
  <c r="O716" i="24" s="1"/>
  <c r="M716" i="24"/>
  <c r="N716" i="24"/>
  <c r="N714" i="24" s="1"/>
  <c r="P716" i="24"/>
  <c r="Q716" i="24"/>
  <c r="T716" i="24" s="1"/>
  <c r="R716" i="24"/>
  <c r="U716" i="24" s="1"/>
  <c r="S716" i="24"/>
  <c r="L717" i="24"/>
  <c r="O717" i="24" s="1"/>
  <c r="M717" i="24"/>
  <c r="P717" i="24" s="1"/>
  <c r="N717" i="24"/>
  <c r="Q717" i="24"/>
  <c r="T717" i="24" s="1"/>
  <c r="R717" i="24"/>
  <c r="U717" i="24" s="1"/>
  <c r="S717" i="24"/>
  <c r="O718" i="24"/>
  <c r="P718" i="24"/>
  <c r="T718" i="24"/>
  <c r="U718" i="24"/>
  <c r="O719" i="24"/>
  <c r="P719" i="24"/>
  <c r="T719" i="24"/>
  <c r="U719" i="24"/>
  <c r="L720" i="24"/>
  <c r="O720" i="24" s="1"/>
  <c r="M720" i="24"/>
  <c r="P720" i="24" s="1"/>
  <c r="N720" i="24"/>
  <c r="Q720" i="24"/>
  <c r="R720" i="24"/>
  <c r="U720" i="24" s="1"/>
  <c r="S720" i="24"/>
  <c r="T720" i="24"/>
  <c r="O721" i="24"/>
  <c r="P721" i="24"/>
  <c r="T721" i="24"/>
  <c r="U721" i="24"/>
  <c r="O722" i="24"/>
  <c r="P722" i="24"/>
  <c r="T722" i="24"/>
  <c r="U722" i="24"/>
  <c r="I726" i="24"/>
  <c r="K726" i="24" s="1"/>
  <c r="J726" i="24"/>
  <c r="I727" i="24"/>
  <c r="K727" i="24" s="1"/>
  <c r="J727" i="24"/>
  <c r="L729" i="24"/>
  <c r="M729" i="24"/>
  <c r="M728" i="24" s="1"/>
  <c r="P728" i="24" s="1"/>
  <c r="N729" i="24"/>
  <c r="P729" i="24"/>
  <c r="Q729" i="24"/>
  <c r="R729" i="24"/>
  <c r="S729" i="24"/>
  <c r="T729" i="24"/>
  <c r="L730" i="24"/>
  <c r="O730" i="24" s="1"/>
  <c r="M730" i="24"/>
  <c r="N730" i="24"/>
  <c r="N728" i="24" s="1"/>
  <c r="P730" i="24"/>
  <c r="L731" i="24"/>
  <c r="O731" i="24" s="1"/>
  <c r="M731" i="24"/>
  <c r="P731" i="24" s="1"/>
  <c r="N731" i="24"/>
  <c r="O732" i="24"/>
  <c r="P732" i="24"/>
  <c r="T732" i="24"/>
  <c r="U732" i="24"/>
  <c r="O733" i="24"/>
  <c r="P733" i="24"/>
  <c r="Q733" i="24"/>
  <c r="Q731" i="24" s="1"/>
  <c r="T731" i="24" s="1"/>
  <c r="R733" i="24"/>
  <c r="S733" i="24"/>
  <c r="S730" i="24" s="1"/>
  <c r="S728" i="24" s="1"/>
  <c r="L734" i="24"/>
  <c r="O734" i="24" s="1"/>
  <c r="M734" i="24"/>
  <c r="P734" i="24" s="1"/>
  <c r="N734" i="24"/>
  <c r="Q734" i="24"/>
  <c r="T734" i="24" s="1"/>
  <c r="R734" i="24"/>
  <c r="U734" i="24" s="1"/>
  <c r="S734" i="24"/>
  <c r="O735" i="24"/>
  <c r="P735" i="24"/>
  <c r="T735" i="24"/>
  <c r="U735" i="24"/>
  <c r="O736" i="24"/>
  <c r="P736" i="24"/>
  <c r="T736" i="24"/>
  <c r="U736" i="24"/>
  <c r="I740" i="24"/>
  <c r="K740" i="24" s="1"/>
  <c r="I742" i="24"/>
  <c r="K742" i="24" s="1"/>
  <c r="I744" i="24"/>
  <c r="K744" i="24" s="1"/>
  <c r="I746" i="24"/>
  <c r="K746" i="24" s="1"/>
  <c r="I749" i="24"/>
  <c r="K749" i="24" s="1"/>
  <c r="I752" i="24"/>
  <c r="K752" i="24" s="1"/>
  <c r="I755" i="24"/>
  <c r="K755" i="24" s="1"/>
  <c r="J758" i="24"/>
  <c r="J759" i="24"/>
  <c r="L761" i="24"/>
  <c r="O761" i="24" s="1"/>
  <c r="M761" i="24"/>
  <c r="N761" i="24"/>
  <c r="N760" i="24" s="1"/>
  <c r="Q761" i="24"/>
  <c r="R761" i="24"/>
  <c r="S761" i="24"/>
  <c r="U761" i="24"/>
  <c r="L762" i="24"/>
  <c r="O762" i="24" s="1"/>
  <c r="M762" i="24"/>
  <c r="P762" i="24" s="1"/>
  <c r="N762" i="24"/>
  <c r="L763" i="24"/>
  <c r="O763" i="24" s="1"/>
  <c r="M763" i="24"/>
  <c r="P763" i="24" s="1"/>
  <c r="N763" i="24"/>
  <c r="O764" i="24"/>
  <c r="P764" i="24"/>
  <c r="T764" i="24"/>
  <c r="U764" i="24"/>
  <c r="O765" i="24"/>
  <c r="P765" i="24"/>
  <c r="Q765" i="24"/>
  <c r="Q762" i="24" s="1"/>
  <c r="T762" i="24" s="1"/>
  <c r="R765" i="24"/>
  <c r="R763" i="24" s="1"/>
  <c r="U763" i="24" s="1"/>
  <c r="S765" i="24"/>
  <c r="S763" i="24" s="1"/>
  <c r="L766" i="24"/>
  <c r="O766" i="24" s="1"/>
  <c r="M766" i="24"/>
  <c r="P766" i="24" s="1"/>
  <c r="N766" i="24"/>
  <c r="Q766" i="24"/>
  <c r="T766" i="24" s="1"/>
  <c r="R766" i="24"/>
  <c r="U766" i="24" s="1"/>
  <c r="S766" i="24"/>
  <c r="O767" i="24"/>
  <c r="P767" i="24"/>
  <c r="T767" i="24"/>
  <c r="U767" i="24"/>
  <c r="O768" i="24"/>
  <c r="P768" i="24"/>
  <c r="T768" i="24"/>
  <c r="U768" i="24"/>
  <c r="I770" i="24"/>
  <c r="K770" i="24" s="1"/>
  <c r="I772" i="24"/>
  <c r="I758" i="24" s="1"/>
  <c r="K758" i="24" s="1"/>
  <c r="I774" i="24"/>
  <c r="K774" i="24" s="1"/>
  <c r="I775" i="24"/>
  <c r="I776" i="24"/>
  <c r="H777" i="24"/>
  <c r="I778" i="24"/>
  <c r="J778" i="24"/>
  <c r="I779" i="24"/>
  <c r="J779" i="24"/>
  <c r="I780" i="24"/>
  <c r="J780" i="24"/>
  <c r="I781" i="24"/>
  <c r="J781" i="24"/>
  <c r="I782" i="24"/>
  <c r="J782" i="24"/>
  <c r="I783" i="24"/>
  <c r="J783" i="24"/>
  <c r="I784" i="24"/>
  <c r="J784" i="24"/>
  <c r="I785" i="24"/>
  <c r="J785" i="24"/>
  <c r="A788" i="24"/>
  <c r="A789" i="24"/>
  <c r="L22" i="23"/>
  <c r="M22" i="23"/>
  <c r="M19" i="23" s="1"/>
  <c r="N22" i="23"/>
  <c r="Q22" i="23"/>
  <c r="T22" i="23" s="1"/>
  <c r="R22" i="23"/>
  <c r="S22" i="23"/>
  <c r="L25" i="23"/>
  <c r="M25" i="23"/>
  <c r="N25" i="23"/>
  <c r="Q25" i="23"/>
  <c r="T25" i="23" s="1"/>
  <c r="R25" i="23"/>
  <c r="S25" i="23"/>
  <c r="L45" i="23"/>
  <c r="O45" i="23" s="1"/>
  <c r="M45" i="23"/>
  <c r="N45" i="23"/>
  <c r="Q45" i="23"/>
  <c r="Q44" i="23" s="1"/>
  <c r="T44" i="23" s="1"/>
  <c r="R45" i="23"/>
  <c r="U45" i="23" s="1"/>
  <c r="S45" i="23"/>
  <c r="S44" i="23" s="1"/>
  <c r="Q46" i="23"/>
  <c r="T46" i="23" s="1"/>
  <c r="R46" i="23"/>
  <c r="S46" i="23"/>
  <c r="Q47" i="23"/>
  <c r="T47" i="23" s="1"/>
  <c r="R47" i="23"/>
  <c r="U47" i="23" s="1"/>
  <c r="S47" i="23"/>
  <c r="O48" i="23"/>
  <c r="P48" i="23"/>
  <c r="T48" i="23"/>
  <c r="U48" i="23"/>
  <c r="L49" i="23"/>
  <c r="M49" i="23"/>
  <c r="M47" i="23" s="1"/>
  <c r="N49" i="23"/>
  <c r="N47" i="23" s="1"/>
  <c r="T49" i="23"/>
  <c r="U49" i="23"/>
  <c r="Q50" i="23"/>
  <c r="R50" i="23"/>
  <c r="S50" i="23"/>
  <c r="T50" i="23"/>
  <c r="U50" i="23"/>
  <c r="O51" i="23"/>
  <c r="P51" i="23"/>
  <c r="T51" i="23"/>
  <c r="U51" i="23"/>
  <c r="L52" i="23"/>
  <c r="M52" i="23"/>
  <c r="N52" i="23"/>
  <c r="N50" i="23" s="1"/>
  <c r="T52" i="23"/>
  <c r="U52" i="23"/>
  <c r="L60" i="23"/>
  <c r="O60" i="23" s="1"/>
  <c r="M60" i="23"/>
  <c r="N60" i="23"/>
  <c r="Q60" i="23"/>
  <c r="R60" i="23"/>
  <c r="S60" i="23"/>
  <c r="S59" i="23" s="1"/>
  <c r="T60" i="23"/>
  <c r="Q61" i="23"/>
  <c r="R61" i="23"/>
  <c r="S61" i="23"/>
  <c r="U61" i="23"/>
  <c r="Q62" i="23"/>
  <c r="T62" i="23" s="1"/>
  <c r="R62" i="23"/>
  <c r="U62" i="23" s="1"/>
  <c r="S62" i="23"/>
  <c r="O63" i="23"/>
  <c r="P63" i="23"/>
  <c r="T63" i="23"/>
  <c r="U63" i="23"/>
  <c r="L64" i="23"/>
  <c r="L62" i="23" s="1"/>
  <c r="M64" i="23"/>
  <c r="M62" i="23" s="1"/>
  <c r="N64" i="23"/>
  <c r="T64" i="23"/>
  <c r="U64" i="23"/>
  <c r="Q65" i="23"/>
  <c r="T65" i="23" s="1"/>
  <c r="R65" i="23"/>
  <c r="S65" i="23"/>
  <c r="U65" i="23"/>
  <c r="O66" i="23"/>
  <c r="P66" i="23"/>
  <c r="T66" i="23"/>
  <c r="U66" i="23"/>
  <c r="L67" i="23"/>
  <c r="M67" i="23"/>
  <c r="N67" i="23"/>
  <c r="N65" i="23" s="1"/>
  <c r="T67" i="23"/>
  <c r="U67" i="23"/>
  <c r="L73" i="23"/>
  <c r="M73" i="23"/>
  <c r="P73" i="23" s="1"/>
  <c r="N73" i="23"/>
  <c r="Q73" i="23"/>
  <c r="R73" i="23"/>
  <c r="U73" i="23" s="1"/>
  <c r="S73" i="23"/>
  <c r="T73" i="23"/>
  <c r="O76" i="23"/>
  <c r="P76" i="23"/>
  <c r="T76" i="23"/>
  <c r="U76" i="23"/>
  <c r="L77" i="23"/>
  <c r="O77" i="23" s="1"/>
  <c r="M77" i="23"/>
  <c r="M75" i="23" s="1"/>
  <c r="P75" i="23" s="1"/>
  <c r="N77" i="23"/>
  <c r="N75" i="23" s="1"/>
  <c r="Q77" i="23"/>
  <c r="T77" i="23" s="1"/>
  <c r="R77" i="23"/>
  <c r="U77" i="23" s="1"/>
  <c r="S77" i="23"/>
  <c r="O79" i="23"/>
  <c r="P79" i="23"/>
  <c r="T79" i="23"/>
  <c r="U79" i="23"/>
  <c r="L80" i="23"/>
  <c r="O80" i="23" s="1"/>
  <c r="M80" i="23"/>
  <c r="M78" i="23" s="1"/>
  <c r="P78" i="23" s="1"/>
  <c r="N80" i="23"/>
  <c r="N78" i="23" s="1"/>
  <c r="Q80" i="23"/>
  <c r="T80" i="23" s="1"/>
  <c r="R80" i="23"/>
  <c r="R78" i="23" s="1"/>
  <c r="U78" i="23" s="1"/>
  <c r="S80" i="23"/>
  <c r="S78" i="23" s="1"/>
  <c r="J82" i="23"/>
  <c r="J70" i="23" s="1"/>
  <c r="J83" i="23"/>
  <c r="J71" i="23" s="1"/>
  <c r="I84" i="23"/>
  <c r="I85" i="23"/>
  <c r="I86" i="23"/>
  <c r="K86" i="23" s="1"/>
  <c r="I87" i="23"/>
  <c r="K87" i="23" s="1"/>
  <c r="I88" i="23"/>
  <c r="K88" i="23" s="1"/>
  <c r="I89" i="23"/>
  <c r="K89" i="23" s="1"/>
  <c r="I90" i="23"/>
  <c r="K90" i="23" s="1"/>
  <c r="J92" i="23"/>
  <c r="J93" i="23"/>
  <c r="L95" i="23"/>
  <c r="M95" i="23"/>
  <c r="N95" i="23"/>
  <c r="Q95" i="23"/>
  <c r="T95" i="23" s="1"/>
  <c r="R95" i="23"/>
  <c r="S95" i="23"/>
  <c r="O98" i="23"/>
  <c r="P98" i="23"/>
  <c r="T98" i="23"/>
  <c r="U98" i="23"/>
  <c r="L99" i="23"/>
  <c r="M99" i="23"/>
  <c r="N99" i="23"/>
  <c r="Q99" i="23"/>
  <c r="Q96" i="23" s="1"/>
  <c r="Q94" i="23" s="1"/>
  <c r="T94" i="23" s="1"/>
  <c r="R99" i="23"/>
  <c r="S99" i="23"/>
  <c r="Q100" i="23"/>
  <c r="T100" i="23" s="1"/>
  <c r="R100" i="23"/>
  <c r="S100" i="23"/>
  <c r="U100" i="23"/>
  <c r="O101" i="23"/>
  <c r="P101" i="23"/>
  <c r="T101" i="23"/>
  <c r="U101" i="23"/>
  <c r="L102" i="23"/>
  <c r="L100" i="23" s="1"/>
  <c r="O100" i="23" s="1"/>
  <c r="M102" i="23"/>
  <c r="N102" i="23"/>
  <c r="N100" i="23" s="1"/>
  <c r="T102" i="23"/>
  <c r="U102" i="23"/>
  <c r="I108" i="23"/>
  <c r="I92" i="23" s="1"/>
  <c r="K92" i="23" s="1"/>
  <c r="I109" i="23"/>
  <c r="I114" i="23"/>
  <c r="K114" i="23" s="1"/>
  <c r="J116" i="23"/>
  <c r="L118" i="23"/>
  <c r="M118" i="23"/>
  <c r="N118" i="23"/>
  <c r="Q118" i="23"/>
  <c r="T118" i="23" s="1"/>
  <c r="R118" i="23"/>
  <c r="S118" i="23"/>
  <c r="O121" i="23"/>
  <c r="P121" i="23"/>
  <c r="T121" i="23"/>
  <c r="U121" i="23"/>
  <c r="L122" i="23"/>
  <c r="M122" i="23"/>
  <c r="N122" i="23"/>
  <c r="Q122" i="23"/>
  <c r="R122" i="23"/>
  <c r="S122" i="23"/>
  <c r="O124" i="23"/>
  <c r="P124" i="23"/>
  <c r="T124" i="23"/>
  <c r="U124" i="23"/>
  <c r="L125" i="23"/>
  <c r="L123" i="23" s="1"/>
  <c r="O123" i="23" s="1"/>
  <c r="M125" i="23"/>
  <c r="N125" i="23"/>
  <c r="N123" i="23" s="1"/>
  <c r="Q125" i="23"/>
  <c r="Q123" i="23" s="1"/>
  <c r="T123" i="23" s="1"/>
  <c r="R125" i="23"/>
  <c r="S125" i="23"/>
  <c r="I127" i="23"/>
  <c r="K127" i="23" s="1"/>
  <c r="I128" i="23"/>
  <c r="K128" i="23" s="1"/>
  <c r="I129" i="23"/>
  <c r="K129" i="23" s="1"/>
  <c r="I130" i="23"/>
  <c r="K130" i="23" s="1"/>
  <c r="J136" i="23"/>
  <c r="J137" i="23"/>
  <c r="J138" i="23"/>
  <c r="L140" i="23"/>
  <c r="O140" i="23" s="1"/>
  <c r="M140" i="23"/>
  <c r="N140" i="23"/>
  <c r="Q140" i="23"/>
  <c r="R140" i="23"/>
  <c r="U140" i="23" s="1"/>
  <c r="S140" i="23"/>
  <c r="O143" i="23"/>
  <c r="P143" i="23"/>
  <c r="T143" i="23"/>
  <c r="U143" i="23"/>
  <c r="L144" i="23"/>
  <c r="L142" i="23" s="1"/>
  <c r="O142" i="23" s="1"/>
  <c r="M144" i="23"/>
  <c r="M142" i="23" s="1"/>
  <c r="P142" i="23" s="1"/>
  <c r="N144" i="23"/>
  <c r="N142" i="23" s="1"/>
  <c r="Q144" i="23"/>
  <c r="Q142" i="23" s="1"/>
  <c r="T142" i="23" s="1"/>
  <c r="R144" i="23"/>
  <c r="S144" i="23"/>
  <c r="S142" i="23" s="1"/>
  <c r="O146" i="23"/>
  <c r="P146" i="23"/>
  <c r="T146" i="23"/>
  <c r="U146" i="23"/>
  <c r="L147" i="23"/>
  <c r="L145" i="23" s="1"/>
  <c r="O145" i="23" s="1"/>
  <c r="M147" i="23"/>
  <c r="M145" i="23" s="1"/>
  <c r="P145" i="23" s="1"/>
  <c r="N147" i="23"/>
  <c r="N145" i="23" s="1"/>
  <c r="Q147" i="23"/>
  <c r="Q145" i="23" s="1"/>
  <c r="T145" i="23" s="1"/>
  <c r="R147" i="23"/>
  <c r="U147" i="23" s="1"/>
  <c r="S147" i="23"/>
  <c r="S145" i="23" s="1"/>
  <c r="I150" i="23"/>
  <c r="K150" i="23" s="1"/>
  <c r="I151" i="23"/>
  <c r="K151" i="23" s="1"/>
  <c r="I152" i="23"/>
  <c r="K152" i="23" s="1"/>
  <c r="I153" i="23"/>
  <c r="I154" i="23"/>
  <c r="J156" i="23"/>
  <c r="L158" i="23"/>
  <c r="M158" i="23"/>
  <c r="N158" i="23"/>
  <c r="Q158" i="23"/>
  <c r="T158" i="23" s="1"/>
  <c r="R158" i="23"/>
  <c r="S158" i="23"/>
  <c r="O161" i="23"/>
  <c r="P161" i="23"/>
  <c r="T161" i="23"/>
  <c r="U161" i="23"/>
  <c r="L162" i="23"/>
  <c r="M162" i="23"/>
  <c r="N162" i="23"/>
  <c r="Q162" i="23"/>
  <c r="Q159" i="23" s="1"/>
  <c r="R162" i="23"/>
  <c r="R159" i="23" s="1"/>
  <c r="U159" i="23" s="1"/>
  <c r="S162" i="23"/>
  <c r="S160" i="23" s="1"/>
  <c r="Q163" i="23"/>
  <c r="T163" i="23" s="1"/>
  <c r="R163" i="23"/>
  <c r="U163" i="23" s="1"/>
  <c r="S163" i="23"/>
  <c r="O164" i="23"/>
  <c r="P164" i="23"/>
  <c r="T164" i="23"/>
  <c r="U164" i="23"/>
  <c r="L165" i="23"/>
  <c r="M165" i="23"/>
  <c r="N165" i="23"/>
  <c r="N163" i="23" s="1"/>
  <c r="T165" i="23"/>
  <c r="U165" i="23"/>
  <c r="I167" i="23"/>
  <c r="K167" i="23" s="1"/>
  <c r="I168" i="23"/>
  <c r="K168" i="23" s="1"/>
  <c r="I169" i="23"/>
  <c r="I156" i="23" s="1"/>
  <c r="K156" i="23" s="1"/>
  <c r="J172" i="23"/>
  <c r="L174" i="23"/>
  <c r="M174" i="23"/>
  <c r="N174" i="23"/>
  <c r="P174" i="23"/>
  <c r="Q174" i="23"/>
  <c r="R174" i="23"/>
  <c r="S174" i="23"/>
  <c r="O177" i="23"/>
  <c r="P177" i="23"/>
  <c r="T177" i="23"/>
  <c r="U177" i="23"/>
  <c r="L178" i="23"/>
  <c r="M178" i="23"/>
  <c r="N178" i="23"/>
  <c r="N176" i="23" s="1"/>
  <c r="Q178" i="23"/>
  <c r="Q175" i="23" s="1"/>
  <c r="T175" i="23" s="1"/>
  <c r="R178" i="23"/>
  <c r="R175" i="23" s="1"/>
  <c r="U175" i="23" s="1"/>
  <c r="S178" i="23"/>
  <c r="S176" i="23" s="1"/>
  <c r="Q179" i="23"/>
  <c r="T179" i="23" s="1"/>
  <c r="R179" i="23"/>
  <c r="S179" i="23"/>
  <c r="U179" i="23"/>
  <c r="O180" i="23"/>
  <c r="P180" i="23"/>
  <c r="T180" i="23"/>
  <c r="U180" i="23"/>
  <c r="L181" i="23"/>
  <c r="M181" i="23"/>
  <c r="N181" i="23"/>
  <c r="N179" i="23" s="1"/>
  <c r="T181" i="23"/>
  <c r="U181" i="23"/>
  <c r="I183" i="23"/>
  <c r="K184" i="23"/>
  <c r="L187" i="23"/>
  <c r="M187" i="23"/>
  <c r="P187" i="23" s="1"/>
  <c r="N187" i="23"/>
  <c r="O187" i="23"/>
  <c r="Q187" i="23"/>
  <c r="T187" i="23" s="1"/>
  <c r="R187" i="23"/>
  <c r="U187" i="23" s="1"/>
  <c r="S187" i="23"/>
  <c r="O190" i="23"/>
  <c r="P190" i="23"/>
  <c r="T190" i="23"/>
  <c r="U190" i="23"/>
  <c r="L191" i="23"/>
  <c r="L189" i="23" s="1"/>
  <c r="M191" i="23"/>
  <c r="N191" i="23"/>
  <c r="Q191" i="23"/>
  <c r="R191" i="23"/>
  <c r="S191" i="23"/>
  <c r="O193" i="23"/>
  <c r="P193" i="23"/>
  <c r="T193" i="23"/>
  <c r="U193" i="23"/>
  <c r="L194" i="23"/>
  <c r="O194" i="23" s="1"/>
  <c r="M194" i="23"/>
  <c r="M192" i="23" s="1"/>
  <c r="P192" i="23" s="1"/>
  <c r="N194" i="23"/>
  <c r="N192" i="23" s="1"/>
  <c r="Q194" i="23"/>
  <c r="T194" i="23" s="1"/>
  <c r="R194" i="23"/>
  <c r="R192" i="23" s="1"/>
  <c r="U192" i="23" s="1"/>
  <c r="S194" i="23"/>
  <c r="S192" i="23" s="1"/>
  <c r="J195" i="23"/>
  <c r="L196" i="23"/>
  <c r="O196" i="23" s="1"/>
  <c r="P196" i="23"/>
  <c r="I198" i="23"/>
  <c r="I195" i="23" s="1"/>
  <c r="K195" i="23" s="1"/>
  <c r="J199" i="23"/>
  <c r="J202" i="23"/>
  <c r="N203" i="23"/>
  <c r="P203" i="23"/>
  <c r="S203" i="23"/>
  <c r="U203" i="23"/>
  <c r="L204" i="23"/>
  <c r="L205" i="23"/>
  <c r="L206" i="23"/>
  <c r="Q206" i="23"/>
  <c r="Q203" i="23" s="1"/>
  <c r="L207" i="23"/>
  <c r="I209" i="23"/>
  <c r="I211" i="23"/>
  <c r="K211" i="23" s="1"/>
  <c r="I212" i="23"/>
  <c r="K212" i="23" s="1"/>
  <c r="J213" i="23"/>
  <c r="N214" i="23"/>
  <c r="P214" i="23"/>
  <c r="S214" i="23"/>
  <c r="U214" i="23"/>
  <c r="L215" i="23"/>
  <c r="L216" i="23"/>
  <c r="L217" i="23"/>
  <c r="Q217" i="23"/>
  <c r="Q214" i="23" s="1"/>
  <c r="T214" i="23" s="1"/>
  <c r="I219" i="23"/>
  <c r="K219" i="23" s="1"/>
  <c r="I220" i="23"/>
  <c r="K220" i="23" s="1"/>
  <c r="J221" i="23"/>
  <c r="N222" i="23"/>
  <c r="P222" i="23"/>
  <c r="L223" i="23"/>
  <c r="L224" i="23"/>
  <c r="L225" i="23"/>
  <c r="I228" i="23"/>
  <c r="K228" i="23" s="1"/>
  <c r="I229" i="23"/>
  <c r="I221" i="23" s="1"/>
  <c r="I230" i="23"/>
  <c r="K230" i="23" s="1"/>
  <c r="J231" i="23"/>
  <c r="J185" i="23" s="1"/>
  <c r="N233" i="23"/>
  <c r="N234" i="23"/>
  <c r="N235" i="23"/>
  <c r="N236" i="23"/>
  <c r="J238" i="23"/>
  <c r="J240" i="23"/>
  <c r="J241" i="23"/>
  <c r="J242" i="23"/>
  <c r="N243" i="23"/>
  <c r="N232" i="23" s="1"/>
  <c r="P243" i="23"/>
  <c r="L244" i="23"/>
  <c r="L245" i="23"/>
  <c r="L246" i="23"/>
  <c r="L247" i="23"/>
  <c r="I249" i="23"/>
  <c r="I242" i="23" s="1"/>
  <c r="I251" i="23"/>
  <c r="I252" i="23"/>
  <c r="K252" i="23" s="1"/>
  <c r="J253" i="23"/>
  <c r="N254" i="23"/>
  <c r="P254" i="23"/>
  <c r="L255" i="23"/>
  <c r="L256" i="23"/>
  <c r="L257" i="23"/>
  <c r="L258" i="23"/>
  <c r="I260" i="23"/>
  <c r="I253" i="23" s="1"/>
  <c r="K253" i="23" s="1"/>
  <c r="K262" i="23"/>
  <c r="K263" i="23"/>
  <c r="J265" i="23"/>
  <c r="L267" i="23"/>
  <c r="M267" i="23"/>
  <c r="N267" i="23"/>
  <c r="P267" i="23"/>
  <c r="Q267" i="23"/>
  <c r="R267" i="23"/>
  <c r="S267" i="23"/>
  <c r="O270" i="23"/>
  <c r="P270" i="23"/>
  <c r="T270" i="23"/>
  <c r="U270" i="23"/>
  <c r="L271" i="23"/>
  <c r="M271" i="23"/>
  <c r="N271" i="23"/>
  <c r="N269" i="23" s="1"/>
  <c r="Q271" i="23"/>
  <c r="Q268" i="23" s="1"/>
  <c r="R271" i="23"/>
  <c r="R268" i="23" s="1"/>
  <c r="S271" i="23"/>
  <c r="S269" i="23" s="1"/>
  <c r="Q272" i="23"/>
  <c r="T272" i="23" s="1"/>
  <c r="R272" i="23"/>
  <c r="U272" i="23" s="1"/>
  <c r="S272" i="23"/>
  <c r="O273" i="23"/>
  <c r="P273" i="23"/>
  <c r="T273" i="23"/>
  <c r="U273" i="23"/>
  <c r="L274" i="23"/>
  <c r="M274" i="23"/>
  <c r="N274" i="23"/>
  <c r="N272" i="23" s="1"/>
  <c r="T274" i="23"/>
  <c r="U274" i="23"/>
  <c r="I276" i="23"/>
  <c r="I265" i="23" s="1"/>
  <c r="J281" i="23"/>
  <c r="Q282" i="23"/>
  <c r="T282" i="23" s="1"/>
  <c r="L283" i="23"/>
  <c r="M283" i="23"/>
  <c r="N283" i="23"/>
  <c r="Q283" i="23"/>
  <c r="T283" i="23" s="1"/>
  <c r="R283" i="23"/>
  <c r="S283" i="23"/>
  <c r="S282" i="23" s="1"/>
  <c r="Q284" i="23"/>
  <c r="T284" i="23" s="1"/>
  <c r="R284" i="23"/>
  <c r="S284" i="23"/>
  <c r="U284" i="23"/>
  <c r="Q285" i="23"/>
  <c r="T285" i="23" s="1"/>
  <c r="R285" i="23"/>
  <c r="U285" i="23" s="1"/>
  <c r="S285" i="23"/>
  <c r="O286" i="23"/>
  <c r="P286" i="23"/>
  <c r="T286" i="23"/>
  <c r="U286" i="23"/>
  <c r="L287" i="23"/>
  <c r="M287" i="23"/>
  <c r="M285" i="23" s="1"/>
  <c r="P285" i="23" s="1"/>
  <c r="N287" i="23"/>
  <c r="N285" i="23" s="1"/>
  <c r="T287" i="23"/>
  <c r="U287" i="23"/>
  <c r="Q288" i="23"/>
  <c r="R288" i="23"/>
  <c r="U288" i="23" s="1"/>
  <c r="S288" i="23"/>
  <c r="T288" i="23"/>
  <c r="O289" i="23"/>
  <c r="P289" i="23"/>
  <c r="T289" i="23"/>
  <c r="U289" i="23"/>
  <c r="L290" i="23"/>
  <c r="O290" i="23" s="1"/>
  <c r="M290" i="23"/>
  <c r="N290" i="23"/>
  <c r="T290" i="23"/>
  <c r="U290" i="23"/>
  <c r="I292" i="23"/>
  <c r="I293" i="23"/>
  <c r="I280" i="23" s="1"/>
  <c r="K280" i="23" s="1"/>
  <c r="J293" i="23"/>
  <c r="J280" i="23" s="1"/>
  <c r="I295" i="23"/>
  <c r="K295" i="23" s="1"/>
  <c r="I296" i="23"/>
  <c r="K296" i="23" s="1"/>
  <c r="J302" i="23"/>
  <c r="L304" i="23"/>
  <c r="M304" i="23"/>
  <c r="N304" i="23"/>
  <c r="Q304" i="23"/>
  <c r="R304" i="23"/>
  <c r="S304" i="23"/>
  <c r="O307" i="23"/>
  <c r="P307" i="23"/>
  <c r="T307" i="23"/>
  <c r="U307" i="23"/>
  <c r="L308" i="23"/>
  <c r="L306" i="23" s="1"/>
  <c r="M308" i="23"/>
  <c r="N308" i="23"/>
  <c r="Q308" i="23"/>
  <c r="R308" i="23"/>
  <c r="R306" i="23" s="1"/>
  <c r="S308" i="23"/>
  <c r="S305" i="23" s="1"/>
  <c r="Q309" i="23"/>
  <c r="T309" i="23" s="1"/>
  <c r="R309" i="23"/>
  <c r="S309" i="23"/>
  <c r="U309" i="23"/>
  <c r="O310" i="23"/>
  <c r="P310" i="23"/>
  <c r="T310" i="23"/>
  <c r="U310" i="23"/>
  <c r="L311" i="23"/>
  <c r="L309" i="23" s="1"/>
  <c r="O309" i="23" s="1"/>
  <c r="M311" i="23"/>
  <c r="N311" i="23"/>
  <c r="N309" i="23" s="1"/>
  <c r="T311" i="23"/>
  <c r="U311" i="23"/>
  <c r="I314" i="23"/>
  <c r="K314" i="23" s="1"/>
  <c r="J319" i="23"/>
  <c r="L321" i="23"/>
  <c r="M321" i="23"/>
  <c r="N321" i="23"/>
  <c r="O321" i="23"/>
  <c r="P321" i="23"/>
  <c r="Q321" i="23"/>
  <c r="R321" i="23"/>
  <c r="S321" i="23"/>
  <c r="U321" i="23"/>
  <c r="Q322" i="23"/>
  <c r="T322" i="23" s="1"/>
  <c r="R322" i="23"/>
  <c r="S322" i="23"/>
  <c r="S320" i="23" s="1"/>
  <c r="Q323" i="23"/>
  <c r="T323" i="23" s="1"/>
  <c r="R323" i="23"/>
  <c r="U323" i="23" s="1"/>
  <c r="S323" i="23"/>
  <c r="O324" i="23"/>
  <c r="P324" i="23"/>
  <c r="T324" i="23"/>
  <c r="U324" i="23"/>
  <c r="L325" i="23"/>
  <c r="M325" i="23"/>
  <c r="N325" i="23"/>
  <c r="T325" i="23"/>
  <c r="U325" i="23"/>
  <c r="Q326" i="23"/>
  <c r="T326" i="23" s="1"/>
  <c r="R326" i="23"/>
  <c r="U326" i="23" s="1"/>
  <c r="S326" i="23"/>
  <c r="O327" i="23"/>
  <c r="P327" i="23"/>
  <c r="T327" i="23"/>
  <c r="U327" i="23"/>
  <c r="L328" i="23"/>
  <c r="O328" i="23" s="1"/>
  <c r="M328" i="23"/>
  <c r="M326" i="23" s="1"/>
  <c r="P326" i="23" s="1"/>
  <c r="N328" i="23"/>
  <c r="N326" i="23" s="1"/>
  <c r="T328" i="23"/>
  <c r="U328" i="23"/>
  <c r="I330" i="23"/>
  <c r="L334" i="23"/>
  <c r="M334" i="23"/>
  <c r="N334" i="23"/>
  <c r="P334" i="23"/>
  <c r="Q334" i="23"/>
  <c r="R334" i="23"/>
  <c r="S334" i="23"/>
  <c r="Q335" i="23"/>
  <c r="R335" i="23"/>
  <c r="U335" i="23" s="1"/>
  <c r="S335" i="23"/>
  <c r="S333" i="23" s="1"/>
  <c r="T335" i="23"/>
  <c r="Q336" i="23"/>
  <c r="R336" i="23"/>
  <c r="S336" i="23"/>
  <c r="T336" i="23"/>
  <c r="U336" i="23"/>
  <c r="O337" i="23"/>
  <c r="P337" i="23"/>
  <c r="T337" i="23"/>
  <c r="U337" i="23"/>
  <c r="L338" i="23"/>
  <c r="M338" i="23"/>
  <c r="N338" i="23"/>
  <c r="T338" i="23"/>
  <c r="U338" i="23"/>
  <c r="Q339" i="23"/>
  <c r="T339" i="23" s="1"/>
  <c r="R339" i="23"/>
  <c r="U339" i="23" s="1"/>
  <c r="S339" i="23"/>
  <c r="O340" i="23"/>
  <c r="P340" i="23"/>
  <c r="T340" i="23"/>
  <c r="U340" i="23"/>
  <c r="L341" i="23"/>
  <c r="L339" i="23" s="1"/>
  <c r="O339" i="23" s="1"/>
  <c r="M341" i="23"/>
  <c r="M335" i="23" s="1"/>
  <c r="N341" i="23"/>
  <c r="N339" i="23" s="1"/>
  <c r="T341" i="23"/>
  <c r="U341" i="23"/>
  <c r="I344" i="23"/>
  <c r="I332" i="23" s="1"/>
  <c r="J344" i="23"/>
  <c r="I346" i="23"/>
  <c r="J346" i="23"/>
  <c r="J347" i="23"/>
  <c r="J348" i="23"/>
  <c r="J349" i="23"/>
  <c r="D350" i="23"/>
  <c r="J352" i="23"/>
  <c r="J353" i="23"/>
  <c r="J354" i="23"/>
  <c r="L357" i="23"/>
  <c r="O357" i="23" s="1"/>
  <c r="M357" i="23"/>
  <c r="N357" i="23"/>
  <c r="Q357" i="23"/>
  <c r="Q356" i="23" s="1"/>
  <c r="T356" i="23" s="1"/>
  <c r="R357" i="23"/>
  <c r="R356" i="23" s="1"/>
  <c r="U356" i="23" s="1"/>
  <c r="S357" i="23"/>
  <c r="S356" i="23" s="1"/>
  <c r="T357" i="23"/>
  <c r="U357" i="23"/>
  <c r="Q358" i="23"/>
  <c r="T358" i="23" s="1"/>
  <c r="R358" i="23"/>
  <c r="S358" i="23"/>
  <c r="U358" i="23"/>
  <c r="Q359" i="23"/>
  <c r="T359" i="23" s="1"/>
  <c r="R359" i="23"/>
  <c r="U359" i="23" s="1"/>
  <c r="S359" i="23"/>
  <c r="O360" i="23"/>
  <c r="P360" i="23"/>
  <c r="T360" i="23"/>
  <c r="U360" i="23"/>
  <c r="L361" i="23"/>
  <c r="L359" i="23" s="1"/>
  <c r="M361" i="23"/>
  <c r="M359" i="23" s="1"/>
  <c r="N361" i="23"/>
  <c r="N359" i="23" s="1"/>
  <c r="T361" i="23"/>
  <c r="U361" i="23"/>
  <c r="Q362" i="23"/>
  <c r="T362" i="23" s="1"/>
  <c r="R362" i="23"/>
  <c r="U362" i="23" s="1"/>
  <c r="S362" i="23"/>
  <c r="O363" i="23"/>
  <c r="P363" i="23"/>
  <c r="T363" i="23"/>
  <c r="U363" i="23"/>
  <c r="L364" i="23"/>
  <c r="M364" i="23"/>
  <c r="N364" i="23"/>
  <c r="N362" i="23" s="1"/>
  <c r="T364" i="23"/>
  <c r="U364" i="23"/>
  <c r="J367" i="23"/>
  <c r="K367" i="23"/>
  <c r="I368" i="23"/>
  <c r="K368" i="23" s="1"/>
  <c r="J368" i="23"/>
  <c r="I369" i="23"/>
  <c r="K369" i="23" s="1"/>
  <c r="J369" i="23"/>
  <c r="J370" i="23"/>
  <c r="K370" i="23"/>
  <c r="I371" i="23"/>
  <c r="J371" i="23"/>
  <c r="J365" i="23" s="1"/>
  <c r="J372" i="23"/>
  <c r="K372" i="23"/>
  <c r="D373" i="23"/>
  <c r="J374" i="23"/>
  <c r="L376" i="23"/>
  <c r="O376" i="23" s="1"/>
  <c r="M376" i="23"/>
  <c r="N376" i="23"/>
  <c r="P376" i="23"/>
  <c r="Q376" i="23"/>
  <c r="R376" i="23"/>
  <c r="S376" i="23"/>
  <c r="U376" i="23"/>
  <c r="O379" i="23"/>
  <c r="P379" i="23"/>
  <c r="T379" i="23"/>
  <c r="U379" i="23"/>
  <c r="L380" i="23"/>
  <c r="M380" i="23"/>
  <c r="M378" i="23" s="1"/>
  <c r="P378" i="23" s="1"/>
  <c r="N380" i="23"/>
  <c r="N378" i="23" s="1"/>
  <c r="Q380" i="23"/>
  <c r="Q377" i="23" s="1"/>
  <c r="T377" i="23" s="1"/>
  <c r="R380" i="23"/>
  <c r="S380" i="23"/>
  <c r="S377" i="23" s="1"/>
  <c r="S375" i="23" s="1"/>
  <c r="Q381" i="23"/>
  <c r="R381" i="23"/>
  <c r="S381" i="23"/>
  <c r="T381" i="23"/>
  <c r="U381" i="23"/>
  <c r="O382" i="23"/>
  <c r="P382" i="23"/>
  <c r="T382" i="23"/>
  <c r="U382" i="23"/>
  <c r="L383" i="23"/>
  <c r="M383" i="23"/>
  <c r="P383" i="23" s="1"/>
  <c r="N383" i="23"/>
  <c r="N381" i="23" s="1"/>
  <c r="T383" i="23"/>
  <c r="U383" i="23"/>
  <c r="I385" i="23"/>
  <c r="I374" i="23" s="1"/>
  <c r="K374" i="23" s="1"/>
  <c r="I386" i="23"/>
  <c r="K386" i="23" s="1"/>
  <c r="K387" i="23"/>
  <c r="K388" i="23"/>
  <c r="I391" i="23"/>
  <c r="K391" i="23" s="1"/>
  <c r="J391" i="23"/>
  <c r="N392" i="23"/>
  <c r="L393" i="23"/>
  <c r="M393" i="23"/>
  <c r="N393" i="23"/>
  <c r="O393" i="23"/>
  <c r="P393" i="23"/>
  <c r="Q393" i="23"/>
  <c r="R393" i="23"/>
  <c r="S393" i="23"/>
  <c r="U393" i="23"/>
  <c r="L394" i="23"/>
  <c r="M394" i="23"/>
  <c r="N394" i="23"/>
  <c r="L395" i="23"/>
  <c r="O395" i="23" s="1"/>
  <c r="M395" i="23"/>
  <c r="P395" i="23" s="1"/>
  <c r="N395" i="23"/>
  <c r="O396" i="23"/>
  <c r="P396" i="23"/>
  <c r="T396" i="23"/>
  <c r="U396" i="23"/>
  <c r="O397" i="23"/>
  <c r="P397" i="23"/>
  <c r="Q397" i="23"/>
  <c r="Q395" i="23" s="1"/>
  <c r="T395" i="23" s="1"/>
  <c r="R397" i="23"/>
  <c r="R394" i="23" s="1"/>
  <c r="S397" i="23"/>
  <c r="S394" i="23" s="1"/>
  <c r="L398" i="23"/>
  <c r="O398" i="23" s="1"/>
  <c r="M398" i="23"/>
  <c r="N398" i="23"/>
  <c r="P398" i="23"/>
  <c r="Q398" i="23"/>
  <c r="T398" i="23" s="1"/>
  <c r="R398" i="23"/>
  <c r="U398" i="23" s="1"/>
  <c r="S398" i="23"/>
  <c r="O399" i="23"/>
  <c r="P399" i="23"/>
  <c r="T399" i="23"/>
  <c r="U399" i="23"/>
  <c r="O400" i="23"/>
  <c r="P400" i="23"/>
  <c r="T400" i="23"/>
  <c r="U400" i="23"/>
  <c r="L414" i="23"/>
  <c r="M414" i="23"/>
  <c r="P414" i="23" s="1"/>
  <c r="N414" i="23"/>
  <c r="O414" i="23"/>
  <c r="Q414" i="23"/>
  <c r="R414" i="23"/>
  <c r="S414" i="23"/>
  <c r="U414" i="23"/>
  <c r="O417" i="23"/>
  <c r="P417" i="23"/>
  <c r="T417" i="23"/>
  <c r="U417" i="23"/>
  <c r="L418" i="23"/>
  <c r="M418" i="23"/>
  <c r="M416" i="23" s="1"/>
  <c r="P416" i="23" s="1"/>
  <c r="N418" i="23"/>
  <c r="Q418" i="23"/>
  <c r="R418" i="23"/>
  <c r="R415" i="23" s="1"/>
  <c r="S418" i="23"/>
  <c r="S415" i="23" s="1"/>
  <c r="Q419" i="23"/>
  <c r="T419" i="23" s="1"/>
  <c r="R419" i="23"/>
  <c r="U419" i="23" s="1"/>
  <c r="S419" i="23"/>
  <c r="O420" i="23"/>
  <c r="P420" i="23"/>
  <c r="T420" i="23"/>
  <c r="U420" i="23"/>
  <c r="L421" i="23"/>
  <c r="M421" i="23"/>
  <c r="N421" i="23"/>
  <c r="N419" i="23" s="1"/>
  <c r="T421" i="23"/>
  <c r="U421" i="23"/>
  <c r="I424" i="23"/>
  <c r="K424" i="23" s="1"/>
  <c r="J424" i="23"/>
  <c r="I425" i="23"/>
  <c r="K425" i="23" s="1"/>
  <c r="J425" i="23"/>
  <c r="I432" i="23"/>
  <c r="K432" i="23" s="1"/>
  <c r="J432" i="23"/>
  <c r="I433" i="23"/>
  <c r="K433" i="23" s="1"/>
  <c r="J433" i="23"/>
  <c r="I440" i="23"/>
  <c r="J440" i="23"/>
  <c r="J423" i="23" s="1"/>
  <c r="J412" i="23" s="1"/>
  <c r="I441" i="23"/>
  <c r="K441" i="23" s="1"/>
  <c r="J446" i="23"/>
  <c r="J447" i="23"/>
  <c r="J441" i="23" s="1"/>
  <c r="I457" i="23"/>
  <c r="K457" i="23" s="1"/>
  <c r="I458" i="23"/>
  <c r="K458" i="23" s="1"/>
  <c r="J459" i="23"/>
  <c r="J460" i="23"/>
  <c r="J467" i="23"/>
  <c r="J457" i="23" s="1"/>
  <c r="J456" i="23" s="1"/>
  <c r="J468" i="23"/>
  <c r="J475" i="23"/>
  <c r="K475" i="23"/>
  <c r="J476" i="23"/>
  <c r="K476" i="23"/>
  <c r="J477" i="23"/>
  <c r="K477" i="23"/>
  <c r="J482" i="23"/>
  <c r="J483" i="23"/>
  <c r="I484" i="23"/>
  <c r="J484" i="23"/>
  <c r="K484" i="23"/>
  <c r="I485" i="23"/>
  <c r="K485" i="23" s="1"/>
  <c r="J485" i="23"/>
  <c r="L494" i="23"/>
  <c r="M494" i="23"/>
  <c r="P494" i="23" s="1"/>
  <c r="N494" i="23"/>
  <c r="O494" i="23"/>
  <c r="Q494" i="23"/>
  <c r="T494" i="23" s="1"/>
  <c r="R494" i="23"/>
  <c r="S494" i="23"/>
  <c r="U494" i="23"/>
  <c r="O497" i="23"/>
  <c r="P497" i="23"/>
  <c r="T497" i="23"/>
  <c r="U497" i="23"/>
  <c r="L498" i="23"/>
  <c r="O498" i="23" s="1"/>
  <c r="M498" i="23"/>
  <c r="N498" i="23"/>
  <c r="N496" i="23" s="1"/>
  <c r="Q498" i="23"/>
  <c r="T498" i="23" s="1"/>
  <c r="R498" i="23"/>
  <c r="R495" i="23" s="1"/>
  <c r="R493" i="23" s="1"/>
  <c r="U493" i="23" s="1"/>
  <c r="S498" i="23"/>
  <c r="S495" i="23" s="1"/>
  <c r="Q499" i="23"/>
  <c r="T499" i="23" s="1"/>
  <c r="R499" i="23"/>
  <c r="U499" i="23" s="1"/>
  <c r="S499" i="23"/>
  <c r="O500" i="23"/>
  <c r="P500" i="23"/>
  <c r="T500" i="23"/>
  <c r="U500" i="23"/>
  <c r="L501" i="23"/>
  <c r="L499" i="23" s="1"/>
  <c r="O499" i="23" s="1"/>
  <c r="M501" i="23"/>
  <c r="M499" i="23" s="1"/>
  <c r="P499" i="23" s="1"/>
  <c r="N501" i="23"/>
  <c r="N499" i="23" s="1"/>
  <c r="T501" i="23"/>
  <c r="U501" i="23"/>
  <c r="I503" i="23"/>
  <c r="I492" i="23" s="1"/>
  <c r="K492" i="23" s="1"/>
  <c r="I504" i="23"/>
  <c r="K504" i="23" s="1"/>
  <c r="I505" i="23"/>
  <c r="K505" i="23" s="1"/>
  <c r="I506" i="23"/>
  <c r="K506" i="23" s="1"/>
  <c r="I507" i="23"/>
  <c r="K507" i="23" s="1"/>
  <c r="K508" i="23"/>
  <c r="I509" i="23"/>
  <c r="K509" i="23" s="1"/>
  <c r="I512" i="23"/>
  <c r="K512" i="23" s="1"/>
  <c r="J512" i="23"/>
  <c r="Q513" i="23"/>
  <c r="T513" i="23" s="1"/>
  <c r="L514" i="23"/>
  <c r="M514" i="23"/>
  <c r="N514" i="23"/>
  <c r="Q514" i="23"/>
  <c r="T514" i="23" s="1"/>
  <c r="R514" i="23"/>
  <c r="S514" i="23"/>
  <c r="Q515" i="23"/>
  <c r="T515" i="23" s="1"/>
  <c r="R515" i="23"/>
  <c r="U515" i="23" s="1"/>
  <c r="S515" i="23"/>
  <c r="Q516" i="23"/>
  <c r="T516" i="23" s="1"/>
  <c r="R516" i="23"/>
  <c r="S516" i="23"/>
  <c r="U516" i="23"/>
  <c r="O517" i="23"/>
  <c r="P517" i="23"/>
  <c r="T517" i="23"/>
  <c r="U517" i="23"/>
  <c r="L518" i="23"/>
  <c r="L516" i="23" s="1"/>
  <c r="O516" i="23" s="1"/>
  <c r="M518" i="23"/>
  <c r="N518" i="23"/>
  <c r="T518" i="23"/>
  <c r="U518" i="23"/>
  <c r="Q519" i="23"/>
  <c r="R519" i="23"/>
  <c r="S519" i="23"/>
  <c r="T519" i="23"/>
  <c r="U519" i="23"/>
  <c r="O520" i="23"/>
  <c r="P520" i="23"/>
  <c r="T520" i="23"/>
  <c r="U520" i="23"/>
  <c r="L521" i="23"/>
  <c r="O521" i="23" s="1"/>
  <c r="M521" i="23"/>
  <c r="P521" i="23" s="1"/>
  <c r="N521" i="23"/>
  <c r="N519" i="23" s="1"/>
  <c r="T521" i="23"/>
  <c r="U521" i="23"/>
  <c r="K523" i="23"/>
  <c r="K524" i="23"/>
  <c r="I533" i="23"/>
  <c r="J533" i="23"/>
  <c r="K533" i="23"/>
  <c r="L535" i="23"/>
  <c r="O535" i="23" s="1"/>
  <c r="M535" i="23"/>
  <c r="P535" i="23" s="1"/>
  <c r="N535" i="23"/>
  <c r="Q535" i="23"/>
  <c r="R535" i="23"/>
  <c r="U535" i="23" s="1"/>
  <c r="S535" i="23"/>
  <c r="Q536" i="23"/>
  <c r="T536" i="23" s="1"/>
  <c r="R536" i="23"/>
  <c r="S536" i="23"/>
  <c r="U536" i="23"/>
  <c r="Q537" i="23"/>
  <c r="T537" i="23" s="1"/>
  <c r="R537" i="23"/>
  <c r="U537" i="23" s="1"/>
  <c r="S537" i="23"/>
  <c r="O538" i="23"/>
  <c r="P538" i="23"/>
  <c r="T538" i="23"/>
  <c r="U538" i="23"/>
  <c r="L539" i="23"/>
  <c r="O539" i="23" s="1"/>
  <c r="M539" i="23"/>
  <c r="M537" i="23" s="1"/>
  <c r="P537" i="23" s="1"/>
  <c r="N539" i="23"/>
  <c r="N537" i="23" s="1"/>
  <c r="T539" i="23"/>
  <c r="U539" i="23"/>
  <c r="Q540" i="23"/>
  <c r="R540" i="23"/>
  <c r="U540" i="23" s="1"/>
  <c r="S540" i="23"/>
  <c r="T540" i="23"/>
  <c r="O541" i="23"/>
  <c r="P541" i="23"/>
  <c r="T541" i="23"/>
  <c r="U541" i="23"/>
  <c r="L542" i="23"/>
  <c r="M542" i="23"/>
  <c r="N542" i="23"/>
  <c r="T542" i="23"/>
  <c r="U542" i="23"/>
  <c r="I554" i="23"/>
  <c r="K554" i="23" s="1"/>
  <c r="J554" i="23"/>
  <c r="L556" i="23"/>
  <c r="M556" i="23"/>
  <c r="N556" i="23"/>
  <c r="O556" i="23"/>
  <c r="P556" i="23"/>
  <c r="Q556" i="23"/>
  <c r="R556" i="23"/>
  <c r="S556" i="23"/>
  <c r="S555" i="23" s="1"/>
  <c r="T556" i="23"/>
  <c r="U556" i="23"/>
  <c r="Q557" i="23"/>
  <c r="T557" i="23" s="1"/>
  <c r="R557" i="23"/>
  <c r="U557" i="23" s="1"/>
  <c r="S557" i="23"/>
  <c r="Q558" i="23"/>
  <c r="T558" i="23" s="1"/>
  <c r="R558" i="23"/>
  <c r="U558" i="23" s="1"/>
  <c r="S558" i="23"/>
  <c r="O559" i="23"/>
  <c r="P559" i="23"/>
  <c r="T559" i="23"/>
  <c r="U559" i="23"/>
  <c r="L560" i="23"/>
  <c r="M560" i="23"/>
  <c r="N560" i="23"/>
  <c r="T560" i="23"/>
  <c r="U560" i="23"/>
  <c r="Q561" i="23"/>
  <c r="T561" i="23" s="1"/>
  <c r="R561" i="23"/>
  <c r="S561" i="23"/>
  <c r="U561" i="23"/>
  <c r="O562" i="23"/>
  <c r="P562" i="23"/>
  <c r="T562" i="23"/>
  <c r="U562" i="23"/>
  <c r="L563" i="23"/>
  <c r="L561" i="23" s="1"/>
  <c r="O561" i="23" s="1"/>
  <c r="M563" i="23"/>
  <c r="P563" i="23" s="1"/>
  <c r="N563" i="23"/>
  <c r="N561" i="23" s="1"/>
  <c r="T563" i="23"/>
  <c r="U563" i="23"/>
  <c r="I575" i="23"/>
  <c r="K575" i="23" s="1"/>
  <c r="J575" i="23"/>
  <c r="L577" i="23"/>
  <c r="M577" i="23"/>
  <c r="P577" i="23" s="1"/>
  <c r="N577" i="23"/>
  <c r="Q577" i="23"/>
  <c r="R577" i="23"/>
  <c r="S577" i="23"/>
  <c r="S576" i="23" s="1"/>
  <c r="T577" i="23"/>
  <c r="Q578" i="23"/>
  <c r="R578" i="23"/>
  <c r="S578" i="23"/>
  <c r="U578" i="23"/>
  <c r="Q579" i="23"/>
  <c r="T579" i="23" s="1"/>
  <c r="R579" i="23"/>
  <c r="U579" i="23" s="1"/>
  <c r="S579" i="23"/>
  <c r="O580" i="23"/>
  <c r="P580" i="23"/>
  <c r="T580" i="23"/>
  <c r="U580" i="23"/>
  <c r="L581" i="23"/>
  <c r="M581" i="23"/>
  <c r="M579" i="23" s="1"/>
  <c r="P579" i="23" s="1"/>
  <c r="N581" i="23"/>
  <c r="N579" i="23" s="1"/>
  <c r="T581" i="23"/>
  <c r="U581" i="23"/>
  <c r="Q582" i="23"/>
  <c r="T582" i="23" s="1"/>
  <c r="R582" i="23"/>
  <c r="U582" i="23" s="1"/>
  <c r="S582" i="23"/>
  <c r="O583" i="23"/>
  <c r="P583" i="23"/>
  <c r="T583" i="23"/>
  <c r="U583" i="23"/>
  <c r="L584" i="23"/>
  <c r="O584" i="23" s="1"/>
  <c r="M584" i="23"/>
  <c r="M582" i="23" s="1"/>
  <c r="P582" i="23" s="1"/>
  <c r="N584" i="23"/>
  <c r="N582" i="23" s="1"/>
  <c r="T584" i="23"/>
  <c r="U584" i="23"/>
  <c r="L600" i="23"/>
  <c r="M600" i="23"/>
  <c r="N600" i="23"/>
  <c r="O600" i="23"/>
  <c r="P600" i="23"/>
  <c r="Q600" i="23"/>
  <c r="R600" i="23"/>
  <c r="S600" i="23"/>
  <c r="U600" i="23"/>
  <c r="O603" i="23"/>
  <c r="P603" i="23"/>
  <c r="T603" i="23"/>
  <c r="U603" i="23"/>
  <c r="L604" i="23"/>
  <c r="M604" i="23"/>
  <c r="N604" i="23"/>
  <c r="Q604" i="23"/>
  <c r="R604" i="23"/>
  <c r="S604" i="23"/>
  <c r="S602" i="23" s="1"/>
  <c r="O606" i="23"/>
  <c r="P606" i="23"/>
  <c r="T606" i="23"/>
  <c r="U606" i="23"/>
  <c r="L607" i="23"/>
  <c r="M607" i="23"/>
  <c r="P607" i="23" s="1"/>
  <c r="N607" i="23"/>
  <c r="N605" i="23" s="1"/>
  <c r="Q607" i="23"/>
  <c r="R607" i="23"/>
  <c r="S607" i="23"/>
  <c r="S605" i="23" s="1"/>
  <c r="J615" i="23"/>
  <c r="L617" i="23"/>
  <c r="O617" i="23" s="1"/>
  <c r="M617" i="23"/>
  <c r="N617" i="23"/>
  <c r="N616" i="23" s="1"/>
  <c r="Q617" i="23"/>
  <c r="R617" i="23"/>
  <c r="U617" i="23" s="1"/>
  <c r="S617" i="23"/>
  <c r="T617" i="23"/>
  <c r="L618" i="23"/>
  <c r="M618" i="23"/>
  <c r="N618" i="23"/>
  <c r="O618" i="23"/>
  <c r="P618" i="23"/>
  <c r="L619" i="23"/>
  <c r="O619" i="23" s="1"/>
  <c r="M619" i="23"/>
  <c r="P619" i="23" s="1"/>
  <c r="N619" i="23"/>
  <c r="O620" i="23"/>
  <c r="P620" i="23"/>
  <c r="T620" i="23"/>
  <c r="U620" i="23"/>
  <c r="O621" i="23"/>
  <c r="P621" i="23"/>
  <c r="Q621" i="23"/>
  <c r="Q619" i="23" s="1"/>
  <c r="R621" i="23"/>
  <c r="R619" i="23" s="1"/>
  <c r="S621" i="23"/>
  <c r="L622" i="23"/>
  <c r="M622" i="23"/>
  <c r="P622" i="23" s="1"/>
  <c r="N622" i="23"/>
  <c r="O622" i="23"/>
  <c r="Q622" i="23"/>
  <c r="R622" i="23"/>
  <c r="S622" i="23"/>
  <c r="T622" i="23"/>
  <c r="U622" i="23"/>
  <c r="O623" i="23"/>
  <c r="P623" i="23"/>
  <c r="T623" i="23"/>
  <c r="U623" i="23"/>
  <c r="O624" i="23"/>
  <c r="P624" i="23"/>
  <c r="T624" i="23"/>
  <c r="U624" i="23"/>
  <c r="I626" i="23"/>
  <c r="K630" i="23" s="1"/>
  <c r="I627" i="23"/>
  <c r="K627" i="23" s="1"/>
  <c r="I628" i="23"/>
  <c r="K628" i="23" s="1"/>
  <c r="J632" i="23"/>
  <c r="J626" i="23" s="1"/>
  <c r="I635" i="23"/>
  <c r="K635" i="23" s="1"/>
  <c r="J636" i="23"/>
  <c r="J635" i="23" s="1"/>
  <c r="L643" i="23"/>
  <c r="M643" i="23"/>
  <c r="N643" i="23"/>
  <c r="Q643" i="23"/>
  <c r="T643" i="23" s="1"/>
  <c r="R643" i="23"/>
  <c r="S643" i="23"/>
  <c r="L644" i="23"/>
  <c r="M644" i="23"/>
  <c r="P644" i="23" s="1"/>
  <c r="N644" i="23"/>
  <c r="O644" i="23"/>
  <c r="L645" i="23"/>
  <c r="M645" i="23"/>
  <c r="N645" i="23"/>
  <c r="O645" i="23"/>
  <c r="P645" i="23"/>
  <c r="O646" i="23"/>
  <c r="P646" i="23"/>
  <c r="T646" i="23"/>
  <c r="U646" i="23"/>
  <c r="O647" i="23"/>
  <c r="P647" i="23"/>
  <c r="Q647" i="23"/>
  <c r="Q645" i="23" s="1"/>
  <c r="R647" i="23"/>
  <c r="S647" i="23"/>
  <c r="S645" i="23" s="1"/>
  <c r="L648" i="23"/>
  <c r="O648" i="23" s="1"/>
  <c r="M648" i="23"/>
  <c r="P648" i="23" s="1"/>
  <c r="N648" i="23"/>
  <c r="Q648" i="23"/>
  <c r="R648" i="23"/>
  <c r="U648" i="23" s="1"/>
  <c r="S648" i="23"/>
  <c r="T648" i="23"/>
  <c r="O649" i="23"/>
  <c r="P649" i="23"/>
  <c r="T649" i="23"/>
  <c r="U649" i="23"/>
  <c r="O650" i="23"/>
  <c r="P650" i="23"/>
  <c r="T650" i="23"/>
  <c r="U650" i="23"/>
  <c r="I652" i="23"/>
  <c r="K652" i="23" s="1"/>
  <c r="J652" i="23"/>
  <c r="I653" i="23"/>
  <c r="J653" i="23"/>
  <c r="I654" i="23"/>
  <c r="J654" i="23"/>
  <c r="I657" i="23"/>
  <c r="I660" i="23"/>
  <c r="I661" i="23"/>
  <c r="J661" i="23"/>
  <c r="J671" i="23"/>
  <c r="J672" i="23"/>
  <c r="I673" i="23"/>
  <c r="J673" i="23"/>
  <c r="I674" i="23"/>
  <c r="I675" i="23"/>
  <c r="I676" i="23"/>
  <c r="J676" i="23"/>
  <c r="J677" i="23"/>
  <c r="I678" i="23"/>
  <c r="J678" i="23"/>
  <c r="I679" i="23"/>
  <c r="J679" i="23"/>
  <c r="J680" i="23"/>
  <c r="I681" i="23"/>
  <c r="J681" i="23"/>
  <c r="I682" i="23"/>
  <c r="J682" i="23"/>
  <c r="L691" i="23"/>
  <c r="M691" i="23"/>
  <c r="N691" i="23"/>
  <c r="Q691" i="23"/>
  <c r="T691" i="23" s="1"/>
  <c r="R691" i="23"/>
  <c r="S691" i="23"/>
  <c r="L692" i="23"/>
  <c r="M692" i="23"/>
  <c r="P692" i="23" s="1"/>
  <c r="N692" i="23"/>
  <c r="O692" i="23"/>
  <c r="L693" i="23"/>
  <c r="M693" i="23"/>
  <c r="N693" i="23"/>
  <c r="O693" i="23"/>
  <c r="P693" i="23"/>
  <c r="O694" i="23"/>
  <c r="P694" i="23"/>
  <c r="T694" i="23"/>
  <c r="U694" i="23"/>
  <c r="O695" i="23"/>
  <c r="P695" i="23"/>
  <c r="Q695" i="23"/>
  <c r="Q693" i="23" s="1"/>
  <c r="R695" i="23"/>
  <c r="S695" i="23"/>
  <c r="S693" i="23" s="1"/>
  <c r="L696" i="23"/>
  <c r="O696" i="23" s="1"/>
  <c r="M696" i="23"/>
  <c r="P696" i="23" s="1"/>
  <c r="N696" i="23"/>
  <c r="Q696" i="23"/>
  <c r="R696" i="23"/>
  <c r="U696" i="23" s="1"/>
  <c r="S696" i="23"/>
  <c r="T696" i="23"/>
  <c r="O697" i="23"/>
  <c r="P697" i="23"/>
  <c r="T697" i="23"/>
  <c r="U697" i="23"/>
  <c r="O698" i="23"/>
  <c r="P698" i="23"/>
  <c r="T698" i="23"/>
  <c r="U698" i="23"/>
  <c r="I700" i="23"/>
  <c r="K700" i="23" s="1"/>
  <c r="K702" i="23"/>
  <c r="I703" i="23"/>
  <c r="K703" i="23" s="1"/>
  <c r="J703" i="23"/>
  <c r="J704" i="23"/>
  <c r="K704" i="23"/>
  <c r="I705" i="23"/>
  <c r="J705" i="23"/>
  <c r="J706" i="23"/>
  <c r="K706" i="23"/>
  <c r="I707" i="23"/>
  <c r="I689" i="23" s="1"/>
  <c r="K689" i="23" s="1"/>
  <c r="J707" i="23"/>
  <c r="J689" i="23" s="1"/>
  <c r="J708" i="23"/>
  <c r="K708" i="23"/>
  <c r="I709" i="23"/>
  <c r="J709" i="23"/>
  <c r="J710" i="23"/>
  <c r="K710" i="23"/>
  <c r="J712" i="23"/>
  <c r="K712" i="23"/>
  <c r="L715" i="23"/>
  <c r="M715" i="23"/>
  <c r="N715" i="23"/>
  <c r="N714" i="23" s="1"/>
  <c r="O715" i="23"/>
  <c r="P715" i="23"/>
  <c r="Q715" i="23"/>
  <c r="R715" i="23"/>
  <c r="S715" i="23"/>
  <c r="U715" i="23"/>
  <c r="L716" i="23"/>
  <c r="O716" i="23" s="1"/>
  <c r="M716" i="23"/>
  <c r="P716" i="23" s="1"/>
  <c r="N716" i="23"/>
  <c r="Q716" i="23"/>
  <c r="T716" i="23" s="1"/>
  <c r="R716" i="23"/>
  <c r="U716" i="23" s="1"/>
  <c r="S716" i="23"/>
  <c r="S714" i="23" s="1"/>
  <c r="L717" i="23"/>
  <c r="O717" i="23" s="1"/>
  <c r="M717" i="23"/>
  <c r="P717" i="23" s="1"/>
  <c r="N717" i="23"/>
  <c r="Q717" i="23"/>
  <c r="R717" i="23"/>
  <c r="U717" i="23" s="1"/>
  <c r="S717" i="23"/>
  <c r="T717" i="23"/>
  <c r="O718" i="23"/>
  <c r="P718" i="23"/>
  <c r="T718" i="23"/>
  <c r="U718" i="23"/>
  <c r="O719" i="23"/>
  <c r="P719" i="23"/>
  <c r="T719" i="23"/>
  <c r="U719" i="23"/>
  <c r="L720" i="23"/>
  <c r="O720" i="23" s="1"/>
  <c r="M720" i="23"/>
  <c r="P720" i="23" s="1"/>
  <c r="N720" i="23"/>
  <c r="Q720" i="23"/>
  <c r="R720" i="23"/>
  <c r="S720" i="23"/>
  <c r="T720" i="23"/>
  <c r="U720" i="23"/>
  <c r="O721" i="23"/>
  <c r="P721" i="23"/>
  <c r="T721" i="23"/>
  <c r="U721" i="23"/>
  <c r="O722" i="23"/>
  <c r="P722" i="23"/>
  <c r="T722" i="23"/>
  <c r="U722" i="23"/>
  <c r="I726" i="23"/>
  <c r="K726" i="23" s="1"/>
  <c r="J726" i="23"/>
  <c r="I727" i="23"/>
  <c r="K727" i="23" s="1"/>
  <c r="J727" i="23"/>
  <c r="L729" i="23"/>
  <c r="M729" i="23"/>
  <c r="P729" i="23" s="1"/>
  <c r="N729" i="23"/>
  <c r="N728" i="23" s="1"/>
  <c r="O729" i="23"/>
  <c r="Q729" i="23"/>
  <c r="R729" i="23"/>
  <c r="S729" i="23"/>
  <c r="U729" i="23"/>
  <c r="L730" i="23"/>
  <c r="O730" i="23" s="1"/>
  <c r="M730" i="23"/>
  <c r="P730" i="23" s="1"/>
  <c r="N730" i="23"/>
  <c r="L731" i="23"/>
  <c r="O731" i="23" s="1"/>
  <c r="M731" i="23"/>
  <c r="P731" i="23" s="1"/>
  <c r="N731" i="23"/>
  <c r="O732" i="23"/>
  <c r="P732" i="23"/>
  <c r="T732" i="23"/>
  <c r="U732" i="23"/>
  <c r="O733" i="23"/>
  <c r="P733" i="23"/>
  <c r="Q733" i="23"/>
  <c r="Q731" i="23" s="1"/>
  <c r="T731" i="23" s="1"/>
  <c r="R733" i="23"/>
  <c r="R730" i="23" s="1"/>
  <c r="U730" i="23" s="1"/>
  <c r="S733" i="23"/>
  <c r="S731" i="23" s="1"/>
  <c r="L734" i="23"/>
  <c r="O734" i="23" s="1"/>
  <c r="M734" i="23"/>
  <c r="N734" i="23"/>
  <c r="P734" i="23"/>
  <c r="Q734" i="23"/>
  <c r="T734" i="23" s="1"/>
  <c r="R734" i="23"/>
  <c r="U734" i="23" s="1"/>
  <c r="S734" i="23"/>
  <c r="O735" i="23"/>
  <c r="P735" i="23"/>
  <c r="T735" i="23"/>
  <c r="U735" i="23"/>
  <c r="O736" i="23"/>
  <c r="P736" i="23"/>
  <c r="T736" i="23"/>
  <c r="U736" i="23"/>
  <c r="I740" i="23"/>
  <c r="K740" i="23" s="1"/>
  <c r="I742" i="23"/>
  <c r="K742" i="23" s="1"/>
  <c r="I744" i="23"/>
  <c r="K744" i="23" s="1"/>
  <c r="I746" i="23"/>
  <c r="K746" i="23" s="1"/>
  <c r="I749" i="23"/>
  <c r="K749" i="23" s="1"/>
  <c r="I752" i="23"/>
  <c r="K752" i="23" s="1"/>
  <c r="I755" i="23"/>
  <c r="K755" i="23" s="1"/>
  <c r="J758" i="23"/>
  <c r="J759" i="23"/>
  <c r="N760" i="23"/>
  <c r="L761" i="23"/>
  <c r="M761" i="23"/>
  <c r="N761" i="23"/>
  <c r="P761" i="23"/>
  <c r="Q761" i="23"/>
  <c r="R761" i="23"/>
  <c r="S761" i="23"/>
  <c r="L762" i="23"/>
  <c r="O762" i="23" s="1"/>
  <c r="M762" i="23"/>
  <c r="P762" i="23" s="1"/>
  <c r="N762" i="23"/>
  <c r="L763" i="23"/>
  <c r="O763" i="23" s="1"/>
  <c r="M763" i="23"/>
  <c r="N763" i="23"/>
  <c r="P763" i="23"/>
  <c r="O764" i="23"/>
  <c r="P764" i="23"/>
  <c r="T764" i="23"/>
  <c r="U764" i="23"/>
  <c r="O765" i="23"/>
  <c r="P765" i="23"/>
  <c r="Q765" i="23"/>
  <c r="R765" i="23"/>
  <c r="R763" i="23" s="1"/>
  <c r="S765" i="23"/>
  <c r="S762" i="23" s="1"/>
  <c r="L766" i="23"/>
  <c r="O766" i="23" s="1"/>
  <c r="M766" i="23"/>
  <c r="P766" i="23" s="1"/>
  <c r="N766" i="23"/>
  <c r="Q766" i="23"/>
  <c r="T766" i="23" s="1"/>
  <c r="R766" i="23"/>
  <c r="U766" i="23" s="1"/>
  <c r="S766" i="23"/>
  <c r="O767" i="23"/>
  <c r="P767" i="23"/>
  <c r="T767" i="23"/>
  <c r="U767" i="23"/>
  <c r="O768" i="23"/>
  <c r="P768" i="23"/>
  <c r="T768" i="23"/>
  <c r="U768" i="23"/>
  <c r="I770" i="23"/>
  <c r="K770" i="23" s="1"/>
  <c r="I772" i="23"/>
  <c r="I774" i="23"/>
  <c r="I759" i="23" s="1"/>
  <c r="K759" i="23" s="1"/>
  <c r="I775" i="23"/>
  <c r="I776" i="23"/>
  <c r="H777" i="23"/>
  <c r="I778" i="23"/>
  <c r="J778" i="23"/>
  <c r="I779" i="23"/>
  <c r="J779" i="23"/>
  <c r="I780" i="23"/>
  <c r="J780" i="23"/>
  <c r="I781" i="23"/>
  <c r="J781" i="23"/>
  <c r="I782" i="23"/>
  <c r="J782" i="23"/>
  <c r="I783" i="23"/>
  <c r="J783" i="23"/>
  <c r="I784" i="23"/>
  <c r="J784" i="23"/>
  <c r="I785" i="23"/>
  <c r="J785" i="23"/>
  <c r="A788" i="23"/>
  <c r="A789" i="23"/>
  <c r="L22" i="22"/>
  <c r="O22" i="22" s="1"/>
  <c r="M22" i="22"/>
  <c r="N22" i="22"/>
  <c r="Q22" i="22"/>
  <c r="T22" i="22" s="1"/>
  <c r="R22" i="22"/>
  <c r="S22" i="22"/>
  <c r="L25" i="22"/>
  <c r="O25" i="22" s="1"/>
  <c r="M25" i="22"/>
  <c r="N25" i="22"/>
  <c r="Q25" i="22"/>
  <c r="T25" i="22" s="1"/>
  <c r="R25" i="22"/>
  <c r="U25" i="22" s="1"/>
  <c r="S25" i="22"/>
  <c r="L45" i="22"/>
  <c r="O45" i="22" s="1"/>
  <c r="M45" i="22"/>
  <c r="N45" i="22"/>
  <c r="P45" i="22"/>
  <c r="Q45" i="22"/>
  <c r="R45" i="22"/>
  <c r="U45" i="22" s="1"/>
  <c r="S45" i="22"/>
  <c r="T45" i="22"/>
  <c r="Q46" i="22"/>
  <c r="R46" i="22"/>
  <c r="U46" i="22" s="1"/>
  <c r="S46" i="22"/>
  <c r="T46" i="22"/>
  <c r="Q47" i="22"/>
  <c r="T47" i="22" s="1"/>
  <c r="R47" i="22"/>
  <c r="U47" i="22" s="1"/>
  <c r="S47" i="22"/>
  <c r="O48" i="22"/>
  <c r="P48" i="22"/>
  <c r="T48" i="22"/>
  <c r="U48" i="22"/>
  <c r="L49" i="22"/>
  <c r="M49" i="22"/>
  <c r="M47" i="22" s="1"/>
  <c r="N49" i="22"/>
  <c r="N47" i="22" s="1"/>
  <c r="T49" i="22"/>
  <c r="U49" i="22"/>
  <c r="Q50" i="22"/>
  <c r="T50" i="22" s="1"/>
  <c r="R50" i="22"/>
  <c r="S50" i="22"/>
  <c r="U50" i="22"/>
  <c r="O51" i="22"/>
  <c r="P51" i="22"/>
  <c r="T51" i="22"/>
  <c r="U51" i="22"/>
  <c r="L52" i="22"/>
  <c r="O52" i="22" s="1"/>
  <c r="M52" i="22"/>
  <c r="N52" i="22"/>
  <c r="T52" i="22"/>
  <c r="U52" i="22"/>
  <c r="L60" i="22"/>
  <c r="O60" i="22" s="1"/>
  <c r="M60" i="22"/>
  <c r="P60" i="22" s="1"/>
  <c r="N60" i="22"/>
  <c r="Q60" i="22"/>
  <c r="T60" i="22" s="1"/>
  <c r="R60" i="22"/>
  <c r="U60" i="22" s="1"/>
  <c r="S60" i="22"/>
  <c r="Q61" i="22"/>
  <c r="T61" i="22" s="1"/>
  <c r="R61" i="22"/>
  <c r="U61" i="22" s="1"/>
  <c r="S61" i="22"/>
  <c r="Q62" i="22"/>
  <c r="T62" i="22" s="1"/>
  <c r="R62" i="22"/>
  <c r="U62" i="22" s="1"/>
  <c r="S62" i="22"/>
  <c r="O63" i="22"/>
  <c r="P63" i="22"/>
  <c r="T63" i="22"/>
  <c r="U63" i="22"/>
  <c r="L64" i="22"/>
  <c r="M64" i="22"/>
  <c r="M62" i="22" s="1"/>
  <c r="N64" i="22"/>
  <c r="T64" i="22"/>
  <c r="U64" i="22"/>
  <c r="Q65" i="22"/>
  <c r="T65" i="22" s="1"/>
  <c r="R65" i="22"/>
  <c r="S65" i="22"/>
  <c r="U65" i="22"/>
  <c r="O66" i="22"/>
  <c r="P66" i="22"/>
  <c r="T66" i="22"/>
  <c r="U66" i="22"/>
  <c r="L67" i="22"/>
  <c r="L65" i="22" s="1"/>
  <c r="M67" i="22"/>
  <c r="N67" i="22"/>
  <c r="N65" i="22" s="1"/>
  <c r="T67" i="22"/>
  <c r="U67" i="22"/>
  <c r="L73" i="22"/>
  <c r="O73" i="22" s="1"/>
  <c r="M73" i="22"/>
  <c r="P73" i="22" s="1"/>
  <c r="N73" i="22"/>
  <c r="Q73" i="22"/>
  <c r="R73" i="22"/>
  <c r="U73" i="22" s="1"/>
  <c r="S73" i="22"/>
  <c r="T73" i="22"/>
  <c r="O76" i="22"/>
  <c r="P76" i="22"/>
  <c r="T76" i="22"/>
  <c r="U76" i="22"/>
  <c r="L77" i="22"/>
  <c r="M77" i="22"/>
  <c r="M75" i="22" s="1"/>
  <c r="P75" i="22" s="1"/>
  <c r="N77" i="22"/>
  <c r="Q77" i="22"/>
  <c r="R77" i="22"/>
  <c r="R75" i="22" s="1"/>
  <c r="U75" i="22" s="1"/>
  <c r="S77" i="22"/>
  <c r="S75" i="22" s="1"/>
  <c r="O79" i="22"/>
  <c r="P79" i="22"/>
  <c r="T79" i="22"/>
  <c r="U79" i="22"/>
  <c r="L80" i="22"/>
  <c r="L78" i="22" s="1"/>
  <c r="O78" i="22" s="1"/>
  <c r="M80" i="22"/>
  <c r="M78" i="22" s="1"/>
  <c r="P78" i="22" s="1"/>
  <c r="N80" i="22"/>
  <c r="N78" i="22" s="1"/>
  <c r="Q80" i="22"/>
  <c r="T80" i="22" s="1"/>
  <c r="R80" i="22"/>
  <c r="R78" i="22" s="1"/>
  <c r="U78" i="22" s="1"/>
  <c r="S80" i="22"/>
  <c r="S78" i="22" s="1"/>
  <c r="J82" i="22"/>
  <c r="J70" i="22" s="1"/>
  <c r="J83" i="22"/>
  <c r="J71" i="22" s="1"/>
  <c r="I84" i="22"/>
  <c r="K84" i="22" s="1"/>
  <c r="I85" i="22"/>
  <c r="I86" i="22"/>
  <c r="K86" i="22" s="1"/>
  <c r="I87" i="22"/>
  <c r="K87" i="22" s="1"/>
  <c r="I88" i="22"/>
  <c r="K88" i="22" s="1"/>
  <c r="I89" i="22"/>
  <c r="K89" i="22" s="1"/>
  <c r="I90" i="22"/>
  <c r="K90" i="22" s="1"/>
  <c r="J92" i="22"/>
  <c r="J93" i="22"/>
  <c r="L95" i="22"/>
  <c r="M95" i="22"/>
  <c r="P95" i="22" s="1"/>
  <c r="N95" i="22"/>
  <c r="Q95" i="22"/>
  <c r="T95" i="22" s="1"/>
  <c r="R95" i="22"/>
  <c r="S95" i="22"/>
  <c r="O98" i="22"/>
  <c r="P98" i="22"/>
  <c r="T98" i="22"/>
  <c r="U98" i="22"/>
  <c r="L99" i="22"/>
  <c r="O99" i="22" s="1"/>
  <c r="M99" i="22"/>
  <c r="P99" i="22" s="1"/>
  <c r="N99" i="22"/>
  <c r="N97" i="22" s="1"/>
  <c r="Q99" i="22"/>
  <c r="Q97" i="22" s="1"/>
  <c r="T97" i="22" s="1"/>
  <c r="R99" i="22"/>
  <c r="S99" i="22"/>
  <c r="S96" i="22" s="1"/>
  <c r="Q100" i="22"/>
  <c r="R100" i="22"/>
  <c r="U100" i="22" s="1"/>
  <c r="S100" i="22"/>
  <c r="T100" i="22"/>
  <c r="O101" i="22"/>
  <c r="P101" i="22"/>
  <c r="T101" i="22"/>
  <c r="U101" i="22"/>
  <c r="L102" i="22"/>
  <c r="O102" i="22" s="1"/>
  <c r="M102" i="22"/>
  <c r="M100" i="22" s="1"/>
  <c r="P100" i="22" s="1"/>
  <c r="N102" i="22"/>
  <c r="N100" i="22" s="1"/>
  <c r="T102" i="22"/>
  <c r="U102" i="22"/>
  <c r="I108" i="22"/>
  <c r="I92" i="22" s="1"/>
  <c r="K92" i="22" s="1"/>
  <c r="I109" i="22"/>
  <c r="I93" i="22" s="1"/>
  <c r="K93" i="22" s="1"/>
  <c r="I114" i="22"/>
  <c r="K114" i="22" s="1"/>
  <c r="J116" i="22"/>
  <c r="L118" i="22"/>
  <c r="M118" i="22"/>
  <c r="N118" i="22"/>
  <c r="Q118" i="22"/>
  <c r="R118" i="22"/>
  <c r="S118" i="22"/>
  <c r="T118" i="22"/>
  <c r="O121" i="22"/>
  <c r="P121" i="22"/>
  <c r="T121" i="22"/>
  <c r="U121" i="22"/>
  <c r="L122" i="22"/>
  <c r="O122" i="22" s="1"/>
  <c r="M122" i="22"/>
  <c r="P122" i="22" s="1"/>
  <c r="N122" i="22"/>
  <c r="N120" i="22" s="1"/>
  <c r="Q122" i="22"/>
  <c r="Q120" i="22" s="1"/>
  <c r="R122" i="22"/>
  <c r="R120" i="22" s="1"/>
  <c r="S122" i="22"/>
  <c r="O124" i="22"/>
  <c r="P124" i="22"/>
  <c r="T124" i="22"/>
  <c r="U124" i="22"/>
  <c r="L125" i="22"/>
  <c r="O125" i="22" s="1"/>
  <c r="M125" i="22"/>
  <c r="M123" i="22" s="1"/>
  <c r="P123" i="22" s="1"/>
  <c r="N125" i="22"/>
  <c r="N123" i="22" s="1"/>
  <c r="Q125" i="22"/>
  <c r="R125" i="22"/>
  <c r="U125" i="22" s="1"/>
  <c r="S125" i="22"/>
  <c r="S123" i="22" s="1"/>
  <c r="I127" i="22"/>
  <c r="K127" i="22" s="1"/>
  <c r="I128" i="22"/>
  <c r="K128" i="22" s="1"/>
  <c r="I129" i="22"/>
  <c r="K129" i="22" s="1"/>
  <c r="I130" i="22"/>
  <c r="K130" i="22" s="1"/>
  <c r="J136" i="22"/>
  <c r="J137" i="22"/>
  <c r="J138" i="22"/>
  <c r="L140" i="22"/>
  <c r="O140" i="22" s="1"/>
  <c r="M140" i="22"/>
  <c r="N140" i="22"/>
  <c r="Q140" i="22"/>
  <c r="T140" i="22" s="1"/>
  <c r="R140" i="22"/>
  <c r="S140" i="22"/>
  <c r="U140" i="22"/>
  <c r="O143" i="22"/>
  <c r="P143" i="22"/>
  <c r="T143" i="22"/>
  <c r="U143" i="22"/>
  <c r="L144" i="22"/>
  <c r="L142" i="22" s="1"/>
  <c r="O142" i="22" s="1"/>
  <c r="M144" i="22"/>
  <c r="P144" i="22" s="1"/>
  <c r="N144" i="22"/>
  <c r="Q144" i="22"/>
  <c r="R144" i="22"/>
  <c r="R142" i="22" s="1"/>
  <c r="U142" i="22" s="1"/>
  <c r="S144" i="22"/>
  <c r="S142" i="22" s="1"/>
  <c r="O146" i="22"/>
  <c r="P146" i="22"/>
  <c r="T146" i="22"/>
  <c r="U146" i="22"/>
  <c r="L147" i="22"/>
  <c r="L145" i="22" s="1"/>
  <c r="O145" i="22" s="1"/>
  <c r="M147" i="22"/>
  <c r="P147" i="22" s="1"/>
  <c r="N147" i="22"/>
  <c r="N145" i="22" s="1"/>
  <c r="Q147" i="22"/>
  <c r="T147" i="22" s="1"/>
  <c r="R147" i="22"/>
  <c r="R145" i="22" s="1"/>
  <c r="U145" i="22" s="1"/>
  <c r="S147" i="22"/>
  <c r="S145" i="22" s="1"/>
  <c r="I150" i="22"/>
  <c r="K150" i="22" s="1"/>
  <c r="I151" i="22"/>
  <c r="K151" i="22" s="1"/>
  <c r="I152" i="22"/>
  <c r="I137" i="22" s="1"/>
  <c r="K137" i="22" s="1"/>
  <c r="I153" i="22"/>
  <c r="I138" i="22" s="1"/>
  <c r="K138" i="22" s="1"/>
  <c r="I154" i="22"/>
  <c r="I136" i="22" s="1"/>
  <c r="K136" i="22" s="1"/>
  <c r="J156" i="22"/>
  <c r="L158" i="22"/>
  <c r="O158" i="22" s="1"/>
  <c r="M158" i="22"/>
  <c r="N158" i="22"/>
  <c r="P158" i="22"/>
  <c r="Q158" i="22"/>
  <c r="R158" i="22"/>
  <c r="U158" i="22" s="1"/>
  <c r="S158" i="22"/>
  <c r="T158" i="22"/>
  <c r="O161" i="22"/>
  <c r="P161" i="22"/>
  <c r="T161" i="22"/>
  <c r="U161" i="22"/>
  <c r="L162" i="22"/>
  <c r="O162" i="22" s="1"/>
  <c r="M162" i="22"/>
  <c r="M160" i="22" s="1"/>
  <c r="P160" i="22" s="1"/>
  <c r="N162" i="22"/>
  <c r="N160" i="22" s="1"/>
  <c r="Q162" i="22"/>
  <c r="Q160" i="22" s="1"/>
  <c r="T160" i="22" s="1"/>
  <c r="R162" i="22"/>
  <c r="S162" i="22"/>
  <c r="S159" i="22" s="1"/>
  <c r="S157" i="22" s="1"/>
  <c r="Q163" i="22"/>
  <c r="T163" i="22" s="1"/>
  <c r="R163" i="22"/>
  <c r="U163" i="22" s="1"/>
  <c r="S163" i="22"/>
  <c r="O164" i="22"/>
  <c r="P164" i="22"/>
  <c r="T164" i="22"/>
  <c r="U164" i="22"/>
  <c r="L165" i="22"/>
  <c r="O165" i="22" s="1"/>
  <c r="M165" i="22"/>
  <c r="P165" i="22" s="1"/>
  <c r="N165" i="22"/>
  <c r="T165" i="22"/>
  <c r="U165" i="22"/>
  <c r="I167" i="22"/>
  <c r="K167" i="22" s="1"/>
  <c r="I168" i="22"/>
  <c r="K168" i="22" s="1"/>
  <c r="I169" i="22"/>
  <c r="I156" i="22" s="1"/>
  <c r="K156" i="22" s="1"/>
  <c r="J172" i="22"/>
  <c r="L174" i="22"/>
  <c r="O174" i="22" s="1"/>
  <c r="M174" i="22"/>
  <c r="P174" i="22" s="1"/>
  <c r="N174" i="22"/>
  <c r="Q174" i="22"/>
  <c r="T174" i="22" s="1"/>
  <c r="R174" i="22"/>
  <c r="S174" i="22"/>
  <c r="O177" i="22"/>
  <c r="P177" i="22"/>
  <c r="T177" i="22"/>
  <c r="U177" i="22"/>
  <c r="L178" i="22"/>
  <c r="M178" i="22"/>
  <c r="M176" i="22" s="1"/>
  <c r="N178" i="22"/>
  <c r="N176" i="22" s="1"/>
  <c r="Q178" i="22"/>
  <c r="T178" i="22" s="1"/>
  <c r="R178" i="22"/>
  <c r="R176" i="22" s="1"/>
  <c r="U176" i="22" s="1"/>
  <c r="S178" i="22"/>
  <c r="S175" i="22" s="1"/>
  <c r="Q179" i="22"/>
  <c r="T179" i="22" s="1"/>
  <c r="R179" i="22"/>
  <c r="U179" i="22" s="1"/>
  <c r="S179" i="22"/>
  <c r="O180" i="22"/>
  <c r="P180" i="22"/>
  <c r="T180" i="22"/>
  <c r="U180" i="22"/>
  <c r="L181" i="22"/>
  <c r="L179" i="22" s="1"/>
  <c r="O179" i="22" s="1"/>
  <c r="M181" i="22"/>
  <c r="M179" i="22" s="1"/>
  <c r="P179" i="22" s="1"/>
  <c r="N181" i="22"/>
  <c r="N179" i="22" s="1"/>
  <c r="T181" i="22"/>
  <c r="U181" i="22"/>
  <c r="I183" i="22"/>
  <c r="I172" i="22" s="1"/>
  <c r="K184" i="22"/>
  <c r="L187" i="22"/>
  <c r="M187" i="22"/>
  <c r="N187" i="22"/>
  <c r="Q187" i="22"/>
  <c r="T187" i="22" s="1"/>
  <c r="R187" i="22"/>
  <c r="U187" i="22" s="1"/>
  <c r="S187" i="22"/>
  <c r="O190" i="22"/>
  <c r="P190" i="22"/>
  <c r="T190" i="22"/>
  <c r="U190" i="22"/>
  <c r="L191" i="22"/>
  <c r="M191" i="22"/>
  <c r="N191" i="22"/>
  <c r="N189" i="22" s="1"/>
  <c r="Q191" i="22"/>
  <c r="Q189" i="22" s="1"/>
  <c r="R191" i="22"/>
  <c r="S191" i="22"/>
  <c r="S189" i="22" s="1"/>
  <c r="O193" i="22"/>
  <c r="P193" i="22"/>
  <c r="T193" i="22"/>
  <c r="U193" i="22"/>
  <c r="L194" i="22"/>
  <c r="L192" i="22" s="1"/>
  <c r="O192" i="22" s="1"/>
  <c r="M194" i="22"/>
  <c r="M192" i="22" s="1"/>
  <c r="P192" i="22" s="1"/>
  <c r="N194" i="22"/>
  <c r="Q194" i="22"/>
  <c r="T194" i="22" s="1"/>
  <c r="R194" i="22"/>
  <c r="R192" i="22" s="1"/>
  <c r="U192" i="22" s="1"/>
  <c r="S194" i="22"/>
  <c r="S192" i="22" s="1"/>
  <c r="J195" i="22"/>
  <c r="L196" i="22"/>
  <c r="O196" i="22" s="1"/>
  <c r="P196" i="22"/>
  <c r="I198" i="22"/>
  <c r="J199" i="22"/>
  <c r="J202" i="22"/>
  <c r="N203" i="22"/>
  <c r="P203" i="22"/>
  <c r="S203" i="22"/>
  <c r="U203" i="22"/>
  <c r="L204" i="22"/>
  <c r="L205" i="22"/>
  <c r="L206" i="22"/>
  <c r="Q206" i="22"/>
  <c r="Q203" i="22" s="1"/>
  <c r="T203" i="22" s="1"/>
  <c r="L207" i="22"/>
  <c r="I209" i="22"/>
  <c r="I202" i="22" s="1"/>
  <c r="I211" i="22"/>
  <c r="K211" i="22" s="1"/>
  <c r="I212" i="22"/>
  <c r="K212" i="22" s="1"/>
  <c r="J213" i="22"/>
  <c r="N214" i="22"/>
  <c r="P214" i="22"/>
  <c r="S214" i="22"/>
  <c r="U214" i="22"/>
  <c r="L215" i="22"/>
  <c r="L216" i="22"/>
  <c r="L217" i="22"/>
  <c r="Q217" i="22"/>
  <c r="Q214" i="22" s="1"/>
  <c r="T214" i="22" s="1"/>
  <c r="I219" i="22"/>
  <c r="K219" i="22" s="1"/>
  <c r="I220" i="22"/>
  <c r="J221" i="22"/>
  <c r="N222" i="22"/>
  <c r="P222" i="22"/>
  <c r="L223" i="22"/>
  <c r="L224" i="22"/>
  <c r="L225" i="22"/>
  <c r="I228" i="22"/>
  <c r="K228" i="22" s="1"/>
  <c r="I229" i="22"/>
  <c r="K229" i="22" s="1"/>
  <c r="I230" i="22"/>
  <c r="K230" i="22" s="1"/>
  <c r="N233" i="22"/>
  <c r="N234" i="22"/>
  <c r="N235" i="22"/>
  <c r="N236" i="22"/>
  <c r="J238" i="22"/>
  <c r="I240" i="22"/>
  <c r="J240" i="22"/>
  <c r="K240" i="22"/>
  <c r="I241" i="22"/>
  <c r="K241" i="22" s="1"/>
  <c r="J241" i="22"/>
  <c r="J242" i="22"/>
  <c r="N243" i="22"/>
  <c r="N232" i="22" s="1"/>
  <c r="P243" i="22"/>
  <c r="L244" i="22"/>
  <c r="L245" i="22"/>
  <c r="L246" i="22"/>
  <c r="L247" i="22"/>
  <c r="I249" i="22"/>
  <c r="I242" i="22" s="1"/>
  <c r="K242" i="22" s="1"/>
  <c r="K251" i="22"/>
  <c r="K252" i="22"/>
  <c r="J253" i="22"/>
  <c r="N254" i="22"/>
  <c r="P254" i="22"/>
  <c r="L255" i="22"/>
  <c r="L256" i="22"/>
  <c r="L257" i="22"/>
  <c r="L258" i="22"/>
  <c r="I260" i="22"/>
  <c r="K262" i="22"/>
  <c r="K263" i="22"/>
  <c r="J265" i="22"/>
  <c r="L267" i="22"/>
  <c r="O267" i="22" s="1"/>
  <c r="M267" i="22"/>
  <c r="P267" i="22" s="1"/>
  <c r="N267" i="22"/>
  <c r="Q267" i="22"/>
  <c r="R267" i="22"/>
  <c r="S267" i="22"/>
  <c r="T267" i="22"/>
  <c r="O270" i="22"/>
  <c r="P270" i="22"/>
  <c r="T270" i="22"/>
  <c r="U270" i="22"/>
  <c r="L271" i="22"/>
  <c r="M271" i="22"/>
  <c r="N271" i="22"/>
  <c r="Q271" i="22"/>
  <c r="Q268" i="22" s="1"/>
  <c r="R271" i="22"/>
  <c r="R268" i="22" s="1"/>
  <c r="S271" i="22"/>
  <c r="S268" i="22" s="1"/>
  <c r="Q272" i="22"/>
  <c r="T272" i="22" s="1"/>
  <c r="R272" i="22"/>
  <c r="U272" i="22" s="1"/>
  <c r="S272" i="22"/>
  <c r="O273" i="22"/>
  <c r="P273" i="22"/>
  <c r="T273" i="22"/>
  <c r="U273" i="22"/>
  <c r="L274" i="22"/>
  <c r="L272" i="22" s="1"/>
  <c r="O272" i="22" s="1"/>
  <c r="M274" i="22"/>
  <c r="M272" i="22" s="1"/>
  <c r="P272" i="22" s="1"/>
  <c r="N274" i="22"/>
  <c r="N272" i="22" s="1"/>
  <c r="T274" i="22"/>
  <c r="U274" i="22"/>
  <c r="I276" i="22"/>
  <c r="I265" i="22" s="1"/>
  <c r="J281" i="22"/>
  <c r="L283" i="22"/>
  <c r="M283" i="22"/>
  <c r="P283" i="22" s="1"/>
  <c r="N283" i="22"/>
  <c r="O283" i="22"/>
  <c r="Q283" i="22"/>
  <c r="T283" i="22" s="1"/>
  <c r="R283" i="22"/>
  <c r="S283" i="22"/>
  <c r="S282" i="22" s="1"/>
  <c r="U283" i="22"/>
  <c r="Q284" i="22"/>
  <c r="T284" i="22" s="1"/>
  <c r="R284" i="22"/>
  <c r="U284" i="22" s="1"/>
  <c r="S284" i="22"/>
  <c r="Q285" i="22"/>
  <c r="R285" i="22"/>
  <c r="U285" i="22" s="1"/>
  <c r="S285" i="22"/>
  <c r="T285" i="22"/>
  <c r="O286" i="22"/>
  <c r="P286" i="22"/>
  <c r="T286" i="22"/>
  <c r="U286" i="22"/>
  <c r="L287" i="22"/>
  <c r="M287" i="22"/>
  <c r="M285" i="22" s="1"/>
  <c r="P285" i="22" s="1"/>
  <c r="N287" i="22"/>
  <c r="N285" i="22" s="1"/>
  <c r="T287" i="22"/>
  <c r="U287" i="22"/>
  <c r="Q288" i="22"/>
  <c r="T288" i="22" s="1"/>
  <c r="R288" i="22"/>
  <c r="S288" i="22"/>
  <c r="U288" i="22"/>
  <c r="O289" i="22"/>
  <c r="P289" i="22"/>
  <c r="T289" i="22"/>
  <c r="U289" i="22"/>
  <c r="L290" i="22"/>
  <c r="L288" i="22" s="1"/>
  <c r="O288" i="22" s="1"/>
  <c r="M290" i="22"/>
  <c r="N290" i="22"/>
  <c r="N288" i="22" s="1"/>
  <c r="T290" i="22"/>
  <c r="U290" i="22"/>
  <c r="I292" i="22"/>
  <c r="I293" i="22"/>
  <c r="K293" i="22" s="1"/>
  <c r="J293" i="22"/>
  <c r="J280" i="22" s="1"/>
  <c r="I295" i="22"/>
  <c r="K295" i="22" s="1"/>
  <c r="I296" i="22"/>
  <c r="K296" i="22" s="1"/>
  <c r="J302" i="22"/>
  <c r="L304" i="22"/>
  <c r="M304" i="22"/>
  <c r="P304" i="22" s="1"/>
  <c r="N304" i="22"/>
  <c r="O304" i="22"/>
  <c r="Q304" i="22"/>
  <c r="T304" i="22" s="1"/>
  <c r="R304" i="22"/>
  <c r="S304" i="22"/>
  <c r="U304" i="22"/>
  <c r="O307" i="22"/>
  <c r="P307" i="22"/>
  <c r="T307" i="22"/>
  <c r="U307" i="22"/>
  <c r="L308" i="22"/>
  <c r="O308" i="22" s="1"/>
  <c r="M308" i="22"/>
  <c r="N308" i="22"/>
  <c r="N306" i="22" s="1"/>
  <c r="Q308" i="22"/>
  <c r="Q305" i="22" s="1"/>
  <c r="T305" i="22" s="1"/>
  <c r="R308" i="22"/>
  <c r="R305" i="22" s="1"/>
  <c r="S308" i="22"/>
  <c r="S305" i="22" s="1"/>
  <c r="Q309" i="22"/>
  <c r="T309" i="22" s="1"/>
  <c r="R309" i="22"/>
  <c r="U309" i="22" s="1"/>
  <c r="S309" i="22"/>
  <c r="O310" i="22"/>
  <c r="P310" i="22"/>
  <c r="T310" i="22"/>
  <c r="U310" i="22"/>
  <c r="L311" i="22"/>
  <c r="M311" i="22"/>
  <c r="P311" i="22" s="1"/>
  <c r="N311" i="22"/>
  <c r="N309" i="22" s="1"/>
  <c r="T311" i="22"/>
  <c r="U311" i="22"/>
  <c r="I314" i="22"/>
  <c r="I302" i="22" s="1"/>
  <c r="K302" i="22" s="1"/>
  <c r="J319" i="22"/>
  <c r="L321" i="22"/>
  <c r="O321" i="22" s="1"/>
  <c r="M321" i="22"/>
  <c r="N321" i="22"/>
  <c r="Q321" i="22"/>
  <c r="Q320" i="22" s="1"/>
  <c r="T320" i="22" s="1"/>
  <c r="R321" i="22"/>
  <c r="U321" i="22" s="1"/>
  <c r="S321" i="22"/>
  <c r="S320" i="22" s="1"/>
  <c r="Q322" i="22"/>
  <c r="T322" i="22" s="1"/>
  <c r="R322" i="22"/>
  <c r="S322" i="22"/>
  <c r="U322" i="22"/>
  <c r="Q323" i="22"/>
  <c r="T323" i="22" s="1"/>
  <c r="R323" i="22"/>
  <c r="S323" i="22"/>
  <c r="U323" i="22"/>
  <c r="O324" i="22"/>
  <c r="P324" i="22"/>
  <c r="T324" i="22"/>
  <c r="U324" i="22"/>
  <c r="L325" i="22"/>
  <c r="L323" i="22" s="1"/>
  <c r="O323" i="22" s="1"/>
  <c r="M325" i="22"/>
  <c r="N325" i="22"/>
  <c r="T325" i="22"/>
  <c r="U325" i="22"/>
  <c r="Q326" i="22"/>
  <c r="T326" i="22" s="1"/>
  <c r="R326" i="22"/>
  <c r="S326" i="22"/>
  <c r="U326" i="22"/>
  <c r="O327" i="22"/>
  <c r="P327" i="22"/>
  <c r="T327" i="22"/>
  <c r="U327" i="22"/>
  <c r="L328" i="22"/>
  <c r="O328" i="22" s="1"/>
  <c r="M328" i="22"/>
  <c r="P328" i="22" s="1"/>
  <c r="N328" i="22"/>
  <c r="N326" i="22" s="1"/>
  <c r="T328" i="22"/>
  <c r="U328" i="22"/>
  <c r="I330" i="22"/>
  <c r="R333" i="22"/>
  <c r="U333" i="22" s="1"/>
  <c r="L334" i="22"/>
  <c r="O334" i="22" s="1"/>
  <c r="M334" i="22"/>
  <c r="P334" i="22" s="1"/>
  <c r="N334" i="22"/>
  <c r="Q334" i="22"/>
  <c r="Q333" i="22" s="1"/>
  <c r="T333" i="22" s="1"/>
  <c r="R334" i="22"/>
  <c r="S334" i="22"/>
  <c r="S333" i="22" s="1"/>
  <c r="U334" i="22"/>
  <c r="Q335" i="22"/>
  <c r="T335" i="22" s="1"/>
  <c r="R335" i="22"/>
  <c r="S335" i="22"/>
  <c r="U335" i="22"/>
  <c r="Q336" i="22"/>
  <c r="T336" i="22" s="1"/>
  <c r="R336" i="22"/>
  <c r="U336" i="22" s="1"/>
  <c r="S336" i="22"/>
  <c r="O337" i="22"/>
  <c r="P337" i="22"/>
  <c r="T337" i="22"/>
  <c r="U337" i="22"/>
  <c r="L338" i="22"/>
  <c r="M338" i="22"/>
  <c r="M336" i="22" s="1"/>
  <c r="N338" i="22"/>
  <c r="N336" i="22" s="1"/>
  <c r="T338" i="22"/>
  <c r="U338" i="22"/>
  <c r="Q339" i="22"/>
  <c r="R339" i="22"/>
  <c r="U339" i="22" s="1"/>
  <c r="S339" i="22"/>
  <c r="T339" i="22"/>
  <c r="O340" i="22"/>
  <c r="P340" i="22"/>
  <c r="T340" i="22"/>
  <c r="U340" i="22"/>
  <c r="L341" i="22"/>
  <c r="M341" i="22"/>
  <c r="P341" i="22" s="1"/>
  <c r="N341" i="22"/>
  <c r="N339" i="22" s="1"/>
  <c r="T341" i="22"/>
  <c r="U341" i="22"/>
  <c r="I344" i="22"/>
  <c r="J344" i="22"/>
  <c r="I346" i="22"/>
  <c r="J346" i="22"/>
  <c r="J347" i="22"/>
  <c r="J348" i="22"/>
  <c r="J349" i="22"/>
  <c r="D350" i="22"/>
  <c r="J352" i="22"/>
  <c r="J353" i="22"/>
  <c r="J354" i="22"/>
  <c r="L357" i="22"/>
  <c r="O357" i="22" s="1"/>
  <c r="M357" i="22"/>
  <c r="N357" i="22"/>
  <c r="P357" i="22"/>
  <c r="Q357" i="22"/>
  <c r="R357" i="22"/>
  <c r="S357" i="22"/>
  <c r="S356" i="22" s="1"/>
  <c r="U357" i="22"/>
  <c r="Q358" i="22"/>
  <c r="R358" i="22"/>
  <c r="U358" i="22" s="1"/>
  <c r="S358" i="22"/>
  <c r="T358" i="22"/>
  <c r="Q359" i="22"/>
  <c r="T359" i="22" s="1"/>
  <c r="R359" i="22"/>
  <c r="S359" i="22"/>
  <c r="U359" i="22"/>
  <c r="O360" i="22"/>
  <c r="P360" i="22"/>
  <c r="T360" i="22"/>
  <c r="U360" i="22"/>
  <c r="L361" i="22"/>
  <c r="M361" i="22"/>
  <c r="M359" i="22" s="1"/>
  <c r="N361" i="22"/>
  <c r="T361" i="22"/>
  <c r="U361" i="22"/>
  <c r="Q362" i="22"/>
  <c r="T362" i="22" s="1"/>
  <c r="R362" i="22"/>
  <c r="U362" i="22" s="1"/>
  <c r="S362" i="22"/>
  <c r="O363" i="22"/>
  <c r="P363" i="22"/>
  <c r="T363" i="22"/>
  <c r="U363" i="22"/>
  <c r="L364" i="22"/>
  <c r="L358" i="22" s="1"/>
  <c r="M364" i="22"/>
  <c r="N364" i="22"/>
  <c r="N362" i="22" s="1"/>
  <c r="T364" i="22"/>
  <c r="U364" i="22"/>
  <c r="J367" i="22"/>
  <c r="K367" i="22"/>
  <c r="I368" i="22"/>
  <c r="J368" i="22"/>
  <c r="I369" i="22"/>
  <c r="J369" i="22"/>
  <c r="J370" i="22"/>
  <c r="K370" i="22"/>
  <c r="I371" i="22"/>
  <c r="I365" i="22" s="1"/>
  <c r="J371" i="22"/>
  <c r="J365" i="22" s="1"/>
  <c r="J372" i="22"/>
  <c r="K372" i="22"/>
  <c r="D373" i="22"/>
  <c r="L376" i="22"/>
  <c r="M376" i="22"/>
  <c r="P376" i="22" s="1"/>
  <c r="N376" i="22"/>
  <c r="O376" i="22"/>
  <c r="Q376" i="22"/>
  <c r="T376" i="22" s="1"/>
  <c r="R376" i="22"/>
  <c r="S376" i="22"/>
  <c r="U376" i="22"/>
  <c r="O379" i="22"/>
  <c r="P379" i="22"/>
  <c r="T379" i="22"/>
  <c r="U379" i="22"/>
  <c r="L380" i="22"/>
  <c r="M380" i="22"/>
  <c r="M378" i="22" s="1"/>
  <c r="N380" i="22"/>
  <c r="Q380" i="22"/>
  <c r="Q377" i="22" s="1"/>
  <c r="R380" i="22"/>
  <c r="R378" i="22" s="1"/>
  <c r="S380" i="22"/>
  <c r="S377" i="22" s="1"/>
  <c r="S375" i="22" s="1"/>
  <c r="Q381" i="22"/>
  <c r="R381" i="22"/>
  <c r="U381" i="22" s="1"/>
  <c r="S381" i="22"/>
  <c r="T381" i="22"/>
  <c r="O382" i="22"/>
  <c r="P382" i="22"/>
  <c r="T382" i="22"/>
  <c r="U382" i="22"/>
  <c r="L383" i="22"/>
  <c r="M383" i="22"/>
  <c r="M381" i="22" s="1"/>
  <c r="P381" i="22" s="1"/>
  <c r="N383" i="22"/>
  <c r="N381" i="22" s="1"/>
  <c r="T383" i="22"/>
  <c r="U383" i="22"/>
  <c r="J385" i="22"/>
  <c r="K385" i="22"/>
  <c r="I386" i="22"/>
  <c r="J386" i="22"/>
  <c r="J387" i="22"/>
  <c r="K387" i="22"/>
  <c r="I388" i="22"/>
  <c r="K388" i="22" s="1"/>
  <c r="J388" i="22"/>
  <c r="I391" i="22"/>
  <c r="K391" i="22" s="1"/>
  <c r="J391" i="22"/>
  <c r="N392" i="22"/>
  <c r="L393" i="22"/>
  <c r="M393" i="22"/>
  <c r="M392" i="22" s="1"/>
  <c r="P392" i="22" s="1"/>
  <c r="N393" i="22"/>
  <c r="P393" i="22"/>
  <c r="Q393" i="22"/>
  <c r="R393" i="22"/>
  <c r="S393" i="22"/>
  <c r="L394" i="22"/>
  <c r="O394" i="22" s="1"/>
  <c r="M394" i="22"/>
  <c r="P394" i="22" s="1"/>
  <c r="N394" i="22"/>
  <c r="L395" i="22"/>
  <c r="M395" i="22"/>
  <c r="P395" i="22" s="1"/>
  <c r="N395" i="22"/>
  <c r="O395" i="22"/>
  <c r="O396" i="22"/>
  <c r="P396" i="22"/>
  <c r="T396" i="22"/>
  <c r="U396" i="22"/>
  <c r="O397" i="22"/>
  <c r="P397" i="22"/>
  <c r="Q397" i="22"/>
  <c r="R397" i="22"/>
  <c r="R395" i="22" s="1"/>
  <c r="U395" i="22" s="1"/>
  <c r="S397" i="22"/>
  <c r="L398" i="22"/>
  <c r="O398" i="22" s="1"/>
  <c r="M398" i="22"/>
  <c r="P398" i="22" s="1"/>
  <c r="N398" i="22"/>
  <c r="Q398" i="22"/>
  <c r="T398" i="22" s="1"/>
  <c r="R398" i="22"/>
  <c r="U398" i="22" s="1"/>
  <c r="S398" i="22"/>
  <c r="O399" i="22"/>
  <c r="P399" i="22"/>
  <c r="T399" i="22"/>
  <c r="U399" i="22"/>
  <c r="O400" i="22"/>
  <c r="P400" i="22"/>
  <c r="T400" i="22"/>
  <c r="U400" i="22"/>
  <c r="L414" i="22"/>
  <c r="M414" i="22"/>
  <c r="N414" i="22"/>
  <c r="P414" i="22"/>
  <c r="Q414" i="22"/>
  <c r="R414" i="22"/>
  <c r="S414" i="22"/>
  <c r="O417" i="22"/>
  <c r="P417" i="22"/>
  <c r="T417" i="22"/>
  <c r="U417" i="22"/>
  <c r="L418" i="22"/>
  <c r="M418" i="22"/>
  <c r="N418" i="22"/>
  <c r="N416" i="22" s="1"/>
  <c r="Q418" i="22"/>
  <c r="Q415" i="22" s="1"/>
  <c r="R418" i="22"/>
  <c r="S418" i="22"/>
  <c r="S416" i="22" s="1"/>
  <c r="Q419" i="22"/>
  <c r="T419" i="22" s="1"/>
  <c r="R419" i="22"/>
  <c r="S419" i="22"/>
  <c r="U419" i="22"/>
  <c r="O420" i="22"/>
  <c r="P420" i="22"/>
  <c r="T420" i="22"/>
  <c r="U420" i="22"/>
  <c r="L421" i="22"/>
  <c r="M421" i="22"/>
  <c r="N421" i="22"/>
  <c r="N419" i="22" s="1"/>
  <c r="T421" i="22"/>
  <c r="U421" i="22"/>
  <c r="I424" i="22"/>
  <c r="K424" i="22" s="1"/>
  <c r="J424" i="22"/>
  <c r="I425" i="22"/>
  <c r="K425" i="22" s="1"/>
  <c r="J425" i="22"/>
  <c r="I432" i="22"/>
  <c r="K432" i="22" s="1"/>
  <c r="J432" i="22"/>
  <c r="I433" i="22"/>
  <c r="K433" i="22" s="1"/>
  <c r="J433" i="22"/>
  <c r="I440" i="22"/>
  <c r="I423" i="22" s="1"/>
  <c r="K423" i="22" s="1"/>
  <c r="I441" i="22"/>
  <c r="K441" i="22" s="1"/>
  <c r="J441" i="22"/>
  <c r="J446" i="22"/>
  <c r="J440" i="22" s="1"/>
  <c r="J423" i="22" s="1"/>
  <c r="J412" i="22" s="1"/>
  <c r="J447" i="22"/>
  <c r="I457" i="22"/>
  <c r="I458" i="22"/>
  <c r="K458" i="22" s="1"/>
  <c r="J458" i="22"/>
  <c r="J459" i="22"/>
  <c r="J460" i="22"/>
  <c r="J467" i="22"/>
  <c r="J468" i="22"/>
  <c r="J475" i="22"/>
  <c r="K475" i="22"/>
  <c r="J476" i="22"/>
  <c r="K476" i="22"/>
  <c r="J477" i="22"/>
  <c r="K477" i="22"/>
  <c r="J482" i="22"/>
  <c r="J483" i="22"/>
  <c r="I484" i="22"/>
  <c r="K484" i="22" s="1"/>
  <c r="J484" i="22"/>
  <c r="I485" i="22"/>
  <c r="K485" i="22" s="1"/>
  <c r="J485" i="22"/>
  <c r="L494" i="22"/>
  <c r="O494" i="22" s="1"/>
  <c r="M494" i="22"/>
  <c r="N494" i="22"/>
  <c r="P494" i="22"/>
  <c r="Q494" i="22"/>
  <c r="R494" i="22"/>
  <c r="U494" i="22" s="1"/>
  <c r="S494" i="22"/>
  <c r="T494" i="22"/>
  <c r="O497" i="22"/>
  <c r="P497" i="22"/>
  <c r="T497" i="22"/>
  <c r="U497" i="22"/>
  <c r="L498" i="22"/>
  <c r="O498" i="22" s="1"/>
  <c r="M498" i="22"/>
  <c r="P498" i="22" s="1"/>
  <c r="N498" i="22"/>
  <c r="Q498" i="22"/>
  <c r="Q495" i="22" s="1"/>
  <c r="T495" i="22" s="1"/>
  <c r="R498" i="22"/>
  <c r="U498" i="22" s="1"/>
  <c r="S498" i="22"/>
  <c r="S495" i="22" s="1"/>
  <c r="S493" i="22" s="1"/>
  <c r="Q499" i="22"/>
  <c r="R499" i="22"/>
  <c r="U499" i="22" s="1"/>
  <c r="S499" i="22"/>
  <c r="T499" i="22"/>
  <c r="O500" i="22"/>
  <c r="P500" i="22"/>
  <c r="T500" i="22"/>
  <c r="U500" i="22"/>
  <c r="L501" i="22"/>
  <c r="O501" i="22" s="1"/>
  <c r="M501" i="22"/>
  <c r="M499" i="22" s="1"/>
  <c r="P499" i="22" s="1"/>
  <c r="N501" i="22"/>
  <c r="N499" i="22" s="1"/>
  <c r="T501" i="22"/>
  <c r="U501" i="22"/>
  <c r="I503" i="22"/>
  <c r="I492" i="22" s="1"/>
  <c r="K492" i="22" s="1"/>
  <c r="I504" i="22"/>
  <c r="K504" i="22" s="1"/>
  <c r="I505" i="22"/>
  <c r="K505" i="22" s="1"/>
  <c r="I506" i="22"/>
  <c r="K506" i="22" s="1"/>
  <c r="I507" i="22"/>
  <c r="K507" i="22" s="1"/>
  <c r="K508" i="22"/>
  <c r="I509" i="22"/>
  <c r="K509" i="22" s="1"/>
  <c r="I512" i="22"/>
  <c r="J512" i="22"/>
  <c r="K512" i="22"/>
  <c r="L514" i="22"/>
  <c r="O514" i="22" s="1"/>
  <c r="M514" i="22"/>
  <c r="N514" i="22"/>
  <c r="Q514" i="22"/>
  <c r="R514" i="22"/>
  <c r="S514" i="22"/>
  <c r="S513" i="22" s="1"/>
  <c r="T514" i="22"/>
  <c r="Q515" i="22"/>
  <c r="Q513" i="22" s="1"/>
  <c r="T513" i="22" s="1"/>
  <c r="R515" i="22"/>
  <c r="U515" i="22" s="1"/>
  <c r="S515" i="22"/>
  <c r="T515" i="22"/>
  <c r="Q516" i="22"/>
  <c r="T516" i="22" s="1"/>
  <c r="R516" i="22"/>
  <c r="U516" i="22" s="1"/>
  <c r="S516" i="22"/>
  <c r="O517" i="22"/>
  <c r="P517" i="22"/>
  <c r="T517" i="22"/>
  <c r="U517" i="22"/>
  <c r="L518" i="22"/>
  <c r="M518" i="22"/>
  <c r="M516" i="22" s="1"/>
  <c r="P516" i="22" s="1"/>
  <c r="N518" i="22"/>
  <c r="T518" i="22"/>
  <c r="U518" i="22"/>
  <c r="Q519" i="22"/>
  <c r="T519" i="22" s="1"/>
  <c r="R519" i="22"/>
  <c r="S519" i="22"/>
  <c r="U519" i="22"/>
  <c r="O520" i="22"/>
  <c r="P520" i="22"/>
  <c r="T520" i="22"/>
  <c r="U520" i="22"/>
  <c r="L521" i="22"/>
  <c r="M521" i="22"/>
  <c r="N521" i="22"/>
  <c r="N519" i="22" s="1"/>
  <c r="T521" i="22"/>
  <c r="U521" i="22"/>
  <c r="K523" i="22"/>
  <c r="K524" i="22"/>
  <c r="I533" i="22"/>
  <c r="K533" i="22" s="1"/>
  <c r="J533" i="22"/>
  <c r="S534" i="22"/>
  <c r="L535" i="22"/>
  <c r="M535" i="22"/>
  <c r="P535" i="22" s="1"/>
  <c r="N535" i="22"/>
  <c r="O535" i="22"/>
  <c r="Q535" i="22"/>
  <c r="R535" i="22"/>
  <c r="S535" i="22"/>
  <c r="T535" i="22"/>
  <c r="Q536" i="22"/>
  <c r="R536" i="22"/>
  <c r="U536" i="22" s="1"/>
  <c r="S536" i="22"/>
  <c r="Q537" i="22"/>
  <c r="T537" i="22" s="1"/>
  <c r="R537" i="22"/>
  <c r="U537" i="22" s="1"/>
  <c r="S537" i="22"/>
  <c r="O538" i="22"/>
  <c r="P538" i="22"/>
  <c r="T538" i="22"/>
  <c r="U538" i="22"/>
  <c r="L539" i="22"/>
  <c r="O539" i="22" s="1"/>
  <c r="M539" i="22"/>
  <c r="P539" i="22" s="1"/>
  <c r="N539" i="22"/>
  <c r="T539" i="22"/>
  <c r="U539" i="22"/>
  <c r="Q540" i="22"/>
  <c r="T540" i="22" s="1"/>
  <c r="R540" i="22"/>
  <c r="S540" i="22"/>
  <c r="U540" i="22"/>
  <c r="O541" i="22"/>
  <c r="P541" i="22"/>
  <c r="T541" i="22"/>
  <c r="U541" i="22"/>
  <c r="L542" i="22"/>
  <c r="M542" i="22"/>
  <c r="N542" i="22"/>
  <c r="N540" i="22" s="1"/>
  <c r="T542" i="22"/>
  <c r="U542" i="22"/>
  <c r="I554" i="22"/>
  <c r="K554" i="22" s="1"/>
  <c r="J554" i="22"/>
  <c r="L556" i="22"/>
  <c r="M556" i="22"/>
  <c r="P556" i="22" s="1"/>
  <c r="N556" i="22"/>
  <c r="O556" i="22"/>
  <c r="Q556" i="22"/>
  <c r="R556" i="22"/>
  <c r="S556" i="22"/>
  <c r="S555" i="22" s="1"/>
  <c r="U556" i="22"/>
  <c r="Q557" i="22"/>
  <c r="R557" i="22"/>
  <c r="U557" i="22" s="1"/>
  <c r="S557" i="22"/>
  <c r="T557" i="22"/>
  <c r="Q558" i="22"/>
  <c r="T558" i="22" s="1"/>
  <c r="R558" i="22"/>
  <c r="U558" i="22" s="1"/>
  <c r="S558" i="22"/>
  <c r="O559" i="22"/>
  <c r="P559" i="22"/>
  <c r="T559" i="22"/>
  <c r="U559" i="22"/>
  <c r="L560" i="22"/>
  <c r="M560" i="22"/>
  <c r="N560" i="22"/>
  <c r="T560" i="22"/>
  <c r="U560" i="22"/>
  <c r="Q561" i="22"/>
  <c r="T561" i="22" s="1"/>
  <c r="R561" i="22"/>
  <c r="U561" i="22" s="1"/>
  <c r="S561" i="22"/>
  <c r="O562" i="22"/>
  <c r="P562" i="22"/>
  <c r="T562" i="22"/>
  <c r="U562" i="22"/>
  <c r="L563" i="22"/>
  <c r="L561" i="22" s="1"/>
  <c r="O561" i="22" s="1"/>
  <c r="M563" i="22"/>
  <c r="M561" i="22" s="1"/>
  <c r="P561" i="22" s="1"/>
  <c r="N563" i="22"/>
  <c r="N561" i="22" s="1"/>
  <c r="T563" i="22"/>
  <c r="U563" i="22"/>
  <c r="I575" i="22"/>
  <c r="J575" i="22"/>
  <c r="K575" i="22" s="1"/>
  <c r="L577" i="22"/>
  <c r="O577" i="22" s="1"/>
  <c r="M577" i="22"/>
  <c r="N577" i="22"/>
  <c r="Q577" i="22"/>
  <c r="R577" i="22"/>
  <c r="S577" i="22"/>
  <c r="S576" i="22" s="1"/>
  <c r="U577" i="22"/>
  <c r="Q578" i="22"/>
  <c r="T578" i="22" s="1"/>
  <c r="R578" i="22"/>
  <c r="R576" i="22" s="1"/>
  <c r="U576" i="22" s="1"/>
  <c r="S578" i="22"/>
  <c r="Q579" i="22"/>
  <c r="R579" i="22"/>
  <c r="U579" i="22" s="1"/>
  <c r="S579" i="22"/>
  <c r="T579" i="22"/>
  <c r="O580" i="22"/>
  <c r="P580" i="22"/>
  <c r="T580" i="22"/>
  <c r="U580" i="22"/>
  <c r="L581" i="22"/>
  <c r="M581" i="22"/>
  <c r="N581" i="22"/>
  <c r="N579" i="22" s="1"/>
  <c r="T581" i="22"/>
  <c r="U581" i="22"/>
  <c r="Q582" i="22"/>
  <c r="R582" i="22"/>
  <c r="U582" i="22" s="1"/>
  <c r="S582" i="22"/>
  <c r="T582" i="22"/>
  <c r="O583" i="22"/>
  <c r="P583" i="22"/>
  <c r="T583" i="22"/>
  <c r="U583" i="22"/>
  <c r="L584" i="22"/>
  <c r="L582" i="22" s="1"/>
  <c r="O582" i="22" s="1"/>
  <c r="M584" i="22"/>
  <c r="P584" i="22" s="1"/>
  <c r="N584" i="22"/>
  <c r="N582" i="22" s="1"/>
  <c r="T584" i="22"/>
  <c r="U584" i="22"/>
  <c r="K586" i="22"/>
  <c r="K587" i="22"/>
  <c r="L600" i="22"/>
  <c r="M600" i="22"/>
  <c r="N600" i="22"/>
  <c r="Q600" i="22"/>
  <c r="R600" i="22"/>
  <c r="U600" i="22" s="1"/>
  <c r="S600" i="22"/>
  <c r="O603" i="22"/>
  <c r="P603" i="22"/>
  <c r="T603" i="22"/>
  <c r="U603" i="22"/>
  <c r="L604" i="22"/>
  <c r="M604" i="22"/>
  <c r="N604" i="22"/>
  <c r="Q604" i="22"/>
  <c r="R604" i="22"/>
  <c r="R602" i="22" s="1"/>
  <c r="U602" i="22" s="1"/>
  <c r="S604" i="22"/>
  <c r="O606" i="22"/>
  <c r="P606" i="22"/>
  <c r="T606" i="22"/>
  <c r="U606" i="22"/>
  <c r="L607" i="22"/>
  <c r="M607" i="22"/>
  <c r="M605" i="22" s="1"/>
  <c r="P605" i="22" s="1"/>
  <c r="N607" i="22"/>
  <c r="N605" i="22" s="1"/>
  <c r="Q607" i="22"/>
  <c r="R607" i="22"/>
  <c r="R605" i="22" s="1"/>
  <c r="U605" i="22" s="1"/>
  <c r="S607" i="22"/>
  <c r="S605" i="22" s="1"/>
  <c r="L617" i="22"/>
  <c r="M617" i="22"/>
  <c r="N617" i="22"/>
  <c r="O617" i="22"/>
  <c r="Q617" i="22"/>
  <c r="R617" i="22"/>
  <c r="U617" i="22" s="1"/>
  <c r="S617" i="22"/>
  <c r="T617" i="22"/>
  <c r="L618" i="22"/>
  <c r="L616" i="22" s="1"/>
  <c r="O616" i="22" s="1"/>
  <c r="M618" i="22"/>
  <c r="N618" i="22"/>
  <c r="P618" i="22"/>
  <c r="L619" i="22"/>
  <c r="O619" i="22" s="1"/>
  <c r="M619" i="22"/>
  <c r="P619" i="22" s="1"/>
  <c r="N619" i="22"/>
  <c r="O620" i="22"/>
  <c r="P620" i="22"/>
  <c r="T620" i="22"/>
  <c r="U620" i="22"/>
  <c r="O621" i="22"/>
  <c r="P621" i="22"/>
  <c r="Q621" i="22"/>
  <c r="Q618" i="22" s="1"/>
  <c r="Q616" i="22" s="1"/>
  <c r="R621" i="22"/>
  <c r="R619" i="22" s="1"/>
  <c r="S621" i="22"/>
  <c r="S619" i="22" s="1"/>
  <c r="L622" i="22"/>
  <c r="M622" i="22"/>
  <c r="P622" i="22" s="1"/>
  <c r="N622" i="22"/>
  <c r="O622" i="22"/>
  <c r="Q622" i="22"/>
  <c r="T622" i="22" s="1"/>
  <c r="R622" i="22"/>
  <c r="S622" i="22"/>
  <c r="U622" i="22"/>
  <c r="O623" i="22"/>
  <c r="P623" i="22"/>
  <c r="T623" i="22"/>
  <c r="U623" i="22"/>
  <c r="O624" i="22"/>
  <c r="P624" i="22"/>
  <c r="T624" i="22"/>
  <c r="U624" i="22"/>
  <c r="I626" i="22"/>
  <c r="K629" i="22" s="1"/>
  <c r="I627" i="22"/>
  <c r="K627" i="22" s="1"/>
  <c r="I628" i="22"/>
  <c r="K628" i="22" s="1"/>
  <c r="J632" i="22"/>
  <c r="J626" i="22" s="1"/>
  <c r="J615" i="22" s="1"/>
  <c r="I635" i="22"/>
  <c r="K635" i="22" s="1"/>
  <c r="J636" i="22"/>
  <c r="J635" i="22" s="1"/>
  <c r="L643" i="22"/>
  <c r="M643" i="22"/>
  <c r="N643" i="22"/>
  <c r="Q643" i="22"/>
  <c r="T643" i="22" s="1"/>
  <c r="R643" i="22"/>
  <c r="S643" i="22"/>
  <c r="L644" i="22"/>
  <c r="O644" i="22" s="1"/>
  <c r="M644" i="22"/>
  <c r="N644" i="22"/>
  <c r="N642" i="22" s="1"/>
  <c r="P644" i="22"/>
  <c r="L645" i="22"/>
  <c r="O645" i="22" s="1"/>
  <c r="M645" i="22"/>
  <c r="N645" i="22"/>
  <c r="P645" i="22"/>
  <c r="O646" i="22"/>
  <c r="P646" i="22"/>
  <c r="T646" i="22"/>
  <c r="U646" i="22"/>
  <c r="O647" i="22"/>
  <c r="P647" i="22"/>
  <c r="Q647" i="22"/>
  <c r="R647" i="22"/>
  <c r="R644" i="22" s="1"/>
  <c r="U644" i="22" s="1"/>
  <c r="S647" i="22"/>
  <c r="S644" i="22" s="1"/>
  <c r="L648" i="22"/>
  <c r="O648" i="22" s="1"/>
  <c r="M648" i="22"/>
  <c r="N648" i="22"/>
  <c r="P648" i="22"/>
  <c r="Q648" i="22"/>
  <c r="T648" i="22" s="1"/>
  <c r="R648" i="22"/>
  <c r="S648" i="22"/>
  <c r="U648" i="22"/>
  <c r="O649" i="22"/>
  <c r="P649" i="22"/>
  <c r="T649" i="22"/>
  <c r="U649" i="22"/>
  <c r="O650" i="22"/>
  <c r="P650" i="22"/>
  <c r="T650" i="22"/>
  <c r="U650" i="22"/>
  <c r="I652" i="22"/>
  <c r="K652" i="22" s="1"/>
  <c r="J652" i="22"/>
  <c r="I653" i="22"/>
  <c r="K653" i="22" s="1"/>
  <c r="J653" i="22"/>
  <c r="I654" i="22"/>
  <c r="K654" i="22" s="1"/>
  <c r="J654" i="22"/>
  <c r="I657" i="22"/>
  <c r="I660" i="22"/>
  <c r="I661" i="22"/>
  <c r="K661" i="22" s="1"/>
  <c r="J661" i="22"/>
  <c r="J671" i="22"/>
  <c r="J672" i="22"/>
  <c r="I673" i="22"/>
  <c r="K673" i="22" s="1"/>
  <c r="J673" i="22"/>
  <c r="I674" i="22"/>
  <c r="K674" i="22" s="1"/>
  <c r="I675" i="22"/>
  <c r="K675" i="22" s="1"/>
  <c r="I676" i="22"/>
  <c r="K676" i="22" s="1"/>
  <c r="J676" i="22"/>
  <c r="J677" i="22"/>
  <c r="I678" i="22"/>
  <c r="K678" i="22" s="1"/>
  <c r="J678" i="22"/>
  <c r="I679" i="22"/>
  <c r="K679" i="22" s="1"/>
  <c r="J679" i="22"/>
  <c r="J680" i="22"/>
  <c r="I681" i="22"/>
  <c r="K681" i="22" s="1"/>
  <c r="J681" i="22"/>
  <c r="I682" i="22"/>
  <c r="K682" i="22" s="1"/>
  <c r="J682" i="22"/>
  <c r="L691" i="22"/>
  <c r="M691" i="22"/>
  <c r="M690" i="22" s="1"/>
  <c r="P690" i="22" s="1"/>
  <c r="N691" i="22"/>
  <c r="O691" i="22"/>
  <c r="Q691" i="22"/>
  <c r="T691" i="22" s="1"/>
  <c r="R691" i="22"/>
  <c r="S691" i="22"/>
  <c r="U691" i="22"/>
  <c r="L692" i="22"/>
  <c r="O692" i="22" s="1"/>
  <c r="M692" i="22"/>
  <c r="N692" i="22"/>
  <c r="P692" i="22"/>
  <c r="L693" i="22"/>
  <c r="O693" i="22" s="1"/>
  <c r="M693" i="22"/>
  <c r="P693" i="22" s="1"/>
  <c r="N693" i="22"/>
  <c r="O694" i="22"/>
  <c r="P694" i="22"/>
  <c r="T694" i="22"/>
  <c r="U694" i="22"/>
  <c r="O695" i="22"/>
  <c r="P695" i="22"/>
  <c r="Q695" i="22"/>
  <c r="R695" i="22"/>
  <c r="R692" i="22" s="1"/>
  <c r="S695" i="22"/>
  <c r="S692" i="22" s="1"/>
  <c r="L696" i="22"/>
  <c r="O696" i="22" s="1"/>
  <c r="M696" i="22"/>
  <c r="P696" i="22" s="1"/>
  <c r="N696" i="22"/>
  <c r="Q696" i="22"/>
  <c r="T696" i="22" s="1"/>
  <c r="R696" i="22"/>
  <c r="S696" i="22"/>
  <c r="U696" i="22"/>
  <c r="O697" i="22"/>
  <c r="P697" i="22"/>
  <c r="T697" i="22"/>
  <c r="U697" i="22"/>
  <c r="O698" i="22"/>
  <c r="P698" i="22"/>
  <c r="T698" i="22"/>
  <c r="U698" i="22"/>
  <c r="I700" i="22"/>
  <c r="K700" i="22" s="1"/>
  <c r="K702" i="22"/>
  <c r="I703" i="22"/>
  <c r="J703" i="22"/>
  <c r="J704" i="22"/>
  <c r="K704" i="22"/>
  <c r="I705" i="22"/>
  <c r="J705" i="22"/>
  <c r="J706" i="22"/>
  <c r="K706" i="22"/>
  <c r="I707" i="22"/>
  <c r="I689" i="22" s="1"/>
  <c r="K689" i="22" s="1"/>
  <c r="J707" i="22"/>
  <c r="J689" i="22" s="1"/>
  <c r="J708" i="22"/>
  <c r="K708" i="22"/>
  <c r="I709" i="22"/>
  <c r="J709" i="22"/>
  <c r="J710" i="22"/>
  <c r="K710" i="22"/>
  <c r="J712" i="22"/>
  <c r="K712" i="22"/>
  <c r="L715" i="22"/>
  <c r="M715" i="22"/>
  <c r="N715" i="22"/>
  <c r="Q715" i="22"/>
  <c r="T715" i="22" s="1"/>
  <c r="R715" i="22"/>
  <c r="S715" i="22"/>
  <c r="S714" i="22" s="1"/>
  <c r="L716" i="22"/>
  <c r="O716" i="22" s="1"/>
  <c r="M716" i="22"/>
  <c r="N716" i="22"/>
  <c r="P716" i="22"/>
  <c r="Q716" i="22"/>
  <c r="R716" i="22"/>
  <c r="U716" i="22" s="1"/>
  <c r="S716" i="22"/>
  <c r="T716" i="22"/>
  <c r="L717" i="22"/>
  <c r="O717" i="22" s="1"/>
  <c r="M717" i="22"/>
  <c r="P717" i="22" s="1"/>
  <c r="N717" i="22"/>
  <c r="Q717" i="22"/>
  <c r="T717" i="22" s="1"/>
  <c r="R717" i="22"/>
  <c r="U717" i="22" s="1"/>
  <c r="S717" i="22"/>
  <c r="O718" i="22"/>
  <c r="P718" i="22"/>
  <c r="T718" i="22"/>
  <c r="U718" i="22"/>
  <c r="O719" i="22"/>
  <c r="P719" i="22"/>
  <c r="T719" i="22"/>
  <c r="U719" i="22"/>
  <c r="L720" i="22"/>
  <c r="O720" i="22" s="1"/>
  <c r="M720" i="22"/>
  <c r="P720" i="22" s="1"/>
  <c r="N720" i="22"/>
  <c r="Q720" i="22"/>
  <c r="T720" i="22" s="1"/>
  <c r="R720" i="22"/>
  <c r="U720" i="22" s="1"/>
  <c r="S720" i="22"/>
  <c r="O721" i="22"/>
  <c r="P721" i="22"/>
  <c r="T721" i="22"/>
  <c r="U721" i="22"/>
  <c r="O722" i="22"/>
  <c r="P722" i="22"/>
  <c r="T722" i="22"/>
  <c r="U722" i="22"/>
  <c r="I726" i="22"/>
  <c r="K726" i="22" s="1"/>
  <c r="J726" i="22"/>
  <c r="I727" i="22"/>
  <c r="J727" i="22"/>
  <c r="L729" i="22"/>
  <c r="M729" i="22"/>
  <c r="N729" i="22"/>
  <c r="Q729" i="22"/>
  <c r="T729" i="22" s="1"/>
  <c r="R729" i="22"/>
  <c r="S729" i="22"/>
  <c r="L730" i="22"/>
  <c r="O730" i="22" s="1"/>
  <c r="M730" i="22"/>
  <c r="N730" i="22"/>
  <c r="N728" i="22" s="1"/>
  <c r="P730" i="22"/>
  <c r="L731" i="22"/>
  <c r="O731" i="22" s="1"/>
  <c r="M731" i="22"/>
  <c r="N731" i="22"/>
  <c r="P731" i="22"/>
  <c r="O732" i="22"/>
  <c r="P732" i="22"/>
  <c r="T732" i="22"/>
  <c r="U732" i="22"/>
  <c r="O733" i="22"/>
  <c r="P733" i="22"/>
  <c r="Q733" i="22"/>
  <c r="R733" i="22"/>
  <c r="S733" i="22"/>
  <c r="S730" i="22" s="1"/>
  <c r="L734" i="22"/>
  <c r="M734" i="22"/>
  <c r="P734" i="22" s="1"/>
  <c r="N734" i="22"/>
  <c r="O734" i="22"/>
  <c r="Q734" i="22"/>
  <c r="R734" i="22"/>
  <c r="U734" i="22" s="1"/>
  <c r="S734" i="22"/>
  <c r="T734" i="22"/>
  <c r="O735" i="22"/>
  <c r="P735" i="22"/>
  <c r="T735" i="22"/>
  <c r="U735" i="22"/>
  <c r="O736" i="22"/>
  <c r="P736" i="22"/>
  <c r="T736" i="22"/>
  <c r="U736" i="22"/>
  <c r="I740" i="22"/>
  <c r="K740" i="22" s="1"/>
  <c r="I742" i="22"/>
  <c r="K742" i="22" s="1"/>
  <c r="I744" i="22"/>
  <c r="K744" i="22" s="1"/>
  <c r="I746" i="22"/>
  <c r="K746" i="22" s="1"/>
  <c r="I749" i="22"/>
  <c r="K749" i="22" s="1"/>
  <c r="I752" i="22"/>
  <c r="K752" i="22" s="1"/>
  <c r="I755" i="22"/>
  <c r="K755" i="22" s="1"/>
  <c r="J758" i="22"/>
  <c r="J759" i="22"/>
  <c r="L760" i="22"/>
  <c r="O760" i="22" s="1"/>
  <c r="L761" i="22"/>
  <c r="O761" i="22" s="1"/>
  <c r="M761" i="22"/>
  <c r="N761" i="22"/>
  <c r="N760" i="22" s="1"/>
  <c r="Q761" i="22"/>
  <c r="T761" i="22" s="1"/>
  <c r="R761" i="22"/>
  <c r="S761" i="22"/>
  <c r="U761" i="22"/>
  <c r="L762" i="22"/>
  <c r="M762" i="22"/>
  <c r="P762" i="22" s="1"/>
  <c r="N762" i="22"/>
  <c r="O762" i="22"/>
  <c r="L763" i="22"/>
  <c r="O763" i="22" s="1"/>
  <c r="M763" i="22"/>
  <c r="P763" i="22" s="1"/>
  <c r="N763" i="22"/>
  <c r="O764" i="22"/>
  <c r="P764" i="22"/>
  <c r="T764" i="22"/>
  <c r="U764" i="22"/>
  <c r="O765" i="22"/>
  <c r="P765" i="22"/>
  <c r="Q765" i="22"/>
  <c r="Q763" i="22" s="1"/>
  <c r="T763" i="22" s="1"/>
  <c r="R765" i="22"/>
  <c r="R763" i="22" s="1"/>
  <c r="U763" i="22" s="1"/>
  <c r="S765" i="22"/>
  <c r="L766" i="22"/>
  <c r="O766" i="22" s="1"/>
  <c r="M766" i="22"/>
  <c r="N766" i="22"/>
  <c r="P766" i="22"/>
  <c r="Q766" i="22"/>
  <c r="R766" i="22"/>
  <c r="U766" i="22" s="1"/>
  <c r="S766" i="22"/>
  <c r="T766" i="22"/>
  <c r="O767" i="22"/>
  <c r="P767" i="22"/>
  <c r="T767" i="22"/>
  <c r="U767" i="22"/>
  <c r="O768" i="22"/>
  <c r="P768" i="22"/>
  <c r="T768" i="22"/>
  <c r="U768" i="22"/>
  <c r="I770" i="22"/>
  <c r="K770" i="22" s="1"/>
  <c r="I772" i="22"/>
  <c r="K772" i="22" s="1"/>
  <c r="I774" i="22"/>
  <c r="I759" i="22" s="1"/>
  <c r="K759" i="22" s="1"/>
  <c r="I775" i="22"/>
  <c r="I776" i="22"/>
  <c r="H777" i="22"/>
  <c r="I778" i="22"/>
  <c r="J778" i="22"/>
  <c r="I779" i="22"/>
  <c r="J779" i="22"/>
  <c r="I780" i="22"/>
  <c r="J780" i="22"/>
  <c r="I781" i="22"/>
  <c r="J781" i="22"/>
  <c r="I782" i="22"/>
  <c r="K782" i="22" s="1"/>
  <c r="J782" i="22"/>
  <c r="I783" i="22"/>
  <c r="K783" i="22" s="1"/>
  <c r="J783" i="22"/>
  <c r="I784" i="22"/>
  <c r="J784" i="22"/>
  <c r="I785" i="22"/>
  <c r="J785" i="22"/>
  <c r="A788" i="22"/>
  <c r="A789" i="22"/>
  <c r="L22" i="21"/>
  <c r="L19" i="21" s="1"/>
  <c r="M22" i="21"/>
  <c r="N22" i="21"/>
  <c r="Q22" i="21"/>
  <c r="T22" i="21" s="1"/>
  <c r="R22" i="21"/>
  <c r="S22" i="21"/>
  <c r="L25" i="21"/>
  <c r="M25" i="21"/>
  <c r="N25" i="21"/>
  <c r="O25" i="21"/>
  <c r="Q25" i="21"/>
  <c r="T25" i="21" s="1"/>
  <c r="R25" i="21"/>
  <c r="U25" i="21" s="1"/>
  <c r="S25" i="21"/>
  <c r="L45" i="21"/>
  <c r="O45" i="21" s="1"/>
  <c r="M45" i="21"/>
  <c r="P45" i="21" s="1"/>
  <c r="N45" i="21"/>
  <c r="Q45" i="21"/>
  <c r="R45" i="21"/>
  <c r="U45" i="21" s="1"/>
  <c r="S45" i="21"/>
  <c r="T45" i="21"/>
  <c r="Q46" i="21"/>
  <c r="R46" i="21"/>
  <c r="U46" i="21" s="1"/>
  <c r="S46" i="21"/>
  <c r="T46" i="21"/>
  <c r="Q47" i="21"/>
  <c r="T47" i="21" s="1"/>
  <c r="R47" i="21"/>
  <c r="U47" i="21" s="1"/>
  <c r="S47" i="21"/>
  <c r="O48" i="21"/>
  <c r="P48" i="21"/>
  <c r="T48" i="21"/>
  <c r="U48" i="21"/>
  <c r="L49" i="21"/>
  <c r="L47" i="21" s="1"/>
  <c r="M49" i="21"/>
  <c r="N49" i="21"/>
  <c r="N47" i="21" s="1"/>
  <c r="T49" i="21"/>
  <c r="U49" i="21"/>
  <c r="Q50" i="21"/>
  <c r="T50" i="21" s="1"/>
  <c r="R50" i="21"/>
  <c r="U50" i="21" s="1"/>
  <c r="S50" i="21"/>
  <c r="O51" i="21"/>
  <c r="P51" i="21"/>
  <c r="T51" i="21"/>
  <c r="U51" i="21"/>
  <c r="L52" i="21"/>
  <c r="L50" i="21" s="1"/>
  <c r="O50" i="21" s="1"/>
  <c r="M52" i="21"/>
  <c r="N52" i="21"/>
  <c r="T52" i="21"/>
  <c r="U52" i="21"/>
  <c r="L60" i="21"/>
  <c r="O60" i="21" s="1"/>
  <c r="M60" i="21"/>
  <c r="N60" i="21"/>
  <c r="P60" i="21"/>
  <c r="Q60" i="21"/>
  <c r="R60" i="21"/>
  <c r="U60" i="21" s="1"/>
  <c r="S60" i="21"/>
  <c r="Q61" i="21"/>
  <c r="R61" i="21"/>
  <c r="U61" i="21" s="1"/>
  <c r="S61" i="21"/>
  <c r="S59" i="21" s="1"/>
  <c r="T61" i="21"/>
  <c r="Q62" i="21"/>
  <c r="R62" i="21"/>
  <c r="U62" i="21" s="1"/>
  <c r="S62" i="21"/>
  <c r="T62" i="21"/>
  <c r="O63" i="21"/>
  <c r="P63" i="21"/>
  <c r="T63" i="21"/>
  <c r="U63" i="21"/>
  <c r="L64" i="21"/>
  <c r="M64" i="21"/>
  <c r="N64" i="21"/>
  <c r="N62" i="21" s="1"/>
  <c r="T64" i="21"/>
  <c r="U64" i="21"/>
  <c r="Q65" i="21"/>
  <c r="T65" i="21" s="1"/>
  <c r="R65" i="21"/>
  <c r="U65" i="21" s="1"/>
  <c r="S65" i="21"/>
  <c r="O66" i="21"/>
  <c r="P66" i="21"/>
  <c r="T66" i="21"/>
  <c r="U66" i="21"/>
  <c r="L67" i="21"/>
  <c r="L65" i="21" s="1"/>
  <c r="M67" i="21"/>
  <c r="M65" i="21" s="1"/>
  <c r="N67" i="21"/>
  <c r="N65" i="21" s="1"/>
  <c r="T67" i="21"/>
  <c r="U67" i="21"/>
  <c r="L73" i="21"/>
  <c r="O73" i="21" s="1"/>
  <c r="M73" i="21"/>
  <c r="P73" i="21" s="1"/>
  <c r="N73" i="21"/>
  <c r="Q73" i="21"/>
  <c r="R73" i="21"/>
  <c r="U73" i="21" s="1"/>
  <c r="S73" i="21"/>
  <c r="T73" i="21"/>
  <c r="O76" i="21"/>
  <c r="P76" i="21"/>
  <c r="T76" i="21"/>
  <c r="U76" i="21"/>
  <c r="L77" i="21"/>
  <c r="M77" i="21"/>
  <c r="N77" i="21"/>
  <c r="N75" i="21" s="1"/>
  <c r="Q77" i="21"/>
  <c r="R77" i="21"/>
  <c r="S77" i="21"/>
  <c r="O79" i="21"/>
  <c r="P79" i="21"/>
  <c r="T79" i="21"/>
  <c r="U79" i="21"/>
  <c r="L80" i="21"/>
  <c r="L78" i="21" s="1"/>
  <c r="O78" i="21" s="1"/>
  <c r="M80" i="21"/>
  <c r="N80" i="21"/>
  <c r="N78" i="21" s="1"/>
  <c r="Q80" i="21"/>
  <c r="T80" i="21" s="1"/>
  <c r="R80" i="21"/>
  <c r="R78" i="21" s="1"/>
  <c r="U78" i="21" s="1"/>
  <c r="S80" i="21"/>
  <c r="J82" i="21"/>
  <c r="J70" i="21" s="1"/>
  <c r="J83" i="21"/>
  <c r="J71" i="21" s="1"/>
  <c r="I84" i="21"/>
  <c r="I85" i="21"/>
  <c r="K85" i="21" s="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O95" i="21" s="1"/>
  <c r="M95" i="21"/>
  <c r="P95" i="21" s="1"/>
  <c r="N95" i="21"/>
  <c r="Q95" i="21"/>
  <c r="T95" i="21" s="1"/>
  <c r="R95" i="21"/>
  <c r="U95" i="21" s="1"/>
  <c r="S95" i="21"/>
  <c r="O98" i="21"/>
  <c r="P98" i="21"/>
  <c r="T98" i="21"/>
  <c r="U98" i="21"/>
  <c r="L99" i="21"/>
  <c r="M99" i="21"/>
  <c r="N99" i="21"/>
  <c r="Q99" i="21"/>
  <c r="Q96" i="21" s="1"/>
  <c r="R99" i="21"/>
  <c r="S99" i="21"/>
  <c r="S96" i="21" s="1"/>
  <c r="S94" i="21" s="1"/>
  <c r="Q100" i="21"/>
  <c r="T100" i="21" s="1"/>
  <c r="R100" i="21"/>
  <c r="U100" i="21" s="1"/>
  <c r="S100" i="21"/>
  <c r="O101" i="21"/>
  <c r="P101" i="21"/>
  <c r="T101" i="21"/>
  <c r="U101" i="21"/>
  <c r="L102" i="21"/>
  <c r="O102" i="21" s="1"/>
  <c r="M102" i="21"/>
  <c r="M100" i="21" s="1"/>
  <c r="P100" i="21" s="1"/>
  <c r="N102" i="21"/>
  <c r="N100" i="21" s="1"/>
  <c r="T102" i="21"/>
  <c r="U102" i="21"/>
  <c r="I108" i="21"/>
  <c r="I92" i="21" s="1"/>
  <c r="I109" i="21"/>
  <c r="I93" i="21" s="1"/>
  <c r="K93" i="21" s="1"/>
  <c r="I113" i="21"/>
  <c r="K113" i="21" s="1"/>
  <c r="I114" i="21"/>
  <c r="K114" i="21" s="1"/>
  <c r="J116" i="21"/>
  <c r="L118" i="21"/>
  <c r="O118" i="21" s="1"/>
  <c r="M118" i="21"/>
  <c r="P118" i="21" s="1"/>
  <c r="N118" i="21"/>
  <c r="Q118" i="21"/>
  <c r="R118" i="21"/>
  <c r="U118" i="21" s="1"/>
  <c r="S118" i="21"/>
  <c r="T118" i="21"/>
  <c r="O121" i="21"/>
  <c r="P121" i="21"/>
  <c r="T121" i="21"/>
  <c r="U121" i="21"/>
  <c r="L122" i="21"/>
  <c r="L120" i="21" s="1"/>
  <c r="O120" i="21" s="1"/>
  <c r="M122" i="21"/>
  <c r="P122" i="21" s="1"/>
  <c r="N122" i="21"/>
  <c r="N120" i="21" s="1"/>
  <c r="Q122" i="21"/>
  <c r="Q120" i="21" s="1"/>
  <c r="R122" i="21"/>
  <c r="R120" i="21" s="1"/>
  <c r="S122" i="21"/>
  <c r="O124" i="21"/>
  <c r="P124" i="21"/>
  <c r="T124" i="21"/>
  <c r="U124" i="21"/>
  <c r="L125" i="21"/>
  <c r="O125" i="21" s="1"/>
  <c r="M125" i="21"/>
  <c r="M123" i="21" s="1"/>
  <c r="P123" i="21" s="1"/>
  <c r="N125" i="21"/>
  <c r="N123" i="21" s="1"/>
  <c r="Q125" i="21"/>
  <c r="Q123" i="21" s="1"/>
  <c r="T123" i="21" s="1"/>
  <c r="R125" i="21"/>
  <c r="S125" i="21"/>
  <c r="S123" i="21" s="1"/>
  <c r="I127" i="21"/>
  <c r="I116" i="21" s="1"/>
  <c r="K116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P140" i="21" s="1"/>
  <c r="N140" i="21"/>
  <c r="O140" i="21"/>
  <c r="Q140" i="21"/>
  <c r="T140" i="21" s="1"/>
  <c r="R140" i="21"/>
  <c r="U140" i="21" s="1"/>
  <c r="S140" i="21"/>
  <c r="O143" i="21"/>
  <c r="P143" i="21"/>
  <c r="T143" i="21"/>
  <c r="U143" i="21"/>
  <c r="L144" i="21"/>
  <c r="M144" i="21"/>
  <c r="N144" i="21"/>
  <c r="Q144" i="21"/>
  <c r="T144" i="21" s="1"/>
  <c r="R144" i="21"/>
  <c r="R142" i="21" s="1"/>
  <c r="U142" i="21" s="1"/>
  <c r="S144" i="21"/>
  <c r="S142" i="21" s="1"/>
  <c r="O146" i="21"/>
  <c r="P146" i="21"/>
  <c r="T146" i="21"/>
  <c r="U146" i="21"/>
  <c r="L147" i="21"/>
  <c r="O147" i="21" s="1"/>
  <c r="M147" i="21"/>
  <c r="N147" i="21"/>
  <c r="N145" i="21" s="1"/>
  <c r="Q147" i="21"/>
  <c r="R147" i="21"/>
  <c r="R145" i="21" s="1"/>
  <c r="U145" i="21" s="1"/>
  <c r="S147" i="21"/>
  <c r="S145" i="21" s="1"/>
  <c r="I150" i="21"/>
  <c r="K150" i="21" s="1"/>
  <c r="I151" i="21"/>
  <c r="K151" i="21" s="1"/>
  <c r="I152" i="21"/>
  <c r="I137" i="21" s="1"/>
  <c r="K137" i="21" s="1"/>
  <c r="I153" i="21"/>
  <c r="I138" i="21" s="1"/>
  <c r="K138" i="21" s="1"/>
  <c r="I154" i="21"/>
  <c r="K154" i="21" s="1"/>
  <c r="J156" i="21"/>
  <c r="L158" i="21"/>
  <c r="O158" i="21" s="1"/>
  <c r="M158" i="21"/>
  <c r="N158" i="21"/>
  <c r="Q158" i="21"/>
  <c r="R158" i="21"/>
  <c r="U158" i="21" s="1"/>
  <c r="S158" i="21"/>
  <c r="T158" i="21"/>
  <c r="O161" i="21"/>
  <c r="P161" i="21"/>
  <c r="T161" i="21"/>
  <c r="U161" i="21"/>
  <c r="L162" i="21"/>
  <c r="M162" i="21"/>
  <c r="N162" i="21"/>
  <c r="N160" i="21" s="1"/>
  <c r="Q162" i="21"/>
  <c r="Q159" i="21" s="1"/>
  <c r="Q157" i="21" s="1"/>
  <c r="T157" i="21" s="1"/>
  <c r="R162" i="21"/>
  <c r="R159" i="21" s="1"/>
  <c r="U159" i="21" s="1"/>
  <c r="S162" i="21"/>
  <c r="S159" i="21" s="1"/>
  <c r="Q163" i="21"/>
  <c r="T163" i="21" s="1"/>
  <c r="R163" i="21"/>
  <c r="U163" i="21" s="1"/>
  <c r="S163" i="21"/>
  <c r="O164" i="21"/>
  <c r="P164" i="21"/>
  <c r="T164" i="21"/>
  <c r="U164" i="21"/>
  <c r="L165" i="21"/>
  <c r="L163" i="21" s="1"/>
  <c r="O163" i="21" s="1"/>
  <c r="M165" i="21"/>
  <c r="M163" i="21" s="1"/>
  <c r="P163" i="21" s="1"/>
  <c r="N165" i="21"/>
  <c r="N163" i="21" s="1"/>
  <c r="T165" i="21"/>
  <c r="U165" i="21"/>
  <c r="I167" i="21"/>
  <c r="I156" i="21" s="1"/>
  <c r="K156" i="21" s="1"/>
  <c r="J172" i="21"/>
  <c r="L174" i="21"/>
  <c r="O174" i="21" s="1"/>
  <c r="M174" i="21"/>
  <c r="N174" i="21"/>
  <c r="Q174" i="21"/>
  <c r="T174" i="21" s="1"/>
  <c r="R174" i="21"/>
  <c r="U174" i="21" s="1"/>
  <c r="S174" i="21"/>
  <c r="O177" i="21"/>
  <c r="P177" i="21"/>
  <c r="T177" i="21"/>
  <c r="U177" i="21"/>
  <c r="L178" i="21"/>
  <c r="M178" i="21"/>
  <c r="N178" i="21"/>
  <c r="N176" i="21" s="1"/>
  <c r="Q178" i="21"/>
  <c r="R178" i="21"/>
  <c r="R175" i="21" s="1"/>
  <c r="S178" i="21"/>
  <c r="S175" i="21" s="1"/>
  <c r="Q179" i="21"/>
  <c r="R179" i="21"/>
  <c r="U179" i="21" s="1"/>
  <c r="S179" i="21"/>
  <c r="T179" i="21"/>
  <c r="O180" i="21"/>
  <c r="P180" i="21"/>
  <c r="T180" i="21"/>
  <c r="U180" i="21"/>
  <c r="L181" i="21"/>
  <c r="M181" i="21"/>
  <c r="M179" i="21" s="1"/>
  <c r="P179" i="21" s="1"/>
  <c r="N181" i="21"/>
  <c r="N179" i="21" s="1"/>
  <c r="T181" i="21"/>
  <c r="U181" i="21"/>
  <c r="I183" i="21"/>
  <c r="K184" i="21"/>
  <c r="L187" i="21"/>
  <c r="O187" i="21" s="1"/>
  <c r="M187" i="21"/>
  <c r="P187" i="21" s="1"/>
  <c r="N187" i="21"/>
  <c r="Q187" i="21"/>
  <c r="T187" i="21" s="1"/>
  <c r="R187" i="21"/>
  <c r="U187" i="21" s="1"/>
  <c r="S187" i="21"/>
  <c r="O190" i="21"/>
  <c r="P190" i="21"/>
  <c r="T190" i="21"/>
  <c r="U190" i="21"/>
  <c r="L191" i="21"/>
  <c r="M191" i="21"/>
  <c r="N191" i="21"/>
  <c r="N189" i="21" s="1"/>
  <c r="Q191" i="21"/>
  <c r="R191" i="21"/>
  <c r="R189" i="21" s="1"/>
  <c r="S191" i="21"/>
  <c r="O193" i="21"/>
  <c r="P193" i="21"/>
  <c r="T193" i="21"/>
  <c r="U193" i="21"/>
  <c r="L194" i="21"/>
  <c r="O194" i="21" s="1"/>
  <c r="M194" i="21"/>
  <c r="M192" i="21" s="1"/>
  <c r="P192" i="21" s="1"/>
  <c r="N194" i="21"/>
  <c r="N192" i="21" s="1"/>
  <c r="Q194" i="21"/>
  <c r="R194" i="21"/>
  <c r="U194" i="21" s="1"/>
  <c r="S194" i="21"/>
  <c r="S192" i="21" s="1"/>
  <c r="J195" i="21"/>
  <c r="L196" i="21"/>
  <c r="O196" i="21" s="1"/>
  <c r="P196" i="21"/>
  <c r="I198" i="21"/>
  <c r="J199" i="21"/>
  <c r="J202" i="21"/>
  <c r="N203" i="21"/>
  <c r="P203" i="21"/>
  <c r="S203" i="21"/>
  <c r="U203" i="21"/>
  <c r="L204" i="21"/>
  <c r="L205" i="21"/>
  <c r="L206" i="21"/>
  <c r="Q206" i="21"/>
  <c r="Q203" i="21" s="1"/>
  <c r="L207" i="21"/>
  <c r="I209" i="21"/>
  <c r="I202" i="21" s="1"/>
  <c r="K202" i="21" s="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J221" i="21"/>
  <c r="N222" i="21"/>
  <c r="P222" i="21"/>
  <c r="L223" i="21"/>
  <c r="L224" i="21"/>
  <c r="L225" i="21"/>
  <c r="I228" i="21"/>
  <c r="K228" i="21" s="1"/>
  <c r="I229" i="21"/>
  <c r="I230" i="21"/>
  <c r="K230" i="21" s="1"/>
  <c r="N233" i="21"/>
  <c r="N234" i="21"/>
  <c r="N235" i="21"/>
  <c r="N236" i="21"/>
  <c r="J238" i="21"/>
  <c r="I240" i="21"/>
  <c r="K240" i="21" s="1"/>
  <c r="J240" i="21"/>
  <c r="I241" i="21"/>
  <c r="K241" i="21" s="1"/>
  <c r="J241" i="21"/>
  <c r="J242" i="21"/>
  <c r="N243" i="21"/>
  <c r="P243" i="21"/>
  <c r="L244" i="21"/>
  <c r="L245" i="21"/>
  <c r="L246" i="21"/>
  <c r="L247" i="21"/>
  <c r="I249" i="21"/>
  <c r="K251" i="21"/>
  <c r="K252" i="21"/>
  <c r="J253" i="21"/>
  <c r="J231" i="21" s="1"/>
  <c r="J185" i="21" s="1"/>
  <c r="N254" i="21"/>
  <c r="P254" i="21"/>
  <c r="L255" i="21"/>
  <c r="L256" i="21"/>
  <c r="L257" i="21"/>
  <c r="L258" i="21"/>
  <c r="I260" i="21"/>
  <c r="K262" i="21"/>
  <c r="K263" i="21"/>
  <c r="J265" i="21"/>
  <c r="L267" i="21"/>
  <c r="M267" i="21"/>
  <c r="P267" i="21" s="1"/>
  <c r="N267" i="21"/>
  <c r="Q267" i="21"/>
  <c r="R267" i="21"/>
  <c r="S267" i="21"/>
  <c r="T267" i="21"/>
  <c r="O270" i="21"/>
  <c r="P270" i="21"/>
  <c r="T270" i="21"/>
  <c r="U270" i="21"/>
  <c r="L271" i="21"/>
  <c r="L269" i="21" s="1"/>
  <c r="M271" i="21"/>
  <c r="N271" i="21"/>
  <c r="N269" i="21" s="1"/>
  <c r="Q271" i="21"/>
  <c r="Q268" i="21" s="1"/>
  <c r="Q266" i="21" s="1"/>
  <c r="R271" i="21"/>
  <c r="S271" i="21"/>
  <c r="S268" i="21" s="1"/>
  <c r="Q272" i="21"/>
  <c r="T272" i="21" s="1"/>
  <c r="R272" i="21"/>
  <c r="U272" i="21" s="1"/>
  <c r="S272" i="21"/>
  <c r="O273" i="21"/>
  <c r="P273" i="21"/>
  <c r="T273" i="21"/>
  <c r="U273" i="21"/>
  <c r="L274" i="21"/>
  <c r="O274" i="21" s="1"/>
  <c r="M274" i="21"/>
  <c r="P274" i="21" s="1"/>
  <c r="N274" i="21"/>
  <c r="N272" i="21" s="1"/>
  <c r="T274" i="21"/>
  <c r="U274" i="21"/>
  <c r="I276" i="21"/>
  <c r="J280" i="21"/>
  <c r="J281" i="21"/>
  <c r="R282" i="21"/>
  <c r="U282" i="21" s="1"/>
  <c r="L283" i="21"/>
  <c r="M283" i="21"/>
  <c r="N283" i="21"/>
  <c r="O283" i="21"/>
  <c r="P283" i="21"/>
  <c r="Q283" i="21"/>
  <c r="R283" i="21"/>
  <c r="S283" i="21"/>
  <c r="T283" i="21"/>
  <c r="U283" i="21"/>
  <c r="Q284" i="21"/>
  <c r="T284" i="21" s="1"/>
  <c r="R284" i="21"/>
  <c r="S284" i="21"/>
  <c r="S282" i="21" s="1"/>
  <c r="U284" i="21"/>
  <c r="Q285" i="21"/>
  <c r="T285" i="21" s="1"/>
  <c r="R285" i="21"/>
  <c r="S285" i="21"/>
  <c r="U285" i="21"/>
  <c r="O286" i="21"/>
  <c r="P286" i="21"/>
  <c r="T286" i="21"/>
  <c r="U286" i="21"/>
  <c r="L287" i="21"/>
  <c r="L285" i="21" s="1"/>
  <c r="O285" i="21" s="1"/>
  <c r="M287" i="21"/>
  <c r="N287" i="21"/>
  <c r="N285" i="21" s="1"/>
  <c r="T287" i="21"/>
  <c r="U287" i="21"/>
  <c r="Q288" i="21"/>
  <c r="T288" i="21" s="1"/>
  <c r="R288" i="21"/>
  <c r="U288" i="21" s="1"/>
  <c r="S288" i="21"/>
  <c r="O289" i="21"/>
  <c r="P289" i="21"/>
  <c r="T289" i="21"/>
  <c r="U289" i="21"/>
  <c r="L290" i="21"/>
  <c r="M290" i="21"/>
  <c r="M288" i="21" s="1"/>
  <c r="P288" i="21" s="1"/>
  <c r="N290" i="21"/>
  <c r="N288" i="21" s="1"/>
  <c r="T290" i="21"/>
  <c r="U290" i="21"/>
  <c r="I292" i="21"/>
  <c r="K292" i="21" s="1"/>
  <c r="I293" i="21"/>
  <c r="K293" i="21" s="1"/>
  <c r="J293" i="21"/>
  <c r="I295" i="21"/>
  <c r="K295" i="21" s="1"/>
  <c r="I296" i="21"/>
  <c r="K296" i="21" s="1"/>
  <c r="J302" i="21"/>
  <c r="L304" i="21"/>
  <c r="M304" i="21"/>
  <c r="N304" i="21"/>
  <c r="O304" i="21"/>
  <c r="P304" i="21"/>
  <c r="Q304" i="21"/>
  <c r="T304" i="21" s="1"/>
  <c r="R304" i="21"/>
  <c r="S304" i="21"/>
  <c r="U304" i="21"/>
  <c r="O307" i="21"/>
  <c r="P307" i="21"/>
  <c r="T307" i="21"/>
  <c r="U307" i="21"/>
  <c r="L308" i="21"/>
  <c r="M308" i="21"/>
  <c r="N308" i="21"/>
  <c r="N306" i="21" s="1"/>
  <c r="Q308" i="21"/>
  <c r="Q306" i="21" s="1"/>
  <c r="R308" i="21"/>
  <c r="R305" i="21" s="1"/>
  <c r="R303" i="21" s="1"/>
  <c r="S308" i="21"/>
  <c r="Q309" i="21"/>
  <c r="T309" i="21" s="1"/>
  <c r="R309" i="21"/>
  <c r="S309" i="21"/>
  <c r="U309" i="21"/>
  <c r="O310" i="21"/>
  <c r="P310" i="21"/>
  <c r="T310" i="21"/>
  <c r="U310" i="21"/>
  <c r="L311" i="21"/>
  <c r="L309" i="21" s="1"/>
  <c r="O309" i="21" s="1"/>
  <c r="M311" i="21"/>
  <c r="P311" i="21" s="1"/>
  <c r="N311" i="21"/>
  <c r="N309" i="21" s="1"/>
  <c r="T311" i="21"/>
  <c r="U311" i="21"/>
  <c r="I314" i="21"/>
  <c r="K314" i="21" s="1"/>
  <c r="J319" i="21"/>
  <c r="Q320" i="21"/>
  <c r="T320" i="21" s="1"/>
  <c r="L321" i="21"/>
  <c r="O321" i="21" s="1"/>
  <c r="M321" i="21"/>
  <c r="P321" i="21" s="1"/>
  <c r="N321" i="21"/>
  <c r="Q321" i="21"/>
  <c r="T321" i="21" s="1"/>
  <c r="R321" i="21"/>
  <c r="R320" i="21" s="1"/>
  <c r="U320" i="21" s="1"/>
  <c r="S321" i="21"/>
  <c r="S320" i="21" s="1"/>
  <c r="Q322" i="21"/>
  <c r="R322" i="21"/>
  <c r="S322" i="21"/>
  <c r="T322" i="21"/>
  <c r="U322" i="21"/>
  <c r="Q323" i="21"/>
  <c r="T323" i="21" s="1"/>
  <c r="R323" i="21"/>
  <c r="U323" i="21" s="1"/>
  <c r="S323" i="21"/>
  <c r="O324" i="21"/>
  <c r="P324" i="21"/>
  <c r="T324" i="21"/>
  <c r="U324" i="21"/>
  <c r="L325" i="21"/>
  <c r="M325" i="21"/>
  <c r="M323" i="21" s="1"/>
  <c r="P323" i="21" s="1"/>
  <c r="N325" i="21"/>
  <c r="T325" i="21"/>
  <c r="U325" i="21"/>
  <c r="Q326" i="21"/>
  <c r="T326" i="21" s="1"/>
  <c r="R326" i="21"/>
  <c r="U326" i="21" s="1"/>
  <c r="S326" i="21"/>
  <c r="O327" i="21"/>
  <c r="P327" i="21"/>
  <c r="T327" i="21"/>
  <c r="U327" i="21"/>
  <c r="L328" i="21"/>
  <c r="O328" i="21" s="1"/>
  <c r="M328" i="21"/>
  <c r="M326" i="21" s="1"/>
  <c r="P326" i="21" s="1"/>
  <c r="N328" i="21"/>
  <c r="N326" i="21" s="1"/>
  <c r="T328" i="21"/>
  <c r="U328" i="21"/>
  <c r="I330" i="21"/>
  <c r="I319" i="21" s="1"/>
  <c r="K319" i="21" s="1"/>
  <c r="L334" i="21"/>
  <c r="O334" i="21" s="1"/>
  <c r="M334" i="21"/>
  <c r="N334" i="21"/>
  <c r="Q334" i="21"/>
  <c r="R334" i="21"/>
  <c r="S334" i="21"/>
  <c r="S333" i="21" s="1"/>
  <c r="T334" i="21"/>
  <c r="U334" i="21"/>
  <c r="Q335" i="21"/>
  <c r="Q333" i="21" s="1"/>
  <c r="T333" i="21" s="1"/>
  <c r="R335" i="21"/>
  <c r="U335" i="21" s="1"/>
  <c r="S335" i="21"/>
  <c r="T335" i="21"/>
  <c r="Q336" i="21"/>
  <c r="T336" i="21" s="1"/>
  <c r="R336" i="21"/>
  <c r="U336" i="21" s="1"/>
  <c r="S336" i="21"/>
  <c r="O337" i="21"/>
  <c r="P337" i="21"/>
  <c r="T337" i="21"/>
  <c r="U337" i="21"/>
  <c r="L338" i="21"/>
  <c r="L336" i="21" s="1"/>
  <c r="M338" i="21"/>
  <c r="N338" i="21"/>
  <c r="N336" i="21" s="1"/>
  <c r="T338" i="21"/>
  <c r="U338" i="21"/>
  <c r="Q339" i="21"/>
  <c r="R339" i="21"/>
  <c r="U339" i="21" s="1"/>
  <c r="S339" i="21"/>
  <c r="T339" i="21"/>
  <c r="O340" i="21"/>
  <c r="P340" i="21"/>
  <c r="T340" i="21"/>
  <c r="U340" i="21"/>
  <c r="L341" i="21"/>
  <c r="L339" i="21" s="1"/>
  <c r="O339" i="21" s="1"/>
  <c r="M341" i="21"/>
  <c r="P341" i="21" s="1"/>
  <c r="N341" i="21"/>
  <c r="N339" i="21" s="1"/>
  <c r="T341" i="21"/>
  <c r="U341" i="21"/>
  <c r="I344" i="21"/>
  <c r="J344" i="21"/>
  <c r="I346" i="21"/>
  <c r="J346" i="21"/>
  <c r="J347" i="21"/>
  <c r="J348" i="21"/>
  <c r="J349" i="21"/>
  <c r="D350" i="21"/>
  <c r="J352" i="21"/>
  <c r="J353" i="21"/>
  <c r="J354" i="21"/>
  <c r="L357" i="21"/>
  <c r="O357" i="21" s="1"/>
  <c r="M357" i="21"/>
  <c r="P357" i="21" s="1"/>
  <c r="N357" i="21"/>
  <c r="Q357" i="21"/>
  <c r="R357" i="21"/>
  <c r="R356" i="21" s="1"/>
  <c r="U356" i="21" s="1"/>
  <c r="S357" i="21"/>
  <c r="S356" i="21" s="1"/>
  <c r="Q358" i="21"/>
  <c r="T358" i="21" s="1"/>
  <c r="R358" i="21"/>
  <c r="S358" i="21"/>
  <c r="U358" i="21"/>
  <c r="Q359" i="21"/>
  <c r="T359" i="21" s="1"/>
  <c r="R359" i="21"/>
  <c r="U359" i="21" s="1"/>
  <c r="S359" i="21"/>
  <c r="O360" i="21"/>
  <c r="P360" i="21"/>
  <c r="T360" i="21"/>
  <c r="U360" i="21"/>
  <c r="L361" i="21"/>
  <c r="M361" i="21"/>
  <c r="M359" i="21" s="1"/>
  <c r="N361" i="21"/>
  <c r="N359" i="21" s="1"/>
  <c r="T361" i="21"/>
  <c r="U361" i="21"/>
  <c r="Q362" i="21"/>
  <c r="T362" i="21" s="1"/>
  <c r="R362" i="21"/>
  <c r="U362" i="21" s="1"/>
  <c r="S362" i="21"/>
  <c r="O363" i="21"/>
  <c r="P363" i="21"/>
  <c r="T363" i="21"/>
  <c r="U363" i="21"/>
  <c r="L364" i="21"/>
  <c r="O364" i="21" s="1"/>
  <c r="M364" i="21"/>
  <c r="M362" i="21" s="1"/>
  <c r="P362" i="21" s="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J374" i="21"/>
  <c r="L376" i="21"/>
  <c r="O376" i="21" s="1"/>
  <c r="M376" i="21"/>
  <c r="N376" i="21"/>
  <c r="Q376" i="21"/>
  <c r="R376" i="21"/>
  <c r="S376" i="21"/>
  <c r="U376" i="21"/>
  <c r="O379" i="21"/>
  <c r="P379" i="21"/>
  <c r="T379" i="21"/>
  <c r="U379" i="21"/>
  <c r="L380" i="21"/>
  <c r="O380" i="21" s="1"/>
  <c r="M380" i="21"/>
  <c r="N380" i="21"/>
  <c r="Q380" i="21"/>
  <c r="T380" i="21" s="1"/>
  <c r="R380" i="21"/>
  <c r="R377" i="21" s="1"/>
  <c r="S380" i="21"/>
  <c r="S378" i="21" s="1"/>
  <c r="Q381" i="21"/>
  <c r="T381" i="21" s="1"/>
  <c r="R381" i="21"/>
  <c r="U381" i="21" s="1"/>
  <c r="S381" i="21"/>
  <c r="O382" i="21"/>
  <c r="P382" i="21"/>
  <c r="T382" i="21"/>
  <c r="U382" i="21"/>
  <c r="L383" i="21"/>
  <c r="M383" i="21"/>
  <c r="N383" i="21"/>
  <c r="N381" i="21" s="1"/>
  <c r="T383" i="21"/>
  <c r="U383" i="21"/>
  <c r="I385" i="21"/>
  <c r="K385" i="21" s="1"/>
  <c r="I386" i="21"/>
  <c r="K386" i="21" s="1"/>
  <c r="K387" i="21"/>
  <c r="K388" i="21"/>
  <c r="I391" i="21"/>
  <c r="K391" i="21" s="1"/>
  <c r="J391" i="21"/>
  <c r="L393" i="21"/>
  <c r="O393" i="21" s="1"/>
  <c r="M393" i="21"/>
  <c r="N393" i="21"/>
  <c r="N392" i="21" s="1"/>
  <c r="Q393" i="21"/>
  <c r="R393" i="21"/>
  <c r="S393" i="21"/>
  <c r="U393" i="21"/>
  <c r="L394" i="21"/>
  <c r="O394" i="21" s="1"/>
  <c r="M394" i="21"/>
  <c r="P394" i="21" s="1"/>
  <c r="N394" i="21"/>
  <c r="L395" i="21"/>
  <c r="O395" i="21" s="1"/>
  <c r="M395" i="21"/>
  <c r="P395" i="21" s="1"/>
  <c r="N395" i="21"/>
  <c r="O396" i="21"/>
  <c r="P396" i="21"/>
  <c r="T396" i="21"/>
  <c r="U396" i="21"/>
  <c r="O397" i="21"/>
  <c r="P397" i="21"/>
  <c r="Q397" i="21"/>
  <c r="T397" i="21" s="1"/>
  <c r="R397" i="21"/>
  <c r="S397" i="21"/>
  <c r="L398" i="21"/>
  <c r="O398" i="21" s="1"/>
  <c r="M398" i="21"/>
  <c r="P398" i="21" s="1"/>
  <c r="N398" i="21"/>
  <c r="Q398" i="21"/>
  <c r="R398" i="21"/>
  <c r="U398" i="21" s="1"/>
  <c r="S398" i="21"/>
  <c r="T398" i="21"/>
  <c r="O399" i="21"/>
  <c r="P399" i="21"/>
  <c r="T399" i="21"/>
  <c r="U399" i="21"/>
  <c r="O400" i="21"/>
  <c r="P400" i="21"/>
  <c r="T400" i="21"/>
  <c r="U400" i="21"/>
  <c r="L414" i="21"/>
  <c r="M414" i="21"/>
  <c r="P414" i="21" s="1"/>
  <c r="N414" i="21"/>
  <c r="O414" i="21"/>
  <c r="Q414" i="21"/>
  <c r="T414" i="21" s="1"/>
  <c r="R414" i="21"/>
  <c r="U414" i="21" s="1"/>
  <c r="S414" i="21"/>
  <c r="O417" i="21"/>
  <c r="P417" i="21"/>
  <c r="T417" i="21"/>
  <c r="U417" i="21"/>
  <c r="L418" i="21"/>
  <c r="M418" i="21"/>
  <c r="N418" i="21"/>
  <c r="Q418" i="21"/>
  <c r="R418" i="21"/>
  <c r="S418" i="21"/>
  <c r="S416" i="21" s="1"/>
  <c r="Q419" i="21"/>
  <c r="T419" i="21" s="1"/>
  <c r="R419" i="21"/>
  <c r="U419" i="21" s="1"/>
  <c r="S419" i="21"/>
  <c r="O420" i="21"/>
  <c r="P420" i="21"/>
  <c r="T420" i="21"/>
  <c r="U420" i="21"/>
  <c r="L421" i="21"/>
  <c r="M421" i="21"/>
  <c r="P421" i="21" s="1"/>
  <c r="N421" i="21"/>
  <c r="N419" i="21" s="1"/>
  <c r="T421" i="21"/>
  <c r="U421" i="21"/>
  <c r="I424" i="21"/>
  <c r="K424" i="21" s="1"/>
  <c r="J424" i="21"/>
  <c r="I425" i="21"/>
  <c r="K425" i="21" s="1"/>
  <c r="J425" i="21"/>
  <c r="I432" i="21"/>
  <c r="K432" i="21" s="1"/>
  <c r="J432" i="21"/>
  <c r="I433" i="21"/>
  <c r="K433" i="21" s="1"/>
  <c r="J433" i="21"/>
  <c r="I440" i="21"/>
  <c r="J440" i="21"/>
  <c r="J423" i="21" s="1"/>
  <c r="J412" i="21" s="1"/>
  <c r="I441" i="21"/>
  <c r="K441" i="21" s="1"/>
  <c r="J446" i="21"/>
  <c r="J447" i="21"/>
  <c r="J441" i="21" s="1"/>
  <c r="I457" i="21"/>
  <c r="I456" i="21" s="1"/>
  <c r="I458" i="21"/>
  <c r="K458" i="21" s="1"/>
  <c r="J459" i="21"/>
  <c r="J460" i="21"/>
  <c r="J467" i="21"/>
  <c r="J468" i="21"/>
  <c r="J458" i="21" s="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K485" i="21" s="1"/>
  <c r="J485" i="21"/>
  <c r="L494" i="21"/>
  <c r="M494" i="21"/>
  <c r="P494" i="21" s="1"/>
  <c r="N494" i="21"/>
  <c r="O494" i="21"/>
  <c r="Q494" i="21"/>
  <c r="T494" i="21" s="1"/>
  <c r="R494" i="21"/>
  <c r="S494" i="21"/>
  <c r="O497" i="21"/>
  <c r="P497" i="21"/>
  <c r="T497" i="21"/>
  <c r="U497" i="21"/>
  <c r="L498" i="21"/>
  <c r="M498" i="21"/>
  <c r="P498" i="21" s="1"/>
  <c r="N498" i="21"/>
  <c r="N496" i="21" s="1"/>
  <c r="Q498" i="21"/>
  <c r="Q495" i="21" s="1"/>
  <c r="T495" i="21" s="1"/>
  <c r="R498" i="21"/>
  <c r="R495" i="21" s="1"/>
  <c r="U495" i="21" s="1"/>
  <c r="S498" i="21"/>
  <c r="S495" i="21" s="1"/>
  <c r="S493" i="21" s="1"/>
  <c r="Q499" i="21"/>
  <c r="T499" i="21" s="1"/>
  <c r="R499" i="21"/>
  <c r="S499" i="21"/>
  <c r="U499" i="21"/>
  <c r="O500" i="21"/>
  <c r="P500" i="21"/>
  <c r="T500" i="21"/>
  <c r="U500" i="21"/>
  <c r="L501" i="21"/>
  <c r="L499" i="21" s="1"/>
  <c r="O499" i="21" s="1"/>
  <c r="M501" i="21"/>
  <c r="P501" i="21" s="1"/>
  <c r="N501" i="21"/>
  <c r="T501" i="21"/>
  <c r="U501" i="21"/>
  <c r="I503" i="21"/>
  <c r="K503" i="21" s="1"/>
  <c r="I504" i="21"/>
  <c r="K504" i="21" s="1"/>
  <c r="I505" i="21"/>
  <c r="K505" i="21" s="1"/>
  <c r="I506" i="21"/>
  <c r="K506" i="21" s="1"/>
  <c r="I507" i="21"/>
  <c r="K507" i="21" s="1"/>
  <c r="K508" i="21"/>
  <c r="I509" i="21"/>
  <c r="K509" i="21" s="1"/>
  <c r="I512" i="21"/>
  <c r="K512" i="21" s="1"/>
  <c r="J512" i="21"/>
  <c r="L514" i="21"/>
  <c r="O514" i="21" s="1"/>
  <c r="M514" i="21"/>
  <c r="P514" i="21" s="1"/>
  <c r="N514" i="21"/>
  <c r="Q514" i="21"/>
  <c r="T514" i="21" s="1"/>
  <c r="R514" i="21"/>
  <c r="S514" i="21"/>
  <c r="S513" i="21" s="1"/>
  <c r="U514" i="21"/>
  <c r="Q515" i="21"/>
  <c r="R515" i="21"/>
  <c r="R513" i="21" s="1"/>
  <c r="U513" i="21" s="1"/>
  <c r="S515" i="21"/>
  <c r="Q516" i="21"/>
  <c r="T516" i="21" s="1"/>
  <c r="R516" i="21"/>
  <c r="U516" i="21" s="1"/>
  <c r="S516" i="21"/>
  <c r="O517" i="21"/>
  <c r="P517" i="21"/>
  <c r="T517" i="21"/>
  <c r="U517" i="21"/>
  <c r="L518" i="21"/>
  <c r="L516" i="21" s="1"/>
  <c r="O516" i="21" s="1"/>
  <c r="M518" i="21"/>
  <c r="M516" i="21" s="1"/>
  <c r="P516" i="21" s="1"/>
  <c r="N518" i="21"/>
  <c r="N516" i="21" s="1"/>
  <c r="T518" i="21"/>
  <c r="U518" i="21"/>
  <c r="Q519" i="21"/>
  <c r="R519" i="21"/>
  <c r="U519" i="21" s="1"/>
  <c r="S519" i="21"/>
  <c r="T519" i="21"/>
  <c r="O520" i="21"/>
  <c r="P520" i="21"/>
  <c r="T520" i="21"/>
  <c r="U520" i="21"/>
  <c r="L521" i="21"/>
  <c r="M521" i="21"/>
  <c r="M519" i="21" s="1"/>
  <c r="P519" i="21" s="1"/>
  <c r="N521" i="21"/>
  <c r="N519" i="21" s="1"/>
  <c r="T521" i="21"/>
  <c r="U521" i="21"/>
  <c r="K523" i="21"/>
  <c r="K524" i="21"/>
  <c r="I533" i="21"/>
  <c r="K533" i="21" s="1"/>
  <c r="J533" i="21"/>
  <c r="L535" i="21"/>
  <c r="M535" i="21"/>
  <c r="P535" i="21" s="1"/>
  <c r="N535" i="21"/>
  <c r="Q535" i="21"/>
  <c r="R535" i="21"/>
  <c r="R534" i="21" s="1"/>
  <c r="U534" i="21" s="1"/>
  <c r="S535" i="21"/>
  <c r="Q536" i="21"/>
  <c r="R536" i="21"/>
  <c r="U536" i="21" s="1"/>
  <c r="S536" i="21"/>
  <c r="T536" i="21"/>
  <c r="Q537" i="21"/>
  <c r="R537" i="21"/>
  <c r="U537" i="21" s="1"/>
  <c r="S537" i="21"/>
  <c r="T537" i="21"/>
  <c r="O538" i="21"/>
  <c r="P538" i="21"/>
  <c r="T538" i="21"/>
  <c r="U538" i="21"/>
  <c r="L539" i="21"/>
  <c r="M539" i="21"/>
  <c r="N539" i="21"/>
  <c r="T539" i="21"/>
  <c r="U539" i="21"/>
  <c r="Q540" i="21"/>
  <c r="T540" i="21" s="1"/>
  <c r="R540" i="21"/>
  <c r="U540" i="21" s="1"/>
  <c r="S540" i="21"/>
  <c r="O541" i="21"/>
  <c r="P541" i="21"/>
  <c r="T541" i="21"/>
  <c r="U541" i="21"/>
  <c r="L542" i="21"/>
  <c r="O542" i="21" s="1"/>
  <c r="M542" i="21"/>
  <c r="N542" i="21"/>
  <c r="N540" i="21" s="1"/>
  <c r="T542" i="21"/>
  <c r="U542" i="21"/>
  <c r="I554" i="21"/>
  <c r="J554" i="21"/>
  <c r="K554" i="21"/>
  <c r="L556" i="21"/>
  <c r="M556" i="21"/>
  <c r="P556" i="21" s="1"/>
  <c r="N556" i="21"/>
  <c r="O556" i="21"/>
  <c r="Q556" i="21"/>
  <c r="T556" i="21" s="1"/>
  <c r="R556" i="21"/>
  <c r="S556" i="21"/>
  <c r="Q557" i="21"/>
  <c r="T557" i="21" s="1"/>
  <c r="R557" i="21"/>
  <c r="U557" i="21" s="1"/>
  <c r="S557" i="21"/>
  <c r="S555" i="21" s="1"/>
  <c r="Q558" i="21"/>
  <c r="T558" i="21" s="1"/>
  <c r="R558" i="21"/>
  <c r="U558" i="21" s="1"/>
  <c r="S558" i="21"/>
  <c r="O559" i="21"/>
  <c r="P559" i="21"/>
  <c r="T559" i="21"/>
  <c r="U559" i="21"/>
  <c r="L560" i="21"/>
  <c r="L558" i="21" s="1"/>
  <c r="O558" i="21" s="1"/>
  <c r="M560" i="21"/>
  <c r="M558" i="21" s="1"/>
  <c r="P558" i="21" s="1"/>
  <c r="N560" i="21"/>
  <c r="T560" i="21"/>
  <c r="U560" i="21"/>
  <c r="Q561" i="21"/>
  <c r="R561" i="21"/>
  <c r="U561" i="21" s="1"/>
  <c r="S561" i="21"/>
  <c r="T561" i="21"/>
  <c r="O562" i="21"/>
  <c r="P562" i="21"/>
  <c r="T562" i="21"/>
  <c r="U562" i="21"/>
  <c r="L563" i="21"/>
  <c r="O563" i="21" s="1"/>
  <c r="M563" i="21"/>
  <c r="N563" i="21"/>
  <c r="N561" i="21" s="1"/>
  <c r="T563" i="21"/>
  <c r="U563" i="21"/>
  <c r="I575" i="21"/>
  <c r="K575" i="21" s="1"/>
  <c r="J575" i="21"/>
  <c r="L577" i="21"/>
  <c r="M577" i="21"/>
  <c r="N577" i="21"/>
  <c r="P577" i="21"/>
  <c r="Q577" i="21"/>
  <c r="T577" i="21" s="1"/>
  <c r="R577" i="21"/>
  <c r="S577" i="21"/>
  <c r="Q578" i="21"/>
  <c r="T578" i="21" s="1"/>
  <c r="R578" i="21"/>
  <c r="U578" i="21" s="1"/>
  <c r="S578" i="21"/>
  <c r="S576" i="21" s="1"/>
  <c r="Q579" i="21"/>
  <c r="T579" i="21" s="1"/>
  <c r="R579" i="21"/>
  <c r="U579" i="21" s="1"/>
  <c r="S579" i="21"/>
  <c r="O580" i="21"/>
  <c r="P580" i="21"/>
  <c r="T580" i="21"/>
  <c r="U580" i="21"/>
  <c r="L581" i="21"/>
  <c r="O581" i="21" s="1"/>
  <c r="M581" i="21"/>
  <c r="N581" i="21"/>
  <c r="T581" i="21"/>
  <c r="U581" i="21"/>
  <c r="Q582" i="21"/>
  <c r="T582" i="21" s="1"/>
  <c r="R582" i="21"/>
  <c r="U582" i="21" s="1"/>
  <c r="S582" i="21"/>
  <c r="O583" i="21"/>
  <c r="P583" i="21"/>
  <c r="T583" i="21"/>
  <c r="U583" i="21"/>
  <c r="L584" i="21"/>
  <c r="O584" i="21" s="1"/>
  <c r="M584" i="21"/>
  <c r="N584" i="21"/>
  <c r="N582" i="21" s="1"/>
  <c r="T584" i="21"/>
  <c r="U584" i="21"/>
  <c r="L600" i="21"/>
  <c r="M600" i="21"/>
  <c r="N600" i="21"/>
  <c r="P600" i="21"/>
  <c r="Q600" i="21"/>
  <c r="T600" i="21" s="1"/>
  <c r="R600" i="21"/>
  <c r="S600" i="21"/>
  <c r="O603" i="21"/>
  <c r="P603" i="21"/>
  <c r="T603" i="21"/>
  <c r="U603" i="21"/>
  <c r="L604" i="21"/>
  <c r="M604" i="21"/>
  <c r="M602" i="21" s="1"/>
  <c r="N604" i="21"/>
  <c r="N602" i="21" s="1"/>
  <c r="Q604" i="21"/>
  <c r="Q602" i="21" s="1"/>
  <c r="T602" i="21" s="1"/>
  <c r="R604" i="21"/>
  <c r="S604" i="21"/>
  <c r="O606" i="21"/>
  <c r="P606" i="21"/>
  <c r="T606" i="21"/>
  <c r="U606" i="21"/>
  <c r="L607" i="21"/>
  <c r="O607" i="21" s="1"/>
  <c r="M607" i="21"/>
  <c r="N607" i="21"/>
  <c r="N605" i="21" s="1"/>
  <c r="Q607" i="21"/>
  <c r="Q605" i="21" s="1"/>
  <c r="T605" i="21" s="1"/>
  <c r="R607" i="21"/>
  <c r="U607" i="21" s="1"/>
  <c r="S607" i="21"/>
  <c r="S605" i="21" s="1"/>
  <c r="L616" i="21"/>
  <c r="O616" i="21" s="1"/>
  <c r="L617" i="21"/>
  <c r="O617" i="21" s="1"/>
  <c r="M617" i="21"/>
  <c r="N617" i="21"/>
  <c r="Q617" i="21"/>
  <c r="T617" i="21" s="1"/>
  <c r="R617" i="21"/>
  <c r="U617" i="21" s="1"/>
  <c r="S617" i="21"/>
  <c r="L618" i="21"/>
  <c r="M618" i="21"/>
  <c r="P618" i="21" s="1"/>
  <c r="N618" i="21"/>
  <c r="O618" i="21"/>
  <c r="L619" i="21"/>
  <c r="M619" i="21"/>
  <c r="P619" i="21" s="1"/>
  <c r="N619" i="21"/>
  <c r="O619" i="21"/>
  <c r="O620" i="21"/>
  <c r="P620" i="21"/>
  <c r="T620" i="21"/>
  <c r="U620" i="21"/>
  <c r="O621" i="21"/>
  <c r="P621" i="21"/>
  <c r="Q621" i="21"/>
  <c r="Q618" i="21" s="1"/>
  <c r="R621" i="21"/>
  <c r="R619" i="21" s="1"/>
  <c r="S621" i="21"/>
  <c r="S619" i="21" s="1"/>
  <c r="L622" i="21"/>
  <c r="O622" i="21" s="1"/>
  <c r="M622" i="21"/>
  <c r="P622" i="21" s="1"/>
  <c r="N622" i="21"/>
  <c r="Q622" i="21"/>
  <c r="R622" i="21"/>
  <c r="U622" i="21" s="1"/>
  <c r="S622" i="21"/>
  <c r="T622" i="21"/>
  <c r="O623" i="21"/>
  <c r="P623" i="21"/>
  <c r="T623" i="21"/>
  <c r="U623" i="21"/>
  <c r="O624" i="21"/>
  <c r="P624" i="21"/>
  <c r="T624" i="21"/>
  <c r="U624" i="21"/>
  <c r="I626" i="21"/>
  <c r="I615" i="21" s="1"/>
  <c r="I627" i="21"/>
  <c r="K627" i="21" s="1"/>
  <c r="I628" i="21"/>
  <c r="K628" i="21" s="1"/>
  <c r="J632" i="21"/>
  <c r="J626" i="21" s="1"/>
  <c r="J615" i="21" s="1"/>
  <c r="I635" i="21"/>
  <c r="K635" i="21" s="1"/>
  <c r="J636" i="21"/>
  <c r="J635" i="21" s="1"/>
  <c r="N642" i="21"/>
  <c r="L643" i="21"/>
  <c r="M643" i="21"/>
  <c r="M642" i="21" s="1"/>
  <c r="P642" i="21" s="1"/>
  <c r="N643" i="21"/>
  <c r="Q643" i="21"/>
  <c r="R643" i="21"/>
  <c r="S643" i="21"/>
  <c r="L644" i="21"/>
  <c r="O644" i="21" s="1"/>
  <c r="M644" i="21"/>
  <c r="P644" i="21" s="1"/>
  <c r="N644" i="21"/>
  <c r="L645" i="21"/>
  <c r="O645" i="21" s="1"/>
  <c r="M645" i="21"/>
  <c r="N645" i="21"/>
  <c r="P645" i="21"/>
  <c r="O646" i="21"/>
  <c r="P646" i="21"/>
  <c r="T646" i="21"/>
  <c r="U646" i="21"/>
  <c r="O647" i="21"/>
  <c r="P647" i="21"/>
  <c r="Q647" i="21"/>
  <c r="Q645" i="21" s="1"/>
  <c r="R647" i="21"/>
  <c r="R645" i="21" s="1"/>
  <c r="S647" i="21"/>
  <c r="S645" i="21" s="1"/>
  <c r="L648" i="21"/>
  <c r="O648" i="21" s="1"/>
  <c r="M648" i="21"/>
  <c r="P648" i="21" s="1"/>
  <c r="N648" i="21"/>
  <c r="Q648" i="21"/>
  <c r="T648" i="21" s="1"/>
  <c r="R648" i="21"/>
  <c r="U648" i="21" s="1"/>
  <c r="S648" i="21"/>
  <c r="O649" i="21"/>
  <c r="P649" i="21"/>
  <c r="T649" i="21"/>
  <c r="U649" i="21"/>
  <c r="O650" i="21"/>
  <c r="P650" i="21"/>
  <c r="T650" i="21"/>
  <c r="U650" i="21"/>
  <c r="I652" i="21"/>
  <c r="K652" i="21" s="1"/>
  <c r="J652" i="21"/>
  <c r="I653" i="21"/>
  <c r="K653" i="21" s="1"/>
  <c r="J653" i="21"/>
  <c r="I654" i="21"/>
  <c r="J654" i="21"/>
  <c r="I657" i="21"/>
  <c r="I660" i="21"/>
  <c r="I661" i="21"/>
  <c r="K661" i="21" s="1"/>
  <c r="J661" i="21"/>
  <c r="J671" i="21"/>
  <c r="J672" i="21"/>
  <c r="I673" i="21"/>
  <c r="J673" i="21"/>
  <c r="I674" i="21"/>
  <c r="I675" i="21"/>
  <c r="I676" i="21"/>
  <c r="J676" i="21"/>
  <c r="J677" i="21"/>
  <c r="I678" i="21"/>
  <c r="J678" i="21"/>
  <c r="I679" i="21"/>
  <c r="K679" i="21" s="1"/>
  <c r="J679" i="21"/>
  <c r="J680" i="21"/>
  <c r="I681" i="21"/>
  <c r="K681" i="21" s="1"/>
  <c r="J681" i="21"/>
  <c r="I682" i="21"/>
  <c r="K682" i="21" s="1"/>
  <c r="J682" i="21"/>
  <c r="N690" i="21"/>
  <c r="L691" i="21"/>
  <c r="M691" i="21"/>
  <c r="M690" i="21" s="1"/>
  <c r="P690" i="21" s="1"/>
  <c r="N691" i="21"/>
  <c r="P691" i="21"/>
  <c r="Q691" i="21"/>
  <c r="R691" i="21"/>
  <c r="S691" i="21"/>
  <c r="L692" i="21"/>
  <c r="O692" i="21" s="1"/>
  <c r="M692" i="21"/>
  <c r="P692" i="21" s="1"/>
  <c r="N692" i="21"/>
  <c r="L693" i="21"/>
  <c r="O693" i="21" s="1"/>
  <c r="M693" i="21"/>
  <c r="N693" i="21"/>
  <c r="P693" i="21"/>
  <c r="O694" i="21"/>
  <c r="P694" i="21"/>
  <c r="T694" i="21"/>
  <c r="U694" i="21"/>
  <c r="O695" i="21"/>
  <c r="P695" i="21"/>
  <c r="Q695" i="21"/>
  <c r="Q693" i="21" s="1"/>
  <c r="R695" i="21"/>
  <c r="R692" i="21" s="1"/>
  <c r="S695" i="21"/>
  <c r="S693" i="21" s="1"/>
  <c r="L696" i="21"/>
  <c r="O696" i="21" s="1"/>
  <c r="M696" i="21"/>
  <c r="P696" i="21" s="1"/>
  <c r="N696" i="21"/>
  <c r="Q696" i="21"/>
  <c r="T696" i="21" s="1"/>
  <c r="R696" i="21"/>
  <c r="U696" i="21" s="1"/>
  <c r="S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J705" i="21"/>
  <c r="J706" i="21"/>
  <c r="K706" i="21"/>
  <c r="I707" i="21"/>
  <c r="J707" i="21"/>
  <c r="J689" i="21" s="1"/>
  <c r="J708" i="21"/>
  <c r="K708" i="21"/>
  <c r="I709" i="21"/>
  <c r="J709" i="21"/>
  <c r="J710" i="21"/>
  <c r="K710" i="21"/>
  <c r="J712" i="21"/>
  <c r="K712" i="21"/>
  <c r="L715" i="21"/>
  <c r="L714" i="21" s="1"/>
  <c r="O714" i="21" s="1"/>
  <c r="M715" i="21"/>
  <c r="N715" i="21"/>
  <c r="P715" i="21"/>
  <c r="Q715" i="21"/>
  <c r="R715" i="21"/>
  <c r="U715" i="21" s="1"/>
  <c r="S715" i="21"/>
  <c r="L716" i="21"/>
  <c r="O716" i="21" s="1"/>
  <c r="M716" i="21"/>
  <c r="P716" i="21" s="1"/>
  <c r="N716" i="21"/>
  <c r="Q716" i="21"/>
  <c r="T716" i="21" s="1"/>
  <c r="R716" i="21"/>
  <c r="U716" i="21" s="1"/>
  <c r="S716" i="21"/>
  <c r="S714" i="21" s="1"/>
  <c r="L717" i="21"/>
  <c r="O717" i="21" s="1"/>
  <c r="M717" i="21"/>
  <c r="P717" i="21" s="1"/>
  <c r="N717" i="21"/>
  <c r="Q717" i="21"/>
  <c r="R717" i="21"/>
  <c r="U717" i="21" s="1"/>
  <c r="S717" i="21"/>
  <c r="T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P720" i="21" s="1"/>
  <c r="N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K726" i="21" s="1"/>
  <c r="J726" i="21"/>
  <c r="I727" i="21"/>
  <c r="K727" i="21" s="1"/>
  <c r="J727" i="21"/>
  <c r="M728" i="21"/>
  <c r="P728" i="21" s="1"/>
  <c r="L729" i="21"/>
  <c r="M729" i="21"/>
  <c r="N729" i="21"/>
  <c r="O729" i="21"/>
  <c r="P729" i="21"/>
  <c r="Q729" i="21"/>
  <c r="T729" i="21" s="1"/>
  <c r="R729" i="21"/>
  <c r="S729" i="21"/>
  <c r="U729" i="21"/>
  <c r="L730" i="21"/>
  <c r="O730" i="21" s="1"/>
  <c r="M730" i="21"/>
  <c r="P730" i="21" s="1"/>
  <c r="N730" i="21"/>
  <c r="L731" i="21"/>
  <c r="O731" i="21" s="1"/>
  <c r="M731" i="21"/>
  <c r="P731" i="21" s="1"/>
  <c r="N731" i="21"/>
  <c r="O732" i="21"/>
  <c r="P732" i="21"/>
  <c r="T732" i="21"/>
  <c r="U732" i="21"/>
  <c r="O733" i="21"/>
  <c r="P733" i="21"/>
  <c r="Q733" i="21"/>
  <c r="Q731" i="21" s="1"/>
  <c r="R733" i="21"/>
  <c r="R731" i="21" s="1"/>
  <c r="S733" i="21"/>
  <c r="L734" i="21"/>
  <c r="O734" i="21" s="1"/>
  <c r="M734" i="21"/>
  <c r="N734" i="21"/>
  <c r="P734" i="21"/>
  <c r="Q734" i="21"/>
  <c r="T734" i="21" s="1"/>
  <c r="R734" i="21"/>
  <c r="U734" i="21" s="1"/>
  <c r="S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O761" i="21" s="1"/>
  <c r="M761" i="21"/>
  <c r="M760" i="21" s="1"/>
  <c r="P760" i="21" s="1"/>
  <c r="N761" i="21"/>
  <c r="N760" i="21" s="1"/>
  <c r="Q761" i="21"/>
  <c r="R761" i="21"/>
  <c r="S761" i="21"/>
  <c r="L762" i="21"/>
  <c r="O762" i="21" s="1"/>
  <c r="M762" i="21"/>
  <c r="P762" i="21" s="1"/>
  <c r="N762" i="21"/>
  <c r="L763" i="21"/>
  <c r="M763" i="21"/>
  <c r="P763" i="21" s="1"/>
  <c r="N763" i="21"/>
  <c r="O763" i="21"/>
  <c r="O764" i="21"/>
  <c r="P764" i="21"/>
  <c r="T764" i="21"/>
  <c r="U764" i="21"/>
  <c r="O765" i="21"/>
  <c r="P765" i="21"/>
  <c r="Q765" i="21"/>
  <c r="Q763" i="21" s="1"/>
  <c r="T763" i="21" s="1"/>
  <c r="R765" i="21"/>
  <c r="R763" i="21" s="1"/>
  <c r="U763" i="21" s="1"/>
  <c r="S765" i="21"/>
  <c r="S762" i="21" s="1"/>
  <c r="L766" i="21"/>
  <c r="O766" i="21" s="1"/>
  <c r="M766" i="21"/>
  <c r="N766" i="21"/>
  <c r="P766" i="21"/>
  <c r="Q766" i="21"/>
  <c r="T766" i="21" s="1"/>
  <c r="R766" i="21"/>
  <c r="U766" i="21" s="1"/>
  <c r="S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58" i="21" s="1"/>
  <c r="K758" i="21" s="1"/>
  <c r="I774" i="21"/>
  <c r="I759" i="21" s="1"/>
  <c r="K759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M22" i="20"/>
  <c r="N22" i="20"/>
  <c r="N19" i="20" s="1"/>
  <c r="Q22" i="20"/>
  <c r="R22" i="20"/>
  <c r="S22" i="20"/>
  <c r="S19" i="20" s="1"/>
  <c r="L25" i="20"/>
  <c r="M25" i="20"/>
  <c r="N25" i="20"/>
  <c r="Q25" i="20"/>
  <c r="T25" i="20" s="1"/>
  <c r="R25" i="20"/>
  <c r="S25" i="20"/>
  <c r="Q44" i="20"/>
  <c r="T44" i="20" s="1"/>
  <c r="L45" i="20"/>
  <c r="O45" i="20" s="1"/>
  <c r="M45" i="20"/>
  <c r="N45" i="20"/>
  <c r="Q45" i="20"/>
  <c r="R45" i="20"/>
  <c r="U45" i="20" s="1"/>
  <c r="S45" i="20"/>
  <c r="T45" i="20"/>
  <c r="Q46" i="20"/>
  <c r="R46" i="20"/>
  <c r="S46" i="20"/>
  <c r="T46" i="20"/>
  <c r="U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M47" i="20" s="1"/>
  <c r="N49" i="20"/>
  <c r="T49" i="20"/>
  <c r="U49" i="20"/>
  <c r="Q50" i="20"/>
  <c r="T50" i="20" s="1"/>
  <c r="R50" i="20"/>
  <c r="U50" i="20" s="1"/>
  <c r="S50" i="20"/>
  <c r="O51" i="20"/>
  <c r="P51" i="20"/>
  <c r="T51" i="20"/>
  <c r="U51" i="20"/>
  <c r="L52" i="20"/>
  <c r="M52" i="20"/>
  <c r="N52" i="20"/>
  <c r="N50" i="20" s="1"/>
  <c r="T52" i="20"/>
  <c r="U52" i="20"/>
  <c r="L60" i="20"/>
  <c r="O60" i="20" s="1"/>
  <c r="M60" i="20"/>
  <c r="N60" i="20"/>
  <c r="Q60" i="20"/>
  <c r="Q59" i="20" s="1"/>
  <c r="T59" i="20" s="1"/>
  <c r="R60" i="20"/>
  <c r="U60" i="20" s="1"/>
  <c r="S60" i="20"/>
  <c r="Q61" i="20"/>
  <c r="T61" i="20" s="1"/>
  <c r="R61" i="20"/>
  <c r="R59" i="20" s="1"/>
  <c r="U59" i="20" s="1"/>
  <c r="S61" i="20"/>
  <c r="Q62" i="20"/>
  <c r="T62" i="20" s="1"/>
  <c r="R62" i="20"/>
  <c r="U62" i="20" s="1"/>
  <c r="S62" i="20"/>
  <c r="O63" i="20"/>
  <c r="P63" i="20"/>
  <c r="T63" i="20"/>
  <c r="U63" i="20"/>
  <c r="L64" i="20"/>
  <c r="L62" i="20" s="1"/>
  <c r="M64" i="20"/>
  <c r="M62" i="20" s="1"/>
  <c r="N64" i="20"/>
  <c r="N62" i="20" s="1"/>
  <c r="T64" i="20"/>
  <c r="U64" i="20"/>
  <c r="Q65" i="20"/>
  <c r="R65" i="20"/>
  <c r="S65" i="20"/>
  <c r="T65" i="20"/>
  <c r="U65" i="20"/>
  <c r="O66" i="20"/>
  <c r="P66" i="20"/>
  <c r="T66" i="20"/>
  <c r="U66" i="20"/>
  <c r="L67" i="20"/>
  <c r="M67" i="20"/>
  <c r="N67" i="20"/>
  <c r="N65" i="20" s="1"/>
  <c r="T67" i="20"/>
  <c r="U67" i="20"/>
  <c r="L73" i="20"/>
  <c r="O73" i="20" s="1"/>
  <c r="M73" i="20"/>
  <c r="N73" i="20"/>
  <c r="Q73" i="20"/>
  <c r="R73" i="20"/>
  <c r="U73" i="20" s="1"/>
  <c r="S73" i="20"/>
  <c r="T73" i="20"/>
  <c r="O76" i="20"/>
  <c r="P76" i="20"/>
  <c r="T76" i="20"/>
  <c r="U76" i="20"/>
  <c r="L77" i="20"/>
  <c r="M77" i="20"/>
  <c r="N77" i="20"/>
  <c r="N75" i="20" s="1"/>
  <c r="Q77" i="20"/>
  <c r="R77" i="20"/>
  <c r="S77" i="20"/>
  <c r="O79" i="20"/>
  <c r="P79" i="20"/>
  <c r="T79" i="20"/>
  <c r="U79" i="20"/>
  <c r="L80" i="20"/>
  <c r="O80" i="20" s="1"/>
  <c r="M80" i="20"/>
  <c r="M78" i="20" s="1"/>
  <c r="P78" i="20" s="1"/>
  <c r="N80" i="20"/>
  <c r="N78" i="20" s="1"/>
  <c r="Q80" i="20"/>
  <c r="R80" i="20"/>
  <c r="S80" i="20"/>
  <c r="J82" i="20"/>
  <c r="J70" i="20" s="1"/>
  <c r="J83" i="20"/>
  <c r="J71" i="20" s="1"/>
  <c r="I84" i="20"/>
  <c r="K84" i="20" s="1"/>
  <c r="I85" i="20"/>
  <c r="K85" i="20" s="1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O95" i="20" s="1"/>
  <c r="M95" i="20"/>
  <c r="N95" i="20"/>
  <c r="P95" i="20"/>
  <c r="Q95" i="20"/>
  <c r="R95" i="20"/>
  <c r="U95" i="20" s="1"/>
  <c r="S95" i="20"/>
  <c r="O98" i="20"/>
  <c r="P98" i="20"/>
  <c r="T98" i="20"/>
  <c r="U98" i="20"/>
  <c r="L99" i="20"/>
  <c r="O99" i="20" s="1"/>
  <c r="M99" i="20"/>
  <c r="N99" i="20"/>
  <c r="N97" i="20" s="1"/>
  <c r="Q99" i="20"/>
  <c r="Q97" i="20" s="1"/>
  <c r="T97" i="20" s="1"/>
  <c r="R99" i="20"/>
  <c r="U99" i="20" s="1"/>
  <c r="S99" i="20"/>
  <c r="S96" i="20" s="1"/>
  <c r="S94" i="20" s="1"/>
  <c r="Q100" i="20"/>
  <c r="T100" i="20" s="1"/>
  <c r="R100" i="20"/>
  <c r="U100" i="20" s="1"/>
  <c r="S100" i="20"/>
  <c r="O101" i="20"/>
  <c r="P101" i="20"/>
  <c r="T101" i="20"/>
  <c r="U101" i="20"/>
  <c r="L102" i="20"/>
  <c r="O102" i="20" s="1"/>
  <c r="M102" i="20"/>
  <c r="P102" i="20" s="1"/>
  <c r="N102" i="20"/>
  <c r="N100" i="20" s="1"/>
  <c r="T102" i="20"/>
  <c r="U102" i="20"/>
  <c r="I108" i="20"/>
  <c r="I92" i="20" s="1"/>
  <c r="K92" i="20" s="1"/>
  <c r="I109" i="20"/>
  <c r="I114" i="20"/>
  <c r="K114" i="20" s="1"/>
  <c r="J116" i="20"/>
  <c r="L118" i="20"/>
  <c r="O118" i="20" s="1"/>
  <c r="M118" i="20"/>
  <c r="P118" i="20" s="1"/>
  <c r="N118" i="20"/>
  <c r="Q118" i="20"/>
  <c r="R118" i="20"/>
  <c r="U118" i="20" s="1"/>
  <c r="S118" i="20"/>
  <c r="O121" i="20"/>
  <c r="P121" i="20"/>
  <c r="T121" i="20"/>
  <c r="U121" i="20"/>
  <c r="L122" i="20"/>
  <c r="O122" i="20" s="1"/>
  <c r="M122" i="20"/>
  <c r="P122" i="20" s="1"/>
  <c r="N122" i="20"/>
  <c r="N120" i="20" s="1"/>
  <c r="Q122" i="20"/>
  <c r="R122" i="20"/>
  <c r="S122" i="20"/>
  <c r="O124" i="20"/>
  <c r="P124" i="20"/>
  <c r="T124" i="20"/>
  <c r="U124" i="20"/>
  <c r="L125" i="20"/>
  <c r="O125" i="20" s="1"/>
  <c r="M125" i="20"/>
  <c r="N125" i="20"/>
  <c r="Q125" i="20"/>
  <c r="R125" i="20"/>
  <c r="U125" i="20" s="1"/>
  <c r="S125" i="20"/>
  <c r="S123" i="20" s="1"/>
  <c r="I127" i="20"/>
  <c r="K127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P140" i="20" s="1"/>
  <c r="N140" i="20"/>
  <c r="Q140" i="20"/>
  <c r="T140" i="20" s="1"/>
  <c r="R140" i="20"/>
  <c r="S140" i="20"/>
  <c r="O143" i="20"/>
  <c r="P143" i="20"/>
  <c r="T143" i="20"/>
  <c r="U143" i="20"/>
  <c r="L144" i="20"/>
  <c r="M144" i="20"/>
  <c r="N144" i="20"/>
  <c r="N142" i="20" s="1"/>
  <c r="Q144" i="20"/>
  <c r="R144" i="20"/>
  <c r="S144" i="20"/>
  <c r="S142" i="20" s="1"/>
  <c r="O146" i="20"/>
  <c r="P146" i="20"/>
  <c r="T146" i="20"/>
  <c r="U146" i="20"/>
  <c r="L147" i="20"/>
  <c r="M147" i="20"/>
  <c r="P147" i="20" s="1"/>
  <c r="N147" i="20"/>
  <c r="Q147" i="20"/>
  <c r="Q145" i="20" s="1"/>
  <c r="T145" i="20" s="1"/>
  <c r="R147" i="20"/>
  <c r="R145" i="20" s="1"/>
  <c r="U145" i="20" s="1"/>
  <c r="S147" i="20"/>
  <c r="S145" i="20" s="1"/>
  <c r="I150" i="20"/>
  <c r="K150" i="20" s="1"/>
  <c r="I151" i="20"/>
  <c r="K151" i="20" s="1"/>
  <c r="I152" i="20"/>
  <c r="I137" i="20" s="1"/>
  <c r="I153" i="20"/>
  <c r="I138" i="20" s="1"/>
  <c r="K138" i="20" s="1"/>
  <c r="I154" i="20"/>
  <c r="J156" i="20"/>
  <c r="L158" i="20"/>
  <c r="M158" i="20"/>
  <c r="P158" i="20" s="1"/>
  <c r="N158" i="20"/>
  <c r="Q158" i="20"/>
  <c r="R158" i="20"/>
  <c r="U158" i="20" s="1"/>
  <c r="S158" i="20"/>
  <c r="O161" i="20"/>
  <c r="P161" i="20"/>
  <c r="T161" i="20"/>
  <c r="U161" i="20"/>
  <c r="L162" i="20"/>
  <c r="O162" i="20" s="1"/>
  <c r="M162" i="20"/>
  <c r="M160" i="20" s="1"/>
  <c r="N162" i="20"/>
  <c r="Q162" i="20"/>
  <c r="Q160" i="20" s="1"/>
  <c r="T160" i="20" s="1"/>
  <c r="R162" i="20"/>
  <c r="U162" i="20" s="1"/>
  <c r="S162" i="20"/>
  <c r="S160" i="20" s="1"/>
  <c r="Q163" i="20"/>
  <c r="R163" i="20"/>
  <c r="U163" i="20" s="1"/>
  <c r="S163" i="20"/>
  <c r="T163" i="20"/>
  <c r="O164" i="20"/>
  <c r="P164" i="20"/>
  <c r="T164" i="20"/>
  <c r="U164" i="20"/>
  <c r="L165" i="20"/>
  <c r="O165" i="20" s="1"/>
  <c r="M165" i="20"/>
  <c r="P165" i="20" s="1"/>
  <c r="N165" i="20"/>
  <c r="N163" i="20" s="1"/>
  <c r="T165" i="20"/>
  <c r="U165" i="20"/>
  <c r="I167" i="20"/>
  <c r="K167" i="20" s="1"/>
  <c r="I168" i="20"/>
  <c r="K168" i="20" s="1"/>
  <c r="I169" i="20"/>
  <c r="K169" i="20" s="1"/>
  <c r="J172" i="20"/>
  <c r="L174" i="20"/>
  <c r="M174" i="20"/>
  <c r="N174" i="20"/>
  <c r="P174" i="20"/>
  <c r="Q174" i="20"/>
  <c r="R174" i="20"/>
  <c r="S174" i="20"/>
  <c r="U174" i="20"/>
  <c r="O177" i="20"/>
  <c r="P177" i="20"/>
  <c r="T177" i="20"/>
  <c r="U177" i="20"/>
  <c r="L178" i="20"/>
  <c r="O178" i="20" s="1"/>
  <c r="M178" i="20"/>
  <c r="P178" i="20" s="1"/>
  <c r="N178" i="20"/>
  <c r="Q178" i="20"/>
  <c r="R178" i="20"/>
  <c r="S178" i="20"/>
  <c r="S176" i="20" s="1"/>
  <c r="Q179" i="20"/>
  <c r="T179" i="20" s="1"/>
  <c r="R179" i="20"/>
  <c r="S179" i="20"/>
  <c r="U179" i="20"/>
  <c r="O180" i="20"/>
  <c r="P180" i="20"/>
  <c r="T180" i="20"/>
  <c r="U180" i="20"/>
  <c r="L181" i="20"/>
  <c r="M181" i="20"/>
  <c r="P181" i="20" s="1"/>
  <c r="N181" i="20"/>
  <c r="N179" i="20" s="1"/>
  <c r="T181" i="20"/>
  <c r="U181" i="20"/>
  <c r="I183" i="20"/>
  <c r="K184" i="20"/>
  <c r="L187" i="20"/>
  <c r="O187" i="20" s="1"/>
  <c r="M187" i="20"/>
  <c r="P187" i="20" s="1"/>
  <c r="N187" i="20"/>
  <c r="Q187" i="20"/>
  <c r="R187" i="20"/>
  <c r="U187" i="20" s="1"/>
  <c r="S187" i="20"/>
  <c r="O190" i="20"/>
  <c r="P190" i="20"/>
  <c r="T190" i="20"/>
  <c r="U190" i="20"/>
  <c r="L191" i="20"/>
  <c r="M191" i="20"/>
  <c r="N191" i="20"/>
  <c r="Q191" i="20"/>
  <c r="Q189" i="20" s="1"/>
  <c r="R191" i="20"/>
  <c r="S191" i="20"/>
  <c r="O193" i="20"/>
  <c r="P193" i="20"/>
  <c r="T193" i="20"/>
  <c r="U193" i="20"/>
  <c r="L194" i="20"/>
  <c r="M194" i="20"/>
  <c r="P194" i="20" s="1"/>
  <c r="N194" i="20"/>
  <c r="N192" i="20" s="1"/>
  <c r="Q194" i="20"/>
  <c r="Q192" i="20" s="1"/>
  <c r="T192" i="20" s="1"/>
  <c r="R194" i="20"/>
  <c r="S194" i="20"/>
  <c r="S192" i="20" s="1"/>
  <c r="J195" i="20"/>
  <c r="L196" i="20"/>
  <c r="O196" i="20" s="1"/>
  <c r="P196" i="20"/>
  <c r="I198" i="20"/>
  <c r="I195" i="20" s="1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K209" i="20" s="1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J221" i="20"/>
  <c r="P222" i="20"/>
  <c r="L223" i="20"/>
  <c r="N223" i="20"/>
  <c r="N222" i="20" s="1"/>
  <c r="L224" i="20"/>
  <c r="L225" i="20"/>
  <c r="I228" i="20"/>
  <c r="K228" i="20" s="1"/>
  <c r="I229" i="20"/>
  <c r="I221" i="20" s="1"/>
  <c r="I230" i="20"/>
  <c r="K230" i="20" s="1"/>
  <c r="N234" i="20"/>
  <c r="N236" i="20"/>
  <c r="J238" i="20"/>
  <c r="J240" i="20"/>
  <c r="J241" i="20"/>
  <c r="J242" i="20"/>
  <c r="P243" i="20"/>
  <c r="L244" i="20"/>
  <c r="N244" i="20"/>
  <c r="N243" i="20" s="1"/>
  <c r="L245" i="20"/>
  <c r="L246" i="20"/>
  <c r="N246" i="20"/>
  <c r="N235" i="20" s="1"/>
  <c r="L247" i="20"/>
  <c r="I249" i="20"/>
  <c r="I251" i="20"/>
  <c r="I240" i="20" s="1"/>
  <c r="K240" i="20" s="1"/>
  <c r="I252" i="20"/>
  <c r="K252" i="20" s="1"/>
  <c r="J253" i="20"/>
  <c r="N254" i="20"/>
  <c r="P254" i="20"/>
  <c r="L255" i="20"/>
  <c r="L256" i="20"/>
  <c r="L257" i="20"/>
  <c r="L258" i="20"/>
  <c r="I260" i="20"/>
  <c r="K262" i="20"/>
  <c r="K263" i="20"/>
  <c r="J265" i="20"/>
  <c r="L267" i="20"/>
  <c r="M267" i="20"/>
  <c r="P267" i="20" s="1"/>
  <c r="N267" i="20"/>
  <c r="Q267" i="20"/>
  <c r="R267" i="20"/>
  <c r="S267" i="20"/>
  <c r="T267" i="20"/>
  <c r="O270" i="20"/>
  <c r="P270" i="20"/>
  <c r="T270" i="20"/>
  <c r="U270" i="20"/>
  <c r="L271" i="20"/>
  <c r="L269" i="20" s="1"/>
  <c r="M271" i="20"/>
  <c r="N271" i="20"/>
  <c r="Q271" i="20"/>
  <c r="R271" i="20"/>
  <c r="S271" i="20"/>
  <c r="S269" i="20" s="1"/>
  <c r="Q272" i="20"/>
  <c r="T272" i="20" s="1"/>
  <c r="R272" i="20"/>
  <c r="U272" i="20" s="1"/>
  <c r="S272" i="20"/>
  <c r="O273" i="20"/>
  <c r="P273" i="20"/>
  <c r="T273" i="20"/>
  <c r="U273" i="20"/>
  <c r="L274" i="20"/>
  <c r="M274" i="20"/>
  <c r="M272" i="20" s="1"/>
  <c r="P272" i="20" s="1"/>
  <c r="N274" i="20"/>
  <c r="N272" i="20" s="1"/>
  <c r="T274" i="20"/>
  <c r="U274" i="20"/>
  <c r="I276" i="20"/>
  <c r="I265" i="20" s="1"/>
  <c r="J281" i="20"/>
  <c r="L283" i="20"/>
  <c r="M283" i="20"/>
  <c r="N283" i="20"/>
  <c r="P283" i="20"/>
  <c r="Q283" i="20"/>
  <c r="T283" i="20" s="1"/>
  <c r="R283" i="20"/>
  <c r="S283" i="20"/>
  <c r="Q284" i="20"/>
  <c r="R284" i="20"/>
  <c r="U284" i="20" s="1"/>
  <c r="S284" i="20"/>
  <c r="Q285" i="20"/>
  <c r="R285" i="20"/>
  <c r="U285" i="20" s="1"/>
  <c r="S285" i="20"/>
  <c r="T285" i="20"/>
  <c r="O286" i="20"/>
  <c r="P286" i="20"/>
  <c r="T286" i="20"/>
  <c r="U286" i="20"/>
  <c r="L287" i="20"/>
  <c r="M287" i="20"/>
  <c r="P287" i="20" s="1"/>
  <c r="N287" i="20"/>
  <c r="T287" i="20"/>
  <c r="U287" i="20"/>
  <c r="Q288" i="20"/>
  <c r="R288" i="20"/>
  <c r="U288" i="20" s="1"/>
  <c r="S288" i="20"/>
  <c r="T288" i="20"/>
  <c r="O289" i="20"/>
  <c r="P289" i="20"/>
  <c r="T289" i="20"/>
  <c r="U289" i="20"/>
  <c r="L290" i="20"/>
  <c r="O290" i="20" s="1"/>
  <c r="M290" i="20"/>
  <c r="M288" i="20" s="1"/>
  <c r="P288" i="20" s="1"/>
  <c r="N290" i="20"/>
  <c r="N288" i="20" s="1"/>
  <c r="T290" i="20"/>
  <c r="U290" i="20"/>
  <c r="I292" i="20"/>
  <c r="I281" i="20" s="1"/>
  <c r="K281" i="20" s="1"/>
  <c r="I293" i="20"/>
  <c r="J293" i="20"/>
  <c r="J280" i="20" s="1"/>
  <c r="I295" i="20"/>
  <c r="K295" i="20" s="1"/>
  <c r="I296" i="20"/>
  <c r="K296" i="20" s="1"/>
  <c r="J302" i="20"/>
  <c r="L304" i="20"/>
  <c r="O304" i="20" s="1"/>
  <c r="M304" i="20"/>
  <c r="N304" i="20"/>
  <c r="Q304" i="20"/>
  <c r="T304" i="20" s="1"/>
  <c r="R304" i="20"/>
  <c r="S304" i="20"/>
  <c r="O307" i="20"/>
  <c r="P307" i="20"/>
  <c r="T307" i="20"/>
  <c r="U307" i="20"/>
  <c r="L308" i="20"/>
  <c r="L306" i="20" s="1"/>
  <c r="O306" i="20" s="1"/>
  <c r="M308" i="20"/>
  <c r="N308" i="20"/>
  <c r="N306" i="20" s="1"/>
  <c r="Q308" i="20"/>
  <c r="R308" i="20"/>
  <c r="R306" i="20" s="1"/>
  <c r="S308" i="20"/>
  <c r="S306" i="20" s="1"/>
  <c r="Q309" i="20"/>
  <c r="T309" i="20" s="1"/>
  <c r="R309" i="20"/>
  <c r="U309" i="20" s="1"/>
  <c r="S309" i="20"/>
  <c r="O310" i="20"/>
  <c r="P310" i="20"/>
  <c r="T310" i="20"/>
  <c r="U310" i="20"/>
  <c r="L311" i="20"/>
  <c r="L309" i="20" s="1"/>
  <c r="O309" i="20" s="1"/>
  <c r="M311" i="20"/>
  <c r="P311" i="20" s="1"/>
  <c r="N311" i="20"/>
  <c r="T311" i="20"/>
  <c r="U311" i="20"/>
  <c r="I314" i="20"/>
  <c r="K314" i="20" s="1"/>
  <c r="J319" i="20"/>
  <c r="L321" i="20"/>
  <c r="M321" i="20"/>
  <c r="P321" i="20" s="1"/>
  <c r="N321" i="20"/>
  <c r="O321" i="20"/>
  <c r="Q321" i="20"/>
  <c r="T321" i="20" s="1"/>
  <c r="R321" i="20"/>
  <c r="S321" i="20"/>
  <c r="S320" i="20" s="1"/>
  <c r="U321" i="20"/>
  <c r="Q322" i="20"/>
  <c r="T322" i="20" s="1"/>
  <c r="R322" i="20"/>
  <c r="S322" i="20"/>
  <c r="Q323" i="20"/>
  <c r="R323" i="20"/>
  <c r="U323" i="20" s="1"/>
  <c r="S323" i="20"/>
  <c r="T323" i="20"/>
  <c r="O324" i="20"/>
  <c r="P324" i="20"/>
  <c r="T324" i="20"/>
  <c r="U324" i="20"/>
  <c r="L325" i="20"/>
  <c r="L323" i="20" s="1"/>
  <c r="M325" i="20"/>
  <c r="M323" i="20" s="1"/>
  <c r="N325" i="20"/>
  <c r="N323" i="20" s="1"/>
  <c r="T325" i="20"/>
  <c r="U325" i="20"/>
  <c r="Q326" i="20"/>
  <c r="T326" i="20" s="1"/>
  <c r="R326" i="20"/>
  <c r="S326" i="20"/>
  <c r="U326" i="20"/>
  <c r="O327" i="20"/>
  <c r="P327" i="20"/>
  <c r="T327" i="20"/>
  <c r="U327" i="20"/>
  <c r="L328" i="20"/>
  <c r="L326" i="20" s="1"/>
  <c r="O326" i="20" s="1"/>
  <c r="M328" i="20"/>
  <c r="N328" i="20"/>
  <c r="N326" i="20" s="1"/>
  <c r="T328" i="20"/>
  <c r="U328" i="20"/>
  <c r="I330" i="20"/>
  <c r="K330" i="20" s="1"/>
  <c r="L334" i="20"/>
  <c r="M334" i="20"/>
  <c r="N334" i="20"/>
  <c r="P334" i="20"/>
  <c r="Q334" i="20"/>
  <c r="Q333" i="20" s="1"/>
  <c r="T333" i="20" s="1"/>
  <c r="R334" i="20"/>
  <c r="U334" i="20" s="1"/>
  <c r="S334" i="20"/>
  <c r="Q335" i="20"/>
  <c r="T335" i="20" s="1"/>
  <c r="R335" i="20"/>
  <c r="S335" i="20"/>
  <c r="S333" i="20" s="1"/>
  <c r="U335" i="20"/>
  <c r="Q336" i="20"/>
  <c r="T336" i="20" s="1"/>
  <c r="R336" i="20"/>
  <c r="U336" i="20" s="1"/>
  <c r="S336" i="20"/>
  <c r="O337" i="20"/>
  <c r="P337" i="20"/>
  <c r="T337" i="20"/>
  <c r="U337" i="20"/>
  <c r="L338" i="20"/>
  <c r="M338" i="20"/>
  <c r="M336" i="20" s="1"/>
  <c r="N338" i="20"/>
  <c r="T338" i="20"/>
  <c r="U338" i="20"/>
  <c r="Q339" i="20"/>
  <c r="T339" i="20" s="1"/>
  <c r="R339" i="20"/>
  <c r="U339" i="20" s="1"/>
  <c r="S339" i="20"/>
  <c r="O340" i="20"/>
  <c r="P340" i="20"/>
  <c r="T340" i="20"/>
  <c r="U340" i="20"/>
  <c r="L341" i="20"/>
  <c r="O341" i="20" s="1"/>
  <c r="M341" i="20"/>
  <c r="M339" i="20" s="1"/>
  <c r="P339" i="20" s="1"/>
  <c r="N341" i="20"/>
  <c r="N339" i="20" s="1"/>
  <c r="T341" i="20"/>
  <c r="U341" i="20"/>
  <c r="I344" i="20"/>
  <c r="J344" i="20"/>
  <c r="I346" i="20"/>
  <c r="J346" i="20"/>
  <c r="J347" i="20"/>
  <c r="J348" i="20"/>
  <c r="J349" i="20"/>
  <c r="D350" i="20"/>
  <c r="J352" i="20"/>
  <c r="J353" i="20"/>
  <c r="J354" i="20"/>
  <c r="L357" i="20"/>
  <c r="M357" i="20"/>
  <c r="N357" i="20"/>
  <c r="O357" i="20"/>
  <c r="P357" i="20"/>
  <c r="Q357" i="20"/>
  <c r="Q356" i="20" s="1"/>
  <c r="T356" i="20" s="1"/>
  <c r="R357" i="20"/>
  <c r="R356" i="20" s="1"/>
  <c r="U356" i="20" s="1"/>
  <c r="S357" i="20"/>
  <c r="U357" i="20"/>
  <c r="Q358" i="20"/>
  <c r="T358" i="20" s="1"/>
  <c r="R358" i="20"/>
  <c r="U358" i="20" s="1"/>
  <c r="S358" i="20"/>
  <c r="S356" i="20" s="1"/>
  <c r="Q359" i="20"/>
  <c r="R359" i="20"/>
  <c r="S359" i="20"/>
  <c r="T359" i="20"/>
  <c r="U359" i="20"/>
  <c r="O360" i="20"/>
  <c r="P360" i="20"/>
  <c r="T360" i="20"/>
  <c r="U360" i="20"/>
  <c r="L361" i="20"/>
  <c r="L359" i="20" s="1"/>
  <c r="M361" i="20"/>
  <c r="N361" i="20"/>
  <c r="N359" i="20" s="1"/>
  <c r="T361" i="20"/>
  <c r="U361" i="20"/>
  <c r="Q362" i="20"/>
  <c r="T362" i="20" s="1"/>
  <c r="R362" i="20"/>
  <c r="U362" i="20" s="1"/>
  <c r="S362" i="20"/>
  <c r="O363" i="20"/>
  <c r="P363" i="20"/>
  <c r="T363" i="20"/>
  <c r="U363" i="20"/>
  <c r="L364" i="20"/>
  <c r="L362" i="20" s="1"/>
  <c r="O362" i="20" s="1"/>
  <c r="M364" i="20"/>
  <c r="P364" i="20" s="1"/>
  <c r="N364" i="20"/>
  <c r="N362" i="20" s="1"/>
  <c r="T364" i="20"/>
  <c r="U364" i="20"/>
  <c r="J367" i="20"/>
  <c r="K367" i="20"/>
  <c r="I368" i="20"/>
  <c r="J368" i="20"/>
  <c r="I369" i="20"/>
  <c r="J369" i="20"/>
  <c r="J370" i="20"/>
  <c r="K370" i="20"/>
  <c r="I371" i="20"/>
  <c r="I365" i="20" s="1"/>
  <c r="J371" i="20"/>
  <c r="J365" i="20" s="1"/>
  <c r="J372" i="20"/>
  <c r="K372" i="20"/>
  <c r="D373" i="20"/>
  <c r="L376" i="20"/>
  <c r="O376" i="20" s="1"/>
  <c r="M376" i="20"/>
  <c r="N376" i="20"/>
  <c r="P376" i="20"/>
  <c r="Q376" i="20"/>
  <c r="T376" i="20" s="1"/>
  <c r="R376" i="20"/>
  <c r="U376" i="20" s="1"/>
  <c r="S376" i="20"/>
  <c r="O379" i="20"/>
  <c r="P379" i="20"/>
  <c r="T379" i="20"/>
  <c r="U379" i="20"/>
  <c r="L380" i="20"/>
  <c r="M380" i="20"/>
  <c r="N380" i="20"/>
  <c r="N378" i="20" s="1"/>
  <c r="Q380" i="20"/>
  <c r="Q377" i="20" s="1"/>
  <c r="R380" i="20"/>
  <c r="R377" i="20" s="1"/>
  <c r="S380" i="20"/>
  <c r="S377" i="20" s="1"/>
  <c r="Q381" i="20"/>
  <c r="T381" i="20" s="1"/>
  <c r="R381" i="20"/>
  <c r="U381" i="20" s="1"/>
  <c r="S381" i="20"/>
  <c r="O382" i="20"/>
  <c r="P382" i="20"/>
  <c r="T382" i="20"/>
  <c r="U382" i="20"/>
  <c r="L383" i="20"/>
  <c r="O383" i="20" s="1"/>
  <c r="M383" i="20"/>
  <c r="M381" i="20" s="1"/>
  <c r="P381" i="20" s="1"/>
  <c r="N383" i="20"/>
  <c r="N381" i="20" s="1"/>
  <c r="T383" i="20"/>
  <c r="U383" i="20"/>
  <c r="J385" i="20"/>
  <c r="K385" i="20"/>
  <c r="I386" i="20"/>
  <c r="J386" i="20"/>
  <c r="J387" i="20"/>
  <c r="K387" i="20"/>
  <c r="I388" i="20"/>
  <c r="K388" i="20" s="1"/>
  <c r="J388" i="20"/>
  <c r="I391" i="20"/>
  <c r="J391" i="20"/>
  <c r="K391" i="20"/>
  <c r="L393" i="20"/>
  <c r="M393" i="20"/>
  <c r="P393" i="20" s="1"/>
  <c r="N393" i="20"/>
  <c r="O393" i="20"/>
  <c r="Q393" i="20"/>
  <c r="R393" i="20"/>
  <c r="S393" i="20"/>
  <c r="T393" i="20"/>
  <c r="L394" i="20"/>
  <c r="O394" i="20" s="1"/>
  <c r="M394" i="20"/>
  <c r="N394" i="20"/>
  <c r="N392" i="20" s="1"/>
  <c r="P394" i="20"/>
  <c r="L395" i="20"/>
  <c r="O395" i="20" s="1"/>
  <c r="M395" i="20"/>
  <c r="P395" i="20" s="1"/>
  <c r="N395" i="20"/>
  <c r="O396" i="20"/>
  <c r="P396" i="20"/>
  <c r="T396" i="20"/>
  <c r="U396" i="20"/>
  <c r="O397" i="20"/>
  <c r="P397" i="20"/>
  <c r="Q397" i="20"/>
  <c r="Q395" i="20" s="1"/>
  <c r="T395" i="20" s="1"/>
  <c r="R397" i="20"/>
  <c r="R394" i="20" s="1"/>
  <c r="U394" i="20" s="1"/>
  <c r="S397" i="20"/>
  <c r="S394" i="20" s="1"/>
  <c r="L398" i="20"/>
  <c r="O398" i="20" s="1"/>
  <c r="M398" i="20"/>
  <c r="P398" i="20" s="1"/>
  <c r="N398" i="20"/>
  <c r="Q398" i="20"/>
  <c r="T398" i="20" s="1"/>
  <c r="R398" i="20"/>
  <c r="U398" i="20" s="1"/>
  <c r="S398" i="20"/>
  <c r="O399" i="20"/>
  <c r="P399" i="20"/>
  <c r="T399" i="20"/>
  <c r="U399" i="20"/>
  <c r="O400" i="20"/>
  <c r="P400" i="20"/>
  <c r="T400" i="20"/>
  <c r="U400" i="20"/>
  <c r="L414" i="20"/>
  <c r="M414" i="20"/>
  <c r="P414" i="20" s="1"/>
  <c r="N414" i="20"/>
  <c r="O414" i="20"/>
  <c r="Q414" i="20"/>
  <c r="R414" i="20"/>
  <c r="S414" i="20"/>
  <c r="T414" i="20"/>
  <c r="U414" i="20"/>
  <c r="O417" i="20"/>
  <c r="P417" i="20"/>
  <c r="T417" i="20"/>
  <c r="U417" i="20"/>
  <c r="L418" i="20"/>
  <c r="M418" i="20"/>
  <c r="N418" i="20"/>
  <c r="Q418" i="20"/>
  <c r="Q416" i="20" s="1"/>
  <c r="R418" i="20"/>
  <c r="R415" i="20" s="1"/>
  <c r="S418" i="20"/>
  <c r="S415" i="20" s="1"/>
  <c r="Q419" i="20"/>
  <c r="T419" i="20" s="1"/>
  <c r="R419" i="20"/>
  <c r="U419" i="20" s="1"/>
  <c r="S419" i="20"/>
  <c r="O420" i="20"/>
  <c r="P420" i="20"/>
  <c r="T420" i="20"/>
  <c r="U420" i="20"/>
  <c r="L421" i="20"/>
  <c r="L419" i="20" s="1"/>
  <c r="O419" i="20" s="1"/>
  <c r="M421" i="20"/>
  <c r="M419" i="20" s="1"/>
  <c r="P419" i="20" s="1"/>
  <c r="N421" i="20"/>
  <c r="N419" i="20" s="1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I423" i="20" s="1"/>
  <c r="I441" i="20"/>
  <c r="K441" i="20" s="1"/>
  <c r="J446" i="20"/>
  <c r="J440" i="20" s="1"/>
  <c r="J423" i="20" s="1"/>
  <c r="J412" i="20" s="1"/>
  <c r="J447" i="20"/>
  <c r="J441" i="20" s="1"/>
  <c r="I457" i="20"/>
  <c r="I456" i="20" s="1"/>
  <c r="I458" i="20"/>
  <c r="K458" i="20" s="1"/>
  <c r="J459" i="20"/>
  <c r="J457" i="20" s="1"/>
  <c r="J456" i="20" s="1"/>
  <c r="J460" i="20"/>
  <c r="J467" i="20"/>
  <c r="J468" i="20"/>
  <c r="J458" i="20" s="1"/>
  <c r="J475" i="20"/>
  <c r="K475" i="20"/>
  <c r="J476" i="20"/>
  <c r="K476" i="20"/>
  <c r="J477" i="20"/>
  <c r="K477" i="20"/>
  <c r="J482" i="20"/>
  <c r="J483" i="20"/>
  <c r="I484" i="20"/>
  <c r="K484" i="20" s="1"/>
  <c r="J484" i="20"/>
  <c r="I485" i="20"/>
  <c r="J485" i="20"/>
  <c r="K485" i="20"/>
  <c r="L494" i="20"/>
  <c r="M494" i="20"/>
  <c r="N494" i="20"/>
  <c r="P494" i="20"/>
  <c r="Q494" i="20"/>
  <c r="R494" i="20"/>
  <c r="S494" i="20"/>
  <c r="O497" i="20"/>
  <c r="P497" i="20"/>
  <c r="T497" i="20"/>
  <c r="U497" i="20"/>
  <c r="L498" i="20"/>
  <c r="L496" i="20" s="1"/>
  <c r="M498" i="20"/>
  <c r="M496" i="20" s="1"/>
  <c r="N498" i="20"/>
  <c r="N496" i="20" s="1"/>
  <c r="Q498" i="20"/>
  <c r="Q496" i="20" s="1"/>
  <c r="R498" i="20"/>
  <c r="S498" i="20"/>
  <c r="S495" i="20" s="1"/>
  <c r="Q499" i="20"/>
  <c r="R499" i="20"/>
  <c r="U499" i="20" s="1"/>
  <c r="S499" i="20"/>
  <c r="T499" i="20"/>
  <c r="O500" i="20"/>
  <c r="P500" i="20"/>
  <c r="T500" i="20"/>
  <c r="U500" i="20"/>
  <c r="L501" i="20"/>
  <c r="O501" i="20" s="1"/>
  <c r="M501" i="20"/>
  <c r="P501" i="20" s="1"/>
  <c r="N501" i="20"/>
  <c r="N499" i="20" s="1"/>
  <c r="T501" i="20"/>
  <c r="U501" i="20"/>
  <c r="I503" i="20"/>
  <c r="I492" i="20" s="1"/>
  <c r="J503" i="20"/>
  <c r="J492" i="20" s="1"/>
  <c r="I504" i="20"/>
  <c r="K504" i="20" s="1"/>
  <c r="I505" i="20"/>
  <c r="K505" i="20" s="1"/>
  <c r="I506" i="20"/>
  <c r="K506" i="20" s="1"/>
  <c r="I507" i="20"/>
  <c r="K507" i="20" s="1"/>
  <c r="K508" i="20"/>
  <c r="I509" i="20"/>
  <c r="K509" i="20" s="1"/>
  <c r="I512" i="20"/>
  <c r="J512" i="20"/>
  <c r="K512" i="20"/>
  <c r="L514" i="20"/>
  <c r="O514" i="20" s="1"/>
  <c r="M514" i="20"/>
  <c r="P514" i="20" s="1"/>
  <c r="N514" i="20"/>
  <c r="Q514" i="20"/>
  <c r="R514" i="20"/>
  <c r="S514" i="20"/>
  <c r="T514" i="20"/>
  <c r="Q515" i="20"/>
  <c r="T515" i="20" s="1"/>
  <c r="R515" i="20"/>
  <c r="S515" i="20"/>
  <c r="U515" i="20"/>
  <c r="Q516" i="20"/>
  <c r="T516" i="20" s="1"/>
  <c r="R516" i="20"/>
  <c r="U516" i="20" s="1"/>
  <c r="S516" i="20"/>
  <c r="O517" i="20"/>
  <c r="P517" i="20"/>
  <c r="T517" i="20"/>
  <c r="U517" i="20"/>
  <c r="L518" i="20"/>
  <c r="M518" i="20"/>
  <c r="M516" i="20" s="1"/>
  <c r="P516" i="20" s="1"/>
  <c r="N518" i="20"/>
  <c r="N516" i="20" s="1"/>
  <c r="T518" i="20"/>
  <c r="U518" i="20"/>
  <c r="Q519" i="20"/>
  <c r="T519" i="20" s="1"/>
  <c r="R519" i="20"/>
  <c r="S519" i="20"/>
  <c r="U519" i="20"/>
  <c r="O520" i="20"/>
  <c r="P520" i="20"/>
  <c r="T520" i="20"/>
  <c r="U520" i="20"/>
  <c r="L521" i="20"/>
  <c r="L519" i="20" s="1"/>
  <c r="O519" i="20" s="1"/>
  <c r="M521" i="20"/>
  <c r="P521" i="20" s="1"/>
  <c r="N521" i="20"/>
  <c r="N519" i="20" s="1"/>
  <c r="T521" i="20"/>
  <c r="U521" i="20"/>
  <c r="K523" i="20"/>
  <c r="K524" i="20"/>
  <c r="I533" i="20"/>
  <c r="K533" i="20" s="1"/>
  <c r="J533" i="20"/>
  <c r="L535" i="20"/>
  <c r="O535" i="20" s="1"/>
  <c r="M535" i="20"/>
  <c r="N535" i="20"/>
  <c r="Q535" i="20"/>
  <c r="Q534" i="20" s="1"/>
  <c r="T534" i="20" s="1"/>
  <c r="R535" i="20"/>
  <c r="S535" i="20"/>
  <c r="S534" i="20" s="1"/>
  <c r="T535" i="20"/>
  <c r="U535" i="20"/>
  <c r="Q536" i="20"/>
  <c r="T536" i="20" s="1"/>
  <c r="R536" i="20"/>
  <c r="U536" i="20" s="1"/>
  <c r="S536" i="20"/>
  <c r="Q537" i="20"/>
  <c r="R537" i="20"/>
  <c r="S537" i="20"/>
  <c r="T537" i="20"/>
  <c r="U537" i="20"/>
  <c r="O538" i="20"/>
  <c r="P538" i="20"/>
  <c r="T538" i="20"/>
  <c r="U538" i="20"/>
  <c r="L539" i="20"/>
  <c r="M539" i="20"/>
  <c r="M537" i="20" s="1"/>
  <c r="P537" i="20" s="1"/>
  <c r="N539" i="20"/>
  <c r="T539" i="20"/>
  <c r="U539" i="20"/>
  <c r="Q540" i="20"/>
  <c r="T540" i="20" s="1"/>
  <c r="R540" i="20"/>
  <c r="U540" i="20" s="1"/>
  <c r="S540" i="20"/>
  <c r="O541" i="20"/>
  <c r="P541" i="20"/>
  <c r="T541" i="20"/>
  <c r="U541" i="20"/>
  <c r="L542" i="20"/>
  <c r="O542" i="20" s="1"/>
  <c r="M542" i="20"/>
  <c r="M540" i="20" s="1"/>
  <c r="P540" i="20" s="1"/>
  <c r="N542" i="20"/>
  <c r="N540" i="20" s="1"/>
  <c r="T542" i="20"/>
  <c r="U542" i="20"/>
  <c r="I554" i="20"/>
  <c r="K554" i="20" s="1"/>
  <c r="J554" i="20"/>
  <c r="L556" i="20"/>
  <c r="O556" i="20" s="1"/>
  <c r="M556" i="20"/>
  <c r="N556" i="20"/>
  <c r="P556" i="20"/>
  <c r="Q556" i="20"/>
  <c r="T556" i="20" s="1"/>
  <c r="R556" i="20"/>
  <c r="U556" i="20" s="1"/>
  <c r="S556" i="20"/>
  <c r="S555" i="20" s="1"/>
  <c r="Q557" i="20"/>
  <c r="R557" i="20"/>
  <c r="S557" i="20"/>
  <c r="T557" i="20"/>
  <c r="U557" i="20"/>
  <c r="Q558" i="20"/>
  <c r="T558" i="20" s="1"/>
  <c r="R558" i="20"/>
  <c r="U558" i="20" s="1"/>
  <c r="S558" i="20"/>
  <c r="O559" i="20"/>
  <c r="P559" i="20"/>
  <c r="T559" i="20"/>
  <c r="U559" i="20"/>
  <c r="L560" i="20"/>
  <c r="O560" i="20" s="1"/>
  <c r="M560" i="20"/>
  <c r="M558" i="20" s="1"/>
  <c r="P558" i="20" s="1"/>
  <c r="N560" i="20"/>
  <c r="N558" i="20" s="1"/>
  <c r="T560" i="20"/>
  <c r="U560" i="20"/>
  <c r="Q561" i="20"/>
  <c r="R561" i="20"/>
  <c r="S561" i="20"/>
  <c r="T561" i="20"/>
  <c r="U561" i="20"/>
  <c r="O562" i="20"/>
  <c r="P562" i="20"/>
  <c r="T562" i="20"/>
  <c r="U562" i="20"/>
  <c r="L563" i="20"/>
  <c r="O563" i="20" s="1"/>
  <c r="M563" i="20"/>
  <c r="P563" i="20" s="1"/>
  <c r="N563" i="20"/>
  <c r="N561" i="20" s="1"/>
  <c r="T563" i="20"/>
  <c r="U563" i="20"/>
  <c r="I575" i="20"/>
  <c r="J575" i="20"/>
  <c r="K575" i="20"/>
  <c r="S576" i="20"/>
  <c r="L577" i="20"/>
  <c r="M577" i="20"/>
  <c r="N577" i="20"/>
  <c r="P577" i="20"/>
  <c r="Q577" i="20"/>
  <c r="T577" i="20" s="1"/>
  <c r="R577" i="20"/>
  <c r="R576" i="20" s="1"/>
  <c r="U576" i="20" s="1"/>
  <c r="S577" i="20"/>
  <c r="Q578" i="20"/>
  <c r="R578" i="20"/>
  <c r="U578" i="20" s="1"/>
  <c r="S578" i="20"/>
  <c r="T578" i="20"/>
  <c r="Q579" i="20"/>
  <c r="R579" i="20"/>
  <c r="S579" i="20"/>
  <c r="T579" i="20"/>
  <c r="U579" i="20"/>
  <c r="O580" i="20"/>
  <c r="P580" i="20"/>
  <c r="T580" i="20"/>
  <c r="U580" i="20"/>
  <c r="L581" i="20"/>
  <c r="O581" i="20" s="1"/>
  <c r="M581" i="20"/>
  <c r="P581" i="20" s="1"/>
  <c r="N581" i="20"/>
  <c r="N579" i="20" s="1"/>
  <c r="T581" i="20"/>
  <c r="U581" i="20"/>
  <c r="Q582" i="20"/>
  <c r="T582" i="20" s="1"/>
  <c r="R582" i="20"/>
  <c r="U582" i="20" s="1"/>
  <c r="S582" i="20"/>
  <c r="O583" i="20"/>
  <c r="P583" i="20"/>
  <c r="T583" i="20"/>
  <c r="U583" i="20"/>
  <c r="L584" i="20"/>
  <c r="L582" i="20" s="1"/>
  <c r="O582" i="20" s="1"/>
  <c r="M584" i="20"/>
  <c r="M582" i="20" s="1"/>
  <c r="P582" i="20" s="1"/>
  <c r="N584" i="20"/>
  <c r="N582" i="20" s="1"/>
  <c r="T584" i="20"/>
  <c r="U584" i="20"/>
  <c r="L600" i="20"/>
  <c r="M600" i="20"/>
  <c r="P600" i="20" s="1"/>
  <c r="N600" i="20"/>
  <c r="Q600" i="20"/>
  <c r="T600" i="20" s="1"/>
  <c r="R600" i="20"/>
  <c r="S600" i="20"/>
  <c r="O603" i="20"/>
  <c r="P603" i="20"/>
  <c r="T603" i="20"/>
  <c r="U603" i="20"/>
  <c r="L604" i="20"/>
  <c r="M604" i="20"/>
  <c r="N604" i="20"/>
  <c r="Q604" i="20"/>
  <c r="Q602" i="20" s="1"/>
  <c r="T602" i="20" s="1"/>
  <c r="R604" i="20"/>
  <c r="U604" i="20" s="1"/>
  <c r="S604" i="20"/>
  <c r="S602" i="20" s="1"/>
  <c r="O606" i="20"/>
  <c r="P606" i="20"/>
  <c r="T606" i="20"/>
  <c r="U606" i="20"/>
  <c r="L607" i="20"/>
  <c r="O607" i="20" s="1"/>
  <c r="M607" i="20"/>
  <c r="P607" i="20" s="1"/>
  <c r="N607" i="20"/>
  <c r="N605" i="20" s="1"/>
  <c r="Q607" i="20"/>
  <c r="Q605" i="20" s="1"/>
  <c r="T605" i="20" s="1"/>
  <c r="R607" i="20"/>
  <c r="U607" i="20" s="1"/>
  <c r="S607" i="20"/>
  <c r="S605" i="20" s="1"/>
  <c r="M616" i="20"/>
  <c r="P616" i="20" s="1"/>
  <c r="L617" i="20"/>
  <c r="L616" i="20" s="1"/>
  <c r="O616" i="20" s="1"/>
  <c r="M617" i="20"/>
  <c r="P617" i="20" s="1"/>
  <c r="N617" i="20"/>
  <c r="Q617" i="20"/>
  <c r="R617" i="20"/>
  <c r="S617" i="20"/>
  <c r="T617" i="20"/>
  <c r="L618" i="20"/>
  <c r="M618" i="20"/>
  <c r="N618" i="20"/>
  <c r="N616" i="20" s="1"/>
  <c r="O618" i="20"/>
  <c r="P618" i="20"/>
  <c r="L619" i="20"/>
  <c r="O619" i="20" s="1"/>
  <c r="M619" i="20"/>
  <c r="P619" i="20" s="1"/>
  <c r="N619" i="20"/>
  <c r="O620" i="20"/>
  <c r="P620" i="20"/>
  <c r="T620" i="20"/>
  <c r="U620" i="20"/>
  <c r="O621" i="20"/>
  <c r="P621" i="20"/>
  <c r="Q621" i="20"/>
  <c r="Q619" i="20" s="1"/>
  <c r="R621" i="20"/>
  <c r="R618" i="20" s="1"/>
  <c r="S621" i="20"/>
  <c r="S618" i="20" s="1"/>
  <c r="S616" i="20" s="1"/>
  <c r="L622" i="20"/>
  <c r="O622" i="20" s="1"/>
  <c r="M622" i="20"/>
  <c r="N622" i="20"/>
  <c r="P622" i="20"/>
  <c r="Q622" i="20"/>
  <c r="R622" i="20"/>
  <c r="U622" i="20" s="1"/>
  <c r="S622" i="20"/>
  <c r="T622" i="20"/>
  <c r="O623" i="20"/>
  <c r="P623" i="20"/>
  <c r="T623" i="20"/>
  <c r="U623" i="20"/>
  <c r="O624" i="20"/>
  <c r="P624" i="20"/>
  <c r="T624" i="20"/>
  <c r="U624" i="20"/>
  <c r="I626" i="20"/>
  <c r="I615" i="20" s="1"/>
  <c r="K615" i="20" s="1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L643" i="20"/>
  <c r="O643" i="20" s="1"/>
  <c r="M643" i="20"/>
  <c r="P643" i="20" s="1"/>
  <c r="N643" i="20"/>
  <c r="Q643" i="20"/>
  <c r="R643" i="20"/>
  <c r="U643" i="20" s="1"/>
  <c r="S643" i="20"/>
  <c r="L644" i="20"/>
  <c r="L642" i="20" s="1"/>
  <c r="O642" i="20" s="1"/>
  <c r="M644" i="20"/>
  <c r="M642" i="20" s="1"/>
  <c r="P642" i="20" s="1"/>
  <c r="N644" i="20"/>
  <c r="O644" i="20"/>
  <c r="P644" i="20"/>
  <c r="L645" i="20"/>
  <c r="O645" i="20" s="1"/>
  <c r="M645" i="20"/>
  <c r="N645" i="20"/>
  <c r="P645" i="20"/>
  <c r="O646" i="20"/>
  <c r="P646" i="20"/>
  <c r="T646" i="20"/>
  <c r="U646" i="20"/>
  <c r="O647" i="20"/>
  <c r="P647" i="20"/>
  <c r="Q647" i="20"/>
  <c r="Q644" i="20" s="1"/>
  <c r="T644" i="20" s="1"/>
  <c r="R647" i="20"/>
  <c r="R644" i="20" s="1"/>
  <c r="S647" i="20"/>
  <c r="S645" i="20" s="1"/>
  <c r="L648" i="20"/>
  <c r="M648" i="20"/>
  <c r="P648" i="20" s="1"/>
  <c r="N648" i="20"/>
  <c r="O648" i="20"/>
  <c r="Q648" i="20"/>
  <c r="R648" i="20"/>
  <c r="S648" i="20"/>
  <c r="T648" i="20"/>
  <c r="U648" i="20"/>
  <c r="O649" i="20"/>
  <c r="P649" i="20"/>
  <c r="T649" i="20"/>
  <c r="U649" i="20"/>
  <c r="O650" i="20"/>
  <c r="P650" i="20"/>
  <c r="T650" i="20"/>
  <c r="U650" i="20"/>
  <c r="I652" i="20"/>
  <c r="K652" i="20" s="1"/>
  <c r="J652" i="20"/>
  <c r="I653" i="20"/>
  <c r="K653" i="20" s="1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K673" i="20" s="1"/>
  <c r="J673" i="20"/>
  <c r="I674" i="20"/>
  <c r="K674" i="20" s="1"/>
  <c r="I675" i="20"/>
  <c r="K675" i="20" s="1"/>
  <c r="I676" i="20"/>
  <c r="K676" i="20" s="1"/>
  <c r="J676" i="20"/>
  <c r="J677" i="20"/>
  <c r="I678" i="20"/>
  <c r="K678" i="20" s="1"/>
  <c r="J678" i="20"/>
  <c r="I679" i="20"/>
  <c r="K679" i="20" s="1"/>
  <c r="J679" i="20"/>
  <c r="J680" i="20"/>
  <c r="I681" i="20"/>
  <c r="K681" i="20" s="1"/>
  <c r="J681" i="20"/>
  <c r="I682" i="20"/>
  <c r="K682" i="20" s="1"/>
  <c r="J682" i="20"/>
  <c r="L691" i="20"/>
  <c r="O691" i="20" s="1"/>
  <c r="M691" i="20"/>
  <c r="P691" i="20" s="1"/>
  <c r="N691" i="20"/>
  <c r="N690" i="20" s="1"/>
  <c r="Q691" i="20"/>
  <c r="R691" i="20"/>
  <c r="U691" i="20" s="1"/>
  <c r="S691" i="20"/>
  <c r="T691" i="20"/>
  <c r="L692" i="20"/>
  <c r="O692" i="20" s="1"/>
  <c r="M692" i="20"/>
  <c r="N692" i="20"/>
  <c r="P692" i="20"/>
  <c r="L693" i="20"/>
  <c r="O693" i="20" s="1"/>
  <c r="M693" i="20"/>
  <c r="P693" i="20" s="1"/>
  <c r="N693" i="20"/>
  <c r="O694" i="20"/>
  <c r="P694" i="20"/>
  <c r="T694" i="20"/>
  <c r="U694" i="20"/>
  <c r="O695" i="20"/>
  <c r="P695" i="20"/>
  <c r="Q695" i="20"/>
  <c r="Q692" i="20" s="1"/>
  <c r="R695" i="20"/>
  <c r="R692" i="20" s="1"/>
  <c r="S695" i="20"/>
  <c r="S693" i="20" s="1"/>
  <c r="L696" i="20"/>
  <c r="M696" i="20"/>
  <c r="P696" i="20" s="1"/>
  <c r="N696" i="20"/>
  <c r="O696" i="20"/>
  <c r="Q696" i="20"/>
  <c r="T696" i="20" s="1"/>
  <c r="R696" i="20"/>
  <c r="U696" i="20" s="1"/>
  <c r="S696" i="20"/>
  <c r="O697" i="20"/>
  <c r="P697" i="20"/>
  <c r="T697" i="20"/>
  <c r="U697" i="20"/>
  <c r="O698" i="20"/>
  <c r="P698" i="20"/>
  <c r="T698" i="20"/>
  <c r="U698" i="20"/>
  <c r="I700" i="20"/>
  <c r="K700" i="20" s="1"/>
  <c r="I701" i="20"/>
  <c r="J701" i="20"/>
  <c r="J702" i="20"/>
  <c r="K702" i="20"/>
  <c r="I703" i="20"/>
  <c r="J703" i="20"/>
  <c r="J704" i="20"/>
  <c r="K704" i="20"/>
  <c r="I705" i="20"/>
  <c r="J705" i="20"/>
  <c r="J706" i="20"/>
  <c r="K706" i="20"/>
  <c r="I707" i="20"/>
  <c r="I689" i="20" s="1"/>
  <c r="J707" i="20"/>
  <c r="J689" i="20" s="1"/>
  <c r="J708" i="20"/>
  <c r="K708" i="20"/>
  <c r="I709" i="20"/>
  <c r="J712" i="20"/>
  <c r="K712" i="20"/>
  <c r="N714" i="20"/>
  <c r="Q714" i="20"/>
  <c r="T714" i="20" s="1"/>
  <c r="L715" i="20"/>
  <c r="M715" i="20"/>
  <c r="N715" i="20"/>
  <c r="O715" i="20"/>
  <c r="P715" i="20"/>
  <c r="Q715" i="20"/>
  <c r="R715" i="20"/>
  <c r="S715" i="20"/>
  <c r="T715" i="20"/>
  <c r="U715" i="20"/>
  <c r="L716" i="20"/>
  <c r="O716" i="20" s="1"/>
  <c r="M716" i="20"/>
  <c r="N716" i="20"/>
  <c r="P716" i="20"/>
  <c r="Q716" i="20"/>
  <c r="T716" i="20" s="1"/>
  <c r="R716" i="20"/>
  <c r="U716" i="20" s="1"/>
  <c r="S716" i="20"/>
  <c r="L717" i="20"/>
  <c r="O717" i="20" s="1"/>
  <c r="M717" i="20"/>
  <c r="P717" i="20" s="1"/>
  <c r="N717" i="20"/>
  <c r="Q717" i="20"/>
  <c r="R717" i="20"/>
  <c r="U717" i="20" s="1"/>
  <c r="S717" i="20"/>
  <c r="T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P720" i="20" s="1"/>
  <c r="N720" i="20"/>
  <c r="Q720" i="20"/>
  <c r="R720" i="20"/>
  <c r="U720" i="20" s="1"/>
  <c r="S720" i="20"/>
  <c r="T720" i="20"/>
  <c r="O721" i="20"/>
  <c r="P721" i="20"/>
  <c r="T721" i="20"/>
  <c r="U721" i="20"/>
  <c r="O722" i="20"/>
  <c r="P722" i="20"/>
  <c r="T722" i="20"/>
  <c r="U722" i="20"/>
  <c r="I726" i="20"/>
  <c r="J726" i="20"/>
  <c r="I727" i="20"/>
  <c r="K727" i="20" s="1"/>
  <c r="J727" i="20"/>
  <c r="L729" i="20"/>
  <c r="M729" i="20"/>
  <c r="N729" i="20"/>
  <c r="N728" i="20" s="1"/>
  <c r="O729" i="20"/>
  <c r="Q729" i="20"/>
  <c r="R729" i="20"/>
  <c r="S729" i="20"/>
  <c r="T729" i="20"/>
  <c r="U729" i="20"/>
  <c r="L730" i="20"/>
  <c r="O730" i="20" s="1"/>
  <c r="M730" i="20"/>
  <c r="P730" i="20" s="1"/>
  <c r="N730" i="20"/>
  <c r="L731" i="20"/>
  <c r="O731" i="20" s="1"/>
  <c r="M731" i="20"/>
  <c r="P731" i="20" s="1"/>
  <c r="N731" i="20"/>
  <c r="O732" i="20"/>
  <c r="P732" i="20"/>
  <c r="T732" i="20"/>
  <c r="U732" i="20"/>
  <c r="O733" i="20"/>
  <c r="P733" i="20"/>
  <c r="Q733" i="20"/>
  <c r="Q731" i="20" s="1"/>
  <c r="R733" i="20"/>
  <c r="R731" i="20" s="1"/>
  <c r="S733" i="20"/>
  <c r="S730" i="20" s="1"/>
  <c r="L734" i="20"/>
  <c r="M734" i="20"/>
  <c r="N734" i="20"/>
  <c r="O734" i="20"/>
  <c r="P734" i="20"/>
  <c r="Q734" i="20"/>
  <c r="T734" i="20" s="1"/>
  <c r="R734" i="20"/>
  <c r="S734" i="20"/>
  <c r="U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L760" i="20" s="1"/>
  <c r="O760" i="20" s="1"/>
  <c r="M761" i="20"/>
  <c r="P761" i="20" s="1"/>
  <c r="N761" i="20"/>
  <c r="Q761" i="20"/>
  <c r="R761" i="20"/>
  <c r="U761" i="20" s="1"/>
  <c r="S761" i="20"/>
  <c r="L762" i="20"/>
  <c r="O762" i="20" s="1"/>
  <c r="M762" i="20"/>
  <c r="P762" i="20" s="1"/>
  <c r="N762" i="20"/>
  <c r="L763" i="20"/>
  <c r="M763" i="20"/>
  <c r="P763" i="20" s="1"/>
  <c r="N763" i="20"/>
  <c r="O763" i="20"/>
  <c r="O764" i="20"/>
  <c r="P764" i="20"/>
  <c r="T764" i="20"/>
  <c r="U764" i="20"/>
  <c r="O765" i="20"/>
  <c r="P765" i="20"/>
  <c r="Q765" i="20"/>
  <c r="Q763" i="20" s="1"/>
  <c r="R765" i="20"/>
  <c r="R762" i="20" s="1"/>
  <c r="S765" i="20"/>
  <c r="S763" i="20" s="1"/>
  <c r="L766" i="20"/>
  <c r="O766" i="20" s="1"/>
  <c r="M766" i="20"/>
  <c r="P766" i="20" s="1"/>
  <c r="N766" i="20"/>
  <c r="Q766" i="20"/>
  <c r="T766" i="20" s="1"/>
  <c r="R766" i="20"/>
  <c r="U766" i="20" s="1"/>
  <c r="S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K772" i="20" s="1"/>
  <c r="I774" i="20"/>
  <c r="K774" i="20" s="1"/>
  <c r="I775" i="20"/>
  <c r="I776" i="20"/>
  <c r="H777" i="20"/>
  <c r="I778" i="20"/>
  <c r="J778" i="20"/>
  <c r="I779" i="20"/>
  <c r="J779" i="20"/>
  <c r="I780" i="20"/>
  <c r="K780" i="20" s="1"/>
  <c r="J780" i="20"/>
  <c r="I781" i="20"/>
  <c r="K781" i="20" s="1"/>
  <c r="J781" i="20"/>
  <c r="I782" i="20"/>
  <c r="K782" i="20" s="1"/>
  <c r="J782" i="20"/>
  <c r="I783" i="20"/>
  <c r="K783" i="20" s="1"/>
  <c r="J783" i="20"/>
  <c r="I784" i="20"/>
  <c r="J784" i="20"/>
  <c r="I785" i="20"/>
  <c r="J785" i="20"/>
  <c r="A788" i="20"/>
  <c r="A789" i="20"/>
  <c r="L22" i="19"/>
  <c r="M22" i="19"/>
  <c r="M19" i="19" s="1"/>
  <c r="N22" i="19"/>
  <c r="N19" i="19" s="1"/>
  <c r="Q22" i="19"/>
  <c r="R22" i="19"/>
  <c r="S22" i="19"/>
  <c r="T22" i="19"/>
  <c r="L25" i="19"/>
  <c r="M25" i="19"/>
  <c r="N25" i="19"/>
  <c r="Q25" i="19"/>
  <c r="T25" i="19" s="1"/>
  <c r="R25" i="19"/>
  <c r="S25" i="19"/>
  <c r="R44" i="19"/>
  <c r="U44" i="19" s="1"/>
  <c r="L45" i="19"/>
  <c r="O45" i="19" s="1"/>
  <c r="M45" i="19"/>
  <c r="N45" i="19"/>
  <c r="Q45" i="19"/>
  <c r="R45" i="19"/>
  <c r="U45" i="19" s="1"/>
  <c r="S45" i="19"/>
  <c r="S44" i="19" s="1"/>
  <c r="T45" i="19"/>
  <c r="Q46" i="19"/>
  <c r="R46" i="19"/>
  <c r="S46" i="19"/>
  <c r="U46" i="19"/>
  <c r="Q47" i="19"/>
  <c r="T47" i="19" s="1"/>
  <c r="R47" i="19"/>
  <c r="U47" i="19" s="1"/>
  <c r="S47" i="19"/>
  <c r="O48" i="19"/>
  <c r="P48" i="19"/>
  <c r="T48" i="19"/>
  <c r="U48" i="19"/>
  <c r="L49" i="19"/>
  <c r="L47" i="19" s="1"/>
  <c r="M49" i="19"/>
  <c r="M47" i="19" s="1"/>
  <c r="N49" i="19"/>
  <c r="N47" i="19" s="1"/>
  <c r="T49" i="19"/>
  <c r="U49" i="19"/>
  <c r="Q50" i="19"/>
  <c r="R50" i="19"/>
  <c r="U50" i="19" s="1"/>
  <c r="S50" i="19"/>
  <c r="T50" i="19"/>
  <c r="O51" i="19"/>
  <c r="P51" i="19"/>
  <c r="T51" i="19"/>
  <c r="U51" i="19"/>
  <c r="L52" i="19"/>
  <c r="M52" i="19"/>
  <c r="N52" i="19"/>
  <c r="N50" i="19" s="1"/>
  <c r="T52" i="19"/>
  <c r="U52" i="19"/>
  <c r="R59" i="19"/>
  <c r="U59" i="19" s="1"/>
  <c r="L60" i="19"/>
  <c r="O60" i="19" s="1"/>
  <c r="M60" i="19"/>
  <c r="N60" i="19"/>
  <c r="Q60" i="19"/>
  <c r="T60" i="19" s="1"/>
  <c r="R60" i="19"/>
  <c r="U60" i="19" s="1"/>
  <c r="S60" i="19"/>
  <c r="S59" i="19" s="1"/>
  <c r="Q61" i="19"/>
  <c r="T61" i="19" s="1"/>
  <c r="R61" i="19"/>
  <c r="S61" i="19"/>
  <c r="U61" i="19"/>
  <c r="Q62" i="19"/>
  <c r="T62" i="19" s="1"/>
  <c r="R62" i="19"/>
  <c r="U62" i="19" s="1"/>
  <c r="S62" i="19"/>
  <c r="O63" i="19"/>
  <c r="P63" i="19"/>
  <c r="T63" i="19"/>
  <c r="U63" i="19"/>
  <c r="L64" i="19"/>
  <c r="L62" i="19" s="1"/>
  <c r="M64" i="19"/>
  <c r="M62" i="19" s="1"/>
  <c r="N64" i="19"/>
  <c r="N62" i="19" s="1"/>
  <c r="T64" i="19"/>
  <c r="U64" i="19"/>
  <c r="Q65" i="19"/>
  <c r="R65" i="19"/>
  <c r="U65" i="19" s="1"/>
  <c r="S65" i="19"/>
  <c r="T65" i="19"/>
  <c r="O66" i="19"/>
  <c r="P66" i="19"/>
  <c r="T66" i="19"/>
  <c r="U66" i="19"/>
  <c r="L67" i="19"/>
  <c r="M67" i="19"/>
  <c r="N67" i="19"/>
  <c r="N65" i="19" s="1"/>
  <c r="T67" i="19"/>
  <c r="U67" i="19"/>
  <c r="L73" i="19"/>
  <c r="O73" i="19" s="1"/>
  <c r="M73" i="19"/>
  <c r="N73" i="19"/>
  <c r="Q73" i="19"/>
  <c r="R73" i="19"/>
  <c r="S73" i="19"/>
  <c r="T73" i="19"/>
  <c r="O76" i="19"/>
  <c r="P76" i="19"/>
  <c r="T76" i="19"/>
  <c r="U76" i="19"/>
  <c r="L77" i="19"/>
  <c r="M77" i="19"/>
  <c r="M75" i="19" s="1"/>
  <c r="P75" i="19" s="1"/>
  <c r="N77" i="19"/>
  <c r="N75" i="19" s="1"/>
  <c r="Q77" i="19"/>
  <c r="Q75" i="19" s="1"/>
  <c r="T75" i="19" s="1"/>
  <c r="R77" i="19"/>
  <c r="R75" i="19" s="1"/>
  <c r="U75" i="19" s="1"/>
  <c r="S77" i="19"/>
  <c r="S75" i="19" s="1"/>
  <c r="O79" i="19"/>
  <c r="P79" i="19"/>
  <c r="T79" i="19"/>
  <c r="U79" i="19"/>
  <c r="L80" i="19"/>
  <c r="L78" i="19" s="1"/>
  <c r="O78" i="19" s="1"/>
  <c r="M80" i="19"/>
  <c r="M78" i="19" s="1"/>
  <c r="P78" i="19" s="1"/>
  <c r="N80" i="19"/>
  <c r="N78" i="19" s="1"/>
  <c r="Q80" i="19"/>
  <c r="Q78" i="19" s="1"/>
  <c r="T78" i="19" s="1"/>
  <c r="R80" i="19"/>
  <c r="R78" i="19" s="1"/>
  <c r="U78" i="19" s="1"/>
  <c r="S80" i="19"/>
  <c r="S78" i="19" s="1"/>
  <c r="J82" i="19"/>
  <c r="J70" i="19" s="1"/>
  <c r="J83" i="19"/>
  <c r="J71" i="19" s="1"/>
  <c r="I84" i="19"/>
  <c r="I85" i="19"/>
  <c r="K85" i="19" s="1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M95" i="19"/>
  <c r="N95" i="19"/>
  <c r="Q95" i="19"/>
  <c r="R95" i="19"/>
  <c r="S95" i="19"/>
  <c r="O98" i="19"/>
  <c r="P98" i="19"/>
  <c r="T98" i="19"/>
  <c r="U98" i="19"/>
  <c r="L99" i="19"/>
  <c r="L97" i="19" s="1"/>
  <c r="O97" i="19" s="1"/>
  <c r="M99" i="19"/>
  <c r="N99" i="19"/>
  <c r="N97" i="19" s="1"/>
  <c r="Q99" i="19"/>
  <c r="Q96" i="19" s="1"/>
  <c r="T96" i="19" s="1"/>
  <c r="R99" i="19"/>
  <c r="S99" i="19"/>
  <c r="Q100" i="19"/>
  <c r="T100" i="19" s="1"/>
  <c r="R100" i="19"/>
  <c r="S100" i="19"/>
  <c r="U100" i="19"/>
  <c r="O101" i="19"/>
  <c r="P101" i="19"/>
  <c r="T101" i="19"/>
  <c r="U101" i="19"/>
  <c r="L102" i="19"/>
  <c r="M102" i="19"/>
  <c r="N102" i="19"/>
  <c r="N100" i="19" s="1"/>
  <c r="T102" i="19"/>
  <c r="U102" i="19"/>
  <c r="I108" i="19"/>
  <c r="I109" i="19"/>
  <c r="K109" i="19" s="1"/>
  <c r="I114" i="19"/>
  <c r="K114" i="19" s="1"/>
  <c r="J116" i="19"/>
  <c r="L118" i="19"/>
  <c r="M118" i="19"/>
  <c r="N118" i="19"/>
  <c r="Q118" i="19"/>
  <c r="R118" i="19"/>
  <c r="S118" i="19"/>
  <c r="O121" i="19"/>
  <c r="P121" i="19"/>
  <c r="T121" i="19"/>
  <c r="U121" i="19"/>
  <c r="L122" i="19"/>
  <c r="O122" i="19" s="1"/>
  <c r="M122" i="19"/>
  <c r="N122" i="19"/>
  <c r="N120" i="19" s="1"/>
  <c r="Q122" i="19"/>
  <c r="Q120" i="19" s="1"/>
  <c r="R122" i="19"/>
  <c r="S122" i="19"/>
  <c r="S120" i="19" s="1"/>
  <c r="O124" i="19"/>
  <c r="P124" i="19"/>
  <c r="T124" i="19"/>
  <c r="U124" i="19"/>
  <c r="L125" i="19"/>
  <c r="O125" i="19" s="1"/>
  <c r="M125" i="19"/>
  <c r="N125" i="19"/>
  <c r="N123" i="19" s="1"/>
  <c r="Q125" i="19"/>
  <c r="R125" i="19"/>
  <c r="U125" i="19" s="1"/>
  <c r="S125" i="19"/>
  <c r="S123" i="19" s="1"/>
  <c r="I127" i="19"/>
  <c r="I116" i="19" s="1"/>
  <c r="I128" i="19"/>
  <c r="K128" i="19" s="1"/>
  <c r="I129" i="19"/>
  <c r="K129" i="19" s="1"/>
  <c r="I130" i="19"/>
  <c r="K130" i="19" s="1"/>
  <c r="J136" i="19"/>
  <c r="J137" i="19"/>
  <c r="J138" i="19"/>
  <c r="L140" i="19"/>
  <c r="M140" i="19"/>
  <c r="N140" i="19"/>
  <c r="Q140" i="19"/>
  <c r="R140" i="19"/>
  <c r="S140" i="19"/>
  <c r="O143" i="19"/>
  <c r="P143" i="19"/>
  <c r="T143" i="19"/>
  <c r="U143" i="19"/>
  <c r="L144" i="19"/>
  <c r="L142" i="19" s="1"/>
  <c r="M144" i="19"/>
  <c r="N144" i="19"/>
  <c r="N142" i="19" s="1"/>
  <c r="Q144" i="19"/>
  <c r="Q142" i="19" s="1"/>
  <c r="R144" i="19"/>
  <c r="S144" i="19"/>
  <c r="S142" i="19" s="1"/>
  <c r="O146" i="19"/>
  <c r="P146" i="19"/>
  <c r="T146" i="19"/>
  <c r="U146" i="19"/>
  <c r="L147" i="19"/>
  <c r="L145" i="19" s="1"/>
  <c r="O145" i="19" s="1"/>
  <c r="M147" i="19"/>
  <c r="N147" i="19"/>
  <c r="Q147" i="19"/>
  <c r="T147" i="19" s="1"/>
  <c r="R147" i="19"/>
  <c r="U147" i="19" s="1"/>
  <c r="S147" i="19"/>
  <c r="S145" i="19" s="1"/>
  <c r="I150" i="19"/>
  <c r="K150" i="19" s="1"/>
  <c r="I151" i="19"/>
  <c r="K151" i="19" s="1"/>
  <c r="I152" i="19"/>
  <c r="I153" i="19"/>
  <c r="K153" i="19" s="1"/>
  <c r="I154" i="19"/>
  <c r="J156" i="19"/>
  <c r="L158" i="19"/>
  <c r="M158" i="19"/>
  <c r="N158" i="19"/>
  <c r="P158" i="19"/>
  <c r="Q158" i="19"/>
  <c r="R158" i="19"/>
  <c r="S158" i="19"/>
  <c r="O161" i="19"/>
  <c r="P161" i="19"/>
  <c r="T161" i="19"/>
  <c r="U161" i="19"/>
  <c r="L162" i="19"/>
  <c r="M162" i="19"/>
  <c r="N162" i="19"/>
  <c r="N160" i="19" s="1"/>
  <c r="Q162" i="19"/>
  <c r="Q159" i="19" s="1"/>
  <c r="T159" i="19" s="1"/>
  <c r="R162" i="19"/>
  <c r="R159" i="19" s="1"/>
  <c r="U159" i="19" s="1"/>
  <c r="S162" i="19"/>
  <c r="S160" i="19" s="1"/>
  <c r="Q163" i="19"/>
  <c r="T163" i="19" s="1"/>
  <c r="R163" i="19"/>
  <c r="S163" i="19"/>
  <c r="U163" i="19"/>
  <c r="O164" i="19"/>
  <c r="P164" i="19"/>
  <c r="T164" i="19"/>
  <c r="U164" i="19"/>
  <c r="L165" i="19"/>
  <c r="L163" i="19" s="1"/>
  <c r="O163" i="19" s="1"/>
  <c r="M165" i="19"/>
  <c r="N165" i="19"/>
  <c r="N163" i="19" s="1"/>
  <c r="T165" i="19"/>
  <c r="U165" i="19"/>
  <c r="I167" i="19"/>
  <c r="K167" i="19" s="1"/>
  <c r="J172" i="19"/>
  <c r="L174" i="19"/>
  <c r="M174" i="19"/>
  <c r="N174" i="19"/>
  <c r="P174" i="19"/>
  <c r="Q174" i="19"/>
  <c r="R174" i="19"/>
  <c r="S174" i="19"/>
  <c r="O177" i="19"/>
  <c r="P177" i="19"/>
  <c r="T177" i="19"/>
  <c r="U177" i="19"/>
  <c r="L178" i="19"/>
  <c r="M178" i="19"/>
  <c r="N178" i="19"/>
  <c r="N176" i="19" s="1"/>
  <c r="Q178" i="19"/>
  <c r="Q175" i="19" s="1"/>
  <c r="T175" i="19" s="1"/>
  <c r="R178" i="19"/>
  <c r="R175" i="19" s="1"/>
  <c r="U175" i="19" s="1"/>
  <c r="S178" i="19"/>
  <c r="S176" i="19" s="1"/>
  <c r="Q179" i="19"/>
  <c r="T179" i="19" s="1"/>
  <c r="R179" i="19"/>
  <c r="U179" i="19" s="1"/>
  <c r="S179" i="19"/>
  <c r="O180" i="19"/>
  <c r="P180" i="19"/>
  <c r="T180" i="19"/>
  <c r="U180" i="19"/>
  <c r="L181" i="19"/>
  <c r="M181" i="19"/>
  <c r="N181" i="19"/>
  <c r="N179" i="19" s="1"/>
  <c r="T181" i="19"/>
  <c r="U181" i="19"/>
  <c r="I183" i="19"/>
  <c r="K184" i="19"/>
  <c r="L187" i="19"/>
  <c r="O187" i="19" s="1"/>
  <c r="M187" i="19"/>
  <c r="P187" i="19" s="1"/>
  <c r="N187" i="19"/>
  <c r="Q187" i="19"/>
  <c r="T187" i="19" s="1"/>
  <c r="R187" i="19"/>
  <c r="S187" i="19"/>
  <c r="U187" i="19"/>
  <c r="O190" i="19"/>
  <c r="P190" i="19"/>
  <c r="T190" i="19"/>
  <c r="U190" i="19"/>
  <c r="L191" i="19"/>
  <c r="L189" i="19" s="1"/>
  <c r="M191" i="19"/>
  <c r="M189" i="19" s="1"/>
  <c r="N191" i="19"/>
  <c r="Q191" i="19"/>
  <c r="R191" i="19"/>
  <c r="S191" i="19"/>
  <c r="O193" i="19"/>
  <c r="P193" i="19"/>
  <c r="T193" i="19"/>
  <c r="U193" i="19"/>
  <c r="L194" i="19"/>
  <c r="L192" i="19" s="1"/>
  <c r="O192" i="19" s="1"/>
  <c r="M194" i="19"/>
  <c r="M192" i="19" s="1"/>
  <c r="P192" i="19" s="1"/>
  <c r="N194" i="19"/>
  <c r="N192" i="19" s="1"/>
  <c r="Q194" i="19"/>
  <c r="T194" i="19" s="1"/>
  <c r="R194" i="19"/>
  <c r="R192" i="19" s="1"/>
  <c r="U192" i="19" s="1"/>
  <c r="S194" i="19"/>
  <c r="S192" i="19" s="1"/>
  <c r="J195" i="19"/>
  <c r="L196" i="19"/>
  <c r="O196" i="19" s="1"/>
  <c r="P196" i="19"/>
  <c r="I198" i="19"/>
  <c r="I195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L207" i="19"/>
  <c r="I209" i="19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K220" i="19" s="1"/>
  <c r="J221" i="19"/>
  <c r="N222" i="19"/>
  <c r="P222" i="19"/>
  <c r="L223" i="19"/>
  <c r="L224" i="19"/>
  <c r="L225" i="19"/>
  <c r="I228" i="19"/>
  <c r="K228" i="19" s="1"/>
  <c r="I229" i="19"/>
  <c r="I221" i="19" s="1"/>
  <c r="K221" i="19" s="1"/>
  <c r="I230" i="19"/>
  <c r="K230" i="19" s="1"/>
  <c r="J231" i="19"/>
  <c r="J185" i="19" s="1"/>
  <c r="N233" i="19"/>
  <c r="N234" i="19"/>
  <c r="N235" i="19"/>
  <c r="N236" i="19"/>
  <c r="J238" i="19"/>
  <c r="J240" i="19"/>
  <c r="J241" i="19"/>
  <c r="J242" i="19"/>
  <c r="N243" i="19"/>
  <c r="N232" i="19" s="1"/>
  <c r="P243" i="19"/>
  <c r="Q243" i="19"/>
  <c r="S243" i="19"/>
  <c r="S232" i="19" s="1"/>
  <c r="L244" i="19"/>
  <c r="L245" i="19"/>
  <c r="L246" i="19"/>
  <c r="L247" i="19"/>
  <c r="I249" i="19"/>
  <c r="I242" i="19" s="1"/>
  <c r="I251" i="19"/>
  <c r="K251" i="19" s="1"/>
  <c r="I252" i="19"/>
  <c r="J253" i="19"/>
  <c r="N254" i="19"/>
  <c r="P254" i="19"/>
  <c r="Q254" i="19"/>
  <c r="Q232" i="19" s="1"/>
  <c r="S254" i="19"/>
  <c r="L255" i="19"/>
  <c r="L256" i="19"/>
  <c r="L257" i="19"/>
  <c r="L258" i="19"/>
  <c r="I260" i="19"/>
  <c r="K260" i="19" s="1"/>
  <c r="I262" i="19"/>
  <c r="K262" i="19" s="1"/>
  <c r="I263" i="19"/>
  <c r="K263" i="19" s="1"/>
  <c r="J265" i="19"/>
  <c r="L267" i="19"/>
  <c r="M267" i="19"/>
  <c r="P267" i="19" s="1"/>
  <c r="N267" i="19"/>
  <c r="O267" i="19"/>
  <c r="Q267" i="19"/>
  <c r="T267" i="19" s="1"/>
  <c r="R267" i="19"/>
  <c r="S267" i="19"/>
  <c r="U267" i="19"/>
  <c r="O270" i="19"/>
  <c r="P270" i="19"/>
  <c r="T270" i="19"/>
  <c r="U270" i="19"/>
  <c r="L271" i="19"/>
  <c r="M271" i="19"/>
  <c r="M269" i="19" s="1"/>
  <c r="N271" i="19"/>
  <c r="Q271" i="19"/>
  <c r="Q268" i="19" s="1"/>
  <c r="R271" i="19"/>
  <c r="S271" i="19"/>
  <c r="Q272" i="19"/>
  <c r="R272" i="19"/>
  <c r="U272" i="19" s="1"/>
  <c r="S272" i="19"/>
  <c r="T272" i="19"/>
  <c r="O273" i="19"/>
  <c r="P273" i="19"/>
  <c r="T273" i="19"/>
  <c r="U273" i="19"/>
  <c r="L274" i="19"/>
  <c r="M274" i="19"/>
  <c r="N274" i="19"/>
  <c r="N272" i="19" s="1"/>
  <c r="T274" i="19"/>
  <c r="U274" i="19"/>
  <c r="I276" i="19"/>
  <c r="I265" i="19" s="1"/>
  <c r="J281" i="19"/>
  <c r="L283" i="19"/>
  <c r="M283" i="19"/>
  <c r="P283" i="19" s="1"/>
  <c r="N283" i="19"/>
  <c r="Q283" i="19"/>
  <c r="R283" i="19"/>
  <c r="S283" i="19"/>
  <c r="U283" i="19"/>
  <c r="Q284" i="19"/>
  <c r="T284" i="19" s="1"/>
  <c r="R284" i="19"/>
  <c r="U284" i="19" s="1"/>
  <c r="S284" i="19"/>
  <c r="S282" i="19" s="1"/>
  <c r="Q285" i="19"/>
  <c r="R285" i="19"/>
  <c r="S285" i="19"/>
  <c r="T285" i="19"/>
  <c r="U285" i="19"/>
  <c r="O286" i="19"/>
  <c r="P286" i="19"/>
  <c r="T286" i="19"/>
  <c r="U286" i="19"/>
  <c r="L287" i="19"/>
  <c r="M287" i="19"/>
  <c r="N287" i="19"/>
  <c r="N285" i="19" s="1"/>
  <c r="T287" i="19"/>
  <c r="U287" i="19"/>
  <c r="Q288" i="19"/>
  <c r="T288" i="19" s="1"/>
  <c r="R288" i="19"/>
  <c r="U288" i="19" s="1"/>
  <c r="S288" i="19"/>
  <c r="O289" i="19"/>
  <c r="P289" i="19"/>
  <c r="T289" i="19"/>
  <c r="U289" i="19"/>
  <c r="L290" i="19"/>
  <c r="L288" i="19" s="1"/>
  <c r="O288" i="19" s="1"/>
  <c r="M290" i="19"/>
  <c r="P290" i="19" s="1"/>
  <c r="N290" i="19"/>
  <c r="N288" i="19" s="1"/>
  <c r="T290" i="19"/>
  <c r="U290" i="19"/>
  <c r="I292" i="19"/>
  <c r="I281" i="19" s="1"/>
  <c r="K281" i="19" s="1"/>
  <c r="I293" i="19"/>
  <c r="J293" i="19"/>
  <c r="J280" i="19" s="1"/>
  <c r="I295" i="19"/>
  <c r="K295" i="19" s="1"/>
  <c r="I296" i="19"/>
  <c r="K296" i="19" s="1"/>
  <c r="J302" i="19"/>
  <c r="L304" i="19"/>
  <c r="O304" i="19" s="1"/>
  <c r="M304" i="19"/>
  <c r="P304" i="19" s="1"/>
  <c r="N304" i="19"/>
  <c r="Q304" i="19"/>
  <c r="R304" i="19"/>
  <c r="S304" i="19"/>
  <c r="U304" i="19"/>
  <c r="O307" i="19"/>
  <c r="P307" i="19"/>
  <c r="T307" i="19"/>
  <c r="U307" i="19"/>
  <c r="L308" i="19"/>
  <c r="M308" i="19"/>
  <c r="N308" i="19"/>
  <c r="Q308" i="19"/>
  <c r="R308" i="19"/>
  <c r="R305" i="19" s="1"/>
  <c r="S308" i="19"/>
  <c r="S306" i="19" s="1"/>
  <c r="Q309" i="19"/>
  <c r="T309" i="19" s="1"/>
  <c r="R309" i="19"/>
  <c r="S309" i="19"/>
  <c r="U309" i="19"/>
  <c r="O310" i="19"/>
  <c r="P310" i="19"/>
  <c r="T310" i="19"/>
  <c r="U310" i="19"/>
  <c r="L311" i="19"/>
  <c r="M311" i="19"/>
  <c r="P311" i="19" s="1"/>
  <c r="N311" i="19"/>
  <c r="N309" i="19" s="1"/>
  <c r="T311" i="19"/>
  <c r="U311" i="19"/>
  <c r="I314" i="19"/>
  <c r="K314" i="19" s="1"/>
  <c r="J319" i="19"/>
  <c r="L321" i="19"/>
  <c r="O321" i="19" s="1"/>
  <c r="M321" i="19"/>
  <c r="N321" i="19"/>
  <c r="Q321" i="19"/>
  <c r="T321" i="19" s="1"/>
  <c r="R321" i="19"/>
  <c r="R320" i="19" s="1"/>
  <c r="U320" i="19" s="1"/>
  <c r="S321" i="19"/>
  <c r="S320" i="19" s="1"/>
  <c r="U321" i="19"/>
  <c r="Q322" i="19"/>
  <c r="T322" i="19" s="1"/>
  <c r="R322" i="19"/>
  <c r="S322" i="19"/>
  <c r="U322" i="19"/>
  <c r="Q323" i="19"/>
  <c r="T323" i="19" s="1"/>
  <c r="R323" i="19"/>
  <c r="U323" i="19" s="1"/>
  <c r="S323" i="19"/>
  <c r="O324" i="19"/>
  <c r="P324" i="19"/>
  <c r="T324" i="19"/>
  <c r="U324" i="19"/>
  <c r="L325" i="19"/>
  <c r="L323" i="19" s="1"/>
  <c r="O323" i="19" s="1"/>
  <c r="M325" i="19"/>
  <c r="N325" i="19"/>
  <c r="N323" i="19" s="1"/>
  <c r="T325" i="19"/>
  <c r="U325" i="19"/>
  <c r="Q326" i="19"/>
  <c r="R326" i="19"/>
  <c r="U326" i="19" s="1"/>
  <c r="S326" i="19"/>
  <c r="T326" i="19"/>
  <c r="O327" i="19"/>
  <c r="P327" i="19"/>
  <c r="T327" i="19"/>
  <c r="U327" i="19"/>
  <c r="L328" i="19"/>
  <c r="M328" i="19"/>
  <c r="M326" i="19" s="1"/>
  <c r="P326" i="19" s="1"/>
  <c r="N328" i="19"/>
  <c r="N326" i="19" s="1"/>
  <c r="T328" i="19"/>
  <c r="U328" i="19"/>
  <c r="I330" i="19"/>
  <c r="I319" i="19" s="1"/>
  <c r="K319" i="19" s="1"/>
  <c r="L334" i="19"/>
  <c r="O334" i="19" s="1"/>
  <c r="M334" i="19"/>
  <c r="P334" i="19" s="1"/>
  <c r="N334" i="19"/>
  <c r="Q334" i="19"/>
  <c r="Q333" i="19" s="1"/>
  <c r="T333" i="19" s="1"/>
  <c r="R334" i="19"/>
  <c r="S334" i="19"/>
  <c r="U334" i="19"/>
  <c r="Q335" i="19"/>
  <c r="R335" i="19"/>
  <c r="S335" i="19"/>
  <c r="T335" i="19"/>
  <c r="Q336" i="19"/>
  <c r="T336" i="19" s="1"/>
  <c r="R336" i="19"/>
  <c r="S336" i="19"/>
  <c r="U336" i="19"/>
  <c r="O337" i="19"/>
  <c r="P337" i="19"/>
  <c r="T337" i="19"/>
  <c r="U337" i="19"/>
  <c r="L338" i="19"/>
  <c r="L336" i="19" s="1"/>
  <c r="M338" i="19"/>
  <c r="N338" i="19"/>
  <c r="T338" i="19"/>
  <c r="U338" i="19"/>
  <c r="Q339" i="19"/>
  <c r="T339" i="19" s="1"/>
  <c r="R339" i="19"/>
  <c r="U339" i="19" s="1"/>
  <c r="S339" i="19"/>
  <c r="O340" i="19"/>
  <c r="P340" i="19"/>
  <c r="T340" i="19"/>
  <c r="U340" i="19"/>
  <c r="L341" i="19"/>
  <c r="O341" i="19" s="1"/>
  <c r="M341" i="19"/>
  <c r="M339" i="19" s="1"/>
  <c r="P339" i="19" s="1"/>
  <c r="N341" i="19"/>
  <c r="N339" i="19" s="1"/>
  <c r="T341" i="19"/>
  <c r="U341" i="19"/>
  <c r="I344" i="19"/>
  <c r="I332" i="19" s="1"/>
  <c r="J344" i="19"/>
  <c r="I346" i="19"/>
  <c r="J346" i="19"/>
  <c r="J347" i="19"/>
  <c r="J348" i="19"/>
  <c r="J349" i="19"/>
  <c r="D350" i="19"/>
  <c r="J352" i="19"/>
  <c r="J353" i="19"/>
  <c r="J354" i="19"/>
  <c r="L357" i="19"/>
  <c r="M357" i="19"/>
  <c r="N357" i="19"/>
  <c r="P357" i="19"/>
  <c r="Q357" i="19"/>
  <c r="R357" i="19"/>
  <c r="S357" i="19"/>
  <c r="S356" i="19" s="1"/>
  <c r="T357" i="19"/>
  <c r="Q358" i="19"/>
  <c r="R358" i="19"/>
  <c r="U358" i="19" s="1"/>
  <c r="S358" i="19"/>
  <c r="Q359" i="19"/>
  <c r="T359" i="19" s="1"/>
  <c r="R359" i="19"/>
  <c r="U359" i="19" s="1"/>
  <c r="S359" i="19"/>
  <c r="O360" i="19"/>
  <c r="P360" i="19"/>
  <c r="T360" i="19"/>
  <c r="U360" i="19"/>
  <c r="L361" i="19"/>
  <c r="M361" i="19"/>
  <c r="M359" i="19" s="1"/>
  <c r="N361" i="19"/>
  <c r="N359" i="19" s="1"/>
  <c r="T361" i="19"/>
  <c r="U361" i="19"/>
  <c r="Q362" i="19"/>
  <c r="T362" i="19" s="1"/>
  <c r="R362" i="19"/>
  <c r="S362" i="19"/>
  <c r="U362" i="19"/>
  <c r="O363" i="19"/>
  <c r="P363" i="19"/>
  <c r="T363" i="19"/>
  <c r="U363" i="19"/>
  <c r="L364" i="19"/>
  <c r="L362" i="19" s="1"/>
  <c r="O362" i="19" s="1"/>
  <c r="M364" i="19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L376" i="19"/>
  <c r="M376" i="19"/>
  <c r="N376" i="19"/>
  <c r="P376" i="19"/>
  <c r="Q376" i="19"/>
  <c r="R376" i="19"/>
  <c r="S376" i="19"/>
  <c r="O379" i="19"/>
  <c r="P379" i="19"/>
  <c r="T379" i="19"/>
  <c r="U379" i="19"/>
  <c r="L380" i="19"/>
  <c r="M380" i="19"/>
  <c r="N380" i="19"/>
  <c r="Q380" i="19"/>
  <c r="Q378" i="19" s="1"/>
  <c r="R380" i="19"/>
  <c r="S380" i="19"/>
  <c r="Q381" i="19"/>
  <c r="R381" i="19"/>
  <c r="S381" i="19"/>
  <c r="T381" i="19"/>
  <c r="U381" i="19"/>
  <c r="O382" i="19"/>
  <c r="P382" i="19"/>
  <c r="T382" i="19"/>
  <c r="U382" i="19"/>
  <c r="L383" i="19"/>
  <c r="M383" i="19"/>
  <c r="N383" i="19"/>
  <c r="N381" i="19" s="1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J391" i="19"/>
  <c r="K391" i="19"/>
  <c r="L393" i="19"/>
  <c r="M393" i="19"/>
  <c r="N393" i="19"/>
  <c r="N392" i="19" s="1"/>
  <c r="Q393" i="19"/>
  <c r="R393" i="19"/>
  <c r="S393" i="19"/>
  <c r="T393" i="19"/>
  <c r="L394" i="19"/>
  <c r="O394" i="19" s="1"/>
  <c r="M394" i="19"/>
  <c r="P394" i="19" s="1"/>
  <c r="N394" i="19"/>
  <c r="L395" i="19"/>
  <c r="O395" i="19" s="1"/>
  <c r="M395" i="19"/>
  <c r="N395" i="19"/>
  <c r="P395" i="19"/>
  <c r="O396" i="19"/>
  <c r="P396" i="19"/>
  <c r="T396" i="19"/>
  <c r="U396" i="19"/>
  <c r="O397" i="19"/>
  <c r="P397" i="19"/>
  <c r="Q397" i="19"/>
  <c r="Q395" i="19" s="1"/>
  <c r="T395" i="19" s="1"/>
  <c r="R397" i="19"/>
  <c r="S397" i="19"/>
  <c r="S395" i="19" s="1"/>
  <c r="L398" i="19"/>
  <c r="O398" i="19" s="1"/>
  <c r="M398" i="19"/>
  <c r="P398" i="19" s="1"/>
  <c r="N398" i="19"/>
  <c r="Q398" i="19"/>
  <c r="T398" i="19" s="1"/>
  <c r="R398" i="19"/>
  <c r="U398" i="19" s="1"/>
  <c r="S398" i="19"/>
  <c r="O399" i="19"/>
  <c r="P399" i="19"/>
  <c r="T399" i="19"/>
  <c r="U399" i="19"/>
  <c r="O400" i="19"/>
  <c r="P400" i="19"/>
  <c r="T400" i="19"/>
  <c r="U400" i="19"/>
  <c r="L414" i="19"/>
  <c r="M414" i="19"/>
  <c r="N414" i="19"/>
  <c r="Q414" i="19"/>
  <c r="R414" i="19"/>
  <c r="S414" i="19"/>
  <c r="T414" i="19"/>
  <c r="O417" i="19"/>
  <c r="P417" i="19"/>
  <c r="T417" i="19"/>
  <c r="U417" i="19"/>
  <c r="L418" i="19"/>
  <c r="L416" i="19" s="1"/>
  <c r="M418" i="19"/>
  <c r="M416" i="19" s="1"/>
  <c r="N418" i="19"/>
  <c r="Q418" i="19"/>
  <c r="Q415" i="19" s="1"/>
  <c r="Q413" i="19" s="1"/>
  <c r="R418" i="19"/>
  <c r="R415" i="19" s="1"/>
  <c r="S418" i="19"/>
  <c r="S416" i="19" s="1"/>
  <c r="Q419" i="19"/>
  <c r="T419" i="19" s="1"/>
  <c r="R419" i="19"/>
  <c r="U419" i="19" s="1"/>
  <c r="S419" i="19"/>
  <c r="O420" i="19"/>
  <c r="P420" i="19"/>
  <c r="T420" i="19"/>
  <c r="U420" i="19"/>
  <c r="L421" i="19"/>
  <c r="O421" i="19" s="1"/>
  <c r="M421" i="19"/>
  <c r="N421" i="19"/>
  <c r="N419" i="19" s="1"/>
  <c r="T421" i="19"/>
  <c r="U421" i="19"/>
  <c r="J423" i="19"/>
  <c r="J412" i="19" s="1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I441" i="19"/>
  <c r="K441" i="19" s="1"/>
  <c r="J446" i="19"/>
  <c r="J440" i="19" s="1"/>
  <c r="J447" i="19"/>
  <c r="J441" i="19" s="1"/>
  <c r="I457" i="19"/>
  <c r="I458" i="19"/>
  <c r="K458" i="19" s="1"/>
  <c r="J459" i="19"/>
  <c r="J460" i="19"/>
  <c r="J458" i="19" s="1"/>
  <c r="J467" i="19"/>
  <c r="J468" i="19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J485" i="19"/>
  <c r="K485" i="19"/>
  <c r="L494" i="19"/>
  <c r="M494" i="19"/>
  <c r="N494" i="19"/>
  <c r="P494" i="19"/>
  <c r="Q494" i="19"/>
  <c r="R494" i="19"/>
  <c r="S494" i="19"/>
  <c r="O497" i="19"/>
  <c r="P497" i="19"/>
  <c r="T497" i="19"/>
  <c r="U497" i="19"/>
  <c r="L498" i="19"/>
  <c r="M498" i="19"/>
  <c r="N498" i="19"/>
  <c r="Q498" i="19"/>
  <c r="R498" i="19"/>
  <c r="R495" i="19" s="1"/>
  <c r="U495" i="19" s="1"/>
  <c r="S498" i="19"/>
  <c r="S496" i="19" s="1"/>
  <c r="Q499" i="19"/>
  <c r="T499" i="19" s="1"/>
  <c r="R499" i="19"/>
  <c r="S499" i="19"/>
  <c r="U499" i="19"/>
  <c r="O500" i="19"/>
  <c r="P500" i="19"/>
  <c r="T500" i="19"/>
  <c r="U500" i="19"/>
  <c r="L501" i="19"/>
  <c r="M501" i="19"/>
  <c r="N501" i="19"/>
  <c r="N499" i="19" s="1"/>
  <c r="T501" i="19"/>
  <c r="U501" i="19"/>
  <c r="I503" i="19"/>
  <c r="I504" i="19"/>
  <c r="K504" i="19" s="1"/>
  <c r="I505" i="19"/>
  <c r="K505" i="19" s="1"/>
  <c r="I506" i="19"/>
  <c r="K506" i="19" s="1"/>
  <c r="I507" i="19"/>
  <c r="K507" i="19" s="1"/>
  <c r="K508" i="19"/>
  <c r="I509" i="19"/>
  <c r="K509" i="19" s="1"/>
  <c r="I512" i="19"/>
  <c r="J512" i="19"/>
  <c r="K512" i="19"/>
  <c r="L514" i="19"/>
  <c r="O514" i="19" s="1"/>
  <c r="M514" i="19"/>
  <c r="N514" i="19"/>
  <c r="P514" i="19"/>
  <c r="Q514" i="19"/>
  <c r="R514" i="19"/>
  <c r="U514" i="19" s="1"/>
  <c r="S514" i="19"/>
  <c r="S513" i="19" s="1"/>
  <c r="T514" i="19"/>
  <c r="Q515" i="19"/>
  <c r="R515" i="19"/>
  <c r="S515" i="19"/>
  <c r="Q516" i="19"/>
  <c r="R516" i="19"/>
  <c r="U516" i="19" s="1"/>
  <c r="S516" i="19"/>
  <c r="T516" i="19"/>
  <c r="O517" i="19"/>
  <c r="P517" i="19"/>
  <c r="T517" i="19"/>
  <c r="U517" i="19"/>
  <c r="L518" i="19"/>
  <c r="M518" i="19"/>
  <c r="N518" i="19"/>
  <c r="N516" i="19" s="1"/>
  <c r="T518" i="19"/>
  <c r="U518" i="19"/>
  <c r="Q519" i="19"/>
  <c r="T519" i="19" s="1"/>
  <c r="R519" i="19"/>
  <c r="S519" i="19"/>
  <c r="U519" i="19"/>
  <c r="O520" i="19"/>
  <c r="P520" i="19"/>
  <c r="T520" i="19"/>
  <c r="U520" i="19"/>
  <c r="L521" i="19"/>
  <c r="L519" i="19" s="1"/>
  <c r="O519" i="19" s="1"/>
  <c r="M521" i="19"/>
  <c r="N521" i="19"/>
  <c r="N519" i="19" s="1"/>
  <c r="T521" i="19"/>
  <c r="U521" i="19"/>
  <c r="K523" i="19"/>
  <c r="K524" i="19"/>
  <c r="I533" i="19"/>
  <c r="K533" i="19" s="1"/>
  <c r="J533" i="19"/>
  <c r="L535" i="19"/>
  <c r="O535" i="19" s="1"/>
  <c r="M535" i="19"/>
  <c r="N535" i="19"/>
  <c r="P535" i="19"/>
  <c r="Q535" i="19"/>
  <c r="R535" i="19"/>
  <c r="U535" i="19" s="1"/>
  <c r="S535" i="19"/>
  <c r="Q536" i="19"/>
  <c r="T536" i="19" s="1"/>
  <c r="R536" i="19"/>
  <c r="U536" i="19" s="1"/>
  <c r="S536" i="19"/>
  <c r="S534" i="19" s="1"/>
  <c r="Q537" i="19"/>
  <c r="R537" i="19"/>
  <c r="U537" i="19" s="1"/>
  <c r="S537" i="19"/>
  <c r="T537" i="19"/>
  <c r="O538" i="19"/>
  <c r="P538" i="19"/>
  <c r="T538" i="19"/>
  <c r="U538" i="19"/>
  <c r="L539" i="19"/>
  <c r="M539" i="19"/>
  <c r="P539" i="19" s="1"/>
  <c r="N539" i="19"/>
  <c r="T539" i="19"/>
  <c r="U539" i="19"/>
  <c r="Q540" i="19"/>
  <c r="T540" i="19" s="1"/>
  <c r="R540" i="19"/>
  <c r="U540" i="19" s="1"/>
  <c r="S540" i="19"/>
  <c r="O541" i="19"/>
  <c r="P541" i="19"/>
  <c r="T541" i="19"/>
  <c r="U541" i="19"/>
  <c r="L542" i="19"/>
  <c r="O542" i="19" s="1"/>
  <c r="M542" i="19"/>
  <c r="P542" i="19" s="1"/>
  <c r="N542" i="19"/>
  <c r="N540" i="19" s="1"/>
  <c r="T542" i="19"/>
  <c r="U542" i="19"/>
  <c r="I554" i="19"/>
  <c r="K554" i="19" s="1"/>
  <c r="J554" i="19"/>
  <c r="L556" i="19"/>
  <c r="O556" i="19" s="1"/>
  <c r="M556" i="19"/>
  <c r="N556" i="19"/>
  <c r="P556" i="19"/>
  <c r="Q556" i="19"/>
  <c r="R556" i="19"/>
  <c r="U556" i="19" s="1"/>
  <c r="S556" i="19"/>
  <c r="Q557" i="19"/>
  <c r="T557" i="19" s="1"/>
  <c r="R557" i="19"/>
  <c r="U557" i="19" s="1"/>
  <c r="S557" i="19"/>
  <c r="S555" i="19" s="1"/>
  <c r="Q558" i="19"/>
  <c r="T558" i="19" s="1"/>
  <c r="R558" i="19"/>
  <c r="S558" i="19"/>
  <c r="U558" i="19"/>
  <c r="O559" i="19"/>
  <c r="P559" i="19"/>
  <c r="T559" i="19"/>
  <c r="U559" i="19"/>
  <c r="L560" i="19"/>
  <c r="O560" i="19" s="1"/>
  <c r="M560" i="19"/>
  <c r="P560" i="19" s="1"/>
  <c r="N560" i="19"/>
  <c r="T560" i="19"/>
  <c r="U560" i="19"/>
  <c r="Q561" i="19"/>
  <c r="T561" i="19" s="1"/>
  <c r="R561" i="19"/>
  <c r="U561" i="19" s="1"/>
  <c r="S561" i="19"/>
  <c r="O562" i="19"/>
  <c r="P562" i="19"/>
  <c r="T562" i="19"/>
  <c r="U562" i="19"/>
  <c r="L563" i="19"/>
  <c r="M563" i="19"/>
  <c r="M561" i="19" s="1"/>
  <c r="N563" i="19"/>
  <c r="N561" i="19" s="1"/>
  <c r="T563" i="19"/>
  <c r="U563" i="19"/>
  <c r="K565" i="19"/>
  <c r="I575" i="19"/>
  <c r="K575" i="19" s="1"/>
  <c r="J575" i="19"/>
  <c r="L577" i="19"/>
  <c r="M577" i="19"/>
  <c r="N577" i="19"/>
  <c r="P577" i="19"/>
  <c r="Q577" i="19"/>
  <c r="T577" i="19" s="1"/>
  <c r="R577" i="19"/>
  <c r="S577" i="19"/>
  <c r="Q578" i="19"/>
  <c r="T578" i="19" s="1"/>
  <c r="R578" i="19"/>
  <c r="U578" i="19" s="1"/>
  <c r="S578" i="19"/>
  <c r="Q579" i="19"/>
  <c r="T579" i="19" s="1"/>
  <c r="R579" i="19"/>
  <c r="S579" i="19"/>
  <c r="U579" i="19"/>
  <c r="O580" i="19"/>
  <c r="P580" i="19"/>
  <c r="T580" i="19"/>
  <c r="U580" i="19"/>
  <c r="L581" i="19"/>
  <c r="L579" i="19" s="1"/>
  <c r="O579" i="19" s="1"/>
  <c r="M581" i="19"/>
  <c r="N581" i="19"/>
  <c r="T581" i="19"/>
  <c r="U581" i="19"/>
  <c r="Q582" i="19"/>
  <c r="R582" i="19"/>
  <c r="U582" i="19" s="1"/>
  <c r="S582" i="19"/>
  <c r="T582" i="19"/>
  <c r="O583" i="19"/>
  <c r="P583" i="19"/>
  <c r="T583" i="19"/>
  <c r="U583" i="19"/>
  <c r="L584" i="19"/>
  <c r="O584" i="19" s="1"/>
  <c r="M584" i="19"/>
  <c r="N584" i="19"/>
  <c r="N582" i="19" s="1"/>
  <c r="T584" i="19"/>
  <c r="U584" i="19"/>
  <c r="L600" i="19"/>
  <c r="M600" i="19"/>
  <c r="P600" i="19" s="1"/>
  <c r="N600" i="19"/>
  <c r="Q600" i="19"/>
  <c r="T600" i="19" s="1"/>
  <c r="R600" i="19"/>
  <c r="S600" i="19"/>
  <c r="O603" i="19"/>
  <c r="P603" i="19"/>
  <c r="T603" i="19"/>
  <c r="U603" i="19"/>
  <c r="L604" i="19"/>
  <c r="L602" i="19" s="1"/>
  <c r="M604" i="19"/>
  <c r="N604" i="19"/>
  <c r="Q604" i="19"/>
  <c r="T604" i="19" s="1"/>
  <c r="R604" i="19"/>
  <c r="R602" i="19" s="1"/>
  <c r="U602" i="19" s="1"/>
  <c r="S604" i="19"/>
  <c r="S602" i="19" s="1"/>
  <c r="O606" i="19"/>
  <c r="P606" i="19"/>
  <c r="T606" i="19"/>
  <c r="U606" i="19"/>
  <c r="L607" i="19"/>
  <c r="L605" i="19" s="1"/>
  <c r="O605" i="19" s="1"/>
  <c r="M607" i="19"/>
  <c r="N607" i="19"/>
  <c r="N605" i="19" s="1"/>
  <c r="Q607" i="19"/>
  <c r="R607" i="19"/>
  <c r="R605" i="19" s="1"/>
  <c r="U605" i="19" s="1"/>
  <c r="S607" i="19"/>
  <c r="S605" i="19" s="1"/>
  <c r="L616" i="19"/>
  <c r="O616" i="19" s="1"/>
  <c r="L617" i="19"/>
  <c r="M617" i="19"/>
  <c r="N617" i="19"/>
  <c r="N616" i="19" s="1"/>
  <c r="O617" i="19"/>
  <c r="Q617" i="19"/>
  <c r="T617" i="19" s="1"/>
  <c r="R617" i="19"/>
  <c r="S617" i="19"/>
  <c r="U617" i="19"/>
  <c r="L618" i="19"/>
  <c r="O618" i="19" s="1"/>
  <c r="M618" i="19"/>
  <c r="N618" i="19"/>
  <c r="P618" i="19"/>
  <c r="L619" i="19"/>
  <c r="O619" i="19" s="1"/>
  <c r="M619" i="19"/>
  <c r="P619" i="19" s="1"/>
  <c r="N619" i="19"/>
  <c r="O620" i="19"/>
  <c r="P620" i="19"/>
  <c r="T620" i="19"/>
  <c r="U620" i="19"/>
  <c r="O621" i="19"/>
  <c r="P621" i="19"/>
  <c r="Q621" i="19"/>
  <c r="Q618" i="19" s="1"/>
  <c r="R621" i="19"/>
  <c r="R618" i="19" s="1"/>
  <c r="S621" i="19"/>
  <c r="L622" i="19"/>
  <c r="M622" i="19"/>
  <c r="P622" i="19" s="1"/>
  <c r="N622" i="19"/>
  <c r="O622" i="19"/>
  <c r="Q622" i="19"/>
  <c r="T622" i="19" s="1"/>
  <c r="R622" i="19"/>
  <c r="U622" i="19" s="1"/>
  <c r="S622" i="19"/>
  <c r="O623" i="19"/>
  <c r="P623" i="19"/>
  <c r="T623" i="19"/>
  <c r="U623" i="19"/>
  <c r="O624" i="19"/>
  <c r="P624" i="19"/>
  <c r="T624" i="19"/>
  <c r="U624" i="19"/>
  <c r="I626" i="19"/>
  <c r="I615" i="19" s="1"/>
  <c r="K615" i="19" s="1"/>
  <c r="I627" i="19"/>
  <c r="K627" i="19" s="1"/>
  <c r="I628" i="19"/>
  <c r="K628" i="19" s="1"/>
  <c r="J632" i="19"/>
  <c r="J626" i="19" s="1"/>
  <c r="J615" i="19" s="1"/>
  <c r="I635" i="19"/>
  <c r="K635" i="19" s="1"/>
  <c r="J636" i="19"/>
  <c r="J635" i="19" s="1"/>
  <c r="L643" i="19"/>
  <c r="M643" i="19"/>
  <c r="P643" i="19" s="1"/>
  <c r="N643" i="19"/>
  <c r="O643" i="19"/>
  <c r="Q643" i="19"/>
  <c r="R643" i="19"/>
  <c r="S643" i="19"/>
  <c r="T643" i="19"/>
  <c r="U643" i="19"/>
  <c r="L644" i="19"/>
  <c r="O644" i="19" s="1"/>
  <c r="M644" i="19"/>
  <c r="N644" i="19"/>
  <c r="P644" i="19"/>
  <c r="L645" i="19"/>
  <c r="O645" i="19" s="1"/>
  <c r="M645" i="19"/>
  <c r="N645" i="19"/>
  <c r="P645" i="19"/>
  <c r="O646" i="19"/>
  <c r="P646" i="19"/>
  <c r="T646" i="19"/>
  <c r="U646" i="19"/>
  <c r="O647" i="19"/>
  <c r="P647" i="19"/>
  <c r="Q647" i="19"/>
  <c r="Q644" i="19" s="1"/>
  <c r="R647" i="19"/>
  <c r="R645" i="19" s="1"/>
  <c r="S647" i="19"/>
  <c r="S644" i="19" s="1"/>
  <c r="S642" i="19" s="1"/>
  <c r="L648" i="19"/>
  <c r="M648" i="19"/>
  <c r="P648" i="19" s="1"/>
  <c r="N648" i="19"/>
  <c r="O648" i="19"/>
  <c r="Q648" i="19"/>
  <c r="T648" i="19" s="1"/>
  <c r="R648" i="19"/>
  <c r="S648" i="19"/>
  <c r="U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J653" i="19"/>
  <c r="I654" i="19"/>
  <c r="J654" i="19"/>
  <c r="I657" i="19"/>
  <c r="I660" i="19"/>
  <c r="I661" i="19"/>
  <c r="J665" i="19"/>
  <c r="J666" i="19"/>
  <c r="J667" i="19"/>
  <c r="J661" i="19" s="1"/>
  <c r="J671" i="19"/>
  <c r="J672" i="19"/>
  <c r="I673" i="19"/>
  <c r="J673" i="19"/>
  <c r="I674" i="19"/>
  <c r="I675" i="19"/>
  <c r="I676" i="19"/>
  <c r="J676" i="19"/>
  <c r="J677" i="19"/>
  <c r="I678" i="19"/>
  <c r="J678" i="19"/>
  <c r="I679" i="19"/>
  <c r="J679" i="19"/>
  <c r="J680" i="19"/>
  <c r="I681" i="19"/>
  <c r="J681" i="19"/>
  <c r="I682" i="19"/>
  <c r="J682" i="19"/>
  <c r="M690" i="19"/>
  <c r="P690" i="19" s="1"/>
  <c r="L691" i="19"/>
  <c r="M691" i="19"/>
  <c r="N691" i="19"/>
  <c r="N690" i="19" s="1"/>
  <c r="P691" i="19"/>
  <c r="Q691" i="19"/>
  <c r="R691" i="19"/>
  <c r="S691" i="19"/>
  <c r="L692" i="19"/>
  <c r="O692" i="19" s="1"/>
  <c r="M692" i="19"/>
  <c r="P692" i="19" s="1"/>
  <c r="N692" i="19"/>
  <c r="L693" i="19"/>
  <c r="M693" i="19"/>
  <c r="P693" i="19" s="1"/>
  <c r="N693" i="19"/>
  <c r="O693" i="19"/>
  <c r="O694" i="19"/>
  <c r="P694" i="19"/>
  <c r="T694" i="19"/>
  <c r="U694" i="19"/>
  <c r="O695" i="19"/>
  <c r="P695" i="19"/>
  <c r="Q695" i="19"/>
  <c r="Q693" i="19" s="1"/>
  <c r="R695" i="19"/>
  <c r="R693" i="19" s="1"/>
  <c r="S695" i="19"/>
  <c r="S693" i="19" s="1"/>
  <c r="L696" i="19"/>
  <c r="O696" i="19" s="1"/>
  <c r="M696" i="19"/>
  <c r="P696" i="19" s="1"/>
  <c r="N696" i="19"/>
  <c r="Q696" i="19"/>
  <c r="T696" i="19" s="1"/>
  <c r="R696" i="19"/>
  <c r="U696" i="19" s="1"/>
  <c r="S696" i="19"/>
  <c r="O697" i="19"/>
  <c r="P697" i="19"/>
  <c r="T697" i="19"/>
  <c r="U697" i="19"/>
  <c r="O698" i="19"/>
  <c r="P698" i="19"/>
  <c r="T698" i="19"/>
  <c r="U698" i="19"/>
  <c r="I700" i="19"/>
  <c r="K700" i="19" s="1"/>
  <c r="I701" i="19"/>
  <c r="J701" i="19"/>
  <c r="J702" i="19"/>
  <c r="K702" i="19"/>
  <c r="I703" i="19"/>
  <c r="J703" i="19"/>
  <c r="J704" i="19"/>
  <c r="K704" i="19"/>
  <c r="I705" i="19"/>
  <c r="J705" i="19"/>
  <c r="J706" i="19"/>
  <c r="K706" i="19"/>
  <c r="I707" i="19"/>
  <c r="J707" i="19"/>
  <c r="J689" i="19" s="1"/>
  <c r="J708" i="19"/>
  <c r="K708" i="19"/>
  <c r="I709" i="19"/>
  <c r="J712" i="19"/>
  <c r="K712" i="19"/>
  <c r="L715" i="19"/>
  <c r="O715" i="19" s="1"/>
  <c r="M715" i="19"/>
  <c r="N715" i="19"/>
  <c r="Q715" i="19"/>
  <c r="T715" i="19" s="1"/>
  <c r="R715" i="19"/>
  <c r="U715" i="19" s="1"/>
  <c r="S715" i="19"/>
  <c r="L716" i="19"/>
  <c r="M716" i="19"/>
  <c r="P716" i="19" s="1"/>
  <c r="N716" i="19"/>
  <c r="O716" i="19"/>
  <c r="Q716" i="19"/>
  <c r="T716" i="19" s="1"/>
  <c r="R716" i="19"/>
  <c r="S716" i="19"/>
  <c r="U716" i="19"/>
  <c r="L717" i="19"/>
  <c r="O717" i="19" s="1"/>
  <c r="M717" i="19"/>
  <c r="N717" i="19"/>
  <c r="P717" i="19"/>
  <c r="Q717" i="19"/>
  <c r="T717" i="19" s="1"/>
  <c r="R717" i="19"/>
  <c r="U717" i="19" s="1"/>
  <c r="S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N720" i="19"/>
  <c r="P720" i="19"/>
  <c r="Q720" i="19"/>
  <c r="T720" i="19" s="1"/>
  <c r="R720" i="19"/>
  <c r="U720" i="19" s="1"/>
  <c r="S720" i="19"/>
  <c r="O721" i="19"/>
  <c r="P721" i="19"/>
  <c r="T721" i="19"/>
  <c r="U721" i="19"/>
  <c r="O722" i="19"/>
  <c r="P722" i="19"/>
  <c r="T722" i="19"/>
  <c r="U722" i="19"/>
  <c r="I726" i="19"/>
  <c r="J726" i="19"/>
  <c r="I727" i="19"/>
  <c r="J727" i="19"/>
  <c r="L729" i="19"/>
  <c r="O729" i="19" s="1"/>
  <c r="M729" i="19"/>
  <c r="M728" i="19" s="1"/>
  <c r="P728" i="19" s="1"/>
  <c r="N729" i="19"/>
  <c r="Q729" i="19"/>
  <c r="T729" i="19" s="1"/>
  <c r="R729" i="19"/>
  <c r="U729" i="19" s="1"/>
  <c r="S729" i="19"/>
  <c r="L730" i="19"/>
  <c r="O730" i="19" s="1"/>
  <c r="M730" i="19"/>
  <c r="N730" i="19"/>
  <c r="P730" i="19"/>
  <c r="L731" i="19"/>
  <c r="O731" i="19" s="1"/>
  <c r="M731" i="19"/>
  <c r="N731" i="19"/>
  <c r="P731" i="19"/>
  <c r="O732" i="19"/>
  <c r="P732" i="19"/>
  <c r="T732" i="19"/>
  <c r="U732" i="19"/>
  <c r="O733" i="19"/>
  <c r="P733" i="19"/>
  <c r="Q733" i="19"/>
  <c r="Q730" i="19" s="1"/>
  <c r="R733" i="19"/>
  <c r="R730" i="19" s="1"/>
  <c r="S733" i="19"/>
  <c r="S731" i="19" s="1"/>
  <c r="L734" i="19"/>
  <c r="O734" i="19" s="1"/>
  <c r="M734" i="19"/>
  <c r="P734" i="19" s="1"/>
  <c r="N734" i="19"/>
  <c r="Q734" i="19"/>
  <c r="T734" i="19" s="1"/>
  <c r="R734" i="19"/>
  <c r="S734" i="19"/>
  <c r="U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L761" i="19"/>
  <c r="M761" i="19"/>
  <c r="P761" i="19" s="1"/>
  <c r="N761" i="19"/>
  <c r="N760" i="19" s="1"/>
  <c r="O761" i="19"/>
  <c r="Q761" i="19"/>
  <c r="R761" i="19"/>
  <c r="S761" i="19"/>
  <c r="T761" i="19"/>
  <c r="U761" i="19"/>
  <c r="L762" i="19"/>
  <c r="O762" i="19" s="1"/>
  <c r="M762" i="19"/>
  <c r="N762" i="19"/>
  <c r="P762" i="19"/>
  <c r="L763" i="19"/>
  <c r="O763" i="19" s="1"/>
  <c r="M763" i="19"/>
  <c r="P763" i="19" s="1"/>
  <c r="N763" i="19"/>
  <c r="O764" i="19"/>
  <c r="P764" i="19"/>
  <c r="T764" i="19"/>
  <c r="U764" i="19"/>
  <c r="O765" i="19"/>
  <c r="P765" i="19"/>
  <c r="Q765" i="19"/>
  <c r="Q763" i="19" s="1"/>
  <c r="R765" i="19"/>
  <c r="S765" i="19"/>
  <c r="S762" i="19" s="1"/>
  <c r="S760" i="19" s="1"/>
  <c r="L766" i="19"/>
  <c r="M766" i="19"/>
  <c r="P766" i="19" s="1"/>
  <c r="N766" i="19"/>
  <c r="O766" i="19"/>
  <c r="Q766" i="19"/>
  <c r="R766" i="19"/>
  <c r="S766" i="19"/>
  <c r="T766" i="19"/>
  <c r="U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I758" i="19" s="1"/>
  <c r="K758" i="19" s="1"/>
  <c r="I774" i="19"/>
  <c r="K774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J782" i="19"/>
  <c r="I783" i="19"/>
  <c r="J783" i="19"/>
  <c r="I784" i="19"/>
  <c r="J784" i="19"/>
  <c r="I785" i="19"/>
  <c r="J785" i="19"/>
  <c r="A788" i="19"/>
  <c r="A789" i="19"/>
  <c r="L22" i="18"/>
  <c r="M22" i="18"/>
  <c r="N22" i="18"/>
  <c r="N19" i="18" s="1"/>
  <c r="O22" i="18"/>
  <c r="Q22" i="18"/>
  <c r="T22" i="18" s="1"/>
  <c r="R22" i="18"/>
  <c r="U22" i="18" s="1"/>
  <c r="S22" i="18"/>
  <c r="L25" i="18"/>
  <c r="M25" i="18"/>
  <c r="N25" i="18"/>
  <c r="O25" i="18"/>
  <c r="Q25" i="18"/>
  <c r="T25" i="18" s="1"/>
  <c r="R25" i="18"/>
  <c r="S25" i="18"/>
  <c r="U25" i="18"/>
  <c r="L45" i="18"/>
  <c r="O45" i="18" s="1"/>
  <c r="M45" i="18"/>
  <c r="N45" i="18"/>
  <c r="P45" i="18"/>
  <c r="Q45" i="18"/>
  <c r="Q44" i="18" s="1"/>
  <c r="T44" i="18" s="1"/>
  <c r="R45" i="18"/>
  <c r="U45" i="18" s="1"/>
  <c r="S45" i="18"/>
  <c r="S44" i="18" s="1"/>
  <c r="Q46" i="18"/>
  <c r="T46" i="18" s="1"/>
  <c r="R46" i="18"/>
  <c r="U46" i="18" s="1"/>
  <c r="S46" i="18"/>
  <c r="Q47" i="18"/>
  <c r="R47" i="18"/>
  <c r="U47" i="18" s="1"/>
  <c r="S47" i="18"/>
  <c r="T47" i="18"/>
  <c r="O48" i="18"/>
  <c r="P48" i="18"/>
  <c r="T48" i="18"/>
  <c r="U48" i="18"/>
  <c r="L49" i="18"/>
  <c r="M49" i="18"/>
  <c r="M47" i="18" s="1"/>
  <c r="N49" i="18"/>
  <c r="N47" i="18" s="1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L50" i="18" s="1"/>
  <c r="O50" i="18" s="1"/>
  <c r="M52" i="18"/>
  <c r="N52" i="18"/>
  <c r="T52" i="18"/>
  <c r="U52" i="18"/>
  <c r="L60" i="18"/>
  <c r="O60" i="18" s="1"/>
  <c r="M60" i="18"/>
  <c r="P60" i="18" s="1"/>
  <c r="N60" i="18"/>
  <c r="Q60" i="18"/>
  <c r="R60" i="18"/>
  <c r="U60" i="18" s="1"/>
  <c r="S60" i="18"/>
  <c r="Q61" i="18"/>
  <c r="T61" i="18" s="1"/>
  <c r="R61" i="18"/>
  <c r="U61" i="18" s="1"/>
  <c r="S61" i="18"/>
  <c r="Q62" i="18"/>
  <c r="R62" i="18"/>
  <c r="U62" i="18" s="1"/>
  <c r="S62" i="18"/>
  <c r="T62" i="18"/>
  <c r="O63" i="18"/>
  <c r="P63" i="18"/>
  <c r="T63" i="18"/>
  <c r="U63" i="18"/>
  <c r="L64" i="18"/>
  <c r="L62" i="18" s="1"/>
  <c r="M64" i="18"/>
  <c r="N64" i="18"/>
  <c r="N62" i="18" s="1"/>
  <c r="T64" i="18"/>
  <c r="U64" i="18"/>
  <c r="Q65" i="18"/>
  <c r="T65" i="18" s="1"/>
  <c r="R65" i="18"/>
  <c r="S65" i="18"/>
  <c r="U65" i="18"/>
  <c r="O66" i="18"/>
  <c r="P66" i="18"/>
  <c r="T66" i="18"/>
  <c r="U66" i="18"/>
  <c r="L67" i="18"/>
  <c r="L65" i="18" s="1"/>
  <c r="O65" i="18" s="1"/>
  <c r="M67" i="18"/>
  <c r="N67" i="18"/>
  <c r="N65" i="18" s="1"/>
  <c r="T67" i="18"/>
  <c r="U67" i="18"/>
  <c r="L73" i="18"/>
  <c r="O73" i="18" s="1"/>
  <c r="M73" i="18"/>
  <c r="N73" i="18"/>
  <c r="P73" i="18"/>
  <c r="Q73" i="18"/>
  <c r="R73" i="18"/>
  <c r="U73" i="18" s="1"/>
  <c r="S73" i="18"/>
  <c r="T73" i="18"/>
  <c r="O76" i="18"/>
  <c r="P76" i="18"/>
  <c r="T76" i="18"/>
  <c r="U76" i="18"/>
  <c r="L77" i="18"/>
  <c r="M77" i="18"/>
  <c r="N77" i="18"/>
  <c r="N75" i="18" s="1"/>
  <c r="Q77" i="18"/>
  <c r="T77" i="18" s="1"/>
  <c r="R77" i="18"/>
  <c r="R75" i="18" s="1"/>
  <c r="U75" i="18" s="1"/>
  <c r="S77" i="18"/>
  <c r="S75" i="18" s="1"/>
  <c r="O79" i="18"/>
  <c r="P79" i="18"/>
  <c r="T79" i="18"/>
  <c r="U79" i="18"/>
  <c r="L80" i="18"/>
  <c r="L78" i="18" s="1"/>
  <c r="O78" i="18" s="1"/>
  <c r="M80" i="18"/>
  <c r="N80" i="18"/>
  <c r="N78" i="18" s="1"/>
  <c r="Q80" i="18"/>
  <c r="T80" i="18" s="1"/>
  <c r="R80" i="18"/>
  <c r="R78" i="18" s="1"/>
  <c r="U78" i="18" s="1"/>
  <c r="S80" i="18"/>
  <c r="S78" i="18" s="1"/>
  <c r="J82" i="18"/>
  <c r="J70" i="18" s="1"/>
  <c r="J83" i="18"/>
  <c r="J71" i="18" s="1"/>
  <c r="I84" i="18"/>
  <c r="K84" i="18" s="1"/>
  <c r="I85" i="18"/>
  <c r="K85" i="18" s="1"/>
  <c r="I86" i="18"/>
  <c r="K86" i="18" s="1"/>
  <c r="I87" i="18"/>
  <c r="I88" i="18"/>
  <c r="K88" i="18" s="1"/>
  <c r="I89" i="18"/>
  <c r="K89" i="18" s="1"/>
  <c r="I90" i="18"/>
  <c r="K90" i="18" s="1"/>
  <c r="J92" i="18"/>
  <c r="J93" i="18"/>
  <c r="L95" i="18"/>
  <c r="M95" i="18"/>
  <c r="N95" i="18"/>
  <c r="P95" i="18"/>
  <c r="Q95" i="18"/>
  <c r="T95" i="18" s="1"/>
  <c r="R95" i="18"/>
  <c r="S95" i="18"/>
  <c r="O98" i="18"/>
  <c r="P98" i="18"/>
  <c r="T98" i="18"/>
  <c r="U98" i="18"/>
  <c r="L99" i="18"/>
  <c r="M99" i="18"/>
  <c r="M97" i="18" s="1"/>
  <c r="N99" i="18"/>
  <c r="N97" i="18" s="1"/>
  <c r="Q99" i="18"/>
  <c r="Q97" i="18" s="1"/>
  <c r="R99" i="18"/>
  <c r="S99" i="18"/>
  <c r="Q100" i="18"/>
  <c r="T100" i="18" s="1"/>
  <c r="R100" i="18"/>
  <c r="S100" i="18"/>
  <c r="U100" i="18"/>
  <c r="O101" i="18"/>
  <c r="P101" i="18"/>
  <c r="T101" i="18"/>
  <c r="U101" i="18"/>
  <c r="L102" i="18"/>
  <c r="O102" i="18" s="1"/>
  <c r="M102" i="18"/>
  <c r="P102" i="18" s="1"/>
  <c r="N102" i="18"/>
  <c r="N100" i="18" s="1"/>
  <c r="T102" i="18"/>
  <c r="U102" i="18"/>
  <c r="I108" i="18"/>
  <c r="I109" i="18"/>
  <c r="K109" i="18" s="1"/>
  <c r="I113" i="18"/>
  <c r="K113" i="18" s="1"/>
  <c r="I114" i="18"/>
  <c r="K114" i="18" s="1"/>
  <c r="J116" i="18"/>
  <c r="L118" i="18"/>
  <c r="O118" i="18" s="1"/>
  <c r="M118" i="18"/>
  <c r="N118" i="18"/>
  <c r="P118" i="18"/>
  <c r="Q118" i="18"/>
  <c r="R118" i="18"/>
  <c r="U118" i="18" s="1"/>
  <c r="S118" i="18"/>
  <c r="T118" i="18"/>
  <c r="O121" i="18"/>
  <c r="P121" i="18"/>
  <c r="T121" i="18"/>
  <c r="U121" i="18"/>
  <c r="L122" i="18"/>
  <c r="M122" i="18"/>
  <c r="M120" i="18" s="1"/>
  <c r="P120" i="18" s="1"/>
  <c r="N122" i="18"/>
  <c r="Q122" i="18"/>
  <c r="Q120" i="18" s="1"/>
  <c r="R122" i="18"/>
  <c r="S122" i="18"/>
  <c r="O124" i="18"/>
  <c r="P124" i="18"/>
  <c r="T124" i="18"/>
  <c r="U124" i="18"/>
  <c r="L125" i="18"/>
  <c r="M125" i="18"/>
  <c r="N125" i="18"/>
  <c r="N123" i="18" s="1"/>
  <c r="Q125" i="18"/>
  <c r="T125" i="18" s="1"/>
  <c r="R125" i="18"/>
  <c r="S125" i="18"/>
  <c r="S123" i="18" s="1"/>
  <c r="I127" i="18"/>
  <c r="I116" i="18" s="1"/>
  <c r="K116" i="18" s="1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P140" i="18" s="1"/>
  <c r="N140" i="18"/>
  <c r="O140" i="18"/>
  <c r="Q140" i="18"/>
  <c r="R140" i="18"/>
  <c r="S140" i="18"/>
  <c r="U140" i="18"/>
  <c r="O143" i="18"/>
  <c r="P143" i="18"/>
  <c r="T143" i="18"/>
  <c r="U143" i="18"/>
  <c r="L144" i="18"/>
  <c r="O144" i="18" s="1"/>
  <c r="M144" i="18"/>
  <c r="N144" i="18"/>
  <c r="N142" i="18" s="1"/>
  <c r="Q144" i="18"/>
  <c r="T144" i="18" s="1"/>
  <c r="R144" i="18"/>
  <c r="U144" i="18" s="1"/>
  <c r="S144" i="18"/>
  <c r="S142" i="18" s="1"/>
  <c r="O146" i="18"/>
  <c r="P146" i="18"/>
  <c r="T146" i="18"/>
  <c r="U146" i="18"/>
  <c r="L147" i="18"/>
  <c r="O147" i="18" s="1"/>
  <c r="M147" i="18"/>
  <c r="N147" i="18"/>
  <c r="N145" i="18" s="1"/>
  <c r="Q147" i="18"/>
  <c r="T147" i="18" s="1"/>
  <c r="R147" i="18"/>
  <c r="U147" i="18" s="1"/>
  <c r="S147" i="18"/>
  <c r="S145" i="18" s="1"/>
  <c r="I150" i="18"/>
  <c r="K150" i="18" s="1"/>
  <c r="I151" i="18"/>
  <c r="K151" i="18" s="1"/>
  <c r="I152" i="18"/>
  <c r="K152" i="18" s="1"/>
  <c r="I153" i="18"/>
  <c r="K153" i="18" s="1"/>
  <c r="I154" i="18"/>
  <c r="I136" i="18" s="1"/>
  <c r="K136" i="18" s="1"/>
  <c r="J156" i="18"/>
  <c r="L158" i="18"/>
  <c r="O158" i="18" s="1"/>
  <c r="M158" i="18"/>
  <c r="N158" i="18"/>
  <c r="P158" i="18"/>
  <c r="Q158" i="18"/>
  <c r="R158" i="18"/>
  <c r="U158" i="18" s="1"/>
  <c r="S158" i="18"/>
  <c r="T158" i="18"/>
  <c r="O161" i="18"/>
  <c r="P161" i="18"/>
  <c r="T161" i="18"/>
  <c r="U161" i="18"/>
  <c r="L162" i="18"/>
  <c r="O162" i="18" s="1"/>
  <c r="M162" i="18"/>
  <c r="N162" i="18"/>
  <c r="N160" i="18" s="1"/>
  <c r="Q162" i="18"/>
  <c r="T162" i="18" s="1"/>
  <c r="R162" i="18"/>
  <c r="U162" i="18" s="1"/>
  <c r="S162" i="18"/>
  <c r="S159" i="18" s="1"/>
  <c r="Q163" i="18"/>
  <c r="R163" i="18"/>
  <c r="U163" i="18" s="1"/>
  <c r="S163" i="18"/>
  <c r="T163" i="18"/>
  <c r="O164" i="18"/>
  <c r="P164" i="18"/>
  <c r="T164" i="18"/>
  <c r="U164" i="18"/>
  <c r="L165" i="18"/>
  <c r="O165" i="18" s="1"/>
  <c r="M165" i="18"/>
  <c r="N165" i="18"/>
  <c r="N163" i="18" s="1"/>
  <c r="T165" i="18"/>
  <c r="U165" i="18"/>
  <c r="I167" i="18"/>
  <c r="K167" i="18" s="1"/>
  <c r="I168" i="18"/>
  <c r="K168" i="18" s="1"/>
  <c r="I169" i="18"/>
  <c r="I156" i="18" s="1"/>
  <c r="K156" i="18" s="1"/>
  <c r="J172" i="18"/>
  <c r="L174" i="18"/>
  <c r="O174" i="18" s="1"/>
  <c r="M174" i="18"/>
  <c r="N174" i="18"/>
  <c r="P174" i="18"/>
  <c r="Q174" i="18"/>
  <c r="R174" i="18"/>
  <c r="U174" i="18" s="1"/>
  <c r="S174" i="18"/>
  <c r="T174" i="18"/>
  <c r="O177" i="18"/>
  <c r="P177" i="18"/>
  <c r="T177" i="18"/>
  <c r="U177" i="18"/>
  <c r="L178" i="18"/>
  <c r="L176" i="18" s="1"/>
  <c r="M178" i="18"/>
  <c r="M176" i="18" s="1"/>
  <c r="N178" i="18"/>
  <c r="N176" i="18" s="1"/>
  <c r="Q178" i="18"/>
  <c r="R178" i="18"/>
  <c r="R176" i="18" s="1"/>
  <c r="S178" i="18"/>
  <c r="S175" i="18" s="1"/>
  <c r="Q179" i="18"/>
  <c r="T179" i="18" s="1"/>
  <c r="R179" i="18"/>
  <c r="U179" i="18" s="1"/>
  <c r="S179" i="18"/>
  <c r="O180" i="18"/>
  <c r="P180" i="18"/>
  <c r="T180" i="18"/>
  <c r="U180" i="18"/>
  <c r="L181" i="18"/>
  <c r="O181" i="18" s="1"/>
  <c r="M181" i="18"/>
  <c r="M179" i="18" s="1"/>
  <c r="P179" i="18" s="1"/>
  <c r="N181" i="18"/>
  <c r="N179" i="18" s="1"/>
  <c r="T181" i="18"/>
  <c r="U181" i="18"/>
  <c r="I183" i="18"/>
  <c r="I172" i="18" s="1"/>
  <c r="K172" i="18" s="1"/>
  <c r="K184" i="18"/>
  <c r="L187" i="18"/>
  <c r="M187" i="18"/>
  <c r="P187" i="18" s="1"/>
  <c r="N187" i="18"/>
  <c r="Q187" i="18"/>
  <c r="T187" i="18" s="1"/>
  <c r="R187" i="18"/>
  <c r="S187" i="18"/>
  <c r="O190" i="18"/>
  <c r="P190" i="18"/>
  <c r="T190" i="18"/>
  <c r="U190" i="18"/>
  <c r="L191" i="18"/>
  <c r="L189" i="18" s="1"/>
  <c r="M191" i="18"/>
  <c r="M189" i="18" s="1"/>
  <c r="N191" i="18"/>
  <c r="N189" i="18" s="1"/>
  <c r="Q191" i="18"/>
  <c r="R191" i="18"/>
  <c r="S191" i="18"/>
  <c r="S189" i="18" s="1"/>
  <c r="O193" i="18"/>
  <c r="P193" i="18"/>
  <c r="T193" i="18"/>
  <c r="U193" i="18"/>
  <c r="L194" i="18"/>
  <c r="O194" i="18" s="1"/>
  <c r="M194" i="18"/>
  <c r="P194" i="18" s="1"/>
  <c r="N194" i="18"/>
  <c r="N192" i="18" s="1"/>
  <c r="Q194" i="18"/>
  <c r="R194" i="18"/>
  <c r="U194" i="18" s="1"/>
  <c r="S194" i="18"/>
  <c r="S192" i="18" s="1"/>
  <c r="J195" i="18"/>
  <c r="L196" i="18"/>
  <c r="O196" i="18" s="1"/>
  <c r="P196" i="18"/>
  <c r="I198" i="18"/>
  <c r="I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I219" i="18"/>
  <c r="K219" i="18" s="1"/>
  <c r="I220" i="18"/>
  <c r="I213" i="18" s="1"/>
  <c r="J221" i="18"/>
  <c r="N222" i="18"/>
  <c r="P222" i="18"/>
  <c r="L223" i="18"/>
  <c r="L224" i="18"/>
  <c r="L225" i="18"/>
  <c r="I228" i="18"/>
  <c r="K228" i="18" s="1"/>
  <c r="I229" i="18"/>
  <c r="I221" i="18" s="1"/>
  <c r="K221" i="18" s="1"/>
  <c r="I230" i="18"/>
  <c r="K230" i="18" s="1"/>
  <c r="U232" i="18"/>
  <c r="N233" i="18"/>
  <c r="N234" i="18"/>
  <c r="N235" i="18"/>
  <c r="N236" i="18"/>
  <c r="J238" i="18"/>
  <c r="J240" i="18"/>
  <c r="J241" i="18"/>
  <c r="J242" i="18"/>
  <c r="N243" i="18"/>
  <c r="P243" i="18"/>
  <c r="Q243" i="18"/>
  <c r="Q232" i="18" s="1"/>
  <c r="T232" i="18" s="1"/>
  <c r="S243" i="18"/>
  <c r="U243" i="18"/>
  <c r="L244" i="18"/>
  <c r="L245" i="18"/>
  <c r="L246" i="18"/>
  <c r="L247" i="18"/>
  <c r="I249" i="18"/>
  <c r="I242" i="18" s="1"/>
  <c r="I251" i="18"/>
  <c r="I252" i="18"/>
  <c r="K252" i="18" s="1"/>
  <c r="J253" i="18"/>
  <c r="N254" i="18"/>
  <c r="P254" i="18"/>
  <c r="Q254" i="18"/>
  <c r="T254" i="18" s="1"/>
  <c r="S254" i="18"/>
  <c r="S232" i="18" s="1"/>
  <c r="U254" i="18"/>
  <c r="L255" i="18"/>
  <c r="L256" i="18"/>
  <c r="L257" i="18"/>
  <c r="L258" i="18"/>
  <c r="I260" i="18"/>
  <c r="K262" i="18"/>
  <c r="K263" i="18"/>
  <c r="J265" i="18"/>
  <c r="L267" i="18"/>
  <c r="M267" i="18"/>
  <c r="P267" i="18" s="1"/>
  <c r="N267" i="18"/>
  <c r="Q267" i="18"/>
  <c r="R267" i="18"/>
  <c r="S267" i="18"/>
  <c r="O270" i="18"/>
  <c r="P270" i="18"/>
  <c r="T270" i="18"/>
  <c r="U270" i="18"/>
  <c r="L271" i="18"/>
  <c r="M271" i="18"/>
  <c r="N271" i="18"/>
  <c r="Q271" i="18"/>
  <c r="Q269" i="18" s="1"/>
  <c r="R271" i="18"/>
  <c r="R268" i="18" s="1"/>
  <c r="S271" i="18"/>
  <c r="Q272" i="18"/>
  <c r="T272" i="18" s="1"/>
  <c r="R272" i="18"/>
  <c r="S272" i="18"/>
  <c r="U272" i="18"/>
  <c r="O273" i="18"/>
  <c r="P273" i="18"/>
  <c r="T273" i="18"/>
  <c r="U273" i="18"/>
  <c r="L274" i="18"/>
  <c r="L272" i="18" s="1"/>
  <c r="O272" i="18" s="1"/>
  <c r="M274" i="18"/>
  <c r="N274" i="18"/>
  <c r="N272" i="18" s="1"/>
  <c r="T274" i="18"/>
  <c r="U274" i="18"/>
  <c r="I276" i="18"/>
  <c r="I265" i="18" s="1"/>
  <c r="K265" i="18" s="1"/>
  <c r="J281" i="18"/>
  <c r="L283" i="18"/>
  <c r="M283" i="18"/>
  <c r="N283" i="18"/>
  <c r="Q283" i="18"/>
  <c r="T283" i="18" s="1"/>
  <c r="R283" i="18"/>
  <c r="S283" i="18"/>
  <c r="S282" i="18" s="1"/>
  <c r="U283" i="18"/>
  <c r="Q284" i="18"/>
  <c r="Q282" i="18" s="1"/>
  <c r="T282" i="18" s="1"/>
  <c r="R284" i="18"/>
  <c r="S284" i="18"/>
  <c r="U284" i="18"/>
  <c r="Q285" i="18"/>
  <c r="T285" i="18" s="1"/>
  <c r="R285" i="18"/>
  <c r="U285" i="18" s="1"/>
  <c r="S285" i="18"/>
  <c r="O286" i="18"/>
  <c r="P286" i="18"/>
  <c r="T286" i="18"/>
  <c r="U286" i="18"/>
  <c r="L287" i="18"/>
  <c r="M287" i="18"/>
  <c r="N287" i="18"/>
  <c r="N285" i="18" s="1"/>
  <c r="T287" i="18"/>
  <c r="U287" i="18"/>
  <c r="Q288" i="18"/>
  <c r="R288" i="18"/>
  <c r="U288" i="18" s="1"/>
  <c r="S288" i="18"/>
  <c r="T288" i="18"/>
  <c r="O289" i="18"/>
  <c r="P289" i="18"/>
  <c r="T289" i="18"/>
  <c r="U289" i="18"/>
  <c r="L290" i="18"/>
  <c r="M290" i="18"/>
  <c r="P290" i="18" s="1"/>
  <c r="N290" i="18"/>
  <c r="T290" i="18"/>
  <c r="U290" i="18"/>
  <c r="I292" i="18"/>
  <c r="I281" i="18" s="1"/>
  <c r="K281" i="18" s="1"/>
  <c r="I293" i="18"/>
  <c r="I280" i="18" s="1"/>
  <c r="K280" i="18" s="1"/>
  <c r="J293" i="18"/>
  <c r="J280" i="18" s="1"/>
  <c r="I295" i="18"/>
  <c r="K295" i="18" s="1"/>
  <c r="I296" i="18"/>
  <c r="K296" i="18" s="1"/>
  <c r="J302" i="18"/>
  <c r="L304" i="18"/>
  <c r="O304" i="18" s="1"/>
  <c r="M304" i="18"/>
  <c r="P304" i="18" s="1"/>
  <c r="N304" i="18"/>
  <c r="Q304" i="18"/>
  <c r="R304" i="18"/>
  <c r="U304" i="18" s="1"/>
  <c r="S304" i="18"/>
  <c r="T304" i="18"/>
  <c r="O307" i="18"/>
  <c r="P307" i="18"/>
  <c r="T307" i="18"/>
  <c r="U307" i="18"/>
  <c r="L308" i="18"/>
  <c r="O308" i="18" s="1"/>
  <c r="M308" i="18"/>
  <c r="M306" i="18" s="1"/>
  <c r="P306" i="18" s="1"/>
  <c r="N308" i="18"/>
  <c r="Q308" i="18"/>
  <c r="Q305" i="18" s="1"/>
  <c r="R308" i="18"/>
  <c r="R306" i="18" s="1"/>
  <c r="S308" i="18"/>
  <c r="S305" i="18" s="1"/>
  <c r="Q309" i="18"/>
  <c r="R309" i="18"/>
  <c r="U309" i="18" s="1"/>
  <c r="S309" i="18"/>
  <c r="T309" i="18"/>
  <c r="O310" i="18"/>
  <c r="P310" i="18"/>
  <c r="T310" i="18"/>
  <c r="U310" i="18"/>
  <c r="L311" i="18"/>
  <c r="L309" i="18" s="1"/>
  <c r="O309" i="18" s="1"/>
  <c r="M311" i="18"/>
  <c r="M309" i="18" s="1"/>
  <c r="P309" i="18" s="1"/>
  <c r="N311" i="18"/>
  <c r="N309" i="18" s="1"/>
  <c r="T311" i="18"/>
  <c r="U311" i="18"/>
  <c r="I314" i="18"/>
  <c r="I302" i="18" s="1"/>
  <c r="K302" i="18" s="1"/>
  <c r="J319" i="18"/>
  <c r="L321" i="18"/>
  <c r="O321" i="18" s="1"/>
  <c r="M321" i="18"/>
  <c r="N321" i="18"/>
  <c r="Q321" i="18"/>
  <c r="R321" i="18"/>
  <c r="U321" i="18" s="1"/>
  <c r="S321" i="18"/>
  <c r="Q322" i="18"/>
  <c r="T322" i="18" s="1"/>
  <c r="R322" i="18"/>
  <c r="S322" i="18"/>
  <c r="Q323" i="18"/>
  <c r="T323" i="18" s="1"/>
  <c r="R323" i="18"/>
  <c r="U323" i="18" s="1"/>
  <c r="S323" i="18"/>
  <c r="O324" i="18"/>
  <c r="P324" i="18"/>
  <c r="T324" i="18"/>
  <c r="U324" i="18"/>
  <c r="L325" i="18"/>
  <c r="M325" i="18"/>
  <c r="N325" i="18"/>
  <c r="N323" i="18" s="1"/>
  <c r="T325" i="18"/>
  <c r="U325" i="18"/>
  <c r="Q326" i="18"/>
  <c r="R326" i="18"/>
  <c r="U326" i="18" s="1"/>
  <c r="S326" i="18"/>
  <c r="T326" i="18"/>
  <c r="O327" i="18"/>
  <c r="P327" i="18"/>
  <c r="T327" i="18"/>
  <c r="U327" i="18"/>
  <c r="L328" i="18"/>
  <c r="O328" i="18" s="1"/>
  <c r="M328" i="18"/>
  <c r="M326" i="18" s="1"/>
  <c r="P326" i="18" s="1"/>
  <c r="N328" i="18"/>
  <c r="N326" i="18" s="1"/>
  <c r="T328" i="18"/>
  <c r="U328" i="18"/>
  <c r="I330" i="18"/>
  <c r="K330" i="18" s="1"/>
  <c r="L334" i="18"/>
  <c r="M334" i="18"/>
  <c r="P334" i="18" s="1"/>
  <c r="N334" i="18"/>
  <c r="O334" i="18"/>
  <c r="Q334" i="18"/>
  <c r="T334" i="18" s="1"/>
  <c r="R334" i="18"/>
  <c r="U334" i="18" s="1"/>
  <c r="S334" i="18"/>
  <c r="Q335" i="18"/>
  <c r="T335" i="18" s="1"/>
  <c r="R335" i="18"/>
  <c r="U335" i="18" s="1"/>
  <c r="S335" i="18"/>
  <c r="S333" i="18" s="1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M336" i="18" s="1"/>
  <c r="N338" i="18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O341" i="18" s="1"/>
  <c r="M341" i="18"/>
  <c r="M339" i="18" s="1"/>
  <c r="P339" i="18" s="1"/>
  <c r="N341" i="18"/>
  <c r="N339" i="18" s="1"/>
  <c r="T341" i="18"/>
  <c r="U341" i="18"/>
  <c r="I344" i="18"/>
  <c r="J344" i="18"/>
  <c r="I346" i="18"/>
  <c r="J346" i="18"/>
  <c r="J347" i="18"/>
  <c r="J348" i="18"/>
  <c r="J349" i="18"/>
  <c r="D350" i="18"/>
  <c r="J352" i="18"/>
  <c r="J353" i="18"/>
  <c r="J354" i="18"/>
  <c r="L357" i="18"/>
  <c r="O357" i="18" s="1"/>
  <c r="M357" i="18"/>
  <c r="P357" i="18" s="1"/>
  <c r="N357" i="18"/>
  <c r="Q357" i="18"/>
  <c r="R357" i="18"/>
  <c r="R356" i="18" s="1"/>
  <c r="U356" i="18" s="1"/>
  <c r="S357" i="18"/>
  <c r="S356" i="18" s="1"/>
  <c r="Q358" i="18"/>
  <c r="R358" i="18"/>
  <c r="U358" i="18" s="1"/>
  <c r="S358" i="18"/>
  <c r="T358" i="18"/>
  <c r="Q359" i="18"/>
  <c r="T359" i="18" s="1"/>
  <c r="R359" i="18"/>
  <c r="U359" i="18" s="1"/>
  <c r="S359" i="18"/>
  <c r="O360" i="18"/>
  <c r="P360" i="18"/>
  <c r="T360" i="18"/>
  <c r="U360" i="18"/>
  <c r="L361" i="18"/>
  <c r="L359" i="18" s="1"/>
  <c r="M361" i="18"/>
  <c r="M359" i="18" s="1"/>
  <c r="N361" i="18"/>
  <c r="N359" i="18" s="1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M364" i="18"/>
  <c r="M362" i="18" s="1"/>
  <c r="P362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L376" i="18"/>
  <c r="O376" i="18" s="1"/>
  <c r="M376" i="18"/>
  <c r="P376" i="18" s="1"/>
  <c r="N376" i="18"/>
  <c r="Q376" i="18"/>
  <c r="T376" i="18" s="1"/>
  <c r="R376" i="18"/>
  <c r="S376" i="18"/>
  <c r="U376" i="18"/>
  <c r="O379" i="18"/>
  <c r="P379" i="18"/>
  <c r="T379" i="18"/>
  <c r="U379" i="18"/>
  <c r="L380" i="18"/>
  <c r="L378" i="18" s="1"/>
  <c r="O378" i="18" s="1"/>
  <c r="M380" i="18"/>
  <c r="M378" i="18" s="1"/>
  <c r="P378" i="18" s="1"/>
  <c r="N380" i="18"/>
  <c r="Q380" i="18"/>
  <c r="Q378" i="18" s="1"/>
  <c r="R380" i="18"/>
  <c r="R378" i="18" s="1"/>
  <c r="S380" i="18"/>
  <c r="S377" i="18" s="1"/>
  <c r="Q381" i="18"/>
  <c r="T381" i="18" s="1"/>
  <c r="R381" i="18"/>
  <c r="U381" i="18" s="1"/>
  <c r="S381" i="18"/>
  <c r="O382" i="18"/>
  <c r="P382" i="18"/>
  <c r="T382" i="18"/>
  <c r="U382" i="18"/>
  <c r="L383" i="18"/>
  <c r="M383" i="18"/>
  <c r="P383" i="18" s="1"/>
  <c r="N383" i="18"/>
  <c r="N381" i="18" s="1"/>
  <c r="T383" i="18"/>
  <c r="U383" i="18"/>
  <c r="J385" i="18"/>
  <c r="K385" i="18"/>
  <c r="I386" i="18"/>
  <c r="J386" i="18"/>
  <c r="J387" i="18"/>
  <c r="K387" i="18"/>
  <c r="I388" i="18"/>
  <c r="K388" i="18" s="1"/>
  <c r="J388" i="18"/>
  <c r="I391" i="18"/>
  <c r="K391" i="18" s="1"/>
  <c r="J391" i="18"/>
  <c r="L393" i="18"/>
  <c r="M393" i="18"/>
  <c r="N393" i="18"/>
  <c r="P393" i="18"/>
  <c r="Q393" i="18"/>
  <c r="R393" i="18"/>
  <c r="S393" i="18"/>
  <c r="L394" i="18"/>
  <c r="O394" i="18" s="1"/>
  <c r="M394" i="18"/>
  <c r="N394" i="18"/>
  <c r="N392" i="18" s="1"/>
  <c r="L395" i="18"/>
  <c r="O395" i="18" s="1"/>
  <c r="M395" i="18"/>
  <c r="P395" i="18" s="1"/>
  <c r="N395" i="18"/>
  <c r="O396" i="18"/>
  <c r="P396" i="18"/>
  <c r="T396" i="18"/>
  <c r="U396" i="18"/>
  <c r="O397" i="18"/>
  <c r="P397" i="18"/>
  <c r="Q397" i="18"/>
  <c r="Q395" i="18" s="1"/>
  <c r="T395" i="18" s="1"/>
  <c r="R397" i="18"/>
  <c r="R395" i="18" s="1"/>
  <c r="U395" i="18" s="1"/>
  <c r="S397" i="18"/>
  <c r="S394" i="18" s="1"/>
  <c r="S392" i="18" s="1"/>
  <c r="L398" i="18"/>
  <c r="M398" i="18"/>
  <c r="N398" i="18"/>
  <c r="O398" i="18"/>
  <c r="P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M414" i="18"/>
  <c r="N414" i="18"/>
  <c r="P414" i="18"/>
  <c r="Q414" i="18"/>
  <c r="R414" i="18"/>
  <c r="S414" i="18"/>
  <c r="O417" i="18"/>
  <c r="P417" i="18"/>
  <c r="T417" i="18"/>
  <c r="U417" i="18"/>
  <c r="L418" i="18"/>
  <c r="L416" i="18" s="1"/>
  <c r="M418" i="18"/>
  <c r="N418" i="18"/>
  <c r="N416" i="18" s="1"/>
  <c r="Q418" i="18"/>
  <c r="R418" i="18"/>
  <c r="R416" i="18" s="1"/>
  <c r="S418" i="18"/>
  <c r="S415" i="18" s="1"/>
  <c r="S413" i="18" s="1"/>
  <c r="Q419" i="18"/>
  <c r="T419" i="18" s="1"/>
  <c r="R419" i="18"/>
  <c r="S419" i="18"/>
  <c r="U419" i="18"/>
  <c r="O420" i="18"/>
  <c r="P420" i="18"/>
  <c r="T420" i="18"/>
  <c r="U420" i="18"/>
  <c r="L421" i="18"/>
  <c r="M421" i="18"/>
  <c r="N421" i="18"/>
  <c r="T421" i="18"/>
  <c r="U421" i="18"/>
  <c r="I424" i="18"/>
  <c r="K424" i="18" s="1"/>
  <c r="J424" i="18"/>
  <c r="I425" i="18"/>
  <c r="K425" i="18" s="1"/>
  <c r="J425" i="18"/>
  <c r="I432" i="18"/>
  <c r="K432" i="18" s="1"/>
  <c r="J432" i="18"/>
  <c r="I433" i="18"/>
  <c r="K433" i="18" s="1"/>
  <c r="J433" i="18"/>
  <c r="I440" i="18"/>
  <c r="K440" i="18" s="1"/>
  <c r="J440" i="18"/>
  <c r="J423" i="18" s="1"/>
  <c r="J412" i="18" s="1"/>
  <c r="I441" i="18"/>
  <c r="K441" i="18" s="1"/>
  <c r="J446" i="18"/>
  <c r="J447" i="18"/>
  <c r="J441" i="18" s="1"/>
  <c r="I457" i="18"/>
  <c r="I456" i="18" s="1"/>
  <c r="I458" i="18"/>
  <c r="K458" i="18" s="1"/>
  <c r="J459" i="18"/>
  <c r="J460" i="18"/>
  <c r="J467" i="18"/>
  <c r="J457" i="18" s="1"/>
  <c r="J456" i="18" s="1"/>
  <c r="J468" i="18"/>
  <c r="J458" i="18" s="1"/>
  <c r="J475" i="18"/>
  <c r="K475" i="18"/>
  <c r="J476" i="18"/>
  <c r="K476" i="18"/>
  <c r="J477" i="18"/>
  <c r="K477" i="18"/>
  <c r="J482" i="18"/>
  <c r="J483" i="18"/>
  <c r="I484" i="18"/>
  <c r="J484" i="18"/>
  <c r="K484" i="18"/>
  <c r="I485" i="18"/>
  <c r="K485" i="18" s="1"/>
  <c r="J485" i="18"/>
  <c r="L494" i="18"/>
  <c r="O494" i="18" s="1"/>
  <c r="M494" i="18"/>
  <c r="P494" i="18" s="1"/>
  <c r="N494" i="18"/>
  <c r="Q494" i="18"/>
  <c r="T494" i="18" s="1"/>
  <c r="R494" i="18"/>
  <c r="S494" i="18"/>
  <c r="O497" i="18"/>
  <c r="P497" i="18"/>
  <c r="T497" i="18"/>
  <c r="U497" i="18"/>
  <c r="L498" i="18"/>
  <c r="L496" i="18" s="1"/>
  <c r="O496" i="18" s="1"/>
  <c r="M498" i="18"/>
  <c r="N498" i="18"/>
  <c r="N496" i="18" s="1"/>
  <c r="Q498" i="18"/>
  <c r="Q496" i="18" s="1"/>
  <c r="T496" i="18" s="1"/>
  <c r="R498" i="18"/>
  <c r="R495" i="18" s="1"/>
  <c r="U495" i="18" s="1"/>
  <c r="S498" i="18"/>
  <c r="S495" i="18" s="1"/>
  <c r="Q499" i="18"/>
  <c r="T499" i="18" s="1"/>
  <c r="R499" i="18"/>
  <c r="U499" i="18" s="1"/>
  <c r="S499" i="18"/>
  <c r="O500" i="18"/>
  <c r="P500" i="18"/>
  <c r="T500" i="18"/>
  <c r="U500" i="18"/>
  <c r="L501" i="18"/>
  <c r="O501" i="18" s="1"/>
  <c r="M501" i="18"/>
  <c r="P501" i="18" s="1"/>
  <c r="N501" i="18"/>
  <c r="N499" i="18" s="1"/>
  <c r="T501" i="18"/>
  <c r="U501" i="18"/>
  <c r="I503" i="18"/>
  <c r="I492" i="18" s="1"/>
  <c r="K492" i="18" s="1"/>
  <c r="I504" i="18"/>
  <c r="K504" i="18" s="1"/>
  <c r="I505" i="18"/>
  <c r="I506" i="18"/>
  <c r="K506" i="18" s="1"/>
  <c r="I507" i="18"/>
  <c r="K507" i="18" s="1"/>
  <c r="K508" i="18"/>
  <c r="I509" i="18"/>
  <c r="K509" i="18" s="1"/>
  <c r="I512" i="18"/>
  <c r="K512" i="18" s="1"/>
  <c r="J512" i="18"/>
  <c r="Q513" i="18"/>
  <c r="T513" i="18" s="1"/>
  <c r="L514" i="18"/>
  <c r="M514" i="18"/>
  <c r="P514" i="18" s="1"/>
  <c r="N514" i="18"/>
  <c r="Q514" i="18"/>
  <c r="T514" i="18" s="1"/>
  <c r="R514" i="18"/>
  <c r="S514" i="18"/>
  <c r="S513" i="18" s="1"/>
  <c r="Q515" i="18"/>
  <c r="R515" i="18"/>
  <c r="U515" i="18" s="1"/>
  <c r="S515" i="18"/>
  <c r="T515" i="18"/>
  <c r="Q516" i="18"/>
  <c r="T516" i="18" s="1"/>
  <c r="R516" i="18"/>
  <c r="U516" i="18" s="1"/>
  <c r="S516" i="18"/>
  <c r="O517" i="18"/>
  <c r="P517" i="18"/>
  <c r="T517" i="18"/>
  <c r="U517" i="18"/>
  <c r="L518" i="18"/>
  <c r="M518" i="18"/>
  <c r="M516" i="18" s="1"/>
  <c r="P516" i="18" s="1"/>
  <c r="N518" i="18"/>
  <c r="N516" i="18" s="1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L519" i="18" s="1"/>
  <c r="O519" i="18" s="1"/>
  <c r="M521" i="18"/>
  <c r="M519" i="18" s="1"/>
  <c r="P519" i="18" s="1"/>
  <c r="N521" i="18"/>
  <c r="N519" i="18" s="1"/>
  <c r="T521" i="18"/>
  <c r="U521" i="18"/>
  <c r="K523" i="18"/>
  <c r="K524" i="18"/>
  <c r="I533" i="18"/>
  <c r="K533" i="18" s="1"/>
  <c r="J533" i="18"/>
  <c r="R534" i="18"/>
  <c r="U534" i="18" s="1"/>
  <c r="L535" i="18"/>
  <c r="M535" i="18"/>
  <c r="N535" i="18"/>
  <c r="Q535" i="18"/>
  <c r="R535" i="18"/>
  <c r="S535" i="18"/>
  <c r="S534" i="18" s="1"/>
  <c r="T535" i="18"/>
  <c r="U535" i="18"/>
  <c r="Q536" i="18"/>
  <c r="R536" i="18"/>
  <c r="S536" i="18"/>
  <c r="U536" i="18"/>
  <c r="Q537" i="18"/>
  <c r="T537" i="18" s="1"/>
  <c r="R537" i="18"/>
  <c r="S537" i="18"/>
  <c r="U537" i="18"/>
  <c r="O538" i="18"/>
  <c r="P538" i="18"/>
  <c r="T538" i="18"/>
  <c r="U538" i="18"/>
  <c r="L539" i="18"/>
  <c r="M539" i="18"/>
  <c r="M537" i="18" s="1"/>
  <c r="P537" i="18" s="1"/>
  <c r="N539" i="18"/>
  <c r="N537" i="18" s="1"/>
  <c r="T539" i="18"/>
  <c r="U539" i="18"/>
  <c r="Q540" i="18"/>
  <c r="R540" i="18"/>
  <c r="U540" i="18" s="1"/>
  <c r="S540" i="18"/>
  <c r="T540" i="18"/>
  <c r="O541" i="18"/>
  <c r="P541" i="18"/>
  <c r="T541" i="18"/>
  <c r="U541" i="18"/>
  <c r="L542" i="18"/>
  <c r="O542" i="18" s="1"/>
  <c r="M542" i="18"/>
  <c r="M540" i="18" s="1"/>
  <c r="P540" i="18" s="1"/>
  <c r="N542" i="18"/>
  <c r="N540" i="18" s="1"/>
  <c r="T542" i="18"/>
  <c r="U542" i="18"/>
  <c r="I554" i="18"/>
  <c r="K554" i="18" s="1"/>
  <c r="J554" i="18"/>
  <c r="L556" i="18"/>
  <c r="M556" i="18"/>
  <c r="N556" i="18"/>
  <c r="P556" i="18"/>
  <c r="Q556" i="18"/>
  <c r="R556" i="18"/>
  <c r="S556" i="18"/>
  <c r="Q557" i="18"/>
  <c r="R557" i="18"/>
  <c r="U557" i="18" s="1"/>
  <c r="S557" i="18"/>
  <c r="T557" i="18"/>
  <c r="Q558" i="18"/>
  <c r="T558" i="18" s="1"/>
  <c r="R558" i="18"/>
  <c r="S558" i="18"/>
  <c r="U558" i="18"/>
  <c r="O559" i="18"/>
  <c r="P559" i="18"/>
  <c r="T559" i="18"/>
  <c r="U559" i="18"/>
  <c r="L560" i="18"/>
  <c r="M560" i="18"/>
  <c r="N560" i="18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O563" i="18" s="1"/>
  <c r="M563" i="18"/>
  <c r="M561" i="18" s="1"/>
  <c r="P561" i="18" s="1"/>
  <c r="N563" i="18"/>
  <c r="N561" i="18" s="1"/>
  <c r="T563" i="18"/>
  <c r="U563" i="18"/>
  <c r="I575" i="18"/>
  <c r="J575" i="18"/>
  <c r="K575" i="18"/>
  <c r="L577" i="18"/>
  <c r="O577" i="18" s="1"/>
  <c r="M577" i="18"/>
  <c r="P577" i="18" s="1"/>
  <c r="N577" i="18"/>
  <c r="Q577" i="18"/>
  <c r="Q576" i="18" s="1"/>
  <c r="T576" i="18" s="1"/>
  <c r="R577" i="18"/>
  <c r="R576" i="18" s="1"/>
  <c r="U576" i="18" s="1"/>
  <c r="S577" i="18"/>
  <c r="U577" i="18"/>
  <c r="Q578" i="18"/>
  <c r="T578" i="18" s="1"/>
  <c r="R578" i="18"/>
  <c r="U578" i="18" s="1"/>
  <c r="S578" i="18"/>
  <c r="Q579" i="18"/>
  <c r="T579" i="18" s="1"/>
  <c r="R579" i="18"/>
  <c r="U579" i="18" s="1"/>
  <c r="S579" i="18"/>
  <c r="O580" i="18"/>
  <c r="P580" i="18"/>
  <c r="T580" i="18"/>
  <c r="U580" i="18"/>
  <c r="L581" i="18"/>
  <c r="O581" i="18" s="1"/>
  <c r="M581" i="18"/>
  <c r="P581" i="18" s="1"/>
  <c r="N581" i="18"/>
  <c r="N579" i="18" s="1"/>
  <c r="T581" i="18"/>
  <c r="U581" i="18"/>
  <c r="Q582" i="18"/>
  <c r="R582" i="18"/>
  <c r="U582" i="18" s="1"/>
  <c r="S582" i="18"/>
  <c r="T582" i="18"/>
  <c r="O583" i="18"/>
  <c r="P583" i="18"/>
  <c r="T583" i="18"/>
  <c r="U583" i="18"/>
  <c r="L584" i="18"/>
  <c r="M584" i="18"/>
  <c r="N584" i="18"/>
  <c r="N582" i="18" s="1"/>
  <c r="T584" i="18"/>
  <c r="U584" i="18"/>
  <c r="L600" i="18"/>
  <c r="M600" i="18"/>
  <c r="P600" i="18" s="1"/>
  <c r="N600" i="18"/>
  <c r="O600" i="18"/>
  <c r="Q600" i="18"/>
  <c r="R600" i="18"/>
  <c r="S600" i="18"/>
  <c r="T600" i="18"/>
  <c r="U600" i="18"/>
  <c r="O603" i="18"/>
  <c r="P603" i="18"/>
  <c r="T603" i="18"/>
  <c r="U603" i="18"/>
  <c r="L604" i="18"/>
  <c r="O604" i="18" s="1"/>
  <c r="M604" i="18"/>
  <c r="N604" i="18"/>
  <c r="N602" i="18" s="1"/>
  <c r="Q604" i="18"/>
  <c r="T604" i="18" s="1"/>
  <c r="R604" i="18"/>
  <c r="S604" i="18"/>
  <c r="S602" i="18" s="1"/>
  <c r="O606" i="18"/>
  <c r="P606" i="18"/>
  <c r="T606" i="18"/>
  <c r="U606" i="18"/>
  <c r="L607" i="18"/>
  <c r="L605" i="18" s="1"/>
  <c r="O605" i="18" s="1"/>
  <c r="M607" i="18"/>
  <c r="N607" i="18"/>
  <c r="N605" i="18" s="1"/>
  <c r="Q607" i="18"/>
  <c r="T607" i="18" s="1"/>
  <c r="R607" i="18"/>
  <c r="U607" i="18" s="1"/>
  <c r="S607" i="18"/>
  <c r="S605" i="18" s="1"/>
  <c r="L617" i="18"/>
  <c r="M617" i="18"/>
  <c r="N617" i="18"/>
  <c r="P617" i="18"/>
  <c r="Q617" i="18"/>
  <c r="R617" i="18"/>
  <c r="S617" i="18"/>
  <c r="L618" i="18"/>
  <c r="O618" i="18" s="1"/>
  <c r="M618" i="18"/>
  <c r="P618" i="18" s="1"/>
  <c r="N618" i="18"/>
  <c r="N616" i="18" s="1"/>
  <c r="L619" i="18"/>
  <c r="O619" i="18" s="1"/>
  <c r="M619" i="18"/>
  <c r="N619" i="18"/>
  <c r="P619" i="18"/>
  <c r="O620" i="18"/>
  <c r="P620" i="18"/>
  <c r="T620" i="18"/>
  <c r="U620" i="18"/>
  <c r="O621" i="18"/>
  <c r="P621" i="18"/>
  <c r="Q621" i="18"/>
  <c r="Q619" i="18" s="1"/>
  <c r="R621" i="18"/>
  <c r="R619" i="18" s="1"/>
  <c r="S621" i="18"/>
  <c r="S619" i="18" s="1"/>
  <c r="L622" i="18"/>
  <c r="O622" i="18" s="1"/>
  <c r="M622" i="18"/>
  <c r="P622" i="18" s="1"/>
  <c r="N622" i="18"/>
  <c r="Q622" i="18"/>
  <c r="R622" i="18"/>
  <c r="U622" i="18" s="1"/>
  <c r="S622" i="18"/>
  <c r="T622" i="18"/>
  <c r="O623" i="18"/>
  <c r="P623" i="18"/>
  <c r="T623" i="18"/>
  <c r="U623" i="18"/>
  <c r="O624" i="18"/>
  <c r="P624" i="18"/>
  <c r="T624" i="18"/>
  <c r="U624" i="18"/>
  <c r="I626" i="18"/>
  <c r="I615" i="18" s="1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M643" i="18"/>
  <c r="M642" i="18" s="1"/>
  <c r="P642" i="18" s="1"/>
  <c r="N643" i="18"/>
  <c r="O643" i="18"/>
  <c r="Q643" i="18"/>
  <c r="T643" i="18" s="1"/>
  <c r="R643" i="18"/>
  <c r="S643" i="18"/>
  <c r="L644" i="18"/>
  <c r="O644" i="18" s="1"/>
  <c r="M644" i="18"/>
  <c r="P644" i="18" s="1"/>
  <c r="N644" i="18"/>
  <c r="N642" i="18" s="1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R647" i="18"/>
  <c r="R645" i="18" s="1"/>
  <c r="S647" i="18"/>
  <c r="S645" i="18" s="1"/>
  <c r="L648" i="18"/>
  <c r="O648" i="18" s="1"/>
  <c r="M648" i="18"/>
  <c r="N648" i="18"/>
  <c r="P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J652" i="18"/>
  <c r="I653" i="18"/>
  <c r="J653" i="18"/>
  <c r="I654" i="18"/>
  <c r="K654" i="18" s="1"/>
  <c r="J654" i="18"/>
  <c r="I657" i="18"/>
  <c r="I660" i="18"/>
  <c r="I661" i="18"/>
  <c r="J661" i="18"/>
  <c r="J671" i="18"/>
  <c r="J672" i="18"/>
  <c r="I673" i="18"/>
  <c r="J673" i="18"/>
  <c r="I674" i="18"/>
  <c r="I675" i="18"/>
  <c r="I676" i="18"/>
  <c r="J676" i="18"/>
  <c r="J677" i="18"/>
  <c r="I678" i="18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L691" i="18"/>
  <c r="M691" i="18"/>
  <c r="N691" i="18"/>
  <c r="P691" i="18"/>
  <c r="Q691" i="18"/>
  <c r="T691" i="18" s="1"/>
  <c r="R691" i="18"/>
  <c r="U691" i="18" s="1"/>
  <c r="S691" i="18"/>
  <c r="L692" i="18"/>
  <c r="M692" i="18"/>
  <c r="P692" i="18" s="1"/>
  <c r="N692" i="18"/>
  <c r="N690" i="18" s="1"/>
  <c r="O692" i="18"/>
  <c r="L693" i="18"/>
  <c r="M693" i="18"/>
  <c r="P693" i="18" s="1"/>
  <c r="N693" i="18"/>
  <c r="O693" i="18"/>
  <c r="O694" i="18"/>
  <c r="P694" i="18"/>
  <c r="T694" i="18"/>
  <c r="U694" i="18"/>
  <c r="O695" i="18"/>
  <c r="P695" i="18"/>
  <c r="Q695" i="18"/>
  <c r="Q693" i="18" s="1"/>
  <c r="R695" i="18"/>
  <c r="R693" i="18" s="1"/>
  <c r="S695" i="18"/>
  <c r="S692" i="18" s="1"/>
  <c r="S690" i="18" s="1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J707" i="18"/>
  <c r="J689" i="18" s="1"/>
  <c r="J708" i="18"/>
  <c r="K708" i="18"/>
  <c r="I709" i="18"/>
  <c r="J709" i="18"/>
  <c r="J710" i="18"/>
  <c r="K710" i="18"/>
  <c r="J712" i="18"/>
  <c r="K712" i="18"/>
  <c r="S714" i="18"/>
  <c r="L715" i="18"/>
  <c r="O715" i="18" s="1"/>
  <c r="M715" i="18"/>
  <c r="N715" i="18"/>
  <c r="P715" i="18"/>
  <c r="Q715" i="18"/>
  <c r="Q714" i="18" s="1"/>
  <c r="T714" i="18" s="1"/>
  <c r="R715" i="18"/>
  <c r="U715" i="18" s="1"/>
  <c r="S715" i="18"/>
  <c r="L716" i="18"/>
  <c r="M716" i="18"/>
  <c r="P716" i="18" s="1"/>
  <c r="N716" i="18"/>
  <c r="Q716" i="18"/>
  <c r="T716" i="18" s="1"/>
  <c r="R716" i="18"/>
  <c r="S716" i="18"/>
  <c r="U716" i="18"/>
  <c r="L717" i="18"/>
  <c r="O717" i="18" s="1"/>
  <c r="M717" i="18"/>
  <c r="P717" i="18" s="1"/>
  <c r="N717" i="18"/>
  <c r="Q717" i="18"/>
  <c r="R717" i="18"/>
  <c r="U717" i="18" s="1"/>
  <c r="S717" i="18"/>
  <c r="T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S720" i="18"/>
  <c r="U720" i="18"/>
  <c r="O721" i="18"/>
  <c r="P721" i="18"/>
  <c r="T721" i="18"/>
  <c r="U721" i="18"/>
  <c r="O722" i="18"/>
  <c r="P722" i="18"/>
  <c r="T722" i="18"/>
  <c r="U722" i="18"/>
  <c r="I726" i="18"/>
  <c r="J726" i="18"/>
  <c r="I727" i="18"/>
  <c r="K727" i="18" s="1"/>
  <c r="J727" i="18"/>
  <c r="L729" i="18"/>
  <c r="O729" i="18" s="1"/>
  <c r="M729" i="18"/>
  <c r="N729" i="18"/>
  <c r="P729" i="18"/>
  <c r="Q729" i="18"/>
  <c r="T729" i="18" s="1"/>
  <c r="R729" i="18"/>
  <c r="U729" i="18" s="1"/>
  <c r="S729" i="18"/>
  <c r="L730" i="18"/>
  <c r="O730" i="18" s="1"/>
  <c r="M730" i="18"/>
  <c r="P730" i="18" s="1"/>
  <c r="N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0" i="18" s="1"/>
  <c r="R733" i="18"/>
  <c r="R730" i="18" s="1"/>
  <c r="R728" i="18" s="1"/>
  <c r="S733" i="18"/>
  <c r="S731" i="18" s="1"/>
  <c r="L734" i="18"/>
  <c r="M734" i="18"/>
  <c r="N734" i="18"/>
  <c r="O734" i="18"/>
  <c r="P734" i="18"/>
  <c r="Q734" i="18"/>
  <c r="T734" i="18" s="1"/>
  <c r="R734" i="18"/>
  <c r="S734" i="18"/>
  <c r="U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P761" i="18" s="1"/>
  <c r="N761" i="18"/>
  <c r="N760" i="18" s="1"/>
  <c r="Q761" i="18"/>
  <c r="R761" i="18"/>
  <c r="U761" i="18" s="1"/>
  <c r="S761" i="18"/>
  <c r="T761" i="18"/>
  <c r="L762" i="18"/>
  <c r="O762" i="18" s="1"/>
  <c r="M762" i="18"/>
  <c r="P762" i="18" s="1"/>
  <c r="N762" i="18"/>
  <c r="L763" i="18"/>
  <c r="O763" i="18" s="1"/>
  <c r="M763" i="18"/>
  <c r="N763" i="18"/>
  <c r="P763" i="18"/>
  <c r="O764" i="18"/>
  <c r="P764" i="18"/>
  <c r="T764" i="18"/>
  <c r="U764" i="18"/>
  <c r="O765" i="18"/>
  <c r="P765" i="18"/>
  <c r="Q765" i="18"/>
  <c r="Q763" i="18" s="1"/>
  <c r="T763" i="18" s="1"/>
  <c r="R765" i="18"/>
  <c r="R762" i="18" s="1"/>
  <c r="U762" i="18" s="1"/>
  <c r="S765" i="18"/>
  <c r="S762" i="18" s="1"/>
  <c r="S760" i="18" s="1"/>
  <c r="L766" i="18"/>
  <c r="O766" i="18" s="1"/>
  <c r="M766" i="18"/>
  <c r="N766" i="18"/>
  <c r="P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58" i="18" s="1"/>
  <c r="K758" i="18" s="1"/>
  <c r="I774" i="18"/>
  <c r="I759" i="18" s="1"/>
  <c r="K759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N22" i="17"/>
  <c r="N19" i="17" s="1"/>
  <c r="Q22" i="17"/>
  <c r="R22" i="17"/>
  <c r="S22" i="17"/>
  <c r="S19" i="17" s="1"/>
  <c r="T22" i="17"/>
  <c r="L25" i="17"/>
  <c r="M25" i="17"/>
  <c r="N25" i="17"/>
  <c r="Q25" i="17"/>
  <c r="T25" i="17" s="1"/>
  <c r="R25" i="17"/>
  <c r="S25" i="17"/>
  <c r="L45" i="17"/>
  <c r="O45" i="17" s="1"/>
  <c r="M45" i="17"/>
  <c r="N45" i="17"/>
  <c r="Q45" i="17"/>
  <c r="T45" i="17" s="1"/>
  <c r="R45" i="17"/>
  <c r="R44" i="17" s="1"/>
  <c r="U44" i="17" s="1"/>
  <c r="S45" i="17"/>
  <c r="S44" i="17" s="1"/>
  <c r="U45" i="17"/>
  <c r="Q46" i="17"/>
  <c r="T46" i="17" s="1"/>
  <c r="R46" i="17"/>
  <c r="S46" i="17"/>
  <c r="U46" i="17"/>
  <c r="Q47" i="17"/>
  <c r="T47" i="17" s="1"/>
  <c r="R47" i="17"/>
  <c r="U47" i="17" s="1"/>
  <c r="S47" i="17"/>
  <c r="O48" i="17"/>
  <c r="P48" i="17"/>
  <c r="T48" i="17"/>
  <c r="U48" i="17"/>
  <c r="L49" i="17"/>
  <c r="M49" i="17"/>
  <c r="M47" i="17" s="1"/>
  <c r="N49" i="17"/>
  <c r="T49" i="17"/>
  <c r="U49" i="17"/>
  <c r="Q50" i="17"/>
  <c r="T50" i="17" s="1"/>
  <c r="R50" i="17"/>
  <c r="S50" i="17"/>
  <c r="U50" i="17"/>
  <c r="O51" i="17"/>
  <c r="P51" i="17"/>
  <c r="T51" i="17"/>
  <c r="U51" i="17"/>
  <c r="L52" i="17"/>
  <c r="M52" i="17"/>
  <c r="N52" i="17"/>
  <c r="N50" i="17" s="1"/>
  <c r="T52" i="17"/>
  <c r="U52" i="17"/>
  <c r="L60" i="17"/>
  <c r="O60" i="17" s="1"/>
  <c r="M60" i="17"/>
  <c r="N60" i="17"/>
  <c r="Q60" i="17"/>
  <c r="Q59" i="17" s="1"/>
  <c r="T59" i="17" s="1"/>
  <c r="R60" i="17"/>
  <c r="R59" i="17" s="1"/>
  <c r="U59" i="17" s="1"/>
  <c r="S60" i="17"/>
  <c r="T60" i="17"/>
  <c r="U60" i="17"/>
  <c r="Q61" i="17"/>
  <c r="T61" i="17" s="1"/>
  <c r="R61" i="17"/>
  <c r="S61" i="17"/>
  <c r="U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M62" i="17" s="1"/>
  <c r="N64" i="17"/>
  <c r="T64" i="17"/>
  <c r="U64" i="17"/>
  <c r="Q65" i="17"/>
  <c r="T65" i="17" s="1"/>
  <c r="R65" i="17"/>
  <c r="U65" i="17" s="1"/>
  <c r="S65" i="17"/>
  <c r="O66" i="17"/>
  <c r="P66" i="17"/>
  <c r="T66" i="17"/>
  <c r="U66" i="17"/>
  <c r="L67" i="17"/>
  <c r="M67" i="17"/>
  <c r="N67" i="17"/>
  <c r="N65" i="17" s="1"/>
  <c r="T67" i="17"/>
  <c r="U67" i="17"/>
  <c r="L73" i="17"/>
  <c r="M73" i="17"/>
  <c r="N73" i="17"/>
  <c r="O73" i="17"/>
  <c r="Q73" i="17"/>
  <c r="T73" i="17" s="1"/>
  <c r="R73" i="17"/>
  <c r="S73" i="17"/>
  <c r="U73" i="17"/>
  <c r="O76" i="17"/>
  <c r="P76" i="17"/>
  <c r="T76" i="17"/>
  <c r="U76" i="17"/>
  <c r="L77" i="17"/>
  <c r="O77" i="17" s="1"/>
  <c r="M77" i="17"/>
  <c r="M75" i="17" s="1"/>
  <c r="P75" i="17" s="1"/>
  <c r="N77" i="17"/>
  <c r="Q77" i="17"/>
  <c r="Q75" i="17" s="1"/>
  <c r="T75" i="17" s="1"/>
  <c r="R77" i="17"/>
  <c r="S77" i="17"/>
  <c r="S75" i="17" s="1"/>
  <c r="O79" i="17"/>
  <c r="P79" i="17"/>
  <c r="T79" i="17"/>
  <c r="U79" i="17"/>
  <c r="L80" i="17"/>
  <c r="L78" i="17" s="1"/>
  <c r="O78" i="17" s="1"/>
  <c r="M80" i="17"/>
  <c r="M78" i="17" s="1"/>
  <c r="P78" i="17" s="1"/>
  <c r="N80" i="17"/>
  <c r="N78" i="17" s="1"/>
  <c r="Q80" i="17"/>
  <c r="Q78" i="17" s="1"/>
  <c r="T78" i="17" s="1"/>
  <c r="R80" i="17"/>
  <c r="R78" i="17" s="1"/>
  <c r="U78" i="17" s="1"/>
  <c r="S80" i="17"/>
  <c r="S78" i="17" s="1"/>
  <c r="J82" i="17"/>
  <c r="J70" i="17" s="1"/>
  <c r="J83" i="17"/>
  <c r="J71" i="17" s="1"/>
  <c r="I84" i="17"/>
  <c r="K84" i="17" s="1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Q95" i="17"/>
  <c r="R95" i="17"/>
  <c r="S95" i="17"/>
  <c r="O98" i="17"/>
  <c r="P98" i="17"/>
  <c r="T98" i="17"/>
  <c r="U98" i="17"/>
  <c r="L99" i="17"/>
  <c r="L97" i="17" s="1"/>
  <c r="M99" i="17"/>
  <c r="N99" i="17"/>
  <c r="N97" i="17" s="1"/>
  <c r="Q99" i="17"/>
  <c r="Q97" i="17" s="1"/>
  <c r="R99" i="17"/>
  <c r="R97" i="17" s="1"/>
  <c r="S99" i="17"/>
  <c r="S97" i="17" s="1"/>
  <c r="Q100" i="17"/>
  <c r="R100" i="17"/>
  <c r="S100" i="17"/>
  <c r="T100" i="17"/>
  <c r="U100" i="17"/>
  <c r="O101" i="17"/>
  <c r="P101" i="17"/>
  <c r="T101" i="17"/>
  <c r="U101" i="17"/>
  <c r="L102" i="17"/>
  <c r="O102" i="17" s="1"/>
  <c r="M102" i="17"/>
  <c r="N102" i="17"/>
  <c r="N100" i="17" s="1"/>
  <c r="T102" i="17"/>
  <c r="U102" i="17"/>
  <c r="I108" i="17"/>
  <c r="I92" i="17" s="1"/>
  <c r="K92" i="17" s="1"/>
  <c r="I109" i="17"/>
  <c r="I93" i="17" s="1"/>
  <c r="K93" i="17" s="1"/>
  <c r="I113" i="17"/>
  <c r="K113" i="17" s="1"/>
  <c r="I114" i="17"/>
  <c r="K114" i="17" s="1"/>
  <c r="J116" i="17"/>
  <c r="L118" i="17"/>
  <c r="M118" i="17"/>
  <c r="N118" i="17"/>
  <c r="O118" i="17"/>
  <c r="P118" i="17"/>
  <c r="Q118" i="17"/>
  <c r="T118" i="17" s="1"/>
  <c r="R118" i="17"/>
  <c r="S118" i="17"/>
  <c r="U118" i="17"/>
  <c r="O121" i="17"/>
  <c r="P121" i="17"/>
  <c r="T121" i="17"/>
  <c r="U121" i="17"/>
  <c r="L122" i="17"/>
  <c r="M122" i="17"/>
  <c r="M120" i="17" s="1"/>
  <c r="P120" i="17" s="1"/>
  <c r="N122" i="17"/>
  <c r="Q122" i="17"/>
  <c r="R122" i="17"/>
  <c r="S122" i="17"/>
  <c r="S120" i="17" s="1"/>
  <c r="O124" i="17"/>
  <c r="P124" i="17"/>
  <c r="T124" i="17"/>
  <c r="U124" i="17"/>
  <c r="L125" i="17"/>
  <c r="M125" i="17"/>
  <c r="M123" i="17" s="1"/>
  <c r="P123" i="17" s="1"/>
  <c r="N125" i="17"/>
  <c r="N123" i="17" s="1"/>
  <c r="Q125" i="17"/>
  <c r="R125" i="17"/>
  <c r="S125" i="17"/>
  <c r="S123" i="17" s="1"/>
  <c r="I127" i="17"/>
  <c r="I116" i="17" s="1"/>
  <c r="K116" i="17" s="1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P140" i="17" s="1"/>
  <c r="N140" i="17"/>
  <c r="O140" i="17"/>
  <c r="Q140" i="17"/>
  <c r="R140" i="17"/>
  <c r="U140" i="17" s="1"/>
  <c r="S140" i="17"/>
  <c r="O143" i="17"/>
  <c r="P143" i="17"/>
  <c r="T143" i="17"/>
  <c r="U143" i="17"/>
  <c r="L144" i="17"/>
  <c r="M144" i="17"/>
  <c r="N144" i="17"/>
  <c r="Q144" i="17"/>
  <c r="R144" i="17"/>
  <c r="S144" i="17"/>
  <c r="S142" i="17" s="1"/>
  <c r="O146" i="17"/>
  <c r="P146" i="17"/>
  <c r="T146" i="17"/>
  <c r="U146" i="17"/>
  <c r="L147" i="17"/>
  <c r="M147" i="17"/>
  <c r="N147" i="17"/>
  <c r="N145" i="17" s="1"/>
  <c r="Q147" i="17"/>
  <c r="T147" i="17" s="1"/>
  <c r="R147" i="17"/>
  <c r="S147" i="17"/>
  <c r="S145" i="17" s="1"/>
  <c r="I150" i="17"/>
  <c r="K150" i="17" s="1"/>
  <c r="I151" i="17"/>
  <c r="K151" i="17" s="1"/>
  <c r="I152" i="17"/>
  <c r="I137" i="17" s="1"/>
  <c r="K137" i="17" s="1"/>
  <c r="I153" i="17"/>
  <c r="K153" i="17" s="1"/>
  <c r="I154" i="17"/>
  <c r="I136" i="17" s="1"/>
  <c r="K136" i="17" s="1"/>
  <c r="J156" i="17"/>
  <c r="L158" i="17"/>
  <c r="O158" i="17" s="1"/>
  <c r="M158" i="17"/>
  <c r="N158" i="17"/>
  <c r="Q158" i="17"/>
  <c r="T158" i="17" s="1"/>
  <c r="R158" i="17"/>
  <c r="S158" i="17"/>
  <c r="U158" i="17"/>
  <c r="O161" i="17"/>
  <c r="P161" i="17"/>
  <c r="T161" i="17"/>
  <c r="U161" i="17"/>
  <c r="L162" i="17"/>
  <c r="M162" i="17"/>
  <c r="N162" i="17"/>
  <c r="N160" i="17" s="1"/>
  <c r="Q162" i="17"/>
  <c r="R162" i="17"/>
  <c r="S162" i="17"/>
  <c r="S159" i="17" s="1"/>
  <c r="Q163" i="17"/>
  <c r="R163" i="17"/>
  <c r="U163" i="17" s="1"/>
  <c r="S163" i="17"/>
  <c r="T163" i="17"/>
  <c r="O164" i="17"/>
  <c r="P164" i="17"/>
  <c r="T164" i="17"/>
  <c r="U164" i="17"/>
  <c r="L165" i="17"/>
  <c r="M165" i="17"/>
  <c r="M163" i="17" s="1"/>
  <c r="P163" i="17" s="1"/>
  <c r="N165" i="17"/>
  <c r="N163" i="17" s="1"/>
  <c r="T165" i="17"/>
  <c r="U165" i="17"/>
  <c r="I167" i="17"/>
  <c r="I156" i="17" s="1"/>
  <c r="K156" i="17" s="1"/>
  <c r="J172" i="17"/>
  <c r="L174" i="17"/>
  <c r="M174" i="17"/>
  <c r="P174" i="17" s="1"/>
  <c r="N174" i="17"/>
  <c r="O174" i="17"/>
  <c r="Q174" i="17"/>
  <c r="T174" i="17" s="1"/>
  <c r="R174" i="17"/>
  <c r="S174" i="17"/>
  <c r="U174" i="17"/>
  <c r="O177" i="17"/>
  <c r="P177" i="17"/>
  <c r="T177" i="17"/>
  <c r="U177" i="17"/>
  <c r="L178" i="17"/>
  <c r="L176" i="17" s="1"/>
  <c r="M178" i="17"/>
  <c r="N178" i="17"/>
  <c r="Q178" i="17"/>
  <c r="Q175" i="17" s="1"/>
  <c r="T175" i="17" s="1"/>
  <c r="R178" i="17"/>
  <c r="R176" i="17" s="1"/>
  <c r="U176" i="17" s="1"/>
  <c r="S178" i="17"/>
  <c r="Q179" i="17"/>
  <c r="T179" i="17" s="1"/>
  <c r="R179" i="17"/>
  <c r="S179" i="17"/>
  <c r="U179" i="17"/>
  <c r="O180" i="17"/>
  <c r="P180" i="17"/>
  <c r="T180" i="17"/>
  <c r="U180" i="17"/>
  <c r="L181" i="17"/>
  <c r="O181" i="17" s="1"/>
  <c r="M181" i="17"/>
  <c r="N181" i="17"/>
  <c r="N179" i="17" s="1"/>
  <c r="T181" i="17"/>
  <c r="U181" i="17"/>
  <c r="I183" i="17"/>
  <c r="K184" i="17"/>
  <c r="L187" i="17"/>
  <c r="M187" i="17"/>
  <c r="P187" i="17" s="1"/>
  <c r="N187" i="17"/>
  <c r="O187" i="17"/>
  <c r="Q187" i="17"/>
  <c r="R187" i="17"/>
  <c r="S187" i="17"/>
  <c r="T187" i="17"/>
  <c r="U187" i="17"/>
  <c r="O190" i="17"/>
  <c r="P190" i="17"/>
  <c r="T190" i="17"/>
  <c r="U190" i="17"/>
  <c r="L191" i="17"/>
  <c r="L189" i="17" s="1"/>
  <c r="M191" i="17"/>
  <c r="N191" i="17"/>
  <c r="Q191" i="17"/>
  <c r="R191" i="17"/>
  <c r="S191" i="17"/>
  <c r="O193" i="17"/>
  <c r="P193" i="17"/>
  <c r="T193" i="17"/>
  <c r="U193" i="17"/>
  <c r="L194" i="17"/>
  <c r="L192" i="17" s="1"/>
  <c r="O192" i="17" s="1"/>
  <c r="M194" i="17"/>
  <c r="P194" i="17" s="1"/>
  <c r="N194" i="17"/>
  <c r="N192" i="17" s="1"/>
  <c r="Q194" i="17"/>
  <c r="R194" i="17"/>
  <c r="R192" i="17" s="1"/>
  <c r="U192" i="17" s="1"/>
  <c r="S194" i="17"/>
  <c r="S192" i="17" s="1"/>
  <c r="J195" i="17"/>
  <c r="L196" i="17"/>
  <c r="O196" i="17" s="1"/>
  <c r="P196" i="17"/>
  <c r="I198" i="17"/>
  <c r="K198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I213" i="17" s="1"/>
  <c r="K213" i="17" s="1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K230" i="17" s="1"/>
  <c r="S232" i="17"/>
  <c r="N233" i="17"/>
  <c r="N234" i="17"/>
  <c r="N235" i="17"/>
  <c r="N236" i="17"/>
  <c r="J238" i="17"/>
  <c r="J240" i="17"/>
  <c r="J241" i="17"/>
  <c r="J242" i="17"/>
  <c r="N243" i="17"/>
  <c r="P243" i="17"/>
  <c r="Q243" i="17"/>
  <c r="S243" i="17"/>
  <c r="U243" i="17"/>
  <c r="L244" i="17"/>
  <c r="L245" i="17"/>
  <c r="L246" i="17"/>
  <c r="L247" i="17"/>
  <c r="I249" i="17"/>
  <c r="I242" i="17" s="1"/>
  <c r="K242" i="17" s="1"/>
  <c r="I251" i="17"/>
  <c r="K251" i="17" s="1"/>
  <c r="I252" i="17"/>
  <c r="J253" i="17"/>
  <c r="N254" i="17"/>
  <c r="P254" i="17"/>
  <c r="Q254" i="17"/>
  <c r="S254" i="17"/>
  <c r="T254" i="17"/>
  <c r="U254" i="17"/>
  <c r="L255" i="17"/>
  <c r="L256" i="17"/>
  <c r="L257" i="17"/>
  <c r="L258" i="17"/>
  <c r="I260" i="17"/>
  <c r="I253" i="17" s="1"/>
  <c r="K253" i="17" s="1"/>
  <c r="K262" i="17"/>
  <c r="K263" i="17"/>
  <c r="J265" i="17"/>
  <c r="L267" i="17"/>
  <c r="O267" i="17" s="1"/>
  <c r="M267" i="17"/>
  <c r="N267" i="17"/>
  <c r="Q267" i="17"/>
  <c r="R267" i="17"/>
  <c r="U267" i="17" s="1"/>
  <c r="S267" i="17"/>
  <c r="T267" i="17"/>
  <c r="O270" i="17"/>
  <c r="P270" i="17"/>
  <c r="T270" i="17"/>
  <c r="U270" i="17"/>
  <c r="L271" i="17"/>
  <c r="M271" i="17"/>
  <c r="N271" i="17"/>
  <c r="N269" i="17" s="1"/>
  <c r="Q271" i="17"/>
  <c r="Q268" i="17" s="1"/>
  <c r="R271" i="17"/>
  <c r="R268" i="17" s="1"/>
  <c r="S271" i="17"/>
  <c r="S268" i="17" s="1"/>
  <c r="Q272" i="17"/>
  <c r="T272" i="17" s="1"/>
  <c r="R272" i="17"/>
  <c r="U272" i="17" s="1"/>
  <c r="S272" i="17"/>
  <c r="O273" i="17"/>
  <c r="P273" i="17"/>
  <c r="T273" i="17"/>
  <c r="U273" i="17"/>
  <c r="L274" i="17"/>
  <c r="L272" i="17" s="1"/>
  <c r="O272" i="17" s="1"/>
  <c r="M274" i="17"/>
  <c r="M272" i="17" s="1"/>
  <c r="P272" i="17" s="1"/>
  <c r="N274" i="17"/>
  <c r="N272" i="17" s="1"/>
  <c r="T274" i="17"/>
  <c r="U274" i="17"/>
  <c r="I276" i="17"/>
  <c r="I265" i="17" s="1"/>
  <c r="K265" i="17" s="1"/>
  <c r="J280" i="17"/>
  <c r="J281" i="17"/>
  <c r="L283" i="17"/>
  <c r="M283" i="17"/>
  <c r="P283" i="17" s="1"/>
  <c r="N283" i="17"/>
  <c r="Q283" i="17"/>
  <c r="R283" i="17"/>
  <c r="U283" i="17" s="1"/>
  <c r="S283" i="17"/>
  <c r="T283" i="17"/>
  <c r="Q284" i="17"/>
  <c r="T284" i="17" s="1"/>
  <c r="R284" i="17"/>
  <c r="U284" i="17" s="1"/>
  <c r="S284" i="17"/>
  <c r="S282" i="17" s="1"/>
  <c r="Q285" i="17"/>
  <c r="T285" i="17" s="1"/>
  <c r="R285" i="17"/>
  <c r="U285" i="17" s="1"/>
  <c r="S285" i="17"/>
  <c r="O286" i="17"/>
  <c r="P286" i="17"/>
  <c r="T286" i="17"/>
  <c r="U286" i="17"/>
  <c r="L287" i="17"/>
  <c r="L285" i="17" s="1"/>
  <c r="M287" i="17"/>
  <c r="M285" i="17" s="1"/>
  <c r="N287" i="17"/>
  <c r="N285" i="17" s="1"/>
  <c r="T287" i="17"/>
  <c r="U287" i="17"/>
  <c r="Q288" i="17"/>
  <c r="R288" i="17"/>
  <c r="U288" i="17" s="1"/>
  <c r="S288" i="17"/>
  <c r="T288" i="17"/>
  <c r="O289" i="17"/>
  <c r="P289" i="17"/>
  <c r="T289" i="17"/>
  <c r="U289" i="17"/>
  <c r="L290" i="17"/>
  <c r="O290" i="17" s="1"/>
  <c r="M290" i="17"/>
  <c r="N290" i="17"/>
  <c r="N288" i="17" s="1"/>
  <c r="T290" i="17"/>
  <c r="U290" i="17"/>
  <c r="I292" i="17"/>
  <c r="I281" i="17" s="1"/>
  <c r="K281" i="17" s="1"/>
  <c r="I293" i="17"/>
  <c r="I280" i="17" s="1"/>
  <c r="K280" i="17" s="1"/>
  <c r="J293" i="17"/>
  <c r="I295" i="17"/>
  <c r="K295" i="17" s="1"/>
  <c r="I296" i="17"/>
  <c r="K296" i="17" s="1"/>
  <c r="J302" i="17"/>
  <c r="L304" i="17"/>
  <c r="M304" i="17"/>
  <c r="P304" i="17" s="1"/>
  <c r="N304" i="17"/>
  <c r="O304" i="17"/>
  <c r="Q304" i="17"/>
  <c r="T304" i="17" s="1"/>
  <c r="R304" i="17"/>
  <c r="S304" i="17"/>
  <c r="U304" i="17"/>
  <c r="O307" i="17"/>
  <c r="P307" i="17"/>
  <c r="T307" i="17"/>
  <c r="U307" i="17"/>
  <c r="L308" i="17"/>
  <c r="O308" i="17" s="1"/>
  <c r="M308" i="17"/>
  <c r="N308" i="17"/>
  <c r="Q308" i="17"/>
  <c r="Q305" i="17" s="1"/>
  <c r="R308" i="17"/>
  <c r="R305" i="17" s="1"/>
  <c r="S308" i="17"/>
  <c r="S305" i="17" s="1"/>
  <c r="S303" i="17" s="1"/>
  <c r="Q309" i="17"/>
  <c r="T309" i="17" s="1"/>
  <c r="R309" i="17"/>
  <c r="U309" i="17" s="1"/>
  <c r="S309" i="17"/>
  <c r="O310" i="17"/>
  <c r="P310" i="17"/>
  <c r="T310" i="17"/>
  <c r="U310" i="17"/>
  <c r="L311" i="17"/>
  <c r="L309" i="17" s="1"/>
  <c r="O309" i="17" s="1"/>
  <c r="M311" i="17"/>
  <c r="P311" i="17" s="1"/>
  <c r="N311" i="17"/>
  <c r="N309" i="17" s="1"/>
  <c r="T311" i="17"/>
  <c r="U311" i="17"/>
  <c r="I314" i="17"/>
  <c r="I302" i="17" s="1"/>
  <c r="K302" i="17" s="1"/>
  <c r="J319" i="17"/>
  <c r="L321" i="17"/>
  <c r="M321" i="17"/>
  <c r="N321" i="17"/>
  <c r="Q321" i="17"/>
  <c r="T321" i="17" s="1"/>
  <c r="R321" i="17"/>
  <c r="S321" i="17"/>
  <c r="Q322" i="17"/>
  <c r="T322" i="17" s="1"/>
  <c r="R322" i="17"/>
  <c r="U322" i="17" s="1"/>
  <c r="S322" i="17"/>
  <c r="Q323" i="17"/>
  <c r="T323" i="17" s="1"/>
  <c r="R323" i="17"/>
  <c r="S323" i="17"/>
  <c r="U323" i="17"/>
  <c r="O324" i="17"/>
  <c r="P324" i="17"/>
  <c r="T324" i="17"/>
  <c r="U324" i="17"/>
  <c r="L325" i="17"/>
  <c r="M325" i="17"/>
  <c r="N325" i="17"/>
  <c r="N323" i="17" s="1"/>
  <c r="T325" i="17"/>
  <c r="U325" i="17"/>
  <c r="Q326" i="17"/>
  <c r="R326" i="17"/>
  <c r="U326" i="17" s="1"/>
  <c r="S326" i="17"/>
  <c r="T326" i="17"/>
  <c r="O327" i="17"/>
  <c r="P327" i="17"/>
  <c r="T327" i="17"/>
  <c r="U327" i="17"/>
  <c r="L328" i="17"/>
  <c r="M328" i="17"/>
  <c r="M326" i="17" s="1"/>
  <c r="N328" i="17"/>
  <c r="N326" i="17" s="1"/>
  <c r="T328" i="17"/>
  <c r="U328" i="17"/>
  <c r="I330" i="17"/>
  <c r="I319" i="17" s="1"/>
  <c r="K319" i="17" s="1"/>
  <c r="L334" i="17"/>
  <c r="O334" i="17" s="1"/>
  <c r="M334" i="17"/>
  <c r="N334" i="17"/>
  <c r="Q334" i="17"/>
  <c r="Q333" i="17" s="1"/>
  <c r="T333" i="17" s="1"/>
  <c r="R334" i="17"/>
  <c r="U334" i="17" s="1"/>
  <c r="S334" i="17"/>
  <c r="Q335" i="17"/>
  <c r="T335" i="17" s="1"/>
  <c r="R335" i="17"/>
  <c r="U335" i="17" s="1"/>
  <c r="S335" i="17"/>
  <c r="Q336" i="17"/>
  <c r="T336" i="17" s="1"/>
  <c r="R336" i="17"/>
  <c r="U336" i="17" s="1"/>
  <c r="S336" i="17"/>
  <c r="O337" i="17"/>
  <c r="P337" i="17"/>
  <c r="T337" i="17"/>
  <c r="U337" i="17"/>
  <c r="L338" i="17"/>
  <c r="M338" i="17"/>
  <c r="M336" i="17" s="1"/>
  <c r="N338" i="17"/>
  <c r="N336" i="17" s="1"/>
  <c r="T338" i="17"/>
  <c r="U338" i="17"/>
  <c r="Q339" i="17"/>
  <c r="R339" i="17"/>
  <c r="U339" i="17" s="1"/>
  <c r="S339" i="17"/>
  <c r="T339" i="17"/>
  <c r="O340" i="17"/>
  <c r="P340" i="17"/>
  <c r="T340" i="17"/>
  <c r="U340" i="17"/>
  <c r="L341" i="17"/>
  <c r="L339" i="17" s="1"/>
  <c r="O339" i="17" s="1"/>
  <c r="M341" i="17"/>
  <c r="P341" i="17" s="1"/>
  <c r="N341" i="17"/>
  <c r="N339" i="17" s="1"/>
  <c r="T341" i="17"/>
  <c r="U341" i="17"/>
  <c r="I344" i="17"/>
  <c r="I332" i="17" s="1"/>
  <c r="J344" i="17"/>
  <c r="I346" i="17"/>
  <c r="J346" i="17"/>
  <c r="J347" i="17"/>
  <c r="J348" i="17"/>
  <c r="J349" i="17"/>
  <c r="D350" i="17"/>
  <c r="J352" i="17"/>
  <c r="J353" i="17"/>
  <c r="J354" i="17"/>
  <c r="L357" i="17"/>
  <c r="O357" i="17" s="1"/>
  <c r="M357" i="17"/>
  <c r="N357" i="17"/>
  <c r="Q357" i="17"/>
  <c r="T357" i="17" s="1"/>
  <c r="R357" i="17"/>
  <c r="U357" i="17" s="1"/>
  <c r="S357" i="17"/>
  <c r="S356" i="17" s="1"/>
  <c r="Q358" i="17"/>
  <c r="T358" i="17" s="1"/>
  <c r="R358" i="17"/>
  <c r="U358" i="17" s="1"/>
  <c r="S358" i="17"/>
  <c r="Q359" i="17"/>
  <c r="T359" i="17" s="1"/>
  <c r="R359" i="17"/>
  <c r="S359" i="17"/>
  <c r="U359" i="17"/>
  <c r="O360" i="17"/>
  <c r="P360" i="17"/>
  <c r="T360" i="17"/>
  <c r="U360" i="17"/>
  <c r="L361" i="17"/>
  <c r="L359" i="17" s="1"/>
  <c r="M361" i="17"/>
  <c r="N361" i="17"/>
  <c r="N359" i="17" s="1"/>
  <c r="T361" i="17"/>
  <c r="U361" i="17"/>
  <c r="Q362" i="17"/>
  <c r="T362" i="17" s="1"/>
  <c r="R362" i="17"/>
  <c r="U362" i="17" s="1"/>
  <c r="S362" i="17"/>
  <c r="O363" i="17"/>
  <c r="P363" i="17"/>
  <c r="T363" i="17"/>
  <c r="U363" i="17"/>
  <c r="L364" i="17"/>
  <c r="L362" i="17" s="1"/>
  <c r="O362" i="17" s="1"/>
  <c r="M364" i="17"/>
  <c r="P364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I365" i="17" s="1"/>
  <c r="J371" i="17"/>
  <c r="J365" i="17" s="1"/>
  <c r="J372" i="17"/>
  <c r="K372" i="17"/>
  <c r="D373" i="17"/>
  <c r="I374" i="17"/>
  <c r="K374" i="17" s="1"/>
  <c r="J374" i="17"/>
  <c r="L376" i="17"/>
  <c r="M376" i="17"/>
  <c r="P376" i="17" s="1"/>
  <c r="N376" i="17"/>
  <c r="O376" i="17"/>
  <c r="Q376" i="17"/>
  <c r="T376" i="17" s="1"/>
  <c r="R376" i="17"/>
  <c r="S376" i="17"/>
  <c r="U376" i="17"/>
  <c r="O379" i="17"/>
  <c r="P379" i="17"/>
  <c r="T379" i="17"/>
  <c r="U379" i="17"/>
  <c r="L380" i="17"/>
  <c r="L378" i="17" s="1"/>
  <c r="O378" i="17" s="1"/>
  <c r="M380" i="17"/>
  <c r="P380" i="17" s="1"/>
  <c r="N380" i="17"/>
  <c r="Q380" i="17"/>
  <c r="Q377" i="17" s="1"/>
  <c r="T377" i="17" s="1"/>
  <c r="R380" i="17"/>
  <c r="U380" i="17" s="1"/>
  <c r="S380" i="17"/>
  <c r="S378" i="17" s="1"/>
  <c r="Q381" i="17"/>
  <c r="T381" i="17" s="1"/>
  <c r="R381" i="17"/>
  <c r="S381" i="17"/>
  <c r="U381" i="17"/>
  <c r="O382" i="17"/>
  <c r="P382" i="17"/>
  <c r="T382" i="17"/>
  <c r="U382" i="17"/>
  <c r="L383" i="17"/>
  <c r="L381" i="17" s="1"/>
  <c r="O381" i="17" s="1"/>
  <c r="M383" i="17"/>
  <c r="P383" i="17" s="1"/>
  <c r="N383" i="17"/>
  <c r="N381" i="17" s="1"/>
  <c r="T383" i="17"/>
  <c r="U383" i="17"/>
  <c r="I391" i="17"/>
  <c r="J391" i="17"/>
  <c r="K391" i="17"/>
  <c r="L393" i="17"/>
  <c r="M393" i="17"/>
  <c r="N393" i="17"/>
  <c r="O393" i="17"/>
  <c r="P393" i="17"/>
  <c r="Q393" i="17"/>
  <c r="T393" i="17" s="1"/>
  <c r="R393" i="17"/>
  <c r="S393" i="17"/>
  <c r="U393" i="17"/>
  <c r="L394" i="17"/>
  <c r="O394" i="17" s="1"/>
  <c r="M394" i="17"/>
  <c r="P394" i="17" s="1"/>
  <c r="N394" i="17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Q394" i="17" s="1"/>
  <c r="R397" i="17"/>
  <c r="S397" i="17"/>
  <c r="S394" i="17" s="1"/>
  <c r="S392" i="17" s="1"/>
  <c r="L398" i="17"/>
  <c r="O398" i="17" s="1"/>
  <c r="M398" i="17"/>
  <c r="P398" i="17" s="1"/>
  <c r="N398" i="17"/>
  <c r="Q398" i="17"/>
  <c r="R398" i="17"/>
  <c r="S398" i="17"/>
  <c r="T398" i="17"/>
  <c r="U398" i="17"/>
  <c r="O399" i="17"/>
  <c r="P399" i="17"/>
  <c r="T399" i="17"/>
  <c r="U399" i="17"/>
  <c r="O400" i="17"/>
  <c r="P400" i="17"/>
  <c r="T400" i="17"/>
  <c r="U400" i="17"/>
  <c r="L414" i="17"/>
  <c r="M414" i="17"/>
  <c r="P414" i="17" s="1"/>
  <c r="N414" i="17"/>
  <c r="Q414" i="17"/>
  <c r="R414" i="17"/>
  <c r="S414" i="17"/>
  <c r="T414" i="17"/>
  <c r="O417" i="17"/>
  <c r="P417" i="17"/>
  <c r="T417" i="17"/>
  <c r="U417" i="17"/>
  <c r="L418" i="17"/>
  <c r="L416" i="17" s="1"/>
  <c r="M418" i="17"/>
  <c r="M416" i="17" s="1"/>
  <c r="N418" i="17"/>
  <c r="Q418" i="17"/>
  <c r="Q415" i="17" s="1"/>
  <c r="R418" i="17"/>
  <c r="R416" i="17" s="1"/>
  <c r="S418" i="17"/>
  <c r="S415" i="17" s="1"/>
  <c r="Q419" i="17"/>
  <c r="R419" i="17"/>
  <c r="U419" i="17" s="1"/>
  <c r="S419" i="17"/>
  <c r="T419" i="17"/>
  <c r="O420" i="17"/>
  <c r="P420" i="17"/>
  <c r="T420" i="17"/>
  <c r="U420" i="17"/>
  <c r="L421" i="17"/>
  <c r="M421" i="17"/>
  <c r="M419" i="17" s="1"/>
  <c r="P419" i="17" s="1"/>
  <c r="N421" i="17"/>
  <c r="N419" i="17" s="1"/>
  <c r="T421" i="17"/>
  <c r="U421" i="17"/>
  <c r="I424" i="17"/>
  <c r="J424" i="17"/>
  <c r="I425" i="17"/>
  <c r="J425" i="17"/>
  <c r="I432" i="17"/>
  <c r="J432" i="17"/>
  <c r="I433" i="17"/>
  <c r="J433" i="17"/>
  <c r="I440" i="17"/>
  <c r="I423" i="17" s="1"/>
  <c r="I412" i="17" s="1"/>
  <c r="I441" i="17"/>
  <c r="J441" i="17"/>
  <c r="J446" i="17"/>
  <c r="J440" i="17" s="1"/>
  <c r="J447" i="17"/>
  <c r="I457" i="17"/>
  <c r="I458" i="17"/>
  <c r="K458" i="17" s="1"/>
  <c r="J459" i="17"/>
  <c r="J460" i="17"/>
  <c r="J458" i="17" s="1"/>
  <c r="J467" i="17"/>
  <c r="J468" i="17"/>
  <c r="J475" i="17"/>
  <c r="K475" i="17"/>
  <c r="J476" i="17"/>
  <c r="K476" i="17"/>
  <c r="J477" i="17"/>
  <c r="K477" i="17"/>
  <c r="I484" i="17"/>
  <c r="J484" i="17"/>
  <c r="I485" i="17"/>
  <c r="J485" i="17"/>
  <c r="L494" i="17"/>
  <c r="O494" i="17" s="1"/>
  <c r="M494" i="17"/>
  <c r="N494" i="17"/>
  <c r="Q494" i="17"/>
  <c r="T494" i="17" s="1"/>
  <c r="R494" i="17"/>
  <c r="U494" i="17" s="1"/>
  <c r="S494" i="17"/>
  <c r="O497" i="17"/>
  <c r="P497" i="17"/>
  <c r="T497" i="17"/>
  <c r="U497" i="17"/>
  <c r="L498" i="17"/>
  <c r="L496" i="17" s="1"/>
  <c r="M498" i="17"/>
  <c r="M496" i="17" s="1"/>
  <c r="N498" i="17"/>
  <c r="Q498" i="17"/>
  <c r="Q496" i="17" s="1"/>
  <c r="R498" i="17"/>
  <c r="R495" i="17" s="1"/>
  <c r="S498" i="17"/>
  <c r="S495" i="17" s="1"/>
  <c r="Q499" i="17"/>
  <c r="T499" i="17" s="1"/>
  <c r="R499" i="17"/>
  <c r="U499" i="17" s="1"/>
  <c r="S499" i="17"/>
  <c r="O500" i="17"/>
  <c r="P500" i="17"/>
  <c r="T500" i="17"/>
  <c r="U500" i="17"/>
  <c r="L501" i="17"/>
  <c r="L499" i="17" s="1"/>
  <c r="O499" i="17" s="1"/>
  <c r="M501" i="17"/>
  <c r="P501" i="17" s="1"/>
  <c r="N501" i="17"/>
  <c r="N499" i="17" s="1"/>
  <c r="T501" i="17"/>
  <c r="U501" i="17"/>
  <c r="I503" i="17"/>
  <c r="I492" i="17" s="1"/>
  <c r="J503" i="17"/>
  <c r="J492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O514" i="17" s="1"/>
  <c r="M514" i="17"/>
  <c r="N514" i="17"/>
  <c r="Q514" i="17"/>
  <c r="Q513" i="17" s="1"/>
  <c r="T513" i="17" s="1"/>
  <c r="R514" i="17"/>
  <c r="U514" i="17" s="1"/>
  <c r="S514" i="17"/>
  <c r="Q515" i="17"/>
  <c r="T515" i="17" s="1"/>
  <c r="R515" i="17"/>
  <c r="U515" i="17" s="1"/>
  <c r="S515" i="17"/>
  <c r="Q516" i="17"/>
  <c r="R516" i="17"/>
  <c r="U516" i="17" s="1"/>
  <c r="S516" i="17"/>
  <c r="T516" i="17"/>
  <c r="O517" i="17"/>
  <c r="P517" i="17"/>
  <c r="T517" i="17"/>
  <c r="U517" i="17"/>
  <c r="L518" i="17"/>
  <c r="M518" i="17"/>
  <c r="N518" i="17"/>
  <c r="N516" i="17" s="1"/>
  <c r="T518" i="17"/>
  <c r="U518" i="17"/>
  <c r="Q519" i="17"/>
  <c r="R519" i="17"/>
  <c r="U519" i="17" s="1"/>
  <c r="S519" i="17"/>
  <c r="T519" i="17"/>
  <c r="O520" i="17"/>
  <c r="P520" i="17"/>
  <c r="T520" i="17"/>
  <c r="U520" i="17"/>
  <c r="L521" i="17"/>
  <c r="O521" i="17" s="1"/>
  <c r="M521" i="17"/>
  <c r="M519" i="17" s="1"/>
  <c r="P519" i="17" s="1"/>
  <c r="N521" i="17"/>
  <c r="N519" i="17" s="1"/>
  <c r="T521" i="17"/>
  <c r="U521" i="17"/>
  <c r="K523" i="17"/>
  <c r="K524" i="17"/>
  <c r="I533" i="17"/>
  <c r="K533" i="17" s="1"/>
  <c r="J533" i="17"/>
  <c r="L535" i="17"/>
  <c r="O535" i="17" s="1"/>
  <c r="M535" i="17"/>
  <c r="P535" i="17" s="1"/>
  <c r="N535" i="17"/>
  <c r="Q535" i="17"/>
  <c r="T535" i="17" s="1"/>
  <c r="R535" i="17"/>
  <c r="R534" i="17" s="1"/>
  <c r="U534" i="17" s="1"/>
  <c r="S535" i="17"/>
  <c r="S534" i="17" s="1"/>
  <c r="Q536" i="17"/>
  <c r="R536" i="17"/>
  <c r="U536" i="17" s="1"/>
  <c r="S536" i="17"/>
  <c r="T536" i="17"/>
  <c r="Q537" i="17"/>
  <c r="T537" i="17" s="1"/>
  <c r="R537" i="17"/>
  <c r="U537" i="17" s="1"/>
  <c r="S537" i="17"/>
  <c r="O538" i="17"/>
  <c r="P538" i="17"/>
  <c r="T538" i="17"/>
  <c r="U538" i="17"/>
  <c r="L539" i="17"/>
  <c r="O539" i="17" s="1"/>
  <c r="M539" i="17"/>
  <c r="M537" i="17" s="1"/>
  <c r="P537" i="17" s="1"/>
  <c r="N539" i="17"/>
  <c r="T539" i="17"/>
  <c r="U539" i="17"/>
  <c r="Q540" i="17"/>
  <c r="T540" i="17" s="1"/>
  <c r="R540" i="17"/>
  <c r="S540" i="17"/>
  <c r="U540" i="17"/>
  <c r="O541" i="17"/>
  <c r="P541" i="17"/>
  <c r="T541" i="17"/>
  <c r="U541" i="17"/>
  <c r="L542" i="17"/>
  <c r="M542" i="17"/>
  <c r="M540" i="17" s="1"/>
  <c r="P540" i="17" s="1"/>
  <c r="N542" i="17"/>
  <c r="N540" i="17" s="1"/>
  <c r="T542" i="17"/>
  <c r="U542" i="17"/>
  <c r="I554" i="17"/>
  <c r="J554" i="17"/>
  <c r="L556" i="17"/>
  <c r="O556" i="17" s="1"/>
  <c r="M556" i="17"/>
  <c r="P556" i="17" s="1"/>
  <c r="N556" i="17"/>
  <c r="Q556" i="17"/>
  <c r="R556" i="17"/>
  <c r="U556" i="17" s="1"/>
  <c r="S556" i="17"/>
  <c r="Q557" i="17"/>
  <c r="R557" i="17"/>
  <c r="S557" i="17"/>
  <c r="T557" i="17"/>
  <c r="Q558" i="17"/>
  <c r="T558" i="17" s="1"/>
  <c r="R558" i="17"/>
  <c r="S558" i="17"/>
  <c r="U558" i="17"/>
  <c r="O559" i="17"/>
  <c r="P559" i="17"/>
  <c r="T559" i="17"/>
  <c r="U559" i="17"/>
  <c r="L560" i="17"/>
  <c r="M560" i="17"/>
  <c r="N560" i="17"/>
  <c r="T560" i="17"/>
  <c r="U560" i="17"/>
  <c r="Q561" i="17"/>
  <c r="T561" i="17" s="1"/>
  <c r="R561" i="17"/>
  <c r="U561" i="17" s="1"/>
  <c r="S561" i="17"/>
  <c r="O562" i="17"/>
  <c r="P562" i="17"/>
  <c r="T562" i="17"/>
  <c r="U562" i="17"/>
  <c r="L563" i="17"/>
  <c r="L561" i="17" s="1"/>
  <c r="M563" i="17"/>
  <c r="M561" i="17" s="1"/>
  <c r="N563" i="17"/>
  <c r="N561" i="17" s="1"/>
  <c r="T563" i="17"/>
  <c r="U563" i="17"/>
  <c r="K565" i="17"/>
  <c r="I575" i="17"/>
  <c r="J575" i="17"/>
  <c r="K575" i="17"/>
  <c r="L577" i="17"/>
  <c r="M577" i="17"/>
  <c r="N577" i="17"/>
  <c r="Q577" i="17"/>
  <c r="R577" i="17"/>
  <c r="S577" i="17"/>
  <c r="S576" i="17" s="1"/>
  <c r="T577" i="17"/>
  <c r="Q578" i="17"/>
  <c r="T578" i="17" s="1"/>
  <c r="R578" i="17"/>
  <c r="S578" i="17"/>
  <c r="U578" i="17"/>
  <c r="Q579" i="17"/>
  <c r="T579" i="17" s="1"/>
  <c r="R579" i="17"/>
  <c r="U579" i="17" s="1"/>
  <c r="S579" i="17"/>
  <c r="O580" i="17"/>
  <c r="P580" i="17"/>
  <c r="T580" i="17"/>
  <c r="U580" i="17"/>
  <c r="L581" i="17"/>
  <c r="L579" i="17" s="1"/>
  <c r="O579" i="17" s="1"/>
  <c r="M581" i="17"/>
  <c r="M579" i="17" s="1"/>
  <c r="P579" i="17" s="1"/>
  <c r="N581" i="17"/>
  <c r="N579" i="17" s="1"/>
  <c r="T581" i="17"/>
  <c r="U581" i="17"/>
  <c r="Q582" i="17"/>
  <c r="R582" i="17"/>
  <c r="U582" i="17" s="1"/>
  <c r="S582" i="17"/>
  <c r="T582" i="17"/>
  <c r="O583" i="17"/>
  <c r="P583" i="17"/>
  <c r="T583" i="17"/>
  <c r="U583" i="17"/>
  <c r="L584" i="17"/>
  <c r="M584" i="17"/>
  <c r="P584" i="17" s="1"/>
  <c r="N584" i="17"/>
  <c r="N582" i="17" s="1"/>
  <c r="T584" i="17"/>
  <c r="U584" i="17"/>
  <c r="L600" i="17"/>
  <c r="M600" i="17"/>
  <c r="N600" i="17"/>
  <c r="Q600" i="17"/>
  <c r="T600" i="17" s="1"/>
  <c r="R600" i="17"/>
  <c r="S600" i="17"/>
  <c r="O603" i="17"/>
  <c r="P603" i="17"/>
  <c r="T603" i="17"/>
  <c r="U603" i="17"/>
  <c r="L604" i="17"/>
  <c r="L602" i="17" s="1"/>
  <c r="M604" i="17"/>
  <c r="M602" i="17" s="1"/>
  <c r="N604" i="17"/>
  <c r="Q604" i="17"/>
  <c r="T604" i="17" s="1"/>
  <c r="R604" i="17"/>
  <c r="R602" i="17" s="1"/>
  <c r="U602" i="17" s="1"/>
  <c r="S604" i="17"/>
  <c r="S602" i="17" s="1"/>
  <c r="O606" i="17"/>
  <c r="P606" i="17"/>
  <c r="T606" i="17"/>
  <c r="U606" i="17"/>
  <c r="L607" i="17"/>
  <c r="L605" i="17" s="1"/>
  <c r="O605" i="17" s="1"/>
  <c r="M607" i="17"/>
  <c r="M605" i="17" s="1"/>
  <c r="P605" i="17" s="1"/>
  <c r="N607" i="17"/>
  <c r="N605" i="17" s="1"/>
  <c r="Q607" i="17"/>
  <c r="Q605" i="17" s="1"/>
  <c r="T605" i="17" s="1"/>
  <c r="R607" i="17"/>
  <c r="R605" i="17" s="1"/>
  <c r="U605" i="17" s="1"/>
  <c r="S607" i="17"/>
  <c r="S605" i="17" s="1"/>
  <c r="M616" i="17"/>
  <c r="P616" i="17" s="1"/>
  <c r="L617" i="17"/>
  <c r="M617" i="17"/>
  <c r="P617" i="17" s="1"/>
  <c r="N617" i="17"/>
  <c r="O617" i="17"/>
  <c r="Q617" i="17"/>
  <c r="T617" i="17" s="1"/>
  <c r="R617" i="17"/>
  <c r="U617" i="17" s="1"/>
  <c r="S617" i="17"/>
  <c r="L618" i="17"/>
  <c r="O618" i="17" s="1"/>
  <c r="M618" i="17"/>
  <c r="P618" i="17" s="1"/>
  <c r="N618" i="17"/>
  <c r="N616" i="17" s="1"/>
  <c r="L619" i="17"/>
  <c r="O619" i="17" s="1"/>
  <c r="M619" i="17"/>
  <c r="P619" i="17" s="1"/>
  <c r="N619" i="17"/>
  <c r="O620" i="17"/>
  <c r="P620" i="17"/>
  <c r="T620" i="17"/>
  <c r="U620" i="17"/>
  <c r="O621" i="17"/>
  <c r="P621" i="17"/>
  <c r="Q621" i="17"/>
  <c r="Q619" i="17" s="1"/>
  <c r="R621" i="17"/>
  <c r="R619" i="17" s="1"/>
  <c r="S621" i="17"/>
  <c r="L622" i="17"/>
  <c r="O622" i="17" s="1"/>
  <c r="M622" i="17"/>
  <c r="N622" i="17"/>
  <c r="P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I615" i="17" s="1"/>
  <c r="I627" i="17"/>
  <c r="K627" i="17" s="1"/>
  <c r="I628" i="17"/>
  <c r="K628" i="17" s="1"/>
  <c r="J632" i="17"/>
  <c r="J626" i="17" s="1"/>
  <c r="I635" i="17"/>
  <c r="K635" i="17" s="1"/>
  <c r="J636" i="17"/>
  <c r="J635" i="17" s="1"/>
  <c r="L643" i="17"/>
  <c r="L642" i="17" s="1"/>
  <c r="O642" i="17" s="1"/>
  <c r="M643" i="17"/>
  <c r="M642" i="17" s="1"/>
  <c r="P642" i="17" s="1"/>
  <c r="N643" i="17"/>
  <c r="N642" i="17" s="1"/>
  <c r="O643" i="17"/>
  <c r="P643" i="17"/>
  <c r="Q643" i="17"/>
  <c r="R643" i="17"/>
  <c r="S643" i="17"/>
  <c r="T643" i="17"/>
  <c r="U643" i="17"/>
  <c r="L644" i="17"/>
  <c r="O644" i="17" s="1"/>
  <c r="M644" i="17"/>
  <c r="N644" i="17"/>
  <c r="P644" i="17"/>
  <c r="L645" i="17"/>
  <c r="O645" i="17" s="1"/>
  <c r="M645" i="17"/>
  <c r="P645" i="17" s="1"/>
  <c r="N645" i="17"/>
  <c r="O646" i="17"/>
  <c r="P646" i="17"/>
  <c r="T646" i="17"/>
  <c r="U646" i="17"/>
  <c r="O647" i="17"/>
  <c r="P647" i="17"/>
  <c r="Q647" i="17"/>
  <c r="Q645" i="17" s="1"/>
  <c r="R647" i="17"/>
  <c r="R644" i="17" s="1"/>
  <c r="S647" i="17"/>
  <c r="S645" i="17" s="1"/>
  <c r="L648" i="17"/>
  <c r="M648" i="17"/>
  <c r="N648" i="17"/>
  <c r="O648" i="17"/>
  <c r="P648" i="17"/>
  <c r="Q648" i="17"/>
  <c r="T648" i="17" s="1"/>
  <c r="R648" i="17"/>
  <c r="S648" i="17"/>
  <c r="U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K654" i="17" s="1"/>
  <c r="J654" i="17"/>
  <c r="I657" i="17"/>
  <c r="I660" i="17"/>
  <c r="I661" i="17"/>
  <c r="K661" i="17" s="1"/>
  <c r="J661" i="17"/>
  <c r="J671" i="17"/>
  <c r="J672" i="17"/>
  <c r="I673" i="17"/>
  <c r="K673" i="17" s="1"/>
  <c r="J673" i="17"/>
  <c r="I674" i="17"/>
  <c r="I675" i="17"/>
  <c r="I676" i="17"/>
  <c r="J676" i="17"/>
  <c r="J677" i="17"/>
  <c r="I678" i="17"/>
  <c r="J678" i="17"/>
  <c r="I679" i="17"/>
  <c r="J679" i="17"/>
  <c r="J680" i="17"/>
  <c r="I681" i="17"/>
  <c r="J681" i="17"/>
  <c r="I682" i="17"/>
  <c r="J682" i="17"/>
  <c r="L691" i="17"/>
  <c r="O691" i="17" s="1"/>
  <c r="M691" i="17"/>
  <c r="M690" i="17" s="1"/>
  <c r="P690" i="17" s="1"/>
  <c r="N691" i="17"/>
  <c r="Q691" i="17"/>
  <c r="R691" i="17"/>
  <c r="U691" i="17" s="1"/>
  <c r="S691" i="17"/>
  <c r="T691" i="17"/>
  <c r="L692" i="17"/>
  <c r="O692" i="17" s="1"/>
  <c r="M692" i="17"/>
  <c r="N692" i="17"/>
  <c r="P692" i="17"/>
  <c r="L693" i="17"/>
  <c r="O693" i="17" s="1"/>
  <c r="M693" i="17"/>
  <c r="P693" i="17" s="1"/>
  <c r="N693" i="17"/>
  <c r="O694" i="17"/>
  <c r="P694" i="17"/>
  <c r="T694" i="17"/>
  <c r="U694" i="17"/>
  <c r="O695" i="17"/>
  <c r="P695" i="17"/>
  <c r="Q695" i="17"/>
  <c r="Q693" i="17" s="1"/>
  <c r="R695" i="17"/>
  <c r="R693" i="17" s="1"/>
  <c r="S695" i="17"/>
  <c r="S692" i="17" s="1"/>
  <c r="L696" i="17"/>
  <c r="O696" i="17" s="1"/>
  <c r="M696" i="17"/>
  <c r="N696" i="17"/>
  <c r="P696" i="17"/>
  <c r="Q696" i="17"/>
  <c r="T696" i="17" s="1"/>
  <c r="R696" i="17"/>
  <c r="S696" i="17"/>
  <c r="U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J707" i="17"/>
  <c r="J689" i="17" s="1"/>
  <c r="J708" i="17"/>
  <c r="K708" i="17"/>
  <c r="I709" i="17"/>
  <c r="J709" i="17"/>
  <c r="J710" i="17"/>
  <c r="K710" i="17"/>
  <c r="J712" i="17"/>
  <c r="K712" i="17"/>
  <c r="Q714" i="17"/>
  <c r="T714" i="17" s="1"/>
  <c r="L715" i="17"/>
  <c r="O715" i="17" s="1"/>
  <c r="M715" i="17"/>
  <c r="N715" i="17"/>
  <c r="Q715" i="17"/>
  <c r="R715" i="17"/>
  <c r="U715" i="17" s="1"/>
  <c r="S715" i="17"/>
  <c r="S714" i="17" s="1"/>
  <c r="T715" i="17"/>
  <c r="L716" i="17"/>
  <c r="M716" i="17"/>
  <c r="N716" i="17"/>
  <c r="O716" i="17"/>
  <c r="P716" i="17"/>
  <c r="Q716" i="17"/>
  <c r="T716" i="17" s="1"/>
  <c r="R716" i="17"/>
  <c r="S716" i="17"/>
  <c r="U716" i="17"/>
  <c r="L717" i="17"/>
  <c r="O717" i="17" s="1"/>
  <c r="M717" i="17"/>
  <c r="P717" i="17" s="1"/>
  <c r="N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N720" i="17"/>
  <c r="P720" i="17"/>
  <c r="Q720" i="17"/>
  <c r="T720" i="17" s="1"/>
  <c r="R720" i="17"/>
  <c r="U720" i="17" s="1"/>
  <c r="S720" i="17"/>
  <c r="O721" i="17"/>
  <c r="P721" i="17"/>
  <c r="T721" i="17"/>
  <c r="U721" i="17"/>
  <c r="O722" i="17"/>
  <c r="P722" i="17"/>
  <c r="T722" i="17"/>
  <c r="U722" i="17"/>
  <c r="I726" i="17"/>
  <c r="K726" i="17" s="1"/>
  <c r="J726" i="17"/>
  <c r="I727" i="17"/>
  <c r="J727" i="17"/>
  <c r="L729" i="17"/>
  <c r="O729" i="17" s="1"/>
  <c r="M729" i="17"/>
  <c r="N729" i="17"/>
  <c r="N728" i="17" s="1"/>
  <c r="Q729" i="17"/>
  <c r="T729" i="17" s="1"/>
  <c r="R729" i="17"/>
  <c r="U729" i="17" s="1"/>
  <c r="S729" i="17"/>
  <c r="L730" i="17"/>
  <c r="O730" i="17" s="1"/>
  <c r="M730" i="17"/>
  <c r="P730" i="17" s="1"/>
  <c r="N730" i="17"/>
  <c r="L731" i="17"/>
  <c r="O731" i="17" s="1"/>
  <c r="M731" i="17"/>
  <c r="N731" i="17"/>
  <c r="P731" i="17"/>
  <c r="O732" i="17"/>
  <c r="P732" i="17"/>
  <c r="T732" i="17"/>
  <c r="U732" i="17"/>
  <c r="O733" i="17"/>
  <c r="P733" i="17"/>
  <c r="Q733" i="17"/>
  <c r="Q731" i="17" s="1"/>
  <c r="R733" i="17"/>
  <c r="R731" i="17" s="1"/>
  <c r="S733" i="17"/>
  <c r="L734" i="17"/>
  <c r="M734" i="17"/>
  <c r="P734" i="17" s="1"/>
  <c r="N734" i="17"/>
  <c r="O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O761" i="17" s="1"/>
  <c r="M761" i="17"/>
  <c r="P761" i="17" s="1"/>
  <c r="N761" i="17"/>
  <c r="N760" i="17" s="1"/>
  <c r="Q761" i="17"/>
  <c r="R761" i="17"/>
  <c r="S761" i="17"/>
  <c r="T761" i="17"/>
  <c r="U761" i="17"/>
  <c r="L762" i="17"/>
  <c r="M762" i="17"/>
  <c r="N762" i="17"/>
  <c r="O762" i="17"/>
  <c r="P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Q763" i="17" s="1"/>
  <c r="R765" i="17"/>
  <c r="R762" i="17" s="1"/>
  <c r="S765" i="17"/>
  <c r="S762" i="17" s="1"/>
  <c r="L766" i="17"/>
  <c r="O766" i="17" s="1"/>
  <c r="M766" i="17"/>
  <c r="N766" i="17"/>
  <c r="P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K772" i="17" s="1"/>
  <c r="I774" i="17"/>
  <c r="I759" i="17" s="1"/>
  <c r="K759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I774" i="1"/>
  <c r="J772" i="1"/>
  <c r="J758" i="1" s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L768" i="1"/>
  <c r="O768" i="1" s="1"/>
  <c r="S767" i="1"/>
  <c r="R767" i="1"/>
  <c r="U767" i="1" s="1"/>
  <c r="Q767" i="1"/>
  <c r="T767" i="1" s="1"/>
  <c r="N767" i="1"/>
  <c r="M767" i="1"/>
  <c r="L767" i="1"/>
  <c r="S765" i="1"/>
  <c r="R765" i="1"/>
  <c r="Q765" i="1"/>
  <c r="N765" i="1"/>
  <c r="M765" i="1"/>
  <c r="L765" i="1"/>
  <c r="S764" i="1"/>
  <c r="R764" i="1"/>
  <c r="Q764" i="1"/>
  <c r="T764" i="1" s="1"/>
  <c r="N764" i="1"/>
  <c r="M764" i="1"/>
  <c r="P764" i="1" s="1"/>
  <c r="L764" i="1"/>
  <c r="O764" i="1" s="1"/>
  <c r="J759" i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Q736" i="1"/>
  <c r="N736" i="1"/>
  <c r="M736" i="1"/>
  <c r="P736" i="1" s="1"/>
  <c r="L736" i="1"/>
  <c r="O736" i="1" s="1"/>
  <c r="S735" i="1"/>
  <c r="R735" i="1"/>
  <c r="U735" i="1" s="1"/>
  <c r="Q735" i="1"/>
  <c r="T735" i="1" s="1"/>
  <c r="N735" i="1"/>
  <c r="M735" i="1"/>
  <c r="L735" i="1"/>
  <c r="O735" i="1" s="1"/>
  <c r="S733" i="1"/>
  <c r="S730" i="1" s="1"/>
  <c r="R733" i="1"/>
  <c r="R730" i="1" s="1"/>
  <c r="Q733" i="1"/>
  <c r="N733" i="1"/>
  <c r="M733" i="1"/>
  <c r="P733" i="1" s="1"/>
  <c r="L733" i="1"/>
  <c r="O733" i="1" s="1"/>
  <c r="S732" i="1"/>
  <c r="R732" i="1"/>
  <c r="R731" i="1" s="1"/>
  <c r="Q732" i="1"/>
  <c r="T732" i="1" s="1"/>
  <c r="N732" i="1"/>
  <c r="M732" i="1"/>
  <c r="L732" i="1"/>
  <c r="I727" i="1"/>
  <c r="I726" i="1"/>
  <c r="S722" i="1"/>
  <c r="R722" i="1"/>
  <c r="U722" i="1" s="1"/>
  <c r="Q722" i="1"/>
  <c r="T722" i="1" s="1"/>
  <c r="N722" i="1"/>
  <c r="M722" i="1"/>
  <c r="P722" i="1" s="1"/>
  <c r="L722" i="1"/>
  <c r="O722" i="1" s="1"/>
  <c r="S721" i="1"/>
  <c r="R721" i="1"/>
  <c r="U721" i="1" s="1"/>
  <c r="Q721" i="1"/>
  <c r="N721" i="1"/>
  <c r="M721" i="1"/>
  <c r="L721" i="1"/>
  <c r="S719" i="1"/>
  <c r="R719" i="1"/>
  <c r="Q719" i="1"/>
  <c r="T719" i="1" s="1"/>
  <c r="N719" i="1"/>
  <c r="M719" i="1"/>
  <c r="L719" i="1"/>
  <c r="S718" i="1"/>
  <c r="R718" i="1"/>
  <c r="U718" i="1" s="1"/>
  <c r="Q718" i="1"/>
  <c r="N718" i="1"/>
  <c r="M718" i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N698" i="1"/>
  <c r="M698" i="1"/>
  <c r="P698" i="1" s="1"/>
  <c r="L698" i="1"/>
  <c r="O698" i="1" s="1"/>
  <c r="S697" i="1"/>
  <c r="R697" i="1"/>
  <c r="U697" i="1" s="1"/>
  <c r="Q697" i="1"/>
  <c r="T697" i="1" s="1"/>
  <c r="N697" i="1"/>
  <c r="M697" i="1"/>
  <c r="L697" i="1"/>
  <c r="O697" i="1" s="1"/>
  <c r="S695" i="1"/>
  <c r="R695" i="1"/>
  <c r="Q695" i="1"/>
  <c r="Q692" i="1" s="1"/>
  <c r="N695" i="1"/>
  <c r="M695" i="1"/>
  <c r="L695" i="1"/>
  <c r="O695" i="1" s="1"/>
  <c r="S694" i="1"/>
  <c r="R694" i="1"/>
  <c r="Q694" i="1"/>
  <c r="N694" i="1"/>
  <c r="M694" i="1"/>
  <c r="L694" i="1"/>
  <c r="O694" i="1" s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R649" i="1"/>
  <c r="Q649" i="1"/>
  <c r="T649" i="1" s="1"/>
  <c r="N649" i="1"/>
  <c r="N648" i="1" s="1"/>
  <c r="M649" i="1"/>
  <c r="P649" i="1" s="1"/>
  <c r="L649" i="1"/>
  <c r="S647" i="1"/>
  <c r="R647" i="1"/>
  <c r="Q647" i="1"/>
  <c r="N647" i="1"/>
  <c r="N644" i="1" s="1"/>
  <c r="M647" i="1"/>
  <c r="L647" i="1"/>
  <c r="S646" i="1"/>
  <c r="R646" i="1"/>
  <c r="U646" i="1" s="1"/>
  <c r="Q646" i="1"/>
  <c r="N646" i="1"/>
  <c r="M646" i="1"/>
  <c r="L646" i="1"/>
  <c r="O646" i="1" s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K630" i="1" s="1"/>
  <c r="S624" i="1"/>
  <c r="R624" i="1"/>
  <c r="U624" i="1" s="1"/>
  <c r="Q624" i="1"/>
  <c r="T624" i="1" s="1"/>
  <c r="N624" i="1"/>
  <c r="M624" i="1"/>
  <c r="P624" i="1" s="1"/>
  <c r="L624" i="1"/>
  <c r="O624" i="1" s="1"/>
  <c r="S623" i="1"/>
  <c r="R623" i="1"/>
  <c r="U623" i="1" s="1"/>
  <c r="Q623" i="1"/>
  <c r="T623" i="1" s="1"/>
  <c r="N623" i="1"/>
  <c r="M623" i="1"/>
  <c r="L623" i="1"/>
  <c r="S621" i="1"/>
  <c r="R621" i="1"/>
  <c r="Q621" i="1"/>
  <c r="N621" i="1"/>
  <c r="M621" i="1"/>
  <c r="L621" i="1"/>
  <c r="S620" i="1"/>
  <c r="S619" i="1" s="1"/>
  <c r="R620" i="1"/>
  <c r="U620" i="1" s="1"/>
  <c r="Q620" i="1"/>
  <c r="N620" i="1"/>
  <c r="N619" i="1" s="1"/>
  <c r="M620" i="1"/>
  <c r="L620" i="1"/>
  <c r="S607" i="1"/>
  <c r="R607" i="1"/>
  <c r="Q607" i="1"/>
  <c r="T607" i="1" s="1"/>
  <c r="N607" i="1"/>
  <c r="M607" i="1"/>
  <c r="P607" i="1" s="1"/>
  <c r="L607" i="1"/>
  <c r="S606" i="1"/>
  <c r="R606" i="1"/>
  <c r="Q606" i="1"/>
  <c r="T606" i="1" s="1"/>
  <c r="N606" i="1"/>
  <c r="M606" i="1"/>
  <c r="L606" i="1"/>
  <c r="O606" i="1" s="1"/>
  <c r="S604" i="1"/>
  <c r="R604" i="1"/>
  <c r="U604" i="1" s="1"/>
  <c r="Q604" i="1"/>
  <c r="T604" i="1" s="1"/>
  <c r="N604" i="1"/>
  <c r="N601" i="1" s="1"/>
  <c r="M604" i="1"/>
  <c r="L604" i="1"/>
  <c r="S603" i="1"/>
  <c r="R603" i="1"/>
  <c r="U603" i="1" s="1"/>
  <c r="Q603" i="1"/>
  <c r="N603" i="1"/>
  <c r="M603" i="1"/>
  <c r="P603" i="1" s="1"/>
  <c r="L603" i="1"/>
  <c r="J587" i="1"/>
  <c r="I587" i="1"/>
  <c r="I575" i="1" s="1"/>
  <c r="J586" i="1"/>
  <c r="I586" i="1"/>
  <c r="S584" i="1"/>
  <c r="R584" i="1"/>
  <c r="Q584" i="1"/>
  <c r="N584" i="1"/>
  <c r="M584" i="1"/>
  <c r="P584" i="1" s="1"/>
  <c r="L584" i="1"/>
  <c r="S583" i="1"/>
  <c r="R583" i="1"/>
  <c r="U583" i="1" s="1"/>
  <c r="Q583" i="1"/>
  <c r="T583" i="1" s="1"/>
  <c r="N583" i="1"/>
  <c r="M583" i="1"/>
  <c r="L583" i="1"/>
  <c r="O583" i="1" s="1"/>
  <c r="S581" i="1"/>
  <c r="R581" i="1"/>
  <c r="U581" i="1" s="1"/>
  <c r="Q581" i="1"/>
  <c r="T581" i="1" s="1"/>
  <c r="N581" i="1"/>
  <c r="M581" i="1"/>
  <c r="M578" i="1" s="1"/>
  <c r="L581" i="1"/>
  <c r="S580" i="1"/>
  <c r="R580" i="1"/>
  <c r="Q580" i="1"/>
  <c r="N580" i="1"/>
  <c r="M580" i="1"/>
  <c r="P580" i="1" s="1"/>
  <c r="L580" i="1"/>
  <c r="J565" i="1"/>
  <c r="J554" i="1" s="1"/>
  <c r="I565" i="1"/>
  <c r="S563" i="1"/>
  <c r="R563" i="1"/>
  <c r="U563" i="1" s="1"/>
  <c r="Q563" i="1"/>
  <c r="T563" i="1" s="1"/>
  <c r="N563" i="1"/>
  <c r="M563" i="1"/>
  <c r="L563" i="1"/>
  <c r="S562" i="1"/>
  <c r="R562" i="1"/>
  <c r="Q562" i="1"/>
  <c r="N562" i="1"/>
  <c r="N561" i="1" s="1"/>
  <c r="M562" i="1"/>
  <c r="P562" i="1" s="1"/>
  <c r="L562" i="1"/>
  <c r="S560" i="1"/>
  <c r="R560" i="1"/>
  <c r="U560" i="1" s="1"/>
  <c r="Q560" i="1"/>
  <c r="T560" i="1" s="1"/>
  <c r="N560" i="1"/>
  <c r="N557" i="1" s="1"/>
  <c r="M560" i="1"/>
  <c r="L560" i="1"/>
  <c r="O560" i="1" s="1"/>
  <c r="S559" i="1"/>
  <c r="S556" i="1" s="1"/>
  <c r="R559" i="1"/>
  <c r="Q559" i="1"/>
  <c r="N559" i="1"/>
  <c r="M559" i="1"/>
  <c r="P559" i="1" s="1"/>
  <c r="L559" i="1"/>
  <c r="K544" i="1"/>
  <c r="S542" i="1"/>
  <c r="R542" i="1"/>
  <c r="U542" i="1" s="1"/>
  <c r="Q542" i="1"/>
  <c r="N542" i="1"/>
  <c r="M542" i="1"/>
  <c r="P542" i="1" s="1"/>
  <c r="L542" i="1"/>
  <c r="O542" i="1" s="1"/>
  <c r="S541" i="1"/>
  <c r="R541" i="1"/>
  <c r="U541" i="1" s="1"/>
  <c r="Q541" i="1"/>
  <c r="T541" i="1" s="1"/>
  <c r="N541" i="1"/>
  <c r="M541" i="1"/>
  <c r="P541" i="1" s="1"/>
  <c r="L541" i="1"/>
  <c r="O541" i="1" s="1"/>
  <c r="S539" i="1"/>
  <c r="R539" i="1"/>
  <c r="U539" i="1" s="1"/>
  <c r="Q539" i="1"/>
  <c r="T539" i="1" s="1"/>
  <c r="N539" i="1"/>
  <c r="M539" i="1"/>
  <c r="L539" i="1"/>
  <c r="S538" i="1"/>
  <c r="R538" i="1"/>
  <c r="Q538" i="1"/>
  <c r="N538" i="1"/>
  <c r="N535" i="1" s="1"/>
  <c r="M538" i="1"/>
  <c r="L538" i="1"/>
  <c r="K533" i="1"/>
  <c r="J533" i="1"/>
  <c r="I533" i="1"/>
  <c r="K524" i="1"/>
  <c r="K523" i="1"/>
  <c r="S521" i="1"/>
  <c r="R521" i="1"/>
  <c r="U521" i="1" s="1"/>
  <c r="Q521" i="1"/>
  <c r="T521" i="1" s="1"/>
  <c r="N521" i="1"/>
  <c r="M521" i="1"/>
  <c r="L521" i="1"/>
  <c r="S520" i="1"/>
  <c r="R520" i="1"/>
  <c r="U520" i="1" s="1"/>
  <c r="Q520" i="1"/>
  <c r="N520" i="1"/>
  <c r="M520" i="1"/>
  <c r="P520" i="1" s="1"/>
  <c r="L520" i="1"/>
  <c r="O520" i="1" s="1"/>
  <c r="S518" i="1"/>
  <c r="R518" i="1"/>
  <c r="U518" i="1" s="1"/>
  <c r="Q518" i="1"/>
  <c r="T518" i="1" s="1"/>
  <c r="N518" i="1"/>
  <c r="M518" i="1"/>
  <c r="L518" i="1"/>
  <c r="O518" i="1" s="1"/>
  <c r="S517" i="1"/>
  <c r="R517" i="1"/>
  <c r="U517" i="1" s="1"/>
  <c r="Q517" i="1"/>
  <c r="N517" i="1"/>
  <c r="M517" i="1"/>
  <c r="P517" i="1" s="1"/>
  <c r="L517" i="1"/>
  <c r="O517" i="1" s="1"/>
  <c r="K512" i="1"/>
  <c r="J512" i="1"/>
  <c r="I512" i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I503" i="1"/>
  <c r="I492" i="1" s="1"/>
  <c r="S501" i="1"/>
  <c r="R501" i="1"/>
  <c r="U501" i="1" s="1"/>
  <c r="Q501" i="1"/>
  <c r="T501" i="1" s="1"/>
  <c r="N501" i="1"/>
  <c r="M501" i="1"/>
  <c r="P501" i="1" s="1"/>
  <c r="L501" i="1"/>
  <c r="O501" i="1" s="1"/>
  <c r="S500" i="1"/>
  <c r="R500" i="1"/>
  <c r="Q500" i="1"/>
  <c r="N500" i="1"/>
  <c r="M500" i="1"/>
  <c r="P500" i="1" s="1"/>
  <c r="L500" i="1"/>
  <c r="S498" i="1"/>
  <c r="R498" i="1"/>
  <c r="Q498" i="1"/>
  <c r="N498" i="1"/>
  <c r="M498" i="1"/>
  <c r="L498" i="1"/>
  <c r="S497" i="1"/>
  <c r="R497" i="1"/>
  <c r="Q497" i="1"/>
  <c r="N497" i="1"/>
  <c r="M497" i="1"/>
  <c r="L497" i="1"/>
  <c r="O497" i="1" s="1"/>
  <c r="J491" i="1"/>
  <c r="J490" i="1"/>
  <c r="J489" i="1"/>
  <c r="J488" i="1"/>
  <c r="J487" i="1"/>
  <c r="J486" i="1"/>
  <c r="I485" i="1"/>
  <c r="I484" i="1"/>
  <c r="I475" i="1" s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T421" i="1" s="1"/>
  <c r="N421" i="1"/>
  <c r="M421" i="1"/>
  <c r="P421" i="1" s="1"/>
  <c r="L421" i="1"/>
  <c r="S420" i="1"/>
  <c r="R420" i="1"/>
  <c r="U420" i="1" s="1"/>
  <c r="Q420" i="1"/>
  <c r="T420" i="1" s="1"/>
  <c r="N420" i="1"/>
  <c r="M420" i="1"/>
  <c r="L420" i="1"/>
  <c r="S418" i="1"/>
  <c r="R418" i="1"/>
  <c r="Q418" i="1"/>
  <c r="N418" i="1"/>
  <c r="M418" i="1"/>
  <c r="L418" i="1"/>
  <c r="S417" i="1"/>
  <c r="R417" i="1"/>
  <c r="R414" i="1" s="1"/>
  <c r="Q417" i="1"/>
  <c r="N417" i="1"/>
  <c r="M417" i="1"/>
  <c r="P417" i="1" s="1"/>
  <c r="L417" i="1"/>
  <c r="O417" i="1" s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R399" i="1"/>
  <c r="U399" i="1" s="1"/>
  <c r="Q399" i="1"/>
  <c r="N399" i="1"/>
  <c r="M399" i="1"/>
  <c r="P399" i="1" s="1"/>
  <c r="L399" i="1"/>
  <c r="O399" i="1" s="1"/>
  <c r="S397" i="1"/>
  <c r="R397" i="1"/>
  <c r="Q397" i="1"/>
  <c r="T397" i="1" s="1"/>
  <c r="N397" i="1"/>
  <c r="M397" i="1"/>
  <c r="P397" i="1" s="1"/>
  <c r="L397" i="1"/>
  <c r="O397" i="1" s="1"/>
  <c r="S396" i="1"/>
  <c r="R396" i="1"/>
  <c r="U396" i="1" s="1"/>
  <c r="Q396" i="1"/>
  <c r="N396" i="1"/>
  <c r="M396" i="1"/>
  <c r="L396" i="1"/>
  <c r="O396" i="1" s="1"/>
  <c r="J391" i="1"/>
  <c r="I391" i="1"/>
  <c r="K391" i="1" s="1"/>
  <c r="J388" i="1"/>
  <c r="I388" i="1"/>
  <c r="K388" i="1" s="1"/>
  <c r="J387" i="1"/>
  <c r="I387" i="1"/>
  <c r="K387" i="1" s="1"/>
  <c r="J386" i="1"/>
  <c r="I386" i="1"/>
  <c r="J385" i="1"/>
  <c r="I385" i="1"/>
  <c r="I374" i="1" s="1"/>
  <c r="S383" i="1"/>
  <c r="R383" i="1"/>
  <c r="U383" i="1" s="1"/>
  <c r="Q383" i="1"/>
  <c r="N383" i="1"/>
  <c r="M383" i="1"/>
  <c r="P383" i="1" s="1"/>
  <c r="L383" i="1"/>
  <c r="O383" i="1" s="1"/>
  <c r="S382" i="1"/>
  <c r="R382" i="1"/>
  <c r="Q382" i="1"/>
  <c r="T382" i="1" s="1"/>
  <c r="N382" i="1"/>
  <c r="M382" i="1"/>
  <c r="P382" i="1" s="1"/>
  <c r="L382" i="1"/>
  <c r="S380" i="1"/>
  <c r="R380" i="1"/>
  <c r="Q380" i="1"/>
  <c r="N380" i="1"/>
  <c r="M380" i="1"/>
  <c r="L380" i="1"/>
  <c r="S379" i="1"/>
  <c r="R379" i="1"/>
  <c r="U379" i="1" s="1"/>
  <c r="Q379" i="1"/>
  <c r="N379" i="1"/>
  <c r="M379" i="1"/>
  <c r="P379" i="1" s="1"/>
  <c r="L379" i="1"/>
  <c r="L378" i="1" s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N364" i="1"/>
  <c r="M364" i="1"/>
  <c r="P364" i="1" s="1"/>
  <c r="L364" i="1"/>
  <c r="O364" i="1" s="1"/>
  <c r="S363" i="1"/>
  <c r="R363" i="1"/>
  <c r="Q363" i="1"/>
  <c r="T363" i="1" s="1"/>
  <c r="N363" i="1"/>
  <c r="M363" i="1"/>
  <c r="P363" i="1" s="1"/>
  <c r="L363" i="1"/>
  <c r="S361" i="1"/>
  <c r="R361" i="1"/>
  <c r="U361" i="1" s="1"/>
  <c r="Q361" i="1"/>
  <c r="T361" i="1" s="1"/>
  <c r="N361" i="1"/>
  <c r="M361" i="1"/>
  <c r="L361" i="1"/>
  <c r="S360" i="1"/>
  <c r="R360" i="1"/>
  <c r="Q360" i="1"/>
  <c r="N360" i="1"/>
  <c r="M360" i="1"/>
  <c r="P360" i="1" s="1"/>
  <c r="L360" i="1"/>
  <c r="J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N341" i="1"/>
  <c r="M341" i="1"/>
  <c r="L341" i="1"/>
  <c r="S340" i="1"/>
  <c r="S339" i="1" s="1"/>
  <c r="R340" i="1"/>
  <c r="Q340" i="1"/>
  <c r="T340" i="1" s="1"/>
  <c r="N340" i="1"/>
  <c r="N339" i="1" s="1"/>
  <c r="M340" i="1"/>
  <c r="P340" i="1" s="1"/>
  <c r="L340" i="1"/>
  <c r="O340" i="1" s="1"/>
  <c r="S338" i="1"/>
  <c r="R338" i="1"/>
  <c r="U338" i="1" s="1"/>
  <c r="Q338" i="1"/>
  <c r="T338" i="1" s="1"/>
  <c r="N338" i="1"/>
  <c r="N335" i="1" s="1"/>
  <c r="M338" i="1"/>
  <c r="L338" i="1"/>
  <c r="S337" i="1"/>
  <c r="R337" i="1"/>
  <c r="Q337" i="1"/>
  <c r="N337" i="1"/>
  <c r="M337" i="1"/>
  <c r="M334" i="1" s="1"/>
  <c r="L337" i="1"/>
  <c r="J330" i="1"/>
  <c r="I330" i="1"/>
  <c r="I319" i="1" s="1"/>
  <c r="S328" i="1"/>
  <c r="R328" i="1"/>
  <c r="U328" i="1" s="1"/>
  <c r="Q328" i="1"/>
  <c r="T328" i="1" s="1"/>
  <c r="N328" i="1"/>
  <c r="M328" i="1"/>
  <c r="L328" i="1"/>
  <c r="S327" i="1"/>
  <c r="R327" i="1"/>
  <c r="Q327" i="1"/>
  <c r="N327" i="1"/>
  <c r="M327" i="1"/>
  <c r="L327" i="1"/>
  <c r="S325" i="1"/>
  <c r="S322" i="1" s="1"/>
  <c r="R325" i="1"/>
  <c r="U325" i="1" s="1"/>
  <c r="Q325" i="1"/>
  <c r="T325" i="1" s="1"/>
  <c r="N325" i="1"/>
  <c r="M325" i="1"/>
  <c r="L325" i="1"/>
  <c r="S324" i="1"/>
  <c r="R324" i="1"/>
  <c r="Q324" i="1"/>
  <c r="T324" i="1" s="1"/>
  <c r="N324" i="1"/>
  <c r="M324" i="1"/>
  <c r="M321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U311" i="1" s="1"/>
  <c r="Q311" i="1"/>
  <c r="T311" i="1" s="1"/>
  <c r="N311" i="1"/>
  <c r="M311" i="1"/>
  <c r="L311" i="1"/>
  <c r="O311" i="1" s="1"/>
  <c r="S310" i="1"/>
  <c r="R310" i="1"/>
  <c r="Q310" i="1"/>
  <c r="N310" i="1"/>
  <c r="M310" i="1"/>
  <c r="P310" i="1" s="1"/>
  <c r="L310" i="1"/>
  <c r="S308" i="1"/>
  <c r="R308" i="1"/>
  <c r="Q308" i="1"/>
  <c r="N308" i="1"/>
  <c r="M308" i="1"/>
  <c r="L308" i="1"/>
  <c r="L305" i="1" s="1"/>
  <c r="S307" i="1"/>
  <c r="R307" i="1"/>
  <c r="Q307" i="1"/>
  <c r="N307" i="1"/>
  <c r="M307" i="1"/>
  <c r="M306" i="1" s="1"/>
  <c r="L307" i="1"/>
  <c r="J296" i="1"/>
  <c r="I296" i="1"/>
  <c r="J295" i="1"/>
  <c r="I295" i="1"/>
  <c r="J293" i="1"/>
  <c r="J280" i="1" s="1"/>
  <c r="I293" i="1"/>
  <c r="I280" i="1" s="1"/>
  <c r="J292" i="1"/>
  <c r="J281" i="1" s="1"/>
  <c r="I292" i="1"/>
  <c r="I281" i="1" s="1"/>
  <c r="S290" i="1"/>
  <c r="R290" i="1"/>
  <c r="Q290" i="1"/>
  <c r="T290" i="1" s="1"/>
  <c r="N290" i="1"/>
  <c r="M290" i="1"/>
  <c r="P290" i="1" s="1"/>
  <c r="L290" i="1"/>
  <c r="S289" i="1"/>
  <c r="R289" i="1"/>
  <c r="U289" i="1" s="1"/>
  <c r="Q289" i="1"/>
  <c r="T289" i="1" s="1"/>
  <c r="N289" i="1"/>
  <c r="M289" i="1"/>
  <c r="P289" i="1" s="1"/>
  <c r="L289" i="1"/>
  <c r="O289" i="1" s="1"/>
  <c r="S287" i="1"/>
  <c r="R287" i="1"/>
  <c r="U287" i="1" s="1"/>
  <c r="Q287" i="1"/>
  <c r="N287" i="1"/>
  <c r="M287" i="1"/>
  <c r="L287" i="1"/>
  <c r="S286" i="1"/>
  <c r="R286" i="1"/>
  <c r="Q286" i="1"/>
  <c r="T286" i="1" s="1"/>
  <c r="N286" i="1"/>
  <c r="M286" i="1"/>
  <c r="L286" i="1"/>
  <c r="O286" i="1" s="1"/>
  <c r="J276" i="1"/>
  <c r="I276" i="1"/>
  <c r="S274" i="1"/>
  <c r="R274" i="1"/>
  <c r="U274" i="1" s="1"/>
  <c r="Q274" i="1"/>
  <c r="T274" i="1" s="1"/>
  <c r="N274" i="1"/>
  <c r="M274" i="1"/>
  <c r="L274" i="1"/>
  <c r="O274" i="1" s="1"/>
  <c r="S273" i="1"/>
  <c r="R273" i="1"/>
  <c r="U273" i="1" s="1"/>
  <c r="Q273" i="1"/>
  <c r="N273" i="1"/>
  <c r="M273" i="1"/>
  <c r="P273" i="1" s="1"/>
  <c r="L273" i="1"/>
  <c r="S271" i="1"/>
  <c r="R271" i="1"/>
  <c r="Q271" i="1"/>
  <c r="N271" i="1"/>
  <c r="M271" i="1"/>
  <c r="L271" i="1"/>
  <c r="S270" i="1"/>
  <c r="R270" i="1"/>
  <c r="Q270" i="1"/>
  <c r="Q269" i="1" s="1"/>
  <c r="N270" i="1"/>
  <c r="M270" i="1"/>
  <c r="L270" i="1"/>
  <c r="O270" i="1" s="1"/>
  <c r="J265" i="1"/>
  <c r="I265" i="1"/>
  <c r="K241" i="1"/>
  <c r="J241" i="1"/>
  <c r="K240" i="1"/>
  <c r="J240" i="1"/>
  <c r="J238" i="1"/>
  <c r="I238" i="1"/>
  <c r="N236" i="1"/>
  <c r="L236" i="1"/>
  <c r="S235" i="1"/>
  <c r="S232" i="1" s="1"/>
  <c r="Q235" i="1"/>
  <c r="Q232" i="1" s="1"/>
  <c r="T232" i="1" s="1"/>
  <c r="N235" i="1"/>
  <c r="L235" i="1"/>
  <c r="N234" i="1"/>
  <c r="L234" i="1"/>
  <c r="N233" i="1"/>
  <c r="L233" i="1"/>
  <c r="U232" i="1"/>
  <c r="K231" i="1"/>
  <c r="J231" i="1"/>
  <c r="I231" i="1"/>
  <c r="J230" i="1"/>
  <c r="J185" i="1" s="1"/>
  <c r="I230" i="1"/>
  <c r="K230" i="1" s="1"/>
  <c r="J229" i="1"/>
  <c r="J221" i="1" s="1"/>
  <c r="I229" i="1"/>
  <c r="J228" i="1"/>
  <c r="I228" i="1"/>
  <c r="N224" i="1"/>
  <c r="L224" i="1"/>
  <c r="N223" i="1"/>
  <c r="L223" i="1"/>
  <c r="J220" i="1"/>
  <c r="J213" i="1" s="1"/>
  <c r="I220" i="1"/>
  <c r="J219" i="1"/>
  <c r="I219" i="1"/>
  <c r="S217" i="1"/>
  <c r="S214" i="1" s="1"/>
  <c r="Q217" i="1"/>
  <c r="Q214" i="1" s="1"/>
  <c r="N217" i="1"/>
  <c r="L217" i="1"/>
  <c r="N216" i="1"/>
  <c r="L216" i="1"/>
  <c r="N215" i="1"/>
  <c r="L215" i="1"/>
  <c r="U214" i="1"/>
  <c r="K212" i="1"/>
  <c r="J212" i="1"/>
  <c r="K211" i="1"/>
  <c r="J211" i="1"/>
  <c r="J209" i="1"/>
  <c r="J202" i="1" s="1"/>
  <c r="I209" i="1"/>
  <c r="N207" i="1"/>
  <c r="L207" i="1"/>
  <c r="S206" i="1"/>
  <c r="S203" i="1" s="1"/>
  <c r="Q206" i="1"/>
  <c r="Q203" i="1" s="1"/>
  <c r="N206" i="1"/>
  <c r="L206" i="1"/>
  <c r="N204" i="1"/>
  <c r="L204" i="1"/>
  <c r="U203" i="1"/>
  <c r="J201" i="1"/>
  <c r="J200" i="1"/>
  <c r="J198" i="1"/>
  <c r="J195" i="1" s="1"/>
  <c r="I198" i="1"/>
  <c r="N196" i="1"/>
  <c r="L196" i="1"/>
  <c r="S194" i="1"/>
  <c r="R194" i="1"/>
  <c r="Q194" i="1"/>
  <c r="N194" i="1"/>
  <c r="M194" i="1"/>
  <c r="L194" i="1"/>
  <c r="S193" i="1"/>
  <c r="R193" i="1"/>
  <c r="Q193" i="1"/>
  <c r="N193" i="1"/>
  <c r="M193" i="1"/>
  <c r="L193" i="1"/>
  <c r="S191" i="1"/>
  <c r="R191" i="1"/>
  <c r="Q191" i="1"/>
  <c r="N191" i="1"/>
  <c r="M191" i="1"/>
  <c r="L191" i="1"/>
  <c r="S190" i="1"/>
  <c r="R190" i="1"/>
  <c r="Q190" i="1"/>
  <c r="T190" i="1" s="1"/>
  <c r="N190" i="1"/>
  <c r="M190" i="1"/>
  <c r="L190" i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U180" i="1" s="1"/>
  <c r="Q180" i="1"/>
  <c r="N180" i="1"/>
  <c r="M180" i="1"/>
  <c r="L180" i="1"/>
  <c r="O180" i="1" s="1"/>
  <c r="S178" i="1"/>
  <c r="R178" i="1"/>
  <c r="Q178" i="1"/>
  <c r="N178" i="1"/>
  <c r="M178" i="1"/>
  <c r="L178" i="1"/>
  <c r="S177" i="1"/>
  <c r="R177" i="1"/>
  <c r="U177" i="1" s="1"/>
  <c r="Q177" i="1"/>
  <c r="T177" i="1" s="1"/>
  <c r="N177" i="1"/>
  <c r="M177" i="1"/>
  <c r="L177" i="1"/>
  <c r="O177" i="1" s="1"/>
  <c r="J167" i="1"/>
  <c r="I167" i="1"/>
  <c r="I168" i="1" s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U164" i="1" s="1"/>
  <c r="Q164" i="1"/>
  <c r="N164" i="1"/>
  <c r="M164" i="1"/>
  <c r="L164" i="1"/>
  <c r="S162" i="1"/>
  <c r="R162" i="1"/>
  <c r="U162" i="1" s="1"/>
  <c r="Q162" i="1"/>
  <c r="N162" i="1"/>
  <c r="M162" i="1"/>
  <c r="L162" i="1"/>
  <c r="S161" i="1"/>
  <c r="S160" i="1" s="1"/>
  <c r="R161" i="1"/>
  <c r="R158" i="1" s="1"/>
  <c r="Q161" i="1"/>
  <c r="N161" i="1"/>
  <c r="M161" i="1"/>
  <c r="P161" i="1" s="1"/>
  <c r="L161" i="1"/>
  <c r="J156" i="1"/>
  <c r="J154" i="1"/>
  <c r="I154" i="1"/>
  <c r="I136" i="1" s="1"/>
  <c r="J153" i="1"/>
  <c r="J138" i="1" s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U147" i="1" s="1"/>
  <c r="Q147" i="1"/>
  <c r="N147" i="1"/>
  <c r="M147" i="1"/>
  <c r="P147" i="1" s="1"/>
  <c r="L147" i="1"/>
  <c r="O147" i="1" s="1"/>
  <c r="S146" i="1"/>
  <c r="R146" i="1"/>
  <c r="Q146" i="1"/>
  <c r="N146" i="1"/>
  <c r="M146" i="1"/>
  <c r="P146" i="1" s="1"/>
  <c r="L146" i="1"/>
  <c r="S144" i="1"/>
  <c r="S141" i="1" s="1"/>
  <c r="R144" i="1"/>
  <c r="Q144" i="1"/>
  <c r="N144" i="1"/>
  <c r="M144" i="1"/>
  <c r="L144" i="1"/>
  <c r="S143" i="1"/>
  <c r="R143" i="1"/>
  <c r="R140" i="1" s="1"/>
  <c r="Q143" i="1"/>
  <c r="T143" i="1" s="1"/>
  <c r="N143" i="1"/>
  <c r="M143" i="1"/>
  <c r="L143" i="1"/>
  <c r="I137" i="1"/>
  <c r="J136" i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U125" i="1" s="1"/>
  <c r="Q125" i="1"/>
  <c r="T125" i="1" s="1"/>
  <c r="N125" i="1"/>
  <c r="M125" i="1"/>
  <c r="L125" i="1"/>
  <c r="O125" i="1" s="1"/>
  <c r="S124" i="1"/>
  <c r="R124" i="1"/>
  <c r="U124" i="1" s="1"/>
  <c r="Q124" i="1"/>
  <c r="N124" i="1"/>
  <c r="M124" i="1"/>
  <c r="P124" i="1" s="1"/>
  <c r="L124" i="1"/>
  <c r="S122" i="1"/>
  <c r="S119" i="1" s="1"/>
  <c r="R122" i="1"/>
  <c r="Q122" i="1"/>
  <c r="N122" i="1"/>
  <c r="M122" i="1"/>
  <c r="P122" i="1" s="1"/>
  <c r="L122" i="1"/>
  <c r="S121" i="1"/>
  <c r="R121" i="1"/>
  <c r="Q121" i="1"/>
  <c r="N121" i="1"/>
  <c r="M121" i="1"/>
  <c r="L121" i="1"/>
  <c r="J114" i="1"/>
  <c r="I114" i="1"/>
  <c r="J113" i="1"/>
  <c r="I113" i="1"/>
  <c r="J109" i="1"/>
  <c r="J93" i="1" s="1"/>
  <c r="I109" i="1"/>
  <c r="I93" i="1" s="1"/>
  <c r="J108" i="1"/>
  <c r="J92" i="1" s="1"/>
  <c r="I108" i="1"/>
  <c r="S102" i="1"/>
  <c r="R102" i="1"/>
  <c r="Q102" i="1"/>
  <c r="T102" i="1" s="1"/>
  <c r="N102" i="1"/>
  <c r="M102" i="1"/>
  <c r="P102" i="1" s="1"/>
  <c r="L102" i="1"/>
  <c r="S101" i="1"/>
  <c r="S100" i="1" s="1"/>
  <c r="R101" i="1"/>
  <c r="U101" i="1" s="1"/>
  <c r="Q101" i="1"/>
  <c r="T101" i="1" s="1"/>
  <c r="N101" i="1"/>
  <c r="M101" i="1"/>
  <c r="P101" i="1" s="1"/>
  <c r="L101" i="1"/>
  <c r="S99" i="1"/>
  <c r="R99" i="1"/>
  <c r="R96" i="1" s="1"/>
  <c r="Q99" i="1"/>
  <c r="Q96" i="1" s="1"/>
  <c r="N99" i="1"/>
  <c r="M99" i="1"/>
  <c r="L99" i="1"/>
  <c r="S98" i="1"/>
  <c r="R98" i="1"/>
  <c r="Q98" i="1"/>
  <c r="T98" i="1" s="1"/>
  <c r="N98" i="1"/>
  <c r="M98" i="1"/>
  <c r="P98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L80" i="1"/>
  <c r="S79" i="1"/>
  <c r="R79" i="1"/>
  <c r="U79" i="1" s="1"/>
  <c r="Q79" i="1"/>
  <c r="N79" i="1"/>
  <c r="M79" i="1"/>
  <c r="L79" i="1"/>
  <c r="S77" i="1"/>
  <c r="R77" i="1"/>
  <c r="Q77" i="1"/>
  <c r="N77" i="1"/>
  <c r="N74" i="1" s="1"/>
  <c r="M77" i="1"/>
  <c r="L77" i="1"/>
  <c r="S76" i="1"/>
  <c r="R76" i="1"/>
  <c r="U76" i="1" s="1"/>
  <c r="Q76" i="1"/>
  <c r="N76" i="1"/>
  <c r="M76" i="1"/>
  <c r="P76" i="1" s="1"/>
  <c r="L76" i="1"/>
  <c r="S67" i="1"/>
  <c r="R67" i="1"/>
  <c r="U67" i="1" s="1"/>
  <c r="Q67" i="1"/>
  <c r="T67" i="1" s="1"/>
  <c r="N67" i="1"/>
  <c r="M67" i="1"/>
  <c r="L67" i="1"/>
  <c r="S66" i="1"/>
  <c r="R66" i="1"/>
  <c r="U66" i="1" s="1"/>
  <c r="Q66" i="1"/>
  <c r="N66" i="1"/>
  <c r="M66" i="1"/>
  <c r="P66" i="1" s="1"/>
  <c r="L66" i="1"/>
  <c r="O66" i="1" s="1"/>
  <c r="S64" i="1"/>
  <c r="R64" i="1"/>
  <c r="U64" i="1" s="1"/>
  <c r="Q64" i="1"/>
  <c r="T64" i="1" s="1"/>
  <c r="N64" i="1"/>
  <c r="M64" i="1"/>
  <c r="M61" i="1" s="1"/>
  <c r="L64" i="1"/>
  <c r="L61" i="1" s="1"/>
  <c r="S63" i="1"/>
  <c r="R63" i="1"/>
  <c r="R62" i="1" s="1"/>
  <c r="U62" i="1" s="1"/>
  <c r="Q63" i="1"/>
  <c r="N63" i="1"/>
  <c r="M63" i="1"/>
  <c r="P63" i="1" s="1"/>
  <c r="L63" i="1"/>
  <c r="L60" i="1" s="1"/>
  <c r="S52" i="1"/>
  <c r="S50" i="1" s="1"/>
  <c r="R52" i="1"/>
  <c r="U52" i="1" s="1"/>
  <c r="Q52" i="1"/>
  <c r="N52" i="1"/>
  <c r="N50" i="1" s="1"/>
  <c r="M52" i="1"/>
  <c r="M50" i="1" s="1"/>
  <c r="P50" i="1" s="1"/>
  <c r="L52" i="1"/>
  <c r="O52" i="1" s="1"/>
  <c r="U51" i="1"/>
  <c r="T51" i="1"/>
  <c r="P51" i="1"/>
  <c r="O51" i="1"/>
  <c r="S49" i="1"/>
  <c r="R49" i="1"/>
  <c r="U49" i="1" s="1"/>
  <c r="Q49" i="1"/>
  <c r="Q47" i="1" s="1"/>
  <c r="T47" i="1" s="1"/>
  <c r="N49" i="1"/>
  <c r="N47" i="1" s="1"/>
  <c r="M49" i="1"/>
  <c r="L49" i="1"/>
  <c r="U48" i="1"/>
  <c r="T48" i="1"/>
  <c r="P48" i="1"/>
  <c r="O48" i="1"/>
  <c r="T45" i="1"/>
  <c r="S45" i="1"/>
  <c r="R45" i="1"/>
  <c r="U45" i="1" s="1"/>
  <c r="Q45" i="1"/>
  <c r="P45" i="1"/>
  <c r="N45" i="1"/>
  <c r="M45" i="1"/>
  <c r="L45" i="1"/>
  <c r="O45" i="1" s="1"/>
  <c r="Q644" i="1" l="1"/>
  <c r="R175" i="1"/>
  <c r="R377" i="1"/>
  <c r="N578" i="1"/>
  <c r="L159" i="1"/>
  <c r="R693" i="1"/>
  <c r="S272" i="1"/>
  <c r="N618" i="1"/>
  <c r="Q393" i="1"/>
  <c r="M644" i="1"/>
  <c r="P644" i="1" s="1"/>
  <c r="M192" i="1"/>
  <c r="Q272" i="1"/>
  <c r="T272" i="1" s="1"/>
  <c r="N601" i="36"/>
  <c r="N599" i="36" s="1"/>
  <c r="L236" i="37"/>
  <c r="M189" i="1"/>
  <c r="J674" i="36"/>
  <c r="K674" i="36" s="1"/>
  <c r="P518" i="37"/>
  <c r="T607" i="36"/>
  <c r="M561" i="37"/>
  <c r="P561" i="37" s="1"/>
  <c r="O518" i="37"/>
  <c r="U194" i="37"/>
  <c r="L515" i="36"/>
  <c r="O515" i="36" s="1"/>
  <c r="K678" i="37"/>
  <c r="T125" i="37"/>
  <c r="U80" i="37"/>
  <c r="P361" i="37"/>
  <c r="K785" i="33"/>
  <c r="K782" i="33"/>
  <c r="K779" i="33"/>
  <c r="M557" i="37"/>
  <c r="P557" i="37" s="1"/>
  <c r="T99" i="36"/>
  <c r="S762" i="37"/>
  <c r="S760" i="37" s="1"/>
  <c r="S731" i="37"/>
  <c r="L326" i="37"/>
  <c r="O326" i="37" s="1"/>
  <c r="O191" i="37"/>
  <c r="L272" i="36"/>
  <c r="O272" i="36" s="1"/>
  <c r="L268" i="36"/>
  <c r="L266" i="36" s="1"/>
  <c r="K440" i="37"/>
  <c r="K784" i="33"/>
  <c r="K781" i="33"/>
  <c r="K778" i="33"/>
  <c r="P539" i="34"/>
  <c r="Q142" i="37"/>
  <c r="T142" i="37" s="1"/>
  <c r="P80" i="37"/>
  <c r="T604" i="36"/>
  <c r="O563" i="37"/>
  <c r="O194" i="37"/>
  <c r="T99" i="37"/>
  <c r="S97" i="35"/>
  <c r="T763" i="37"/>
  <c r="P539" i="37"/>
  <c r="P498" i="37"/>
  <c r="Q145" i="37"/>
  <c r="T145" i="37" s="1"/>
  <c r="K109" i="37"/>
  <c r="O64" i="37"/>
  <c r="J702" i="35"/>
  <c r="P49" i="36"/>
  <c r="K629" i="37"/>
  <c r="N335" i="37"/>
  <c r="N333" i="37" s="1"/>
  <c r="I202" i="37"/>
  <c r="K202" i="37" s="1"/>
  <c r="K183" i="37"/>
  <c r="M159" i="37"/>
  <c r="M157" i="37" s="1"/>
  <c r="P157" i="37" s="1"/>
  <c r="T268" i="36"/>
  <c r="K785" i="37"/>
  <c r="K782" i="37"/>
  <c r="U765" i="37"/>
  <c r="P581" i="37"/>
  <c r="L233" i="37"/>
  <c r="O80" i="37"/>
  <c r="T498" i="36"/>
  <c r="K314" i="36"/>
  <c r="J702" i="37"/>
  <c r="K653" i="37"/>
  <c r="L322" i="37"/>
  <c r="O322" i="37" s="1"/>
  <c r="O287" i="37"/>
  <c r="L214" i="37"/>
  <c r="O214" i="37" s="1"/>
  <c r="R97" i="37"/>
  <c r="U97" i="37" s="1"/>
  <c r="L75" i="37"/>
  <c r="O75" i="37" s="1"/>
  <c r="K346" i="36"/>
  <c r="R730" i="37"/>
  <c r="R728" i="37" s="1"/>
  <c r="U728" i="37" s="1"/>
  <c r="S644" i="37"/>
  <c r="S642" i="37" s="1"/>
  <c r="K678" i="36"/>
  <c r="U80" i="36"/>
  <c r="K772" i="37"/>
  <c r="Q730" i="37"/>
  <c r="Q602" i="37"/>
  <c r="T602" i="37" s="1"/>
  <c r="U397" i="37"/>
  <c r="K346" i="37"/>
  <c r="P328" i="37"/>
  <c r="T178" i="37"/>
  <c r="O178" i="37"/>
  <c r="P77" i="37"/>
  <c r="K779" i="36"/>
  <c r="I701" i="36"/>
  <c r="J374" i="36"/>
  <c r="O338" i="36"/>
  <c r="T75" i="36"/>
  <c r="U733" i="37"/>
  <c r="T619" i="37"/>
  <c r="O604" i="37"/>
  <c r="Q416" i="37"/>
  <c r="T416" i="37" s="1"/>
  <c r="Q378" i="37"/>
  <c r="T378" i="37" s="1"/>
  <c r="T191" i="37"/>
  <c r="K127" i="37"/>
  <c r="K631" i="36"/>
  <c r="R395" i="36"/>
  <c r="U395" i="36" s="1"/>
  <c r="L362" i="36"/>
  <c r="O362" i="36" s="1"/>
  <c r="K783" i="37"/>
  <c r="T733" i="37"/>
  <c r="K707" i="37"/>
  <c r="T418" i="37"/>
  <c r="T380" i="37"/>
  <c r="T122" i="37"/>
  <c r="L120" i="37"/>
  <c r="O120" i="37" s="1"/>
  <c r="U77" i="37"/>
  <c r="P64" i="37"/>
  <c r="N62" i="37"/>
  <c r="O62" i="37" s="1"/>
  <c r="K778" i="36"/>
  <c r="Q496" i="36"/>
  <c r="T496" i="36" s="1"/>
  <c r="L236" i="36"/>
  <c r="O162" i="36"/>
  <c r="R762" i="37"/>
  <c r="R760" i="37" s="1"/>
  <c r="U760" i="37" s="1"/>
  <c r="L557" i="37"/>
  <c r="O557" i="37" s="1"/>
  <c r="P501" i="37"/>
  <c r="S416" i="37"/>
  <c r="S415" i="37"/>
  <c r="S413" i="37" s="1"/>
  <c r="P418" i="36"/>
  <c r="K369" i="36"/>
  <c r="J674" i="37"/>
  <c r="K674" i="37" s="1"/>
  <c r="S601" i="37"/>
  <c r="S599" i="37" s="1"/>
  <c r="Q513" i="37"/>
  <c r="T513" i="37" s="1"/>
  <c r="T514" i="37"/>
  <c r="R305" i="37"/>
  <c r="U305" i="37" s="1"/>
  <c r="R306" i="37"/>
  <c r="U306" i="37" s="1"/>
  <c r="U308" i="37"/>
  <c r="R142" i="37"/>
  <c r="U142" i="37" s="1"/>
  <c r="U144" i="37"/>
  <c r="K344" i="37"/>
  <c r="I332" i="37"/>
  <c r="K783" i="35"/>
  <c r="K783" i="36"/>
  <c r="J701" i="36"/>
  <c r="U763" i="37"/>
  <c r="K676" i="37"/>
  <c r="Q305" i="37"/>
  <c r="T305" i="37" s="1"/>
  <c r="T308" i="37"/>
  <c r="I265" i="37"/>
  <c r="K265" i="37" s="1"/>
  <c r="K276" i="37"/>
  <c r="L235" i="37"/>
  <c r="N46" i="37"/>
  <c r="N44" i="37" s="1"/>
  <c r="N47" i="37"/>
  <c r="Q19" i="37"/>
  <c r="T19" i="37" s="1"/>
  <c r="T22" i="37"/>
  <c r="K457" i="37"/>
  <c r="I456" i="37"/>
  <c r="K456" i="37" s="1"/>
  <c r="S141" i="37"/>
  <c r="S142" i="37"/>
  <c r="O99" i="37"/>
  <c r="L97" i="37"/>
  <c r="O97" i="37" s="1"/>
  <c r="T308" i="35"/>
  <c r="I202" i="35"/>
  <c r="K202" i="35" s="1"/>
  <c r="K759" i="37"/>
  <c r="I221" i="37"/>
  <c r="K221" i="37" s="1"/>
  <c r="K229" i="37"/>
  <c r="M188" i="37"/>
  <c r="M186" i="37" s="1"/>
  <c r="M189" i="37"/>
  <c r="P147" i="37"/>
  <c r="M145" i="37"/>
  <c r="P145" i="37" s="1"/>
  <c r="M47" i="37"/>
  <c r="P47" i="37" s="1"/>
  <c r="P49" i="37"/>
  <c r="K292" i="37"/>
  <c r="I281" i="37"/>
  <c r="K281" i="37" s="1"/>
  <c r="Q160" i="37"/>
  <c r="T160" i="37" s="1"/>
  <c r="T162" i="37"/>
  <c r="K154" i="35"/>
  <c r="K503" i="36"/>
  <c r="Q306" i="36"/>
  <c r="T308" i="36"/>
  <c r="M192" i="36"/>
  <c r="P192" i="36" s="1"/>
  <c r="P194" i="36"/>
  <c r="P716" i="37"/>
  <c r="M714" i="37"/>
  <c r="P714" i="37" s="1"/>
  <c r="R645" i="37"/>
  <c r="U645" i="37" s="1"/>
  <c r="U647" i="37"/>
  <c r="R644" i="37"/>
  <c r="R642" i="37" s="1"/>
  <c r="R534" i="37"/>
  <c r="U534" i="37" s="1"/>
  <c r="M377" i="37"/>
  <c r="P377" i="37" s="1"/>
  <c r="M339" i="37"/>
  <c r="P339" i="37" s="1"/>
  <c r="P341" i="37"/>
  <c r="M288" i="37"/>
  <c r="P288" i="37" s="1"/>
  <c r="P290" i="37"/>
  <c r="L145" i="37"/>
  <c r="O145" i="37" s="1"/>
  <c r="O147" i="37"/>
  <c r="T144" i="36"/>
  <c r="Q142" i="36"/>
  <c r="T142" i="36" s="1"/>
  <c r="P691" i="37"/>
  <c r="M690" i="37"/>
  <c r="P690" i="37" s="1"/>
  <c r="Q268" i="37"/>
  <c r="Q266" i="37" s="1"/>
  <c r="Q269" i="37"/>
  <c r="T269" i="37" s="1"/>
  <c r="T271" i="37"/>
  <c r="M309" i="36"/>
  <c r="P309" i="36" s="1"/>
  <c r="P311" i="36"/>
  <c r="S97" i="36"/>
  <c r="S96" i="36"/>
  <c r="S94" i="36" s="1"/>
  <c r="R693" i="37"/>
  <c r="U693" i="37" s="1"/>
  <c r="R692" i="37"/>
  <c r="U692" i="37" s="1"/>
  <c r="U695" i="37"/>
  <c r="Q645" i="37"/>
  <c r="T645" i="37" s="1"/>
  <c r="T647" i="37"/>
  <c r="M605" i="37"/>
  <c r="P605" i="37" s="1"/>
  <c r="P607" i="37"/>
  <c r="M601" i="37"/>
  <c r="M599" i="37" s="1"/>
  <c r="M602" i="37"/>
  <c r="P602" i="37" s="1"/>
  <c r="P604" i="37"/>
  <c r="S602" i="37"/>
  <c r="T535" i="37"/>
  <c r="Q534" i="37"/>
  <c r="T534" i="37" s="1"/>
  <c r="N495" i="37"/>
  <c r="N493" i="37" s="1"/>
  <c r="N496" i="37"/>
  <c r="N377" i="37"/>
  <c r="N375" i="37" s="1"/>
  <c r="L359" i="37"/>
  <c r="O361" i="37"/>
  <c r="L339" i="37"/>
  <c r="O339" i="37" s="1"/>
  <c r="O341" i="37"/>
  <c r="I280" i="37"/>
  <c r="K280" i="37" s="1"/>
  <c r="K293" i="37"/>
  <c r="K169" i="37"/>
  <c r="I156" i="37"/>
  <c r="K156" i="37" s="1"/>
  <c r="I138" i="37"/>
  <c r="K138" i="37" s="1"/>
  <c r="K153" i="37"/>
  <c r="L142" i="37"/>
  <c r="O142" i="37" s="1"/>
  <c r="O144" i="37"/>
  <c r="U122" i="37"/>
  <c r="R120" i="37"/>
  <c r="U120" i="37" s="1"/>
  <c r="L100" i="37"/>
  <c r="O100" i="37" s="1"/>
  <c r="M96" i="37"/>
  <c r="P96" i="37" s="1"/>
  <c r="S44" i="37"/>
  <c r="R44" i="37"/>
  <c r="U44" i="37" s="1"/>
  <c r="U418" i="36"/>
  <c r="U397" i="36"/>
  <c r="P364" i="36"/>
  <c r="S176" i="36"/>
  <c r="T765" i="37"/>
  <c r="Q762" i="37"/>
  <c r="Q760" i="37" s="1"/>
  <c r="R714" i="37"/>
  <c r="U714" i="37" s="1"/>
  <c r="L690" i="37"/>
  <c r="O690" i="37" s="1"/>
  <c r="S618" i="37"/>
  <c r="S616" i="37" s="1"/>
  <c r="Q605" i="37"/>
  <c r="T605" i="37" s="1"/>
  <c r="O581" i="37"/>
  <c r="U577" i="37"/>
  <c r="O539" i="37"/>
  <c r="L499" i="37"/>
  <c r="O499" i="37" s="1"/>
  <c r="M495" i="37"/>
  <c r="P495" i="37" s="1"/>
  <c r="S496" i="37"/>
  <c r="M322" i="37"/>
  <c r="P322" i="37" s="1"/>
  <c r="O311" i="37"/>
  <c r="O308" i="37"/>
  <c r="L243" i="37"/>
  <c r="O243" i="37" s="1"/>
  <c r="K195" i="37"/>
  <c r="T194" i="37"/>
  <c r="L163" i="37"/>
  <c r="O163" i="37" s="1"/>
  <c r="Q141" i="37"/>
  <c r="Q139" i="37" s="1"/>
  <c r="T139" i="37" s="1"/>
  <c r="M142" i="37"/>
  <c r="P142" i="37" s="1"/>
  <c r="R123" i="37"/>
  <c r="U123" i="37" s="1"/>
  <c r="N74" i="37"/>
  <c r="N72" i="37" s="1"/>
  <c r="N61" i="37"/>
  <c r="N59" i="37" s="1"/>
  <c r="L46" i="37"/>
  <c r="N19" i="37"/>
  <c r="T415" i="36"/>
  <c r="T78" i="36"/>
  <c r="S692" i="37"/>
  <c r="S690" i="37" s="1"/>
  <c r="J675" i="37"/>
  <c r="K675" i="37" s="1"/>
  <c r="K661" i="37"/>
  <c r="N642" i="37"/>
  <c r="N578" i="37"/>
  <c r="N576" i="37" s="1"/>
  <c r="N557" i="37"/>
  <c r="N555" i="37" s="1"/>
  <c r="N415" i="37"/>
  <c r="N413" i="37" s="1"/>
  <c r="J351" i="37"/>
  <c r="K330" i="37"/>
  <c r="S305" i="37"/>
  <c r="S303" i="37" s="1"/>
  <c r="R160" i="37"/>
  <c r="U160" i="37" s="1"/>
  <c r="S139" i="37"/>
  <c r="I242" i="36"/>
  <c r="K242" i="36" s="1"/>
  <c r="I238" i="36"/>
  <c r="K238" i="36" s="1"/>
  <c r="Q601" i="37"/>
  <c r="T601" i="37" s="1"/>
  <c r="S576" i="37"/>
  <c r="S513" i="37"/>
  <c r="S394" i="37"/>
  <c r="S392" i="37" s="1"/>
  <c r="N322" i="37"/>
  <c r="N320" i="37" s="1"/>
  <c r="N323" i="37"/>
  <c r="K314" i="37"/>
  <c r="I238" i="37"/>
  <c r="K238" i="37" s="1"/>
  <c r="L222" i="37"/>
  <c r="O222" i="37" s="1"/>
  <c r="L203" i="37"/>
  <c r="O203" i="37" s="1"/>
  <c r="Q188" i="37"/>
  <c r="Q186" i="37" s="1"/>
  <c r="T186" i="37" s="1"/>
  <c r="L123" i="37"/>
  <c r="O123" i="37" s="1"/>
  <c r="R74" i="37"/>
  <c r="U74" i="37" s="1"/>
  <c r="L74" i="37"/>
  <c r="I253" i="36"/>
  <c r="K253" i="36" s="1"/>
  <c r="L234" i="36"/>
  <c r="M159" i="36"/>
  <c r="M157" i="36" s="1"/>
  <c r="O716" i="37"/>
  <c r="S714" i="37"/>
  <c r="N690" i="37"/>
  <c r="N601" i="37"/>
  <c r="L578" i="37"/>
  <c r="L576" i="37" s="1"/>
  <c r="O576" i="37" s="1"/>
  <c r="L536" i="37"/>
  <c r="R495" i="37"/>
  <c r="R493" i="37" s="1"/>
  <c r="U493" i="37" s="1"/>
  <c r="R394" i="37"/>
  <c r="U394" i="37" s="1"/>
  <c r="L305" i="37"/>
  <c r="O305" i="37" s="1"/>
  <c r="N305" i="37"/>
  <c r="N303" i="37" s="1"/>
  <c r="S268" i="37"/>
  <c r="S266" i="37" s="1"/>
  <c r="L160" i="37"/>
  <c r="O160" i="37" s="1"/>
  <c r="U147" i="37"/>
  <c r="Q74" i="37"/>
  <c r="T74" i="37" s="1"/>
  <c r="N75" i="37"/>
  <c r="O49" i="37"/>
  <c r="L47" i="37"/>
  <c r="M381" i="36"/>
  <c r="P381" i="36" s="1"/>
  <c r="P383" i="36"/>
  <c r="T761" i="37"/>
  <c r="K423" i="37"/>
  <c r="I412" i="37"/>
  <c r="K412" i="37" s="1"/>
  <c r="T358" i="37"/>
  <c r="Q356" i="37"/>
  <c r="T356" i="37" s="1"/>
  <c r="R266" i="37"/>
  <c r="U267" i="37"/>
  <c r="R762" i="35"/>
  <c r="U762" i="35" s="1"/>
  <c r="L381" i="36"/>
  <c r="O381" i="36" s="1"/>
  <c r="O383" i="36"/>
  <c r="U607" i="37"/>
  <c r="R605" i="37"/>
  <c r="U605" i="37" s="1"/>
  <c r="R601" i="37"/>
  <c r="L601" i="37"/>
  <c r="M519" i="37"/>
  <c r="P519" i="37" s="1"/>
  <c r="M515" i="37"/>
  <c r="P515" i="37" s="1"/>
  <c r="I365" i="37"/>
  <c r="K365" i="37" s="1"/>
  <c r="P304" i="37"/>
  <c r="P52" i="37"/>
  <c r="M26" i="37"/>
  <c r="M24" i="37" s="1"/>
  <c r="M50" i="37"/>
  <c r="P50" i="37" s="1"/>
  <c r="I92" i="35"/>
  <c r="K92" i="35" s="1"/>
  <c r="K108" i="35"/>
  <c r="R142" i="35"/>
  <c r="U142" i="35" s="1"/>
  <c r="U144" i="35"/>
  <c r="J702" i="36"/>
  <c r="O521" i="36"/>
  <c r="L519" i="36"/>
  <c r="O519" i="36" s="1"/>
  <c r="L323" i="36"/>
  <c r="O323" i="36" s="1"/>
  <c r="O325" i="36"/>
  <c r="L233" i="36"/>
  <c r="L728" i="37"/>
  <c r="O728" i="37" s="1"/>
  <c r="M616" i="37"/>
  <c r="P616" i="37" s="1"/>
  <c r="P617" i="37"/>
  <c r="O521" i="37"/>
  <c r="L519" i="37"/>
  <c r="O519" i="37" s="1"/>
  <c r="I374" i="37"/>
  <c r="K374" i="37" s="1"/>
  <c r="Q320" i="37"/>
  <c r="T320" i="37" s="1"/>
  <c r="T321" i="37"/>
  <c r="O271" i="37"/>
  <c r="L269" i="37"/>
  <c r="O269" i="37" s="1"/>
  <c r="L268" i="37"/>
  <c r="O52" i="37"/>
  <c r="L26" i="37"/>
  <c r="L24" i="37" s="1"/>
  <c r="L50" i="37"/>
  <c r="O50" i="37" s="1"/>
  <c r="U498" i="35"/>
  <c r="R496" i="35"/>
  <c r="U496" i="35" s="1"/>
  <c r="L145" i="36"/>
  <c r="O145" i="36" s="1"/>
  <c r="O147" i="36"/>
  <c r="P644" i="37"/>
  <c r="M642" i="37"/>
  <c r="P642" i="37" s="1"/>
  <c r="N516" i="37"/>
  <c r="N515" i="37"/>
  <c r="N513" i="37" s="1"/>
  <c r="J701" i="34"/>
  <c r="R763" i="35"/>
  <c r="U763" i="35" s="1"/>
  <c r="Q160" i="35"/>
  <c r="T160" i="35" s="1"/>
  <c r="T162" i="35"/>
  <c r="L557" i="36"/>
  <c r="O557" i="36" s="1"/>
  <c r="S188" i="36"/>
  <c r="S186" i="36" s="1"/>
  <c r="T191" i="36"/>
  <c r="S160" i="36"/>
  <c r="S159" i="36"/>
  <c r="S157" i="36" s="1"/>
  <c r="R619" i="37"/>
  <c r="U619" i="37" s="1"/>
  <c r="U621" i="37"/>
  <c r="R618" i="37"/>
  <c r="L616" i="37"/>
  <c r="O616" i="37" s="1"/>
  <c r="O617" i="37"/>
  <c r="T578" i="37"/>
  <c r="Q576" i="37"/>
  <c r="T576" i="37" s="1"/>
  <c r="O560" i="37"/>
  <c r="L558" i="37"/>
  <c r="O558" i="37" s="1"/>
  <c r="J503" i="37"/>
  <c r="J492" i="37" s="1"/>
  <c r="K504" i="37"/>
  <c r="P418" i="37"/>
  <c r="M416" i="37"/>
  <c r="P416" i="37" s="1"/>
  <c r="M415" i="37"/>
  <c r="P415" i="37" s="1"/>
  <c r="O274" i="37"/>
  <c r="L272" i="37"/>
  <c r="O272" i="37" s="1"/>
  <c r="U695" i="35"/>
  <c r="K330" i="35"/>
  <c r="R305" i="35"/>
  <c r="U305" i="35" s="1"/>
  <c r="U308" i="35"/>
  <c r="K781" i="36"/>
  <c r="K632" i="36"/>
  <c r="K629" i="36"/>
  <c r="O581" i="36"/>
  <c r="U191" i="36"/>
  <c r="R189" i="36"/>
  <c r="O64" i="36"/>
  <c r="K784" i="37"/>
  <c r="M760" i="37"/>
  <c r="P760" i="37" s="1"/>
  <c r="L605" i="37"/>
  <c r="O605" i="37" s="1"/>
  <c r="N536" i="37"/>
  <c r="N534" i="37" s="1"/>
  <c r="O498" i="37"/>
  <c r="L496" i="37"/>
  <c r="O496" i="37" s="1"/>
  <c r="L495" i="37"/>
  <c r="O418" i="37"/>
  <c r="L416" i="37"/>
  <c r="O416" i="37" s="1"/>
  <c r="L415" i="37"/>
  <c r="O415" i="37" s="1"/>
  <c r="S378" i="37"/>
  <c r="S377" i="37"/>
  <c r="O287" i="35"/>
  <c r="L285" i="35"/>
  <c r="O285" i="35" s="1"/>
  <c r="M419" i="36"/>
  <c r="P419" i="36" s="1"/>
  <c r="P421" i="36"/>
  <c r="Q192" i="36"/>
  <c r="T192" i="36" s="1"/>
  <c r="T194" i="36"/>
  <c r="T691" i="37"/>
  <c r="P80" i="33"/>
  <c r="M75" i="36"/>
  <c r="P75" i="36" s="1"/>
  <c r="P77" i="36"/>
  <c r="K631" i="37"/>
  <c r="K626" i="37"/>
  <c r="I615" i="37"/>
  <c r="K615" i="37" s="1"/>
  <c r="K632" i="37"/>
  <c r="P542" i="37"/>
  <c r="M540" i="37"/>
  <c r="P540" i="37" s="1"/>
  <c r="O421" i="37"/>
  <c r="L419" i="37"/>
  <c r="O419" i="37" s="1"/>
  <c r="P604" i="35"/>
  <c r="P542" i="35"/>
  <c r="P364" i="35"/>
  <c r="L234" i="35"/>
  <c r="T99" i="35"/>
  <c r="K705" i="36"/>
  <c r="K703" i="36"/>
  <c r="K676" i="36"/>
  <c r="K673" i="36"/>
  <c r="T621" i="36"/>
  <c r="R601" i="36"/>
  <c r="U601" i="36" s="1"/>
  <c r="P579" i="36"/>
  <c r="T397" i="36"/>
  <c r="P380" i="36"/>
  <c r="K371" i="36"/>
  <c r="K368" i="36"/>
  <c r="L214" i="36"/>
  <c r="O214" i="36" s="1"/>
  <c r="M175" i="36"/>
  <c r="M173" i="36" s="1"/>
  <c r="K153" i="36"/>
  <c r="M96" i="36"/>
  <c r="P96" i="36" s="1"/>
  <c r="K774" i="37"/>
  <c r="T695" i="37"/>
  <c r="O691" i="37"/>
  <c r="Q618" i="37"/>
  <c r="Q616" i="37" s="1"/>
  <c r="T621" i="37"/>
  <c r="U617" i="37"/>
  <c r="L602" i="37"/>
  <c r="O602" i="37" s="1"/>
  <c r="P600" i="37"/>
  <c r="S555" i="37"/>
  <c r="O556" i="37"/>
  <c r="O542" i="37"/>
  <c r="L540" i="37"/>
  <c r="O540" i="37" s="1"/>
  <c r="M536" i="37"/>
  <c r="P536" i="37" s="1"/>
  <c r="L515" i="37"/>
  <c r="P514" i="37"/>
  <c r="R496" i="37"/>
  <c r="U496" i="37" s="1"/>
  <c r="Q493" i="37"/>
  <c r="T493" i="37" s="1"/>
  <c r="Q395" i="37"/>
  <c r="T395" i="37" s="1"/>
  <c r="Q394" i="37"/>
  <c r="T394" i="37" s="1"/>
  <c r="T397" i="37"/>
  <c r="M392" i="37"/>
  <c r="P392" i="37" s="1"/>
  <c r="S375" i="37"/>
  <c r="O376" i="37"/>
  <c r="P338" i="37"/>
  <c r="M336" i="37"/>
  <c r="P336" i="37" s="1"/>
  <c r="M335" i="37"/>
  <c r="P335" i="37" s="1"/>
  <c r="N285" i="37"/>
  <c r="N284" i="37"/>
  <c r="N282" i="37" s="1"/>
  <c r="L254" i="37"/>
  <c r="P178" i="37"/>
  <c r="M176" i="37"/>
  <c r="P176" i="37" s="1"/>
  <c r="M175" i="37"/>
  <c r="P73" i="37"/>
  <c r="K293" i="35"/>
  <c r="P290" i="35"/>
  <c r="N268" i="35"/>
  <c r="N266" i="35" s="1"/>
  <c r="P64" i="35"/>
  <c r="K707" i="36"/>
  <c r="P563" i="36"/>
  <c r="R415" i="36"/>
  <c r="U415" i="36" s="1"/>
  <c r="N268" i="36"/>
  <c r="N266" i="36" s="1"/>
  <c r="O191" i="36"/>
  <c r="J701" i="37"/>
  <c r="U691" i="37"/>
  <c r="P584" i="37"/>
  <c r="M582" i="37"/>
  <c r="P582" i="37" s="1"/>
  <c r="R555" i="37"/>
  <c r="U555" i="37" s="1"/>
  <c r="U556" i="37"/>
  <c r="T498" i="37"/>
  <c r="Q496" i="37"/>
  <c r="T496" i="37" s="1"/>
  <c r="U418" i="37"/>
  <c r="R416" i="37"/>
  <c r="U416" i="37" s="1"/>
  <c r="R415" i="37"/>
  <c r="U415" i="37" s="1"/>
  <c r="O414" i="37"/>
  <c r="L392" i="37"/>
  <c r="O392" i="37" s="1"/>
  <c r="O393" i="37"/>
  <c r="U376" i="37"/>
  <c r="O338" i="37"/>
  <c r="L336" i="37"/>
  <c r="O336" i="37" s="1"/>
  <c r="L335" i="37"/>
  <c r="Q282" i="37"/>
  <c r="T282" i="37" s="1"/>
  <c r="U187" i="37"/>
  <c r="P181" i="37"/>
  <c r="M179" i="37"/>
  <c r="P179" i="37" s="1"/>
  <c r="R26" i="37"/>
  <c r="U26" i="37" s="1"/>
  <c r="M358" i="36"/>
  <c r="M356" i="36" s="1"/>
  <c r="N284" i="36"/>
  <c r="N282" i="36" s="1"/>
  <c r="Q269" i="36"/>
  <c r="L222" i="36"/>
  <c r="O222" i="36" s="1"/>
  <c r="L192" i="36"/>
  <c r="O192" i="36" s="1"/>
  <c r="Q123" i="36"/>
  <c r="T123" i="36" s="1"/>
  <c r="T125" i="36"/>
  <c r="I701" i="37"/>
  <c r="K701" i="37" s="1"/>
  <c r="K703" i="37"/>
  <c r="Q644" i="37"/>
  <c r="L642" i="37"/>
  <c r="O642" i="37" s="1"/>
  <c r="R602" i="37"/>
  <c r="U602" i="37" s="1"/>
  <c r="O584" i="37"/>
  <c r="L582" i="37"/>
  <c r="O582" i="37" s="1"/>
  <c r="M578" i="37"/>
  <c r="P578" i="37" s="1"/>
  <c r="Q555" i="37"/>
  <c r="T555" i="37" s="1"/>
  <c r="T556" i="37"/>
  <c r="R513" i="37"/>
  <c r="U513" i="37" s="1"/>
  <c r="U414" i="37"/>
  <c r="U393" i="37"/>
  <c r="Q375" i="37"/>
  <c r="T375" i="37" s="1"/>
  <c r="T376" i="37"/>
  <c r="P364" i="37"/>
  <c r="M362" i="37"/>
  <c r="P362" i="37" s="1"/>
  <c r="R282" i="37"/>
  <c r="U282" i="37" s="1"/>
  <c r="U283" i="37"/>
  <c r="S160" i="37"/>
  <c r="S159" i="37"/>
  <c r="S157" i="37" s="1"/>
  <c r="O118" i="37"/>
  <c r="S19" i="37"/>
  <c r="O579" i="36"/>
  <c r="L322" i="36"/>
  <c r="O322" i="36" s="1"/>
  <c r="L254" i="36"/>
  <c r="O254" i="36" s="1"/>
  <c r="Q692" i="37"/>
  <c r="T692" i="37" s="1"/>
  <c r="T643" i="37"/>
  <c r="P560" i="37"/>
  <c r="M558" i="37"/>
  <c r="P558" i="37" s="1"/>
  <c r="P421" i="37"/>
  <c r="M419" i="37"/>
  <c r="P419" i="37" s="1"/>
  <c r="Q413" i="37"/>
  <c r="T413" i="37" s="1"/>
  <c r="T414" i="37"/>
  <c r="T393" i="37"/>
  <c r="P383" i="37"/>
  <c r="M381" i="37"/>
  <c r="P381" i="37" s="1"/>
  <c r="P380" i="37"/>
  <c r="M378" i="37"/>
  <c r="P378" i="37" s="1"/>
  <c r="O364" i="37"/>
  <c r="L362" i="37"/>
  <c r="O362" i="37" s="1"/>
  <c r="P271" i="37"/>
  <c r="M269" i="37"/>
  <c r="P269" i="37" s="1"/>
  <c r="M268" i="37"/>
  <c r="O267" i="37"/>
  <c r="S188" i="37"/>
  <c r="S186" i="37" s="1"/>
  <c r="U118" i="37"/>
  <c r="S97" i="37"/>
  <c r="S96" i="37"/>
  <c r="S94" i="37" s="1"/>
  <c r="R377" i="37"/>
  <c r="U377" i="37" s="1"/>
  <c r="L377" i="37"/>
  <c r="O377" i="37" s="1"/>
  <c r="N359" i="37"/>
  <c r="P359" i="37" s="1"/>
  <c r="N358" i="37"/>
  <c r="N356" i="37" s="1"/>
  <c r="P311" i="37"/>
  <c r="M309" i="37"/>
  <c r="P309" i="37" s="1"/>
  <c r="M305" i="37"/>
  <c r="P305" i="37" s="1"/>
  <c r="O304" i="37"/>
  <c r="P287" i="37"/>
  <c r="M285" i="37"/>
  <c r="P285" i="37" s="1"/>
  <c r="T267" i="37"/>
  <c r="L234" i="37"/>
  <c r="I231" i="37"/>
  <c r="K231" i="37" s="1"/>
  <c r="K242" i="37"/>
  <c r="S176" i="37"/>
  <c r="S175" i="37"/>
  <c r="S173" i="37" s="1"/>
  <c r="N163" i="37"/>
  <c r="N159" i="37"/>
  <c r="N157" i="37" s="1"/>
  <c r="N142" i="37"/>
  <c r="N141" i="37"/>
  <c r="N139" i="37" s="1"/>
  <c r="P125" i="37"/>
  <c r="M123" i="37"/>
  <c r="P123" i="37" s="1"/>
  <c r="S120" i="37"/>
  <c r="S119" i="37"/>
  <c r="S117" i="37" s="1"/>
  <c r="K87" i="37"/>
  <c r="I83" i="37"/>
  <c r="Q26" i="37"/>
  <c r="U22" i="37"/>
  <c r="Q141" i="36"/>
  <c r="K503" i="37"/>
  <c r="M358" i="37"/>
  <c r="J343" i="37"/>
  <c r="S333" i="37"/>
  <c r="O334" i="37"/>
  <c r="J332" i="37"/>
  <c r="O325" i="37"/>
  <c r="L323" i="37"/>
  <c r="O323" i="37" s="1"/>
  <c r="M323" i="37"/>
  <c r="P323" i="37" s="1"/>
  <c r="P308" i="37"/>
  <c r="M306" i="37"/>
  <c r="P306" i="37" s="1"/>
  <c r="L288" i="37"/>
  <c r="O288" i="37" s="1"/>
  <c r="L284" i="37"/>
  <c r="O284" i="37" s="1"/>
  <c r="P283" i="37"/>
  <c r="U271" i="37"/>
  <c r="R269" i="37"/>
  <c r="U269" i="37" s="1"/>
  <c r="N268" i="37"/>
  <c r="N266" i="37" s="1"/>
  <c r="P45" i="37"/>
  <c r="O19" i="37"/>
  <c r="N96" i="36"/>
  <c r="N94" i="36" s="1"/>
  <c r="O49" i="36"/>
  <c r="L381" i="37"/>
  <c r="O381" i="37" s="1"/>
  <c r="R378" i="37"/>
  <c r="U378" i="37" s="1"/>
  <c r="L378" i="37"/>
  <c r="O378" i="37" s="1"/>
  <c r="L358" i="37"/>
  <c r="R333" i="37"/>
  <c r="U333" i="37" s="1"/>
  <c r="U334" i="37"/>
  <c r="U304" i="37"/>
  <c r="M284" i="37"/>
  <c r="P284" i="37" s="1"/>
  <c r="O283" i="37"/>
  <c r="K249" i="37"/>
  <c r="O174" i="37"/>
  <c r="O158" i="37"/>
  <c r="U140" i="37"/>
  <c r="O95" i="37"/>
  <c r="R19" i="37"/>
  <c r="Q333" i="37"/>
  <c r="T333" i="37" s="1"/>
  <c r="T334" i="37"/>
  <c r="R320" i="37"/>
  <c r="U320" i="37" s="1"/>
  <c r="S282" i="37"/>
  <c r="P274" i="37"/>
  <c r="M272" i="37"/>
  <c r="P272" i="37" s="1"/>
  <c r="P194" i="37"/>
  <c r="M192" i="37"/>
  <c r="P192" i="37" s="1"/>
  <c r="N189" i="37"/>
  <c r="O189" i="37" s="1"/>
  <c r="P191" i="37"/>
  <c r="N188" i="37"/>
  <c r="O187" i="37"/>
  <c r="U174" i="37"/>
  <c r="U158" i="37"/>
  <c r="M119" i="37"/>
  <c r="U25" i="37"/>
  <c r="U95" i="37"/>
  <c r="P19" i="37"/>
  <c r="R188" i="37"/>
  <c r="U188" i="37" s="1"/>
  <c r="L188" i="37"/>
  <c r="L186" i="37" s="1"/>
  <c r="R189" i="37"/>
  <c r="U189" i="37" s="1"/>
  <c r="T174" i="37"/>
  <c r="P165" i="37"/>
  <c r="M163" i="37"/>
  <c r="P163" i="37" s="1"/>
  <c r="T158" i="37"/>
  <c r="P140" i="37"/>
  <c r="T118" i="37"/>
  <c r="P102" i="37"/>
  <c r="M100" i="37"/>
  <c r="P100" i="37" s="1"/>
  <c r="T95" i="37"/>
  <c r="I82" i="37"/>
  <c r="N26" i="37"/>
  <c r="N24" i="37" s="1"/>
  <c r="P25" i="37"/>
  <c r="K260" i="37"/>
  <c r="K220" i="37"/>
  <c r="K198" i="37"/>
  <c r="P162" i="37"/>
  <c r="M160" i="37"/>
  <c r="P160" i="37" s="1"/>
  <c r="K152" i="37"/>
  <c r="O140" i="37"/>
  <c r="P122" i="37"/>
  <c r="M120" i="37"/>
  <c r="P120" i="37" s="1"/>
  <c r="K108" i="37"/>
  <c r="P99" i="37"/>
  <c r="M97" i="37"/>
  <c r="P97" i="37" s="1"/>
  <c r="P67" i="37"/>
  <c r="M65" i="37"/>
  <c r="P65" i="37" s="1"/>
  <c r="P60" i="37"/>
  <c r="O25" i="37"/>
  <c r="N23" i="37"/>
  <c r="P22" i="37"/>
  <c r="N175" i="37"/>
  <c r="N173" i="37" s="1"/>
  <c r="N119" i="37"/>
  <c r="N117" i="37" s="1"/>
  <c r="N96" i="37"/>
  <c r="N94" i="37" s="1"/>
  <c r="O67" i="37"/>
  <c r="L65" i="37"/>
  <c r="O65" i="37" s="1"/>
  <c r="L61" i="37"/>
  <c r="O22" i="37"/>
  <c r="R175" i="37"/>
  <c r="U175" i="37" s="1"/>
  <c r="L175" i="37"/>
  <c r="L173" i="37" s="1"/>
  <c r="R159" i="37"/>
  <c r="U159" i="37" s="1"/>
  <c r="L159" i="37"/>
  <c r="O159" i="37" s="1"/>
  <c r="K154" i="37"/>
  <c r="M141" i="37"/>
  <c r="P141" i="37" s="1"/>
  <c r="R119" i="37"/>
  <c r="U119" i="37" s="1"/>
  <c r="L119" i="37"/>
  <c r="O119" i="37" s="1"/>
  <c r="R96" i="37"/>
  <c r="U96" i="37" s="1"/>
  <c r="L96" i="37"/>
  <c r="O96" i="37" s="1"/>
  <c r="T80" i="37"/>
  <c r="T77" i="37"/>
  <c r="S26" i="37"/>
  <c r="S24" i="37" s="1"/>
  <c r="S23" i="37"/>
  <c r="M23" i="37"/>
  <c r="Q175" i="37"/>
  <c r="T175" i="37" s="1"/>
  <c r="Q159" i="37"/>
  <c r="T159" i="37" s="1"/>
  <c r="R141" i="37"/>
  <c r="U141" i="37" s="1"/>
  <c r="L141" i="37"/>
  <c r="O141" i="37" s="1"/>
  <c r="Q119" i="37"/>
  <c r="T119" i="37" s="1"/>
  <c r="Q96" i="37"/>
  <c r="T96" i="37" s="1"/>
  <c r="S74" i="37"/>
  <c r="S72" i="37" s="1"/>
  <c r="M74" i="37"/>
  <c r="P74" i="37" s="1"/>
  <c r="M61" i="37"/>
  <c r="M46" i="37"/>
  <c r="R23" i="37"/>
  <c r="R21" i="37" s="1"/>
  <c r="L23" i="37"/>
  <c r="L21" i="37" s="1"/>
  <c r="L179" i="37"/>
  <c r="O179" i="37" s="1"/>
  <c r="R176" i="37"/>
  <c r="U176" i="37" s="1"/>
  <c r="L176" i="37"/>
  <c r="O176" i="37" s="1"/>
  <c r="Q23" i="37"/>
  <c r="P518" i="35"/>
  <c r="M516" i="35"/>
  <c r="P516" i="35" s="1"/>
  <c r="S175" i="35"/>
  <c r="S173" i="35" s="1"/>
  <c r="S176" i="35"/>
  <c r="R763" i="36"/>
  <c r="U765" i="36"/>
  <c r="R762" i="36"/>
  <c r="J456" i="36"/>
  <c r="K457" i="36"/>
  <c r="S394" i="36"/>
  <c r="S392" i="36" s="1"/>
  <c r="S395" i="36"/>
  <c r="I281" i="36"/>
  <c r="K281" i="36" s="1"/>
  <c r="K292" i="36"/>
  <c r="Q282" i="36"/>
  <c r="T282" i="36" s="1"/>
  <c r="T284" i="36"/>
  <c r="I195" i="36"/>
  <c r="K195" i="36" s="1"/>
  <c r="K198" i="36"/>
  <c r="R74" i="36"/>
  <c r="R72" i="36" s="1"/>
  <c r="R75" i="36"/>
  <c r="U75" i="36" s="1"/>
  <c r="U77" i="36"/>
  <c r="M62" i="36"/>
  <c r="P62" i="36" s="1"/>
  <c r="P64" i="36"/>
  <c r="I213" i="34"/>
  <c r="K213" i="34" s="1"/>
  <c r="K782" i="35"/>
  <c r="S763" i="35"/>
  <c r="J674" i="35"/>
  <c r="K674" i="35" s="1"/>
  <c r="K276" i="35"/>
  <c r="L192" i="35"/>
  <c r="O192" i="35" s="1"/>
  <c r="O194" i="35"/>
  <c r="K153" i="35"/>
  <c r="N760" i="36"/>
  <c r="I423" i="36"/>
  <c r="I412" i="36" s="1"/>
  <c r="K412" i="36" s="1"/>
  <c r="K440" i="36"/>
  <c r="U393" i="36"/>
  <c r="R392" i="36"/>
  <c r="U392" i="36" s="1"/>
  <c r="L46" i="34"/>
  <c r="L44" i="34" s="1"/>
  <c r="T535" i="36"/>
  <c r="Q534" i="36"/>
  <c r="T534" i="36" s="1"/>
  <c r="R305" i="36"/>
  <c r="U305" i="36" s="1"/>
  <c r="R306" i="36"/>
  <c r="U308" i="36"/>
  <c r="J701" i="33"/>
  <c r="P271" i="34"/>
  <c r="O99" i="34"/>
  <c r="O52" i="34"/>
  <c r="K772" i="35"/>
  <c r="K653" i="35"/>
  <c r="U647" i="35"/>
  <c r="L540" i="35"/>
  <c r="O540" i="35" s="1"/>
  <c r="O542" i="35"/>
  <c r="L362" i="35"/>
  <c r="O362" i="35" s="1"/>
  <c r="O364" i="35"/>
  <c r="N336" i="35"/>
  <c r="O336" i="35" s="1"/>
  <c r="N335" i="35"/>
  <c r="N333" i="35" s="1"/>
  <c r="K780" i="36"/>
  <c r="R730" i="36"/>
  <c r="R728" i="36" s="1"/>
  <c r="U733" i="36"/>
  <c r="R731" i="36"/>
  <c r="U731" i="36" s="1"/>
  <c r="L616" i="36"/>
  <c r="O616" i="36" s="1"/>
  <c r="I156" i="36"/>
  <c r="K156" i="36" s="1"/>
  <c r="L222" i="34"/>
  <c r="O222" i="34" s="1"/>
  <c r="M163" i="35"/>
  <c r="P163" i="35" s="1"/>
  <c r="P165" i="35"/>
  <c r="I116" i="35"/>
  <c r="K116" i="35" s="1"/>
  <c r="K127" i="35"/>
  <c r="Q375" i="36"/>
  <c r="T376" i="36"/>
  <c r="M336" i="36"/>
  <c r="P336" i="36" s="1"/>
  <c r="M335" i="36"/>
  <c r="M333" i="36" s="1"/>
  <c r="P338" i="36"/>
  <c r="K220" i="36"/>
  <c r="I213" i="36"/>
  <c r="K213" i="36" s="1"/>
  <c r="K183" i="36"/>
  <c r="I172" i="36"/>
  <c r="K172" i="36" s="1"/>
  <c r="O178" i="34"/>
  <c r="O122" i="34"/>
  <c r="K673" i="35"/>
  <c r="L50" i="35"/>
  <c r="O50" i="35" s="1"/>
  <c r="O52" i="35"/>
  <c r="K785" i="36"/>
  <c r="S763" i="36"/>
  <c r="T763" i="36" s="1"/>
  <c r="S762" i="36"/>
  <c r="S760" i="36" s="1"/>
  <c r="L392" i="36"/>
  <c r="O392" i="36" s="1"/>
  <c r="O393" i="36"/>
  <c r="K280" i="36"/>
  <c r="Q160" i="36"/>
  <c r="T160" i="36" s="1"/>
  <c r="T162" i="36"/>
  <c r="R145" i="36"/>
  <c r="U145" i="36" s="1"/>
  <c r="U147" i="36"/>
  <c r="I116" i="36"/>
  <c r="K116" i="36" s="1"/>
  <c r="L74" i="36"/>
  <c r="L72" i="36" s="1"/>
  <c r="O77" i="36"/>
  <c r="L75" i="36"/>
  <c r="O75" i="36" s="1"/>
  <c r="N690" i="36"/>
  <c r="K682" i="36"/>
  <c r="Q618" i="36"/>
  <c r="T618" i="36" s="1"/>
  <c r="N616" i="36"/>
  <c r="S601" i="36"/>
  <c r="S599" i="36" s="1"/>
  <c r="S576" i="36"/>
  <c r="R576" i="36"/>
  <c r="U576" i="36" s="1"/>
  <c r="L561" i="36"/>
  <c r="O561" i="36" s="1"/>
  <c r="R496" i="36"/>
  <c r="U496" i="36" s="1"/>
  <c r="R493" i="36"/>
  <c r="U493" i="36" s="1"/>
  <c r="N415" i="36"/>
  <c r="N413" i="36" s="1"/>
  <c r="U380" i="36"/>
  <c r="O380" i="36"/>
  <c r="I365" i="36"/>
  <c r="K365" i="36" s="1"/>
  <c r="J332" i="36"/>
  <c r="K332" i="36" s="1"/>
  <c r="P328" i="36"/>
  <c r="I319" i="36"/>
  <c r="K319" i="36" s="1"/>
  <c r="O311" i="36"/>
  <c r="O287" i="36"/>
  <c r="M268" i="36"/>
  <c r="M266" i="36" s="1"/>
  <c r="R269" i="36"/>
  <c r="T203" i="36"/>
  <c r="M188" i="36"/>
  <c r="S189" i="36"/>
  <c r="T189" i="36" s="1"/>
  <c r="N141" i="36"/>
  <c r="N139" i="36" s="1"/>
  <c r="U122" i="36"/>
  <c r="Q74" i="36"/>
  <c r="Q72" i="36" s="1"/>
  <c r="S44" i="36"/>
  <c r="P361" i="35"/>
  <c r="K344" i="35"/>
  <c r="K109" i="35"/>
  <c r="K782" i="36"/>
  <c r="K626" i="36"/>
  <c r="M557" i="36"/>
  <c r="L495" i="36"/>
  <c r="L493" i="36" s="1"/>
  <c r="O493" i="36" s="1"/>
  <c r="Q493" i="36"/>
  <c r="T493" i="36" s="1"/>
  <c r="L419" i="36"/>
  <c r="O419" i="36" s="1"/>
  <c r="M415" i="36"/>
  <c r="M413" i="36" s="1"/>
  <c r="S416" i="36"/>
  <c r="P393" i="36"/>
  <c r="T380" i="36"/>
  <c r="N335" i="36"/>
  <c r="N333" i="36" s="1"/>
  <c r="N305" i="36"/>
  <c r="N303" i="36" s="1"/>
  <c r="K293" i="36"/>
  <c r="L243" i="36"/>
  <c r="O243" i="36" s="1"/>
  <c r="L203" i="36"/>
  <c r="O203" i="36" s="1"/>
  <c r="R192" i="36"/>
  <c r="U192" i="36" s="1"/>
  <c r="L188" i="36"/>
  <c r="L186" i="36" s="1"/>
  <c r="N175" i="36"/>
  <c r="N173" i="36" s="1"/>
  <c r="S173" i="36"/>
  <c r="R44" i="36"/>
  <c r="U44" i="36" s="1"/>
  <c r="L222" i="35"/>
  <c r="O222" i="35" s="1"/>
  <c r="K784" i="36"/>
  <c r="S730" i="36"/>
  <c r="S728" i="36" s="1"/>
  <c r="Q619" i="36"/>
  <c r="S616" i="36"/>
  <c r="L578" i="36"/>
  <c r="L576" i="36" s="1"/>
  <c r="K575" i="36"/>
  <c r="L496" i="36"/>
  <c r="O496" i="36" s="1"/>
  <c r="N416" i="36"/>
  <c r="T377" i="36"/>
  <c r="M377" i="36"/>
  <c r="P377" i="36" s="1"/>
  <c r="S378" i="36"/>
  <c r="N358" i="36"/>
  <c r="N356" i="36" s="1"/>
  <c r="N359" i="36"/>
  <c r="R356" i="36"/>
  <c r="U356" i="36" s="1"/>
  <c r="J343" i="36"/>
  <c r="S320" i="36"/>
  <c r="Q320" i="36"/>
  <c r="T320" i="36" s="1"/>
  <c r="M305" i="36"/>
  <c r="S306" i="36"/>
  <c r="Q305" i="36"/>
  <c r="M284" i="36"/>
  <c r="L269" i="36"/>
  <c r="P178" i="36"/>
  <c r="L78" i="36"/>
  <c r="O78" i="36" s="1"/>
  <c r="N19" i="36"/>
  <c r="L236" i="35"/>
  <c r="N175" i="35"/>
  <c r="N173" i="35" s="1"/>
  <c r="L690" i="36"/>
  <c r="O690" i="36" s="1"/>
  <c r="M616" i="36"/>
  <c r="P616" i="36" s="1"/>
  <c r="P539" i="36"/>
  <c r="L537" i="36"/>
  <c r="O537" i="36" s="1"/>
  <c r="S534" i="36"/>
  <c r="P501" i="36"/>
  <c r="L499" i="36"/>
  <c r="O499" i="36" s="1"/>
  <c r="P498" i="36"/>
  <c r="M416" i="36"/>
  <c r="Q394" i="36"/>
  <c r="T394" i="36" s="1"/>
  <c r="N392" i="36"/>
  <c r="L377" i="36"/>
  <c r="O377" i="36" s="1"/>
  <c r="R378" i="36"/>
  <c r="S375" i="36"/>
  <c r="L305" i="36"/>
  <c r="M288" i="36"/>
  <c r="P288" i="36" s="1"/>
  <c r="R188" i="36"/>
  <c r="M189" i="36"/>
  <c r="M179" i="36"/>
  <c r="P179" i="36" s="1"/>
  <c r="N176" i="36"/>
  <c r="K152" i="36"/>
  <c r="T147" i="36"/>
  <c r="O144" i="36"/>
  <c r="P80" i="36"/>
  <c r="M19" i="36"/>
  <c r="M159" i="35"/>
  <c r="P159" i="35" s="1"/>
  <c r="L119" i="35"/>
  <c r="O119" i="35" s="1"/>
  <c r="K689" i="36"/>
  <c r="N605" i="36"/>
  <c r="P581" i="36"/>
  <c r="P521" i="36"/>
  <c r="U498" i="36"/>
  <c r="O498" i="36"/>
  <c r="Q378" i="36"/>
  <c r="L358" i="36"/>
  <c r="L356" i="36" s="1"/>
  <c r="J351" i="36"/>
  <c r="N322" i="36"/>
  <c r="N320" i="36" s="1"/>
  <c r="S303" i="36"/>
  <c r="K302" i="36"/>
  <c r="R282" i="36"/>
  <c r="U282" i="36" s="1"/>
  <c r="J231" i="36"/>
  <c r="J185" i="36" s="1"/>
  <c r="Q188" i="36"/>
  <c r="L189" i="36"/>
  <c r="M176" i="36"/>
  <c r="P176" i="36" s="1"/>
  <c r="U144" i="36"/>
  <c r="I93" i="36"/>
  <c r="K93" i="36" s="1"/>
  <c r="T22" i="36"/>
  <c r="M760" i="36"/>
  <c r="P760" i="36" s="1"/>
  <c r="P761" i="36"/>
  <c r="J675" i="36"/>
  <c r="K675" i="36" s="1"/>
  <c r="M642" i="36"/>
  <c r="P642" i="36" s="1"/>
  <c r="P643" i="36"/>
  <c r="P604" i="36"/>
  <c r="M602" i="36"/>
  <c r="P602" i="36" s="1"/>
  <c r="U600" i="36"/>
  <c r="K707" i="34"/>
  <c r="M415" i="34"/>
  <c r="M413" i="34" s="1"/>
  <c r="K346" i="34"/>
  <c r="Q762" i="35"/>
  <c r="T762" i="35" s="1"/>
  <c r="I758" i="36"/>
  <c r="K758" i="36" s="1"/>
  <c r="K772" i="36"/>
  <c r="L760" i="36"/>
  <c r="O760" i="36" s="1"/>
  <c r="O761" i="36"/>
  <c r="M690" i="36"/>
  <c r="P690" i="36" s="1"/>
  <c r="P691" i="36"/>
  <c r="O604" i="36"/>
  <c r="L602" i="36"/>
  <c r="O602" i="36" s="1"/>
  <c r="T600" i="36"/>
  <c r="Q555" i="36"/>
  <c r="T555" i="36" s="1"/>
  <c r="T556" i="36"/>
  <c r="O542" i="36"/>
  <c r="L540" i="36"/>
  <c r="O540" i="36" s="1"/>
  <c r="M540" i="36"/>
  <c r="P540" i="36" s="1"/>
  <c r="N536" i="36"/>
  <c r="N534" i="36" s="1"/>
  <c r="R375" i="36"/>
  <c r="U376" i="36"/>
  <c r="U304" i="36"/>
  <c r="O158" i="36"/>
  <c r="O290" i="36"/>
  <c r="L288" i="36"/>
  <c r="O288" i="36" s="1"/>
  <c r="K785" i="34"/>
  <c r="K779" i="34"/>
  <c r="L557" i="35"/>
  <c r="O557" i="35" s="1"/>
  <c r="L214" i="35"/>
  <c r="O214" i="35" s="1"/>
  <c r="L160" i="35"/>
  <c r="O160" i="35" s="1"/>
  <c r="L74" i="35"/>
  <c r="O74" i="35" s="1"/>
  <c r="Q762" i="36"/>
  <c r="I759" i="36"/>
  <c r="K759" i="36" s="1"/>
  <c r="L728" i="36"/>
  <c r="O728" i="36" s="1"/>
  <c r="O729" i="36"/>
  <c r="L714" i="36"/>
  <c r="O714" i="36" s="1"/>
  <c r="O715" i="36"/>
  <c r="P607" i="36"/>
  <c r="M605" i="36"/>
  <c r="P605" i="36" s="1"/>
  <c r="N557" i="36"/>
  <c r="N555" i="36" s="1"/>
  <c r="L536" i="36"/>
  <c r="O536" i="36" s="1"/>
  <c r="O514" i="36"/>
  <c r="Q413" i="36"/>
  <c r="T413" i="36" s="1"/>
  <c r="N378" i="36"/>
  <c r="N377" i="36"/>
  <c r="N375" i="36" s="1"/>
  <c r="Q692" i="36"/>
  <c r="T695" i="36"/>
  <c r="N96" i="1"/>
  <c r="K705" i="33"/>
  <c r="L175" i="33"/>
  <c r="L173" i="33" s="1"/>
  <c r="T765" i="35"/>
  <c r="T645" i="35"/>
  <c r="O518" i="35"/>
  <c r="M284" i="35"/>
  <c r="P284" i="35" s="1"/>
  <c r="L235" i="35"/>
  <c r="Q192" i="35"/>
  <c r="T192" i="35" s="1"/>
  <c r="M120" i="35"/>
  <c r="P120" i="35" s="1"/>
  <c r="R74" i="35"/>
  <c r="U74" i="35" s="1"/>
  <c r="L65" i="35"/>
  <c r="O65" i="35" s="1"/>
  <c r="L61" i="35"/>
  <c r="L59" i="35" s="1"/>
  <c r="T765" i="36"/>
  <c r="U729" i="36"/>
  <c r="K727" i="36"/>
  <c r="R714" i="36"/>
  <c r="U714" i="36" s="1"/>
  <c r="U715" i="36"/>
  <c r="S645" i="36"/>
  <c r="T645" i="36" s="1"/>
  <c r="S644" i="36"/>
  <c r="S642" i="36" s="1"/>
  <c r="R618" i="36"/>
  <c r="U621" i="36"/>
  <c r="O607" i="36"/>
  <c r="L605" i="36"/>
  <c r="O605" i="36" s="1"/>
  <c r="U604" i="36"/>
  <c r="R602" i="36"/>
  <c r="U602" i="36" s="1"/>
  <c r="M601" i="36"/>
  <c r="R534" i="36"/>
  <c r="U534" i="36" s="1"/>
  <c r="U535" i="36"/>
  <c r="R513" i="36"/>
  <c r="U513" i="36" s="1"/>
  <c r="U514" i="36"/>
  <c r="O418" i="36"/>
  <c r="L416" i="36"/>
  <c r="L415" i="36"/>
  <c r="U377" i="36"/>
  <c r="Q356" i="36"/>
  <c r="T356" i="36" s="1"/>
  <c r="T357" i="36"/>
  <c r="K230" i="36"/>
  <c r="T118" i="36"/>
  <c r="P52" i="36"/>
  <c r="M26" i="36"/>
  <c r="M24" i="36" s="1"/>
  <c r="M50" i="36"/>
  <c r="P50" i="36" s="1"/>
  <c r="P47" i="36"/>
  <c r="P730" i="36"/>
  <c r="M728" i="36"/>
  <c r="P728" i="36" s="1"/>
  <c r="P716" i="36"/>
  <c r="M714" i="36"/>
  <c r="P714" i="36" s="1"/>
  <c r="L605" i="34"/>
  <c r="O605" i="34" s="1"/>
  <c r="M495" i="34"/>
  <c r="P495" i="34" s="1"/>
  <c r="S496" i="34"/>
  <c r="K440" i="34"/>
  <c r="P147" i="34"/>
  <c r="P80" i="34"/>
  <c r="K785" i="35"/>
  <c r="K679" i="35"/>
  <c r="O584" i="35"/>
  <c r="P563" i="35"/>
  <c r="O421" i="35"/>
  <c r="M415" i="35"/>
  <c r="P415" i="35" s="1"/>
  <c r="Q416" i="35"/>
  <c r="T416" i="35" s="1"/>
  <c r="J351" i="35"/>
  <c r="L268" i="35"/>
  <c r="L266" i="35" s="1"/>
  <c r="P181" i="35"/>
  <c r="T729" i="36"/>
  <c r="Q714" i="36"/>
  <c r="T714" i="36" s="1"/>
  <c r="T715" i="36"/>
  <c r="S693" i="36"/>
  <c r="T693" i="36" s="1"/>
  <c r="S692" i="36"/>
  <c r="S690" i="36" s="1"/>
  <c r="R644" i="36"/>
  <c r="U647" i="36"/>
  <c r="L601" i="36"/>
  <c r="O601" i="36" s="1"/>
  <c r="O560" i="36"/>
  <c r="L558" i="36"/>
  <c r="O558" i="36" s="1"/>
  <c r="M558" i="36"/>
  <c r="P558" i="36" s="1"/>
  <c r="J503" i="36"/>
  <c r="J492" i="36" s="1"/>
  <c r="N496" i="36"/>
  <c r="N495" i="36"/>
  <c r="N493" i="36" s="1"/>
  <c r="R416" i="36"/>
  <c r="M322" i="35"/>
  <c r="P322" i="35" s="1"/>
  <c r="U557" i="36"/>
  <c r="R555" i="36"/>
  <c r="U555" i="36" s="1"/>
  <c r="K276" i="36"/>
  <c r="I265" i="36"/>
  <c r="K265" i="36" s="1"/>
  <c r="U498" i="34"/>
  <c r="M601" i="35"/>
  <c r="P601" i="35" s="1"/>
  <c r="T418" i="35"/>
  <c r="L188" i="35"/>
  <c r="L186" i="35" s="1"/>
  <c r="S188" i="35"/>
  <c r="S186" i="35" s="1"/>
  <c r="R119" i="35"/>
  <c r="R117" i="35" s="1"/>
  <c r="P80" i="35"/>
  <c r="P77" i="35"/>
  <c r="Q731" i="36"/>
  <c r="T731" i="36" s="1"/>
  <c r="Q730" i="36"/>
  <c r="Q728" i="36" s="1"/>
  <c r="T733" i="36"/>
  <c r="R692" i="36"/>
  <c r="U695" i="36"/>
  <c r="Q644" i="36"/>
  <c r="T647" i="36"/>
  <c r="N642" i="36"/>
  <c r="L642" i="36"/>
  <c r="O642" i="36" s="1"/>
  <c r="S619" i="36"/>
  <c r="U607" i="36"/>
  <c r="R605" i="36"/>
  <c r="U605" i="36" s="1"/>
  <c r="O600" i="36"/>
  <c r="O584" i="36"/>
  <c r="L582" i="36"/>
  <c r="O582" i="36" s="1"/>
  <c r="M582" i="36"/>
  <c r="P582" i="36" s="1"/>
  <c r="N578" i="36"/>
  <c r="P577" i="36"/>
  <c r="U271" i="36"/>
  <c r="S269" i="36"/>
  <c r="T271" i="36"/>
  <c r="Q601" i="36"/>
  <c r="T601" i="36" s="1"/>
  <c r="M578" i="36"/>
  <c r="M536" i="36"/>
  <c r="P536" i="36" s="1"/>
  <c r="Q513" i="36"/>
  <c r="T513" i="36" s="1"/>
  <c r="T514" i="36"/>
  <c r="J458" i="36"/>
  <c r="K456" i="36"/>
  <c r="T418" i="36"/>
  <c r="Q416" i="36"/>
  <c r="K386" i="36"/>
  <c r="I374" i="36"/>
  <c r="P341" i="36"/>
  <c r="M339" i="36"/>
  <c r="P339" i="36" s="1"/>
  <c r="R320" i="36"/>
  <c r="U320" i="36" s="1"/>
  <c r="Q175" i="36"/>
  <c r="T175" i="36" s="1"/>
  <c r="T178" i="36"/>
  <c r="Q176" i="36"/>
  <c r="I615" i="36"/>
  <c r="K615" i="36" s="1"/>
  <c r="P535" i="36"/>
  <c r="P518" i="36"/>
  <c r="M516" i="36"/>
  <c r="P516" i="36" s="1"/>
  <c r="N515" i="36"/>
  <c r="N513" i="36" s="1"/>
  <c r="P494" i="36"/>
  <c r="P376" i="36"/>
  <c r="P361" i="36"/>
  <c r="M359" i="36"/>
  <c r="O341" i="36"/>
  <c r="L339" i="36"/>
  <c r="O339" i="36" s="1"/>
  <c r="O304" i="36"/>
  <c r="U187" i="36"/>
  <c r="P19" i="36"/>
  <c r="O535" i="36"/>
  <c r="O518" i="36"/>
  <c r="L516" i="36"/>
  <c r="O516" i="36" s="1"/>
  <c r="M515" i="36"/>
  <c r="P515" i="36" s="1"/>
  <c r="O376" i="36"/>
  <c r="O361" i="36"/>
  <c r="L359" i="36"/>
  <c r="S356" i="36"/>
  <c r="L284" i="36"/>
  <c r="U25" i="36"/>
  <c r="R19" i="36"/>
  <c r="O19" i="36"/>
  <c r="S495" i="36"/>
  <c r="S493" i="36" s="1"/>
  <c r="M495" i="36"/>
  <c r="P495" i="36" s="1"/>
  <c r="U357" i="36"/>
  <c r="O357" i="36"/>
  <c r="T334" i="36"/>
  <c r="O328" i="36"/>
  <c r="U268" i="36"/>
  <c r="O267" i="36"/>
  <c r="L235" i="36"/>
  <c r="O174" i="36"/>
  <c r="R26" i="36"/>
  <c r="R24" i="36" s="1"/>
  <c r="K344" i="36"/>
  <c r="S333" i="36"/>
  <c r="P325" i="36"/>
  <c r="M323" i="36"/>
  <c r="P323" i="36" s="1"/>
  <c r="O308" i="36"/>
  <c r="S266" i="36"/>
  <c r="N188" i="36"/>
  <c r="N186" i="36" s="1"/>
  <c r="P187" i="36"/>
  <c r="L175" i="36"/>
  <c r="O178" i="36"/>
  <c r="L176" i="36"/>
  <c r="P162" i="36"/>
  <c r="M160" i="36"/>
  <c r="P160" i="36" s="1"/>
  <c r="N100" i="36"/>
  <c r="N26" i="36"/>
  <c r="N24" i="36" s="1"/>
  <c r="N97" i="36"/>
  <c r="N23" i="36"/>
  <c r="N21" i="36" s="1"/>
  <c r="Q26" i="36"/>
  <c r="U22" i="36"/>
  <c r="L335" i="36"/>
  <c r="L336" i="36"/>
  <c r="O336" i="36" s="1"/>
  <c r="R333" i="36"/>
  <c r="U333" i="36" s="1"/>
  <c r="L326" i="36"/>
  <c r="O326" i="36" s="1"/>
  <c r="M322" i="36"/>
  <c r="P322" i="36" s="1"/>
  <c r="P308" i="36"/>
  <c r="N306" i="36"/>
  <c r="P306" i="36" s="1"/>
  <c r="P287" i="36"/>
  <c r="N285" i="36"/>
  <c r="P285" i="36" s="1"/>
  <c r="O271" i="36"/>
  <c r="N269" i="36"/>
  <c r="R266" i="36"/>
  <c r="U267" i="36"/>
  <c r="O187" i="36"/>
  <c r="O181" i="36"/>
  <c r="L179" i="36"/>
  <c r="O179" i="36" s="1"/>
  <c r="P165" i="36"/>
  <c r="M163" i="36"/>
  <c r="P163" i="36" s="1"/>
  <c r="O140" i="36"/>
  <c r="S120" i="36"/>
  <c r="T120" i="36" s="1"/>
  <c r="T122" i="36"/>
  <c r="S119" i="36"/>
  <c r="S117" i="36" s="1"/>
  <c r="P102" i="36"/>
  <c r="M100" i="36"/>
  <c r="P100" i="36" s="1"/>
  <c r="P99" i="36"/>
  <c r="M97" i="36"/>
  <c r="P97" i="36" s="1"/>
  <c r="P67" i="36"/>
  <c r="M65" i="36"/>
  <c r="P65" i="36" s="1"/>
  <c r="L61" i="36"/>
  <c r="P45" i="36"/>
  <c r="S19" i="36"/>
  <c r="P274" i="36"/>
  <c r="M272" i="36"/>
  <c r="P272" i="36" s="1"/>
  <c r="P271" i="36"/>
  <c r="M269" i="36"/>
  <c r="Q266" i="36"/>
  <c r="T267" i="36"/>
  <c r="P191" i="36"/>
  <c r="N189" i="36"/>
  <c r="R175" i="36"/>
  <c r="U175" i="36" s="1"/>
  <c r="U178" i="36"/>
  <c r="R176" i="36"/>
  <c r="U118" i="36"/>
  <c r="O67" i="36"/>
  <c r="L65" i="36"/>
  <c r="O65" i="36" s="1"/>
  <c r="P334" i="36"/>
  <c r="U321" i="36"/>
  <c r="O321" i="36"/>
  <c r="P267" i="36"/>
  <c r="K229" i="36"/>
  <c r="I202" i="36"/>
  <c r="K202" i="36" s="1"/>
  <c r="R173" i="36"/>
  <c r="U174" i="36"/>
  <c r="I168" i="36"/>
  <c r="K168" i="36" s="1"/>
  <c r="I169" i="36"/>
  <c r="K169" i="36" s="1"/>
  <c r="U158" i="36"/>
  <c r="U140" i="36"/>
  <c r="P125" i="36"/>
  <c r="M123" i="36"/>
  <c r="P123" i="36" s="1"/>
  <c r="K108" i="36"/>
  <c r="O95" i="36"/>
  <c r="P73" i="36"/>
  <c r="O52" i="36"/>
  <c r="L26" i="36"/>
  <c r="L50" i="36"/>
  <c r="O50" i="36" s="1"/>
  <c r="L46" i="36"/>
  <c r="T174" i="36"/>
  <c r="T158" i="36"/>
  <c r="N119" i="36"/>
  <c r="N117" i="36" s="1"/>
  <c r="U95" i="36"/>
  <c r="I82" i="36"/>
  <c r="O62" i="36"/>
  <c r="P25" i="36"/>
  <c r="P122" i="36"/>
  <c r="M120" i="36"/>
  <c r="P120" i="36" s="1"/>
  <c r="M119" i="36"/>
  <c r="P119" i="36" s="1"/>
  <c r="T95" i="36"/>
  <c r="I83" i="36"/>
  <c r="O47" i="36"/>
  <c r="O25" i="36"/>
  <c r="P22" i="36"/>
  <c r="N159" i="36"/>
  <c r="P140" i="36"/>
  <c r="O118" i="36"/>
  <c r="U78" i="36"/>
  <c r="P60" i="36"/>
  <c r="O22" i="36"/>
  <c r="R159" i="36"/>
  <c r="U159" i="36" s="1"/>
  <c r="L159" i="36"/>
  <c r="K154" i="36"/>
  <c r="S141" i="36"/>
  <c r="S139" i="36" s="1"/>
  <c r="M141" i="36"/>
  <c r="P141" i="36" s="1"/>
  <c r="R119" i="36"/>
  <c r="L119" i="36"/>
  <c r="O119" i="36" s="1"/>
  <c r="R96" i="36"/>
  <c r="U96" i="36" s="1"/>
  <c r="L96" i="36"/>
  <c r="O96" i="36" s="1"/>
  <c r="T80" i="36"/>
  <c r="T77" i="36"/>
  <c r="N74" i="36"/>
  <c r="N61" i="36"/>
  <c r="N59" i="36" s="1"/>
  <c r="N46" i="36"/>
  <c r="N44" i="36" s="1"/>
  <c r="S26" i="36"/>
  <c r="S24" i="36" s="1"/>
  <c r="S23" i="36"/>
  <c r="S21" i="36" s="1"/>
  <c r="M23" i="36"/>
  <c r="M21" i="36" s="1"/>
  <c r="Q159" i="36"/>
  <c r="T159" i="36" s="1"/>
  <c r="R141" i="36"/>
  <c r="U141" i="36" s="1"/>
  <c r="L141" i="36"/>
  <c r="O141" i="36" s="1"/>
  <c r="Q119" i="36"/>
  <c r="Q96" i="36"/>
  <c r="T96" i="36" s="1"/>
  <c r="K85" i="36"/>
  <c r="S74" i="36"/>
  <c r="M74" i="36"/>
  <c r="M72" i="36" s="1"/>
  <c r="M61" i="36"/>
  <c r="M46" i="36"/>
  <c r="M44" i="36" s="1"/>
  <c r="R23" i="36"/>
  <c r="R21" i="36" s="1"/>
  <c r="L23" i="36"/>
  <c r="L163" i="36"/>
  <c r="O163" i="36" s="1"/>
  <c r="R160" i="36"/>
  <c r="U160" i="36" s="1"/>
  <c r="L160" i="36"/>
  <c r="O160" i="36" s="1"/>
  <c r="M145" i="36"/>
  <c r="P145" i="36" s="1"/>
  <c r="M142" i="36"/>
  <c r="P142" i="36" s="1"/>
  <c r="R123" i="36"/>
  <c r="U123" i="36" s="1"/>
  <c r="L123" i="36"/>
  <c r="O123" i="36" s="1"/>
  <c r="R120" i="36"/>
  <c r="L120" i="36"/>
  <c r="O120" i="36" s="1"/>
  <c r="L100" i="36"/>
  <c r="O100" i="36" s="1"/>
  <c r="R97" i="36"/>
  <c r="U97" i="36" s="1"/>
  <c r="L97" i="36"/>
  <c r="O97" i="36" s="1"/>
  <c r="Q23" i="36"/>
  <c r="K423" i="35"/>
  <c r="I412" i="35"/>
  <c r="K412" i="35" s="1"/>
  <c r="N616" i="35"/>
  <c r="R555" i="35"/>
  <c r="U555" i="35" s="1"/>
  <c r="N515" i="35"/>
  <c r="N513" i="35" s="1"/>
  <c r="M359" i="35"/>
  <c r="P359" i="35" s="1"/>
  <c r="J332" i="35"/>
  <c r="N284" i="35"/>
  <c r="N282" i="35" s="1"/>
  <c r="R188" i="35"/>
  <c r="U188" i="35" s="1"/>
  <c r="M96" i="35"/>
  <c r="P96" i="35" s="1"/>
  <c r="L75" i="35"/>
  <c r="O75" i="35" s="1"/>
  <c r="R44" i="35"/>
  <c r="U44" i="35" s="1"/>
  <c r="I689" i="34"/>
  <c r="K689" i="34" s="1"/>
  <c r="U271" i="34"/>
  <c r="K784" i="35"/>
  <c r="Q730" i="35"/>
  <c r="T730" i="35" s="1"/>
  <c r="Q714" i="35"/>
  <c r="T714" i="35" s="1"/>
  <c r="I701" i="35"/>
  <c r="K701" i="35" s="1"/>
  <c r="M690" i="35"/>
  <c r="P690" i="35" s="1"/>
  <c r="J675" i="35"/>
  <c r="K675" i="35" s="1"/>
  <c r="K678" i="35"/>
  <c r="M642" i="35"/>
  <c r="P642" i="35" s="1"/>
  <c r="R576" i="35"/>
  <c r="U576" i="35" s="1"/>
  <c r="S493" i="35"/>
  <c r="N415" i="35"/>
  <c r="N413" i="35" s="1"/>
  <c r="I374" i="35"/>
  <c r="K374" i="35" s="1"/>
  <c r="L335" i="35"/>
  <c r="L243" i="35"/>
  <c r="O243" i="35" s="1"/>
  <c r="Q188" i="35"/>
  <c r="T188" i="35" s="1"/>
  <c r="N141" i="35"/>
  <c r="N139" i="35" s="1"/>
  <c r="K673" i="32"/>
  <c r="T191" i="33"/>
  <c r="O147" i="33"/>
  <c r="K709" i="34"/>
  <c r="P308" i="34"/>
  <c r="O125" i="34"/>
  <c r="R731" i="35"/>
  <c r="U731" i="35" s="1"/>
  <c r="T729" i="35"/>
  <c r="M728" i="35"/>
  <c r="P728" i="35" s="1"/>
  <c r="M714" i="35"/>
  <c r="P714" i="35" s="1"/>
  <c r="L714" i="35"/>
  <c r="O714" i="35" s="1"/>
  <c r="K631" i="35"/>
  <c r="U619" i="35"/>
  <c r="J503" i="35"/>
  <c r="J492" i="35" s="1"/>
  <c r="L496" i="35"/>
  <c r="O496" i="35" s="1"/>
  <c r="S394" i="35"/>
  <c r="S392" i="35" s="1"/>
  <c r="J343" i="35"/>
  <c r="O338" i="35"/>
  <c r="Q333" i="35"/>
  <c r="T333" i="35" s="1"/>
  <c r="P328" i="35"/>
  <c r="M323" i="35"/>
  <c r="P323" i="35" s="1"/>
  <c r="L305" i="35"/>
  <c r="O305" i="35" s="1"/>
  <c r="R306" i="35"/>
  <c r="U306" i="35" s="1"/>
  <c r="Q303" i="35"/>
  <c r="T303" i="35" s="1"/>
  <c r="Q282" i="35"/>
  <c r="T282" i="35" s="1"/>
  <c r="Q269" i="35"/>
  <c r="T269" i="35" s="1"/>
  <c r="K229" i="35"/>
  <c r="M175" i="35"/>
  <c r="M173" i="35" s="1"/>
  <c r="S157" i="35"/>
  <c r="S160" i="35"/>
  <c r="K152" i="35"/>
  <c r="U147" i="35"/>
  <c r="M97" i="35"/>
  <c r="P97" i="35" s="1"/>
  <c r="I82" i="35"/>
  <c r="K82" i="35" s="1"/>
  <c r="Q74" i="35"/>
  <c r="T74" i="35" s="1"/>
  <c r="L46" i="35"/>
  <c r="L44" i="35" s="1"/>
  <c r="K630" i="33"/>
  <c r="J702" i="34"/>
  <c r="K183" i="34"/>
  <c r="M75" i="34"/>
  <c r="P75" i="34" s="1"/>
  <c r="Q731" i="35"/>
  <c r="T731" i="35" s="1"/>
  <c r="O730" i="35"/>
  <c r="J701" i="35"/>
  <c r="K630" i="35"/>
  <c r="N601" i="35"/>
  <c r="N599" i="35" s="1"/>
  <c r="T577" i="35"/>
  <c r="O560" i="35"/>
  <c r="L558" i="35"/>
  <c r="O558" i="35" s="1"/>
  <c r="M557" i="35"/>
  <c r="P557" i="35" s="1"/>
  <c r="S534" i="35"/>
  <c r="S513" i="35"/>
  <c r="N495" i="35"/>
  <c r="N493" i="35" s="1"/>
  <c r="K440" i="35"/>
  <c r="O383" i="35"/>
  <c r="O380" i="35"/>
  <c r="I332" i="35"/>
  <c r="O328" i="35"/>
  <c r="L322" i="35"/>
  <c r="O322" i="35" s="1"/>
  <c r="Q306" i="35"/>
  <c r="T306" i="35" s="1"/>
  <c r="N269" i="35"/>
  <c r="U194" i="35"/>
  <c r="U191" i="35"/>
  <c r="T178" i="35"/>
  <c r="O178" i="35"/>
  <c r="M160" i="35"/>
  <c r="P160" i="35" s="1"/>
  <c r="N142" i="35"/>
  <c r="N119" i="35"/>
  <c r="N117" i="35" s="1"/>
  <c r="L62" i="35"/>
  <c r="O62" i="35" s="1"/>
  <c r="N19" i="35"/>
  <c r="O52" i="30"/>
  <c r="O178" i="32"/>
  <c r="S395" i="33"/>
  <c r="K780" i="34"/>
  <c r="P607" i="34"/>
  <c r="L272" i="34"/>
  <c r="O272" i="34" s="1"/>
  <c r="R269" i="34"/>
  <c r="L235" i="34"/>
  <c r="U125" i="34"/>
  <c r="S714" i="35"/>
  <c r="Q619" i="35"/>
  <c r="T619" i="35" s="1"/>
  <c r="L616" i="35"/>
  <c r="O616" i="35" s="1"/>
  <c r="N602" i="35"/>
  <c r="P581" i="35"/>
  <c r="T556" i="35"/>
  <c r="N536" i="35"/>
  <c r="N534" i="35" s="1"/>
  <c r="N537" i="35"/>
  <c r="P521" i="35"/>
  <c r="L515" i="35"/>
  <c r="O515" i="35" s="1"/>
  <c r="M495" i="35"/>
  <c r="P495" i="35" s="1"/>
  <c r="U380" i="35"/>
  <c r="M335" i="35"/>
  <c r="M333" i="35" s="1"/>
  <c r="O311" i="35"/>
  <c r="I302" i="35"/>
  <c r="K302" i="35" s="1"/>
  <c r="I281" i="35"/>
  <c r="K281" i="35" s="1"/>
  <c r="T191" i="35"/>
  <c r="R189" i="35"/>
  <c r="U189" i="35" s="1"/>
  <c r="M176" i="35"/>
  <c r="S141" i="35"/>
  <c r="S139" i="35" s="1"/>
  <c r="M123" i="35"/>
  <c r="P123" i="35" s="1"/>
  <c r="M119" i="35"/>
  <c r="P119" i="35" s="1"/>
  <c r="P102" i="35"/>
  <c r="P99" i="35"/>
  <c r="R59" i="35"/>
  <c r="U59" i="35" s="1"/>
  <c r="T45" i="35"/>
  <c r="U22" i="35"/>
  <c r="L419" i="34"/>
  <c r="O419" i="34" s="1"/>
  <c r="O418" i="34"/>
  <c r="T271" i="34"/>
  <c r="U178" i="34"/>
  <c r="R692" i="35"/>
  <c r="U692" i="35" s="1"/>
  <c r="R644" i="35"/>
  <c r="R642" i="35" s="1"/>
  <c r="N578" i="35"/>
  <c r="N576" i="35" s="1"/>
  <c r="Q534" i="35"/>
  <c r="T534" i="35" s="1"/>
  <c r="O521" i="35"/>
  <c r="S496" i="35"/>
  <c r="T380" i="35"/>
  <c r="M377" i="35"/>
  <c r="P377" i="35" s="1"/>
  <c r="Q378" i="35"/>
  <c r="T378" i="35" s="1"/>
  <c r="O308" i="35"/>
  <c r="L306" i="35"/>
  <c r="O306" i="35" s="1"/>
  <c r="L254" i="35"/>
  <c r="O254" i="35" s="1"/>
  <c r="J231" i="35"/>
  <c r="J185" i="35" s="1"/>
  <c r="L233" i="35"/>
  <c r="Q189" i="35"/>
  <c r="T189" i="35" s="1"/>
  <c r="L176" i="35"/>
  <c r="P162" i="35"/>
  <c r="S119" i="35"/>
  <c r="S117" i="35" s="1"/>
  <c r="N120" i="35"/>
  <c r="T77" i="35"/>
  <c r="R75" i="35"/>
  <c r="U75" i="35" s="1"/>
  <c r="S59" i="35"/>
  <c r="Q59" i="35"/>
  <c r="T59" i="35" s="1"/>
  <c r="P49" i="35"/>
  <c r="L47" i="35"/>
  <c r="O47" i="35" s="1"/>
  <c r="L19" i="35"/>
  <c r="R728" i="35"/>
  <c r="U728" i="35" s="1"/>
  <c r="U730" i="35"/>
  <c r="S305" i="34"/>
  <c r="S303" i="34" s="1"/>
  <c r="K779" i="29"/>
  <c r="Q269" i="32"/>
  <c r="L335" i="34"/>
  <c r="L333" i="34" s="1"/>
  <c r="U306" i="34"/>
  <c r="O269" i="34"/>
  <c r="L214" i="34"/>
  <c r="O214" i="34" s="1"/>
  <c r="Q192" i="34"/>
  <c r="T192" i="34" s="1"/>
  <c r="L75" i="34"/>
  <c r="O75" i="34" s="1"/>
  <c r="M61" i="34"/>
  <c r="M59" i="34" s="1"/>
  <c r="U691" i="35"/>
  <c r="L642" i="35"/>
  <c r="O642" i="35" s="1"/>
  <c r="O643" i="35"/>
  <c r="Q616" i="35"/>
  <c r="R605" i="35"/>
  <c r="U605" i="35" s="1"/>
  <c r="K503" i="35"/>
  <c r="I492" i="35"/>
  <c r="K492" i="35" s="1"/>
  <c r="N381" i="35"/>
  <c r="N377" i="35"/>
  <c r="N375" i="35" s="1"/>
  <c r="I365" i="35"/>
  <c r="K365" i="35" s="1"/>
  <c r="K371" i="35"/>
  <c r="K346" i="35"/>
  <c r="U304" i="35"/>
  <c r="L690" i="35"/>
  <c r="O690" i="35" s="1"/>
  <c r="O691" i="35"/>
  <c r="O285" i="32"/>
  <c r="L272" i="32"/>
  <c r="O272" i="32" s="1"/>
  <c r="O269" i="32"/>
  <c r="O80" i="32"/>
  <c r="L415" i="33"/>
  <c r="L413" i="33" s="1"/>
  <c r="K784" i="34"/>
  <c r="K778" i="34"/>
  <c r="S763" i="34"/>
  <c r="U763" i="34" s="1"/>
  <c r="K705" i="34"/>
  <c r="T693" i="34"/>
  <c r="K678" i="34"/>
  <c r="T604" i="34"/>
  <c r="K503" i="34"/>
  <c r="S493" i="34"/>
  <c r="K369" i="34"/>
  <c r="T306" i="34"/>
  <c r="S266" i="34"/>
  <c r="T162" i="34"/>
  <c r="U147" i="34"/>
  <c r="O147" i="34"/>
  <c r="T125" i="34"/>
  <c r="O102" i="34"/>
  <c r="U99" i="34"/>
  <c r="L61" i="34"/>
  <c r="L59" i="34" s="1"/>
  <c r="U643" i="35"/>
  <c r="L601" i="35"/>
  <c r="S576" i="35"/>
  <c r="P560" i="35"/>
  <c r="S555" i="35"/>
  <c r="L537" i="35"/>
  <c r="O537" i="35" s="1"/>
  <c r="M536" i="35"/>
  <c r="P536" i="35" s="1"/>
  <c r="R534" i="35"/>
  <c r="U534" i="35" s="1"/>
  <c r="Q394" i="35"/>
  <c r="T397" i="35"/>
  <c r="Q395" i="35"/>
  <c r="T395" i="35" s="1"/>
  <c r="O361" i="35"/>
  <c r="L359" i="35"/>
  <c r="O359" i="35" s="1"/>
  <c r="L358" i="35"/>
  <c r="Q356" i="35"/>
  <c r="T356" i="35" s="1"/>
  <c r="T357" i="35"/>
  <c r="N189" i="35"/>
  <c r="O189" i="35" s="1"/>
  <c r="O191" i="35"/>
  <c r="N188" i="35"/>
  <c r="T397" i="34"/>
  <c r="M381" i="34"/>
  <c r="P381" i="34" s="1"/>
  <c r="M377" i="34"/>
  <c r="M375" i="34" s="1"/>
  <c r="S378" i="34"/>
  <c r="T378" i="34" s="1"/>
  <c r="O308" i="34"/>
  <c r="M288" i="34"/>
  <c r="P288" i="34" s="1"/>
  <c r="I281" i="34"/>
  <c r="K281" i="34" s="1"/>
  <c r="L234" i="34"/>
  <c r="U191" i="34"/>
  <c r="T147" i="34"/>
  <c r="T99" i="34"/>
  <c r="Q97" i="34"/>
  <c r="T97" i="34" s="1"/>
  <c r="S730" i="35"/>
  <c r="S728" i="35" s="1"/>
  <c r="R714" i="35"/>
  <c r="U714" i="35" s="1"/>
  <c r="Q692" i="35"/>
  <c r="T695" i="35"/>
  <c r="P691" i="35"/>
  <c r="K676" i="35"/>
  <c r="U645" i="35"/>
  <c r="K626" i="35"/>
  <c r="M616" i="35"/>
  <c r="P616" i="35" s="1"/>
  <c r="P617" i="35"/>
  <c r="P607" i="35"/>
  <c r="L602" i="35"/>
  <c r="O602" i="35" s="1"/>
  <c r="P584" i="35"/>
  <c r="L536" i="35"/>
  <c r="Q496" i="35"/>
  <c r="T496" i="35" s="1"/>
  <c r="Q495" i="35"/>
  <c r="T495" i="35" s="1"/>
  <c r="T498" i="35"/>
  <c r="S378" i="35"/>
  <c r="S377" i="35"/>
  <c r="S375" i="35" s="1"/>
  <c r="P274" i="35"/>
  <c r="M272" i="35"/>
  <c r="P272" i="35" s="1"/>
  <c r="M268" i="35"/>
  <c r="P556" i="35"/>
  <c r="L499" i="35"/>
  <c r="O499" i="35" s="1"/>
  <c r="P421" i="29"/>
  <c r="K152" i="31"/>
  <c r="K781" i="32"/>
  <c r="O308" i="33"/>
  <c r="U733" i="34"/>
  <c r="P584" i="34"/>
  <c r="O498" i="34"/>
  <c r="K386" i="34"/>
  <c r="U380" i="34"/>
  <c r="K152" i="34"/>
  <c r="U144" i="34"/>
  <c r="L78" i="34"/>
  <c r="O78" i="34" s="1"/>
  <c r="P47" i="34"/>
  <c r="I759" i="35"/>
  <c r="K759" i="35" s="1"/>
  <c r="U733" i="35"/>
  <c r="P729" i="35"/>
  <c r="T715" i="35"/>
  <c r="K707" i="35"/>
  <c r="K681" i="35"/>
  <c r="Q644" i="35"/>
  <c r="T647" i="35"/>
  <c r="P643" i="35"/>
  <c r="K632" i="35"/>
  <c r="K629" i="35"/>
  <c r="S618" i="35"/>
  <c r="S616" i="35" s="1"/>
  <c r="L605" i="35"/>
  <c r="O605" i="35" s="1"/>
  <c r="S601" i="35"/>
  <c r="S599" i="35" s="1"/>
  <c r="T600" i="35"/>
  <c r="M578" i="35"/>
  <c r="P578" i="35" s="1"/>
  <c r="T535" i="35"/>
  <c r="R495" i="35"/>
  <c r="U495" i="35" s="1"/>
  <c r="T494" i="35"/>
  <c r="S416" i="35"/>
  <c r="S415" i="35"/>
  <c r="S413" i="35" s="1"/>
  <c r="L416" i="35"/>
  <c r="O416" i="35" s="1"/>
  <c r="L415" i="35"/>
  <c r="O415" i="35" s="1"/>
  <c r="R602" i="35"/>
  <c r="U602" i="35" s="1"/>
  <c r="K385" i="33"/>
  <c r="K782" i="34"/>
  <c r="U695" i="34"/>
  <c r="N578" i="34"/>
  <c r="N576" i="34" s="1"/>
  <c r="N495" i="34"/>
  <c r="N493" i="34" s="1"/>
  <c r="N322" i="34"/>
  <c r="N320" i="34" s="1"/>
  <c r="M306" i="34"/>
  <c r="T144" i="34"/>
  <c r="Q119" i="34"/>
  <c r="Q117" i="34" s="1"/>
  <c r="P716" i="35"/>
  <c r="R618" i="35"/>
  <c r="U621" i="35"/>
  <c r="R601" i="35"/>
  <c r="L579" i="35"/>
  <c r="O579" i="35" s="1"/>
  <c r="L578" i="35"/>
  <c r="L561" i="35"/>
  <c r="O561" i="35" s="1"/>
  <c r="P539" i="35"/>
  <c r="P501" i="35"/>
  <c r="M499" i="35"/>
  <c r="P499" i="35" s="1"/>
  <c r="R416" i="35"/>
  <c r="U416" i="35" s="1"/>
  <c r="R415" i="35"/>
  <c r="U415" i="35" s="1"/>
  <c r="P414" i="35"/>
  <c r="U393" i="35"/>
  <c r="P376" i="35"/>
  <c r="P194" i="35"/>
  <c r="M192" i="35"/>
  <c r="P192" i="35" s="1"/>
  <c r="P187" i="35"/>
  <c r="L145" i="35"/>
  <c r="O145" i="35" s="1"/>
  <c r="O147" i="35"/>
  <c r="N96" i="35"/>
  <c r="N94" i="35" s="1"/>
  <c r="S692" i="35"/>
  <c r="S690" i="35" s="1"/>
  <c r="S644" i="35"/>
  <c r="Q601" i="35"/>
  <c r="T601" i="35" s="1"/>
  <c r="N557" i="35"/>
  <c r="N555" i="35" s="1"/>
  <c r="U515" i="35"/>
  <c r="P498" i="35"/>
  <c r="L495" i="35"/>
  <c r="P421" i="35"/>
  <c r="M419" i="35"/>
  <c r="P419" i="35" s="1"/>
  <c r="O414" i="35"/>
  <c r="R395" i="35"/>
  <c r="U395" i="35" s="1"/>
  <c r="R394" i="35"/>
  <c r="U394" i="35" s="1"/>
  <c r="U397" i="35"/>
  <c r="O376" i="35"/>
  <c r="R356" i="35"/>
  <c r="U356" i="35" s="1"/>
  <c r="R320" i="35"/>
  <c r="U320" i="35" s="1"/>
  <c r="S282" i="35"/>
  <c r="M188" i="35"/>
  <c r="O187" i="35"/>
  <c r="K169" i="35"/>
  <c r="M339" i="35"/>
  <c r="P339" i="35" s="1"/>
  <c r="M336" i="35"/>
  <c r="P338" i="35"/>
  <c r="Q320" i="35"/>
  <c r="T320" i="35" s="1"/>
  <c r="T321" i="35"/>
  <c r="P308" i="35"/>
  <c r="M306" i="35"/>
  <c r="P306" i="35" s="1"/>
  <c r="M305" i="35"/>
  <c r="P305" i="35" s="1"/>
  <c r="R282" i="35"/>
  <c r="U282" i="35" s="1"/>
  <c r="U283" i="35"/>
  <c r="Q120" i="35"/>
  <c r="T120" i="35" s="1"/>
  <c r="Q119" i="35"/>
  <c r="T122" i="35"/>
  <c r="Q605" i="35"/>
  <c r="T605" i="35" s="1"/>
  <c r="Q602" i="35"/>
  <c r="T602" i="35" s="1"/>
  <c r="U418" i="35"/>
  <c r="U414" i="35"/>
  <c r="Q413" i="35"/>
  <c r="T413" i="35" s="1"/>
  <c r="M392" i="35"/>
  <c r="P392" i="35" s="1"/>
  <c r="P393" i="35"/>
  <c r="P383" i="35"/>
  <c r="M381" i="35"/>
  <c r="P381" i="35" s="1"/>
  <c r="U376" i="35"/>
  <c r="Q375" i="35"/>
  <c r="T375" i="35" s="1"/>
  <c r="N358" i="35"/>
  <c r="N356" i="35" s="1"/>
  <c r="M358" i="35"/>
  <c r="L339" i="35"/>
  <c r="O339" i="35" s="1"/>
  <c r="S305" i="35"/>
  <c r="I238" i="35"/>
  <c r="K238" i="35" s="1"/>
  <c r="I242" i="35"/>
  <c r="T621" i="35"/>
  <c r="M515" i="35"/>
  <c r="I456" i="35"/>
  <c r="K456" i="35" s="1"/>
  <c r="P418" i="35"/>
  <c r="M416" i="35"/>
  <c r="P416" i="35" s="1"/>
  <c r="L392" i="35"/>
  <c r="O392" i="35" s="1"/>
  <c r="O393" i="35"/>
  <c r="P380" i="35"/>
  <c r="M378" i="35"/>
  <c r="P378" i="35" s="1"/>
  <c r="S303" i="35"/>
  <c r="R377" i="35"/>
  <c r="U377" i="35" s="1"/>
  <c r="L377" i="35"/>
  <c r="O377" i="35" s="1"/>
  <c r="S333" i="35"/>
  <c r="O334" i="35"/>
  <c r="N322" i="35"/>
  <c r="N320" i="35" s="1"/>
  <c r="O274" i="35"/>
  <c r="L272" i="35"/>
  <c r="O272" i="35" s="1"/>
  <c r="P271" i="35"/>
  <c r="M269" i="35"/>
  <c r="O267" i="35"/>
  <c r="L203" i="35"/>
  <c r="O203" i="35" s="1"/>
  <c r="P191" i="35"/>
  <c r="M189" i="35"/>
  <c r="R175" i="35"/>
  <c r="R141" i="35"/>
  <c r="U125" i="35"/>
  <c r="R123" i="35"/>
  <c r="U123" i="35" s="1"/>
  <c r="P47" i="35"/>
  <c r="S19" i="35"/>
  <c r="R333" i="35"/>
  <c r="U333" i="35" s="1"/>
  <c r="U334" i="35"/>
  <c r="P311" i="35"/>
  <c r="M309" i="35"/>
  <c r="P309" i="35" s="1"/>
  <c r="N305" i="35"/>
  <c r="N303" i="35" s="1"/>
  <c r="P304" i="35"/>
  <c r="P287" i="35"/>
  <c r="M285" i="35"/>
  <c r="P285" i="35" s="1"/>
  <c r="T271" i="35"/>
  <c r="O271" i="35"/>
  <c r="L269" i="35"/>
  <c r="S268" i="35"/>
  <c r="T268" i="35" s="1"/>
  <c r="R266" i="35"/>
  <c r="U267" i="35"/>
  <c r="U187" i="35"/>
  <c r="L175" i="35"/>
  <c r="L163" i="35"/>
  <c r="O163" i="35" s="1"/>
  <c r="N159" i="35"/>
  <c r="N157" i="35" s="1"/>
  <c r="M145" i="35"/>
  <c r="P145" i="35" s="1"/>
  <c r="P144" i="35"/>
  <c r="M142" i="35"/>
  <c r="P142" i="35" s="1"/>
  <c r="M141" i="35"/>
  <c r="P141" i="35" s="1"/>
  <c r="P140" i="35"/>
  <c r="Q123" i="35"/>
  <c r="T123" i="35" s="1"/>
  <c r="T125" i="35"/>
  <c r="N26" i="35"/>
  <c r="N24" i="35" s="1"/>
  <c r="U19" i="35"/>
  <c r="O325" i="35"/>
  <c r="L323" i="35"/>
  <c r="O323" i="35" s="1"/>
  <c r="O304" i="35"/>
  <c r="L288" i="35"/>
  <c r="O288" i="35" s="1"/>
  <c r="L284" i="35"/>
  <c r="O284" i="35" s="1"/>
  <c r="P283" i="35"/>
  <c r="Q266" i="35"/>
  <c r="T267" i="35"/>
  <c r="R176" i="35"/>
  <c r="U176" i="35" s="1"/>
  <c r="L159" i="35"/>
  <c r="L142" i="35"/>
  <c r="O142" i="35" s="1"/>
  <c r="L141" i="35"/>
  <c r="O144" i="35"/>
  <c r="Q26" i="35"/>
  <c r="O283" i="35"/>
  <c r="U271" i="35"/>
  <c r="R269" i="35"/>
  <c r="U269" i="35" s="1"/>
  <c r="K87" i="35"/>
  <c r="I83" i="35"/>
  <c r="Q175" i="35"/>
  <c r="T175" i="35" s="1"/>
  <c r="R160" i="35"/>
  <c r="U160" i="35" s="1"/>
  <c r="R159" i="35"/>
  <c r="Q145" i="35"/>
  <c r="T145" i="35" s="1"/>
  <c r="O95" i="35"/>
  <c r="P62" i="35"/>
  <c r="P52" i="35"/>
  <c r="M26" i="35"/>
  <c r="P26" i="35" s="1"/>
  <c r="M50" i="35"/>
  <c r="P50" i="35" s="1"/>
  <c r="K260" i="35"/>
  <c r="K220" i="35"/>
  <c r="K198" i="35"/>
  <c r="K183" i="35"/>
  <c r="P178" i="35"/>
  <c r="N176" i="35"/>
  <c r="Q159" i="35"/>
  <c r="Q141" i="35"/>
  <c r="T144" i="35"/>
  <c r="O122" i="35"/>
  <c r="L120" i="35"/>
  <c r="O120" i="35" s="1"/>
  <c r="U95" i="35"/>
  <c r="L26" i="35"/>
  <c r="P22" i="35"/>
  <c r="M19" i="35"/>
  <c r="K172" i="35"/>
  <c r="L179" i="35"/>
  <c r="O179" i="35" s="1"/>
  <c r="O125" i="35"/>
  <c r="L123" i="35"/>
  <c r="O123" i="35" s="1"/>
  <c r="U122" i="35"/>
  <c r="R120" i="35"/>
  <c r="U120" i="35" s="1"/>
  <c r="R26" i="35"/>
  <c r="P67" i="35"/>
  <c r="M65" i="35"/>
  <c r="P65" i="35" s="1"/>
  <c r="P25" i="35"/>
  <c r="O19" i="35"/>
  <c r="U80" i="35"/>
  <c r="O80" i="35"/>
  <c r="Q78" i="35"/>
  <c r="T78" i="35" s="1"/>
  <c r="U77" i="35"/>
  <c r="O77" i="35"/>
  <c r="Q75" i="35"/>
  <c r="T75" i="35" s="1"/>
  <c r="O64" i="35"/>
  <c r="N50" i="35"/>
  <c r="O49" i="35"/>
  <c r="N23" i="35"/>
  <c r="R96" i="35"/>
  <c r="U96" i="35" s="1"/>
  <c r="L96" i="35"/>
  <c r="O96" i="35" s="1"/>
  <c r="N74" i="35"/>
  <c r="N72" i="35" s="1"/>
  <c r="N61" i="35"/>
  <c r="N46" i="35"/>
  <c r="S26" i="35"/>
  <c r="S24" i="35" s="1"/>
  <c r="S23" i="35"/>
  <c r="S21" i="35" s="1"/>
  <c r="M23" i="35"/>
  <c r="Q19" i="35"/>
  <c r="Q96" i="35"/>
  <c r="S74" i="35"/>
  <c r="S72" i="35" s="1"/>
  <c r="M74" i="35"/>
  <c r="M61" i="35"/>
  <c r="M46" i="35"/>
  <c r="R23" i="35"/>
  <c r="L23" i="35"/>
  <c r="L100" i="35"/>
  <c r="O100" i="35" s="1"/>
  <c r="R97" i="35"/>
  <c r="U97" i="35" s="1"/>
  <c r="L97" i="35"/>
  <c r="O97" i="35" s="1"/>
  <c r="Q23" i="35"/>
  <c r="T762" i="34"/>
  <c r="K457" i="34"/>
  <c r="J456" i="34"/>
  <c r="Q714" i="34"/>
  <c r="T714" i="34" s="1"/>
  <c r="J674" i="34"/>
  <c r="K674" i="34" s="1"/>
  <c r="M561" i="34"/>
  <c r="P561" i="34" s="1"/>
  <c r="K456" i="34"/>
  <c r="N415" i="34"/>
  <c r="N413" i="34" s="1"/>
  <c r="R320" i="34"/>
  <c r="U320" i="34" s="1"/>
  <c r="M309" i="34"/>
  <c r="P309" i="34" s="1"/>
  <c r="M268" i="34"/>
  <c r="M266" i="34" s="1"/>
  <c r="L233" i="34"/>
  <c r="L377" i="33"/>
  <c r="O377" i="33" s="1"/>
  <c r="S375" i="33"/>
  <c r="K781" i="34"/>
  <c r="K774" i="34"/>
  <c r="Q763" i="34"/>
  <c r="P729" i="34"/>
  <c r="I701" i="34"/>
  <c r="N642" i="34"/>
  <c r="L616" i="34"/>
  <c r="O616" i="34" s="1"/>
  <c r="L582" i="34"/>
  <c r="O582" i="34" s="1"/>
  <c r="N536" i="34"/>
  <c r="N534" i="34" s="1"/>
  <c r="N496" i="34"/>
  <c r="P418" i="34"/>
  <c r="L415" i="34"/>
  <c r="O415" i="34" s="1"/>
  <c r="T380" i="34"/>
  <c r="L377" i="34"/>
  <c r="L375" i="34" s="1"/>
  <c r="M378" i="34"/>
  <c r="P378" i="34" s="1"/>
  <c r="Q356" i="34"/>
  <c r="T356" i="34" s="1"/>
  <c r="O341" i="34"/>
  <c r="U308" i="34"/>
  <c r="R305" i="34"/>
  <c r="R303" i="34" s="1"/>
  <c r="K260" i="34"/>
  <c r="M192" i="34"/>
  <c r="P192" i="34" s="1"/>
  <c r="Q188" i="34"/>
  <c r="P142" i="34"/>
  <c r="U122" i="34"/>
  <c r="K108" i="34"/>
  <c r="Q94" i="34"/>
  <c r="T94" i="34" s="1"/>
  <c r="O67" i="34"/>
  <c r="R59" i="34"/>
  <c r="U59" i="34" s="1"/>
  <c r="T271" i="33"/>
  <c r="L214" i="33"/>
  <c r="O214" i="33" s="1"/>
  <c r="L50" i="33"/>
  <c r="O50" i="33" s="1"/>
  <c r="L46" i="33"/>
  <c r="L44" i="33" s="1"/>
  <c r="K783" i="34"/>
  <c r="T765" i="34"/>
  <c r="S760" i="34"/>
  <c r="L760" i="34"/>
  <c r="O760" i="34" s="1"/>
  <c r="S731" i="34"/>
  <c r="T731" i="34" s="1"/>
  <c r="O729" i="34"/>
  <c r="M690" i="34"/>
  <c r="P690" i="34" s="1"/>
  <c r="J675" i="34"/>
  <c r="K675" i="34" s="1"/>
  <c r="M642" i="34"/>
  <c r="P642" i="34" s="1"/>
  <c r="U619" i="34"/>
  <c r="R605" i="34"/>
  <c r="U605" i="34" s="1"/>
  <c r="S601" i="34"/>
  <c r="S599" i="34" s="1"/>
  <c r="M602" i="34"/>
  <c r="P602" i="34" s="1"/>
  <c r="O542" i="34"/>
  <c r="O518" i="34"/>
  <c r="M496" i="34"/>
  <c r="P496" i="34" s="1"/>
  <c r="M419" i="34"/>
  <c r="P419" i="34" s="1"/>
  <c r="N392" i="34"/>
  <c r="R377" i="34"/>
  <c r="U377" i="34" s="1"/>
  <c r="P376" i="34"/>
  <c r="T308" i="34"/>
  <c r="Q305" i="34"/>
  <c r="Q303" i="34" s="1"/>
  <c r="O287" i="34"/>
  <c r="M284" i="34"/>
  <c r="P284" i="34" s="1"/>
  <c r="I238" i="34"/>
  <c r="K238" i="34" s="1"/>
  <c r="N232" i="34"/>
  <c r="K209" i="34"/>
  <c r="O194" i="34"/>
  <c r="N159" i="34"/>
  <c r="N157" i="34" s="1"/>
  <c r="R141" i="34"/>
  <c r="R139" i="34" s="1"/>
  <c r="L141" i="34"/>
  <c r="L139" i="34" s="1"/>
  <c r="T122" i="34"/>
  <c r="Q120" i="34"/>
  <c r="T120" i="34" s="1"/>
  <c r="U80" i="34"/>
  <c r="S74" i="34"/>
  <c r="S72" i="34" s="1"/>
  <c r="M74" i="34"/>
  <c r="M72" i="34" s="1"/>
  <c r="P72" i="34" s="1"/>
  <c r="S75" i="34"/>
  <c r="P49" i="34"/>
  <c r="M96" i="32"/>
  <c r="M94" i="32" s="1"/>
  <c r="M515" i="33"/>
  <c r="P515" i="33" s="1"/>
  <c r="O496" i="33"/>
  <c r="U397" i="33"/>
  <c r="L235" i="33"/>
  <c r="T162" i="33"/>
  <c r="R731" i="34"/>
  <c r="S730" i="34"/>
  <c r="S728" i="34" s="1"/>
  <c r="N728" i="34"/>
  <c r="U645" i="34"/>
  <c r="K632" i="34"/>
  <c r="T619" i="34"/>
  <c r="S618" i="34"/>
  <c r="S616" i="34" s="1"/>
  <c r="N579" i="34"/>
  <c r="O560" i="34"/>
  <c r="S555" i="34"/>
  <c r="N515" i="34"/>
  <c r="N513" i="34" s="1"/>
  <c r="S513" i="34"/>
  <c r="U397" i="34"/>
  <c r="S394" i="34"/>
  <c r="S392" i="34" s="1"/>
  <c r="Q377" i="34"/>
  <c r="T377" i="34" s="1"/>
  <c r="J374" i="34"/>
  <c r="M358" i="34"/>
  <c r="M356" i="34" s="1"/>
  <c r="M305" i="34"/>
  <c r="M303" i="34" s="1"/>
  <c r="M285" i="34"/>
  <c r="P285" i="34" s="1"/>
  <c r="L284" i="34"/>
  <c r="O284" i="34" s="1"/>
  <c r="L254" i="34"/>
  <c r="O254" i="34" s="1"/>
  <c r="S188" i="34"/>
  <c r="S186" i="34" s="1"/>
  <c r="O165" i="34"/>
  <c r="U162" i="34"/>
  <c r="Q160" i="34"/>
  <c r="T160" i="34" s="1"/>
  <c r="Q141" i="34"/>
  <c r="L142" i="34"/>
  <c r="O142" i="34" s="1"/>
  <c r="K127" i="34"/>
  <c r="R74" i="34"/>
  <c r="U74" i="34" s="1"/>
  <c r="L74" i="34"/>
  <c r="R75" i="34"/>
  <c r="U75" i="34" s="1"/>
  <c r="P64" i="34"/>
  <c r="M62" i="34"/>
  <c r="P62" i="34" s="1"/>
  <c r="L47" i="34"/>
  <c r="O47" i="34" s="1"/>
  <c r="N19" i="34"/>
  <c r="K652" i="31"/>
  <c r="P539" i="33"/>
  <c r="P501" i="33"/>
  <c r="O290" i="33"/>
  <c r="L714" i="34"/>
  <c r="O714" i="34" s="1"/>
  <c r="R693" i="34"/>
  <c r="U693" i="34" s="1"/>
  <c r="S644" i="34"/>
  <c r="S642" i="34" s="1"/>
  <c r="Q618" i="34"/>
  <c r="R555" i="34"/>
  <c r="U555" i="34" s="1"/>
  <c r="U515" i="34"/>
  <c r="R495" i="34"/>
  <c r="U495" i="34" s="1"/>
  <c r="T418" i="34"/>
  <c r="M416" i="34"/>
  <c r="P416" i="34" s="1"/>
  <c r="R394" i="34"/>
  <c r="U394" i="34" s="1"/>
  <c r="U304" i="34"/>
  <c r="K293" i="34"/>
  <c r="I242" i="34"/>
  <c r="I231" i="34" s="1"/>
  <c r="K231" i="34" s="1"/>
  <c r="K198" i="34"/>
  <c r="I168" i="34"/>
  <c r="K168" i="34" s="1"/>
  <c r="T159" i="34"/>
  <c r="P144" i="34"/>
  <c r="I83" i="34"/>
  <c r="I71" i="34" s="1"/>
  <c r="K71" i="34" s="1"/>
  <c r="L62" i="34"/>
  <c r="O62" i="34" s="1"/>
  <c r="M46" i="34"/>
  <c r="M44" i="34" s="1"/>
  <c r="O539" i="33"/>
  <c r="P49" i="33"/>
  <c r="N760" i="34"/>
  <c r="R714" i="34"/>
  <c r="U714" i="34" s="1"/>
  <c r="L690" i="34"/>
  <c r="O690" i="34" s="1"/>
  <c r="K676" i="34"/>
  <c r="R644" i="34"/>
  <c r="R642" i="34" s="1"/>
  <c r="M578" i="34"/>
  <c r="M576" i="34" s="1"/>
  <c r="P576" i="34" s="1"/>
  <c r="L579" i="34"/>
  <c r="O579" i="34" s="1"/>
  <c r="L536" i="34"/>
  <c r="O536" i="34" s="1"/>
  <c r="M499" i="34"/>
  <c r="P499" i="34" s="1"/>
  <c r="Q415" i="34"/>
  <c r="Q413" i="34" s="1"/>
  <c r="P361" i="34"/>
  <c r="R356" i="34"/>
  <c r="U356" i="34" s="1"/>
  <c r="J343" i="34"/>
  <c r="N323" i="34"/>
  <c r="S320" i="34"/>
  <c r="K167" i="34"/>
  <c r="O144" i="34"/>
  <c r="L19" i="34"/>
  <c r="Q644" i="34"/>
  <c r="T647" i="34"/>
  <c r="U122" i="32"/>
  <c r="K709" i="33"/>
  <c r="K703" i="33"/>
  <c r="U498" i="33"/>
  <c r="K371" i="33"/>
  <c r="K368" i="33"/>
  <c r="N305" i="33"/>
  <c r="N303" i="33" s="1"/>
  <c r="N284" i="33"/>
  <c r="N282" i="33" s="1"/>
  <c r="P271" i="33"/>
  <c r="O75" i="33"/>
  <c r="M760" i="34"/>
  <c r="P760" i="34" s="1"/>
  <c r="Q730" i="34"/>
  <c r="R728" i="34"/>
  <c r="M714" i="34"/>
  <c r="P714" i="34" s="1"/>
  <c r="I615" i="34"/>
  <c r="K615" i="34" s="1"/>
  <c r="S602" i="34"/>
  <c r="L602" i="34"/>
  <c r="O602" i="34" s="1"/>
  <c r="N601" i="34"/>
  <c r="N599" i="34" s="1"/>
  <c r="M558" i="34"/>
  <c r="P558" i="34" s="1"/>
  <c r="N537" i="34"/>
  <c r="L519" i="34"/>
  <c r="O519" i="34" s="1"/>
  <c r="M362" i="34"/>
  <c r="P362" i="34" s="1"/>
  <c r="L359" i="34"/>
  <c r="L358" i="34"/>
  <c r="L236" i="33"/>
  <c r="K703" i="32"/>
  <c r="M499" i="32"/>
  <c r="P499" i="32" s="1"/>
  <c r="S731" i="33"/>
  <c r="T731" i="33" s="1"/>
  <c r="T619" i="33"/>
  <c r="N515" i="33"/>
  <c r="N513" i="33" s="1"/>
  <c r="K424" i="33"/>
  <c r="P418" i="33"/>
  <c r="P341" i="33"/>
  <c r="M284" i="33"/>
  <c r="M282" i="33" s="1"/>
  <c r="N268" i="33"/>
  <c r="N266" i="33" s="1"/>
  <c r="S266" i="33"/>
  <c r="N188" i="33"/>
  <c r="N186" i="33" s="1"/>
  <c r="U178" i="33"/>
  <c r="M141" i="33"/>
  <c r="P141" i="33" s="1"/>
  <c r="P125" i="33"/>
  <c r="M120" i="33"/>
  <c r="P120" i="33" s="1"/>
  <c r="L74" i="33"/>
  <c r="L72" i="33" s="1"/>
  <c r="O65" i="33"/>
  <c r="O761" i="34"/>
  <c r="K727" i="34"/>
  <c r="U715" i="34"/>
  <c r="O715" i="34"/>
  <c r="P691" i="34"/>
  <c r="R690" i="34"/>
  <c r="T621" i="34"/>
  <c r="T607" i="34"/>
  <c r="R602" i="34"/>
  <c r="U602" i="34" s="1"/>
  <c r="M601" i="34"/>
  <c r="P581" i="34"/>
  <c r="Q576" i="34"/>
  <c r="T576" i="34" s="1"/>
  <c r="L561" i="34"/>
  <c r="O561" i="34" s="1"/>
  <c r="L557" i="34"/>
  <c r="O557" i="34" s="1"/>
  <c r="M540" i="34"/>
  <c r="P540" i="34" s="1"/>
  <c r="M536" i="34"/>
  <c r="L515" i="34"/>
  <c r="M515" i="34"/>
  <c r="P515" i="34" s="1"/>
  <c r="Q513" i="34"/>
  <c r="T513" i="34" s="1"/>
  <c r="Q495" i="34"/>
  <c r="L416" i="34"/>
  <c r="O416" i="34" s="1"/>
  <c r="I412" i="34"/>
  <c r="K412" i="34" s="1"/>
  <c r="O364" i="34"/>
  <c r="L362" i="34"/>
  <c r="O362" i="34" s="1"/>
  <c r="P338" i="34"/>
  <c r="M335" i="34"/>
  <c r="M336" i="34"/>
  <c r="P336" i="34" s="1"/>
  <c r="P328" i="34"/>
  <c r="M322" i="34"/>
  <c r="P325" i="34"/>
  <c r="M323" i="34"/>
  <c r="P323" i="34" s="1"/>
  <c r="O283" i="34"/>
  <c r="R268" i="34"/>
  <c r="U268" i="34" s="1"/>
  <c r="L236" i="34"/>
  <c r="R192" i="34"/>
  <c r="U192" i="34" s="1"/>
  <c r="R188" i="34"/>
  <c r="O191" i="34"/>
  <c r="N188" i="34"/>
  <c r="N186" i="34" s="1"/>
  <c r="T187" i="34"/>
  <c r="U498" i="32"/>
  <c r="M322" i="32"/>
  <c r="P322" i="32" s="1"/>
  <c r="P563" i="33"/>
  <c r="P498" i="33"/>
  <c r="Q415" i="33"/>
  <c r="Q413" i="33" s="1"/>
  <c r="M188" i="33"/>
  <c r="U147" i="33"/>
  <c r="U144" i="33"/>
  <c r="I758" i="34"/>
  <c r="K758" i="34" s="1"/>
  <c r="K772" i="34"/>
  <c r="R762" i="34"/>
  <c r="U762" i="34" s="1"/>
  <c r="Q760" i="34"/>
  <c r="T733" i="34"/>
  <c r="T715" i="34"/>
  <c r="Q692" i="34"/>
  <c r="Q690" i="34" s="1"/>
  <c r="T695" i="34"/>
  <c r="S692" i="34"/>
  <c r="U692" i="34" s="1"/>
  <c r="U647" i="34"/>
  <c r="O644" i="34"/>
  <c r="M616" i="34"/>
  <c r="P616" i="34" s="1"/>
  <c r="L601" i="34"/>
  <c r="O601" i="34" s="1"/>
  <c r="L578" i="34"/>
  <c r="O578" i="34" s="1"/>
  <c r="N557" i="34"/>
  <c r="N555" i="34" s="1"/>
  <c r="O556" i="34"/>
  <c r="Q555" i="34"/>
  <c r="T555" i="34" s="1"/>
  <c r="L537" i="34"/>
  <c r="O537" i="34" s="1"/>
  <c r="Q534" i="34"/>
  <c r="T534" i="34" s="1"/>
  <c r="K505" i="34"/>
  <c r="J503" i="34"/>
  <c r="J492" i="34" s="1"/>
  <c r="Q496" i="34"/>
  <c r="T496" i="34" s="1"/>
  <c r="P494" i="34"/>
  <c r="S415" i="34"/>
  <c r="S413" i="34" s="1"/>
  <c r="O414" i="34"/>
  <c r="L392" i="34"/>
  <c r="O392" i="34" s="1"/>
  <c r="O393" i="34"/>
  <c r="J351" i="34"/>
  <c r="M339" i="34"/>
  <c r="P339" i="34" s="1"/>
  <c r="O338" i="34"/>
  <c r="L336" i="34"/>
  <c r="O336" i="34" s="1"/>
  <c r="O325" i="34"/>
  <c r="L322" i="34"/>
  <c r="L323" i="34"/>
  <c r="O323" i="34" s="1"/>
  <c r="R282" i="34"/>
  <c r="U282" i="34" s="1"/>
  <c r="U283" i="34"/>
  <c r="N189" i="34"/>
  <c r="O189" i="34" s="1"/>
  <c r="M160" i="33"/>
  <c r="P160" i="33" s="1"/>
  <c r="U418" i="34"/>
  <c r="R415" i="34"/>
  <c r="R413" i="34" s="1"/>
  <c r="R416" i="34"/>
  <c r="O271" i="34"/>
  <c r="L268" i="34"/>
  <c r="K152" i="29"/>
  <c r="R763" i="31"/>
  <c r="U763" i="31" s="1"/>
  <c r="L358" i="31"/>
  <c r="L356" i="31" s="1"/>
  <c r="K154" i="31"/>
  <c r="K780" i="32"/>
  <c r="O364" i="32"/>
  <c r="O341" i="32"/>
  <c r="P328" i="32"/>
  <c r="I195" i="32"/>
  <c r="K195" i="32" s="1"/>
  <c r="K726" i="33"/>
  <c r="R692" i="33"/>
  <c r="R690" i="33" s="1"/>
  <c r="O563" i="33"/>
  <c r="R394" i="33"/>
  <c r="U394" i="33" s="1"/>
  <c r="P383" i="33"/>
  <c r="M377" i="33"/>
  <c r="P377" i="33" s="1"/>
  <c r="S378" i="33"/>
  <c r="M335" i="33"/>
  <c r="M333" i="33" s="1"/>
  <c r="P328" i="33"/>
  <c r="P290" i="33"/>
  <c r="K249" i="33"/>
  <c r="M100" i="33"/>
  <c r="P100" i="33" s="1"/>
  <c r="U765" i="34"/>
  <c r="K703" i="34"/>
  <c r="Q645" i="34"/>
  <c r="T645" i="34" s="1"/>
  <c r="K631" i="34"/>
  <c r="R618" i="34"/>
  <c r="U621" i="34"/>
  <c r="R601" i="34"/>
  <c r="U601" i="34" s="1"/>
  <c r="U600" i="34"/>
  <c r="O600" i="34"/>
  <c r="U577" i="34"/>
  <c r="O577" i="34"/>
  <c r="M557" i="34"/>
  <c r="P521" i="34"/>
  <c r="P518" i="34"/>
  <c r="P514" i="34"/>
  <c r="O501" i="34"/>
  <c r="L495" i="34"/>
  <c r="O495" i="34" s="1"/>
  <c r="U414" i="34"/>
  <c r="U393" i="34"/>
  <c r="O380" i="34"/>
  <c r="L378" i="34"/>
  <c r="O378" i="34" s="1"/>
  <c r="J365" i="34"/>
  <c r="K365" i="34" s="1"/>
  <c r="K371" i="34"/>
  <c r="O361" i="34"/>
  <c r="J332" i="34"/>
  <c r="L326" i="34"/>
  <c r="O326" i="34" s="1"/>
  <c r="N284" i="34"/>
  <c r="N282" i="34" s="1"/>
  <c r="N288" i="34"/>
  <c r="K230" i="34"/>
  <c r="K631" i="30"/>
  <c r="K782" i="32"/>
  <c r="M323" i="32"/>
  <c r="P323" i="32" s="1"/>
  <c r="O64" i="32"/>
  <c r="K783" i="33"/>
  <c r="K780" i="33"/>
  <c r="Q692" i="33"/>
  <c r="Q690" i="33" s="1"/>
  <c r="I365" i="33"/>
  <c r="K365" i="33" s="1"/>
  <c r="P325" i="33"/>
  <c r="L254" i="33"/>
  <c r="K209" i="33"/>
  <c r="L176" i="33"/>
  <c r="O67" i="33"/>
  <c r="P643" i="34"/>
  <c r="K630" i="34"/>
  <c r="K626" i="34"/>
  <c r="Q601" i="34"/>
  <c r="T601" i="34" s="1"/>
  <c r="U556" i="34"/>
  <c r="R534" i="34"/>
  <c r="U534" i="34" s="1"/>
  <c r="S416" i="34"/>
  <c r="T416" i="34" s="1"/>
  <c r="P380" i="34"/>
  <c r="N377" i="34"/>
  <c r="N375" i="34" s="1"/>
  <c r="N359" i="34"/>
  <c r="P359" i="34" s="1"/>
  <c r="N358" i="34"/>
  <c r="N356" i="34" s="1"/>
  <c r="P357" i="34"/>
  <c r="K344" i="34"/>
  <c r="I332" i="34"/>
  <c r="K330" i="34"/>
  <c r="I319" i="34"/>
  <c r="K319" i="34" s="1"/>
  <c r="N268" i="34"/>
  <c r="N272" i="34"/>
  <c r="P498" i="34"/>
  <c r="I374" i="34"/>
  <c r="O383" i="34"/>
  <c r="K368" i="34"/>
  <c r="Q333" i="34"/>
  <c r="T333" i="34" s="1"/>
  <c r="O311" i="34"/>
  <c r="L305" i="34"/>
  <c r="O305" i="34" s="1"/>
  <c r="I302" i="34"/>
  <c r="K302" i="34" s="1"/>
  <c r="O290" i="34"/>
  <c r="P274" i="34"/>
  <c r="S269" i="34"/>
  <c r="T269" i="34" s="1"/>
  <c r="U267" i="34"/>
  <c r="I265" i="34"/>
  <c r="K265" i="34" s="1"/>
  <c r="L203" i="34"/>
  <c r="O203" i="34" s="1"/>
  <c r="T191" i="34"/>
  <c r="P191" i="34"/>
  <c r="M188" i="34"/>
  <c r="M189" i="34"/>
  <c r="O187" i="34"/>
  <c r="S176" i="34"/>
  <c r="S175" i="34"/>
  <c r="S173" i="34" s="1"/>
  <c r="L176" i="34"/>
  <c r="O176" i="34" s="1"/>
  <c r="L175" i="34"/>
  <c r="P174" i="34"/>
  <c r="O158" i="34"/>
  <c r="L188" i="34"/>
  <c r="R176" i="34"/>
  <c r="R175" i="34"/>
  <c r="S356" i="34"/>
  <c r="Q320" i="34"/>
  <c r="T320" i="34" s="1"/>
  <c r="T283" i="34"/>
  <c r="Q282" i="34"/>
  <c r="T282" i="34" s="1"/>
  <c r="Q268" i="34"/>
  <c r="T268" i="34" s="1"/>
  <c r="L243" i="34"/>
  <c r="I221" i="34"/>
  <c r="K221" i="34" s="1"/>
  <c r="K202" i="34"/>
  <c r="S189" i="34"/>
  <c r="U189" i="34" s="1"/>
  <c r="N160" i="34"/>
  <c r="O160" i="34" s="1"/>
  <c r="O162" i="34"/>
  <c r="Q394" i="34"/>
  <c r="T394" i="34" s="1"/>
  <c r="N335" i="34"/>
  <c r="N333" i="34" s="1"/>
  <c r="R333" i="34"/>
  <c r="U333" i="34" s="1"/>
  <c r="U174" i="34"/>
  <c r="K153" i="34"/>
  <c r="I138" i="34"/>
  <c r="K138" i="34" s="1"/>
  <c r="U142" i="34"/>
  <c r="R26" i="34"/>
  <c r="U26" i="34" s="1"/>
  <c r="Q23" i="34"/>
  <c r="T77" i="34"/>
  <c r="Q75" i="34"/>
  <c r="T75" i="34" s="1"/>
  <c r="Q74" i="34"/>
  <c r="N305" i="34"/>
  <c r="N303" i="34" s="1"/>
  <c r="N306" i="34"/>
  <c r="M269" i="34"/>
  <c r="P269" i="34" s="1"/>
  <c r="M179" i="34"/>
  <c r="P179" i="34" s="1"/>
  <c r="N26" i="34"/>
  <c r="N24" i="34" s="1"/>
  <c r="N50" i="34"/>
  <c r="K84" i="34"/>
  <c r="I82" i="34"/>
  <c r="S19" i="34"/>
  <c r="N175" i="34"/>
  <c r="N173" i="34" s="1"/>
  <c r="O174" i="34"/>
  <c r="P162" i="34"/>
  <c r="T142" i="34"/>
  <c r="P118" i="34"/>
  <c r="Q26" i="34"/>
  <c r="T80" i="34"/>
  <c r="Q78" i="34"/>
  <c r="T78" i="34" s="1"/>
  <c r="P52" i="34"/>
  <c r="M26" i="34"/>
  <c r="P26" i="34" s="1"/>
  <c r="M50" i="34"/>
  <c r="P50" i="34" s="1"/>
  <c r="O181" i="34"/>
  <c r="T178" i="34"/>
  <c r="P178" i="34"/>
  <c r="M176" i="34"/>
  <c r="P176" i="34" s="1"/>
  <c r="M175" i="34"/>
  <c r="Q176" i="34"/>
  <c r="Q173" i="34"/>
  <c r="U158" i="34"/>
  <c r="N119" i="34"/>
  <c r="N117" i="34" s="1"/>
  <c r="O118" i="34"/>
  <c r="P95" i="34"/>
  <c r="L26" i="34"/>
  <c r="O26" i="34" s="1"/>
  <c r="Q44" i="34"/>
  <c r="T44" i="34" s="1"/>
  <c r="K109" i="34"/>
  <c r="I93" i="34"/>
  <c r="K93" i="34" s="1"/>
  <c r="N96" i="34"/>
  <c r="N94" i="34" s="1"/>
  <c r="O95" i="34"/>
  <c r="U118" i="34"/>
  <c r="P22" i="34"/>
  <c r="M19" i="34"/>
  <c r="P158" i="34"/>
  <c r="P140" i="34"/>
  <c r="U120" i="34"/>
  <c r="U95" i="34"/>
  <c r="S26" i="34"/>
  <c r="S24" i="34" s="1"/>
  <c r="P67" i="34"/>
  <c r="M65" i="34"/>
  <c r="P65" i="34" s="1"/>
  <c r="Q59" i="34"/>
  <c r="T59" i="34" s="1"/>
  <c r="P25" i="34"/>
  <c r="O19" i="34"/>
  <c r="S159" i="34"/>
  <c r="S157" i="34" s="1"/>
  <c r="M159" i="34"/>
  <c r="M157" i="34" s="1"/>
  <c r="I156" i="34"/>
  <c r="K156" i="34" s="1"/>
  <c r="N141" i="34"/>
  <c r="N139" i="34" s="1"/>
  <c r="S119" i="34"/>
  <c r="M119" i="34"/>
  <c r="P119" i="34" s="1"/>
  <c r="S96" i="34"/>
  <c r="S94" i="34" s="1"/>
  <c r="M96" i="34"/>
  <c r="P96" i="34" s="1"/>
  <c r="O64" i="34"/>
  <c r="O49" i="34"/>
  <c r="N23" i="34"/>
  <c r="R19" i="34"/>
  <c r="R159" i="34"/>
  <c r="U159" i="34" s="1"/>
  <c r="L159" i="34"/>
  <c r="K154" i="34"/>
  <c r="S141" i="34"/>
  <c r="M141" i="34"/>
  <c r="R119" i="34"/>
  <c r="L119" i="34"/>
  <c r="O119" i="34" s="1"/>
  <c r="R96" i="34"/>
  <c r="U96" i="34" s="1"/>
  <c r="L96" i="34"/>
  <c r="O96" i="34" s="1"/>
  <c r="N74" i="34"/>
  <c r="N72" i="34" s="1"/>
  <c r="N61" i="34"/>
  <c r="N46" i="34"/>
  <c r="S23" i="34"/>
  <c r="M23" i="34"/>
  <c r="Q19" i="34"/>
  <c r="M163" i="34"/>
  <c r="P163" i="34" s="1"/>
  <c r="M160" i="34"/>
  <c r="M123" i="34"/>
  <c r="P123" i="34" s="1"/>
  <c r="M120" i="34"/>
  <c r="P120" i="34" s="1"/>
  <c r="M100" i="34"/>
  <c r="P100" i="34" s="1"/>
  <c r="M97" i="34"/>
  <c r="P97" i="34" s="1"/>
  <c r="K85" i="34"/>
  <c r="R23" i="34"/>
  <c r="L23" i="34"/>
  <c r="R619" i="31"/>
  <c r="U619" i="31" s="1"/>
  <c r="O604" i="31"/>
  <c r="L540" i="31"/>
  <c r="O540" i="31" s="1"/>
  <c r="K369" i="31"/>
  <c r="N322" i="31"/>
  <c r="N320" i="31" s="1"/>
  <c r="T162" i="31"/>
  <c r="K784" i="32"/>
  <c r="O380" i="32"/>
  <c r="L378" i="32"/>
  <c r="O378" i="32" s="1"/>
  <c r="L579" i="33"/>
  <c r="O579" i="33" s="1"/>
  <c r="O581" i="33"/>
  <c r="Q495" i="33"/>
  <c r="T495" i="33" s="1"/>
  <c r="Q496" i="33"/>
  <c r="T498" i="33"/>
  <c r="M419" i="33"/>
  <c r="P419" i="33" s="1"/>
  <c r="P421" i="33"/>
  <c r="L119" i="33"/>
  <c r="O119" i="33" s="1"/>
  <c r="M62" i="33"/>
  <c r="P62" i="33" s="1"/>
  <c r="P64" i="33"/>
  <c r="J702" i="31"/>
  <c r="P542" i="31"/>
  <c r="K783" i="32"/>
  <c r="K778" i="32"/>
  <c r="O563" i="32"/>
  <c r="L561" i="32"/>
  <c r="O561" i="32" s="1"/>
  <c r="K774" i="33"/>
  <c r="I759" i="33"/>
  <c r="K759" i="33" s="1"/>
  <c r="O761" i="33"/>
  <c r="L760" i="33"/>
  <c r="O760" i="33" s="1"/>
  <c r="R19" i="33"/>
  <c r="U22" i="33"/>
  <c r="R306" i="30"/>
  <c r="T194" i="31"/>
  <c r="I169" i="31"/>
  <c r="K169" i="31" s="1"/>
  <c r="S394" i="32"/>
  <c r="S392" i="32" s="1"/>
  <c r="S395" i="32"/>
  <c r="U647" i="33"/>
  <c r="R645" i="33"/>
  <c r="U645" i="33" s="1"/>
  <c r="R619" i="33"/>
  <c r="U619" i="33" s="1"/>
  <c r="R618" i="33"/>
  <c r="U621" i="33"/>
  <c r="Q601" i="33"/>
  <c r="Q602" i="33"/>
  <c r="T602" i="33" s="1"/>
  <c r="T604" i="33"/>
  <c r="P323" i="33"/>
  <c r="T147" i="33"/>
  <c r="Q145" i="33"/>
  <c r="T145" i="33" s="1"/>
  <c r="I168" i="31"/>
  <c r="K168" i="31" s="1"/>
  <c r="R642" i="33"/>
  <c r="U642" i="33" s="1"/>
  <c r="Q605" i="33"/>
  <c r="T605" i="33" s="1"/>
  <c r="T607" i="33"/>
  <c r="Q576" i="33"/>
  <c r="T576" i="33" s="1"/>
  <c r="T577" i="33"/>
  <c r="P496" i="33"/>
  <c r="N377" i="33"/>
  <c r="N375" i="33" s="1"/>
  <c r="N378" i="33"/>
  <c r="P359" i="33"/>
  <c r="Q120" i="33"/>
  <c r="T122" i="33"/>
  <c r="Q59" i="33"/>
  <c r="T59" i="33" s="1"/>
  <c r="T60" i="33"/>
  <c r="K678" i="28"/>
  <c r="T765" i="33"/>
  <c r="Q763" i="33"/>
  <c r="T763" i="33" s="1"/>
  <c r="Q714" i="33"/>
  <c r="T714" i="33" s="1"/>
  <c r="T715" i="33"/>
  <c r="S415" i="33"/>
  <c r="S416" i="33"/>
  <c r="T416" i="33" s="1"/>
  <c r="T418" i="33"/>
  <c r="Q97" i="33"/>
  <c r="T97" i="33" s="1"/>
  <c r="T99" i="33"/>
  <c r="I759" i="32"/>
  <c r="K759" i="32" s="1"/>
  <c r="K774" i="32"/>
  <c r="L359" i="33"/>
  <c r="O359" i="33" s="1"/>
  <c r="L358" i="33"/>
  <c r="L356" i="33" s="1"/>
  <c r="O361" i="33"/>
  <c r="K154" i="33"/>
  <c r="I136" i="33"/>
  <c r="K136" i="33" s="1"/>
  <c r="K661" i="32"/>
  <c r="O584" i="32"/>
  <c r="K330" i="32"/>
  <c r="L254" i="32"/>
  <c r="O254" i="32" s="1"/>
  <c r="R763" i="33"/>
  <c r="U763" i="33" s="1"/>
  <c r="P692" i="33"/>
  <c r="Q644" i="33"/>
  <c r="T644" i="33" s="1"/>
  <c r="N642" i="33"/>
  <c r="K629" i="33"/>
  <c r="P607" i="33"/>
  <c r="O604" i="33"/>
  <c r="M540" i="33"/>
  <c r="P540" i="33" s="1"/>
  <c r="M536" i="33"/>
  <c r="P536" i="33" s="1"/>
  <c r="P521" i="33"/>
  <c r="K503" i="33"/>
  <c r="N416" i="33"/>
  <c r="P416" i="33" s="1"/>
  <c r="M392" i="33"/>
  <c r="P392" i="33" s="1"/>
  <c r="K369" i="33"/>
  <c r="R356" i="33"/>
  <c r="U356" i="33" s="1"/>
  <c r="J332" i="33"/>
  <c r="K332" i="33" s="1"/>
  <c r="Q303" i="33"/>
  <c r="T303" i="33" s="1"/>
  <c r="I281" i="33"/>
  <c r="K281" i="33" s="1"/>
  <c r="L203" i="33"/>
  <c r="O203" i="33" s="1"/>
  <c r="K202" i="33"/>
  <c r="S188" i="33"/>
  <c r="P181" i="33"/>
  <c r="K153" i="33"/>
  <c r="K109" i="33"/>
  <c r="R74" i="33"/>
  <c r="R72" i="33" s="1"/>
  <c r="L61" i="33"/>
  <c r="L59" i="33" s="1"/>
  <c r="R44" i="33"/>
  <c r="U44" i="33" s="1"/>
  <c r="J702" i="32"/>
  <c r="N578" i="32"/>
  <c r="N576" i="32" s="1"/>
  <c r="I168" i="32"/>
  <c r="K168" i="32" s="1"/>
  <c r="U765" i="33"/>
  <c r="Q760" i="33"/>
  <c r="T760" i="33" s="1"/>
  <c r="N728" i="33"/>
  <c r="J702" i="33"/>
  <c r="J674" i="33"/>
  <c r="S618" i="33"/>
  <c r="S616" i="33" s="1"/>
  <c r="U607" i="33"/>
  <c r="O607" i="33"/>
  <c r="U604" i="33"/>
  <c r="P581" i="33"/>
  <c r="N557" i="33"/>
  <c r="N555" i="33" s="1"/>
  <c r="N558" i="33"/>
  <c r="O521" i="33"/>
  <c r="S513" i="33"/>
  <c r="R513" i="33"/>
  <c r="U513" i="33" s="1"/>
  <c r="N495" i="33"/>
  <c r="N493" i="33" s="1"/>
  <c r="K432" i="33"/>
  <c r="T397" i="33"/>
  <c r="Q394" i="33"/>
  <c r="T394" i="33" s="1"/>
  <c r="P361" i="33"/>
  <c r="O328" i="33"/>
  <c r="S320" i="33"/>
  <c r="T308" i="33"/>
  <c r="Q306" i="33"/>
  <c r="T306" i="33" s="1"/>
  <c r="Q159" i="33"/>
  <c r="T159" i="33" s="1"/>
  <c r="N119" i="33"/>
  <c r="N117" i="33" s="1"/>
  <c r="Q74" i="33"/>
  <c r="Q72" i="33" s="1"/>
  <c r="S44" i="33"/>
  <c r="Q44" i="33"/>
  <c r="T44" i="33" s="1"/>
  <c r="T695" i="33"/>
  <c r="M601" i="33"/>
  <c r="M599" i="33" s="1"/>
  <c r="M557" i="33"/>
  <c r="M558" i="33"/>
  <c r="P558" i="33" s="1"/>
  <c r="R555" i="33"/>
  <c r="U555" i="33" s="1"/>
  <c r="M495" i="33"/>
  <c r="S496" i="33"/>
  <c r="R495" i="33"/>
  <c r="K440" i="33"/>
  <c r="I302" i="33"/>
  <c r="K302" i="33" s="1"/>
  <c r="Q188" i="33"/>
  <c r="Q186" i="33" s="1"/>
  <c r="L179" i="33"/>
  <c r="O179" i="33" s="1"/>
  <c r="M175" i="33"/>
  <c r="M173" i="33" s="1"/>
  <c r="P165" i="33"/>
  <c r="K152" i="33"/>
  <c r="Q141" i="33"/>
  <c r="T141" i="33" s="1"/>
  <c r="K127" i="33"/>
  <c r="M119" i="33"/>
  <c r="P119" i="33" s="1"/>
  <c r="K108" i="33"/>
  <c r="M96" i="33"/>
  <c r="P96" i="33" s="1"/>
  <c r="S97" i="33"/>
  <c r="P77" i="33"/>
  <c r="N19" i="33"/>
  <c r="K631" i="32"/>
  <c r="L235" i="32"/>
  <c r="N760" i="33"/>
  <c r="J675" i="33"/>
  <c r="T647" i="33"/>
  <c r="T621" i="33"/>
  <c r="Q618" i="33"/>
  <c r="Q616" i="33" s="1"/>
  <c r="S601" i="33"/>
  <c r="S599" i="33" s="1"/>
  <c r="S576" i="33"/>
  <c r="L557" i="33"/>
  <c r="O557" i="33" s="1"/>
  <c r="Q513" i="33"/>
  <c r="T513" i="33" s="1"/>
  <c r="O498" i="33"/>
  <c r="R496" i="33"/>
  <c r="J457" i="33"/>
  <c r="J456" i="33" s="1"/>
  <c r="K456" i="33" s="1"/>
  <c r="M415" i="33"/>
  <c r="M413" i="33" s="1"/>
  <c r="N415" i="33"/>
  <c r="N413" i="33" s="1"/>
  <c r="L392" i="33"/>
  <c r="O392" i="33" s="1"/>
  <c r="M378" i="33"/>
  <c r="P378" i="33" s="1"/>
  <c r="O364" i="33"/>
  <c r="N358" i="33"/>
  <c r="N356" i="33" s="1"/>
  <c r="J351" i="33"/>
  <c r="N335" i="33"/>
  <c r="N333" i="33" s="1"/>
  <c r="N336" i="33"/>
  <c r="S305" i="33"/>
  <c r="S303" i="33" s="1"/>
  <c r="I241" i="33"/>
  <c r="K241" i="33" s="1"/>
  <c r="L234" i="33"/>
  <c r="L222" i="33"/>
  <c r="O222" i="33" s="1"/>
  <c r="T194" i="33"/>
  <c r="T178" i="33"/>
  <c r="S176" i="33"/>
  <c r="T176" i="33" s="1"/>
  <c r="M159" i="33"/>
  <c r="P159" i="33" s="1"/>
  <c r="O144" i="33"/>
  <c r="S119" i="33"/>
  <c r="S117" i="33" s="1"/>
  <c r="S120" i="33"/>
  <c r="L62" i="33"/>
  <c r="O62" i="33" s="1"/>
  <c r="S59" i="33"/>
  <c r="K629" i="32"/>
  <c r="O501" i="32"/>
  <c r="P380" i="32"/>
  <c r="K368" i="32"/>
  <c r="P308" i="32"/>
  <c r="P285" i="32"/>
  <c r="P64" i="32"/>
  <c r="O49" i="32"/>
  <c r="I701" i="33"/>
  <c r="M582" i="33"/>
  <c r="P582" i="33" s="1"/>
  <c r="M578" i="33"/>
  <c r="P578" i="33" s="1"/>
  <c r="M336" i="33"/>
  <c r="N272" i="33"/>
  <c r="Q189" i="33"/>
  <c r="M176" i="33"/>
  <c r="S160" i="33"/>
  <c r="N141" i="33"/>
  <c r="N139" i="33" s="1"/>
  <c r="T125" i="33"/>
  <c r="M97" i="33"/>
  <c r="P97" i="33" s="1"/>
  <c r="I83" i="33"/>
  <c r="I71" i="33" s="1"/>
  <c r="K71" i="33" s="1"/>
  <c r="T77" i="33"/>
  <c r="R75" i="33"/>
  <c r="U75" i="33" s="1"/>
  <c r="R59" i="33"/>
  <c r="U59" i="33" s="1"/>
  <c r="L19" i="33"/>
  <c r="U762" i="33"/>
  <c r="R760" i="33"/>
  <c r="U760" i="33" s="1"/>
  <c r="Q720" i="1"/>
  <c r="T720" i="1" s="1"/>
  <c r="M605" i="32"/>
  <c r="P605" i="32" s="1"/>
  <c r="U600" i="33"/>
  <c r="S493" i="32"/>
  <c r="J351" i="32"/>
  <c r="S762" i="33"/>
  <c r="S760" i="33" s="1"/>
  <c r="L728" i="33"/>
  <c r="O728" i="33" s="1"/>
  <c r="O729" i="33"/>
  <c r="L714" i="33"/>
  <c r="O714" i="33" s="1"/>
  <c r="O715" i="33"/>
  <c r="U693" i="33"/>
  <c r="K689" i="33"/>
  <c r="P604" i="33"/>
  <c r="N602" i="33"/>
  <c r="P602" i="33" s="1"/>
  <c r="R534" i="33"/>
  <c r="U534" i="33" s="1"/>
  <c r="U535" i="33"/>
  <c r="U418" i="33"/>
  <c r="R416" i="33"/>
  <c r="R415" i="33"/>
  <c r="K229" i="33"/>
  <c r="I221" i="33"/>
  <c r="K221" i="33" s="1"/>
  <c r="R576" i="33"/>
  <c r="U576" i="33" s="1"/>
  <c r="U577" i="33"/>
  <c r="J675" i="28"/>
  <c r="K675" i="28" s="1"/>
  <c r="Q619" i="30"/>
  <c r="L235" i="30"/>
  <c r="P191" i="31"/>
  <c r="K167" i="31"/>
  <c r="K785" i="32"/>
  <c r="P521" i="32"/>
  <c r="L419" i="32"/>
  <c r="O419" i="32" s="1"/>
  <c r="P383" i="32"/>
  <c r="O328" i="32"/>
  <c r="I202" i="32"/>
  <c r="K202" i="32" s="1"/>
  <c r="P165" i="32"/>
  <c r="M163" i="32"/>
  <c r="P163" i="32" s="1"/>
  <c r="U80" i="32"/>
  <c r="K772" i="33"/>
  <c r="S728" i="33"/>
  <c r="K632" i="33"/>
  <c r="L616" i="33"/>
  <c r="O616" i="33" s="1"/>
  <c r="T557" i="33"/>
  <c r="Q555" i="33"/>
  <c r="T555" i="33" s="1"/>
  <c r="L515" i="33"/>
  <c r="O515" i="33" s="1"/>
  <c r="O518" i="33"/>
  <c r="L516" i="33"/>
  <c r="O516" i="33" s="1"/>
  <c r="P514" i="33"/>
  <c r="O501" i="33"/>
  <c r="L495" i="33"/>
  <c r="M358" i="33"/>
  <c r="M356" i="33" s="1"/>
  <c r="O334" i="33"/>
  <c r="O304" i="33"/>
  <c r="U191" i="33"/>
  <c r="R189" i="33"/>
  <c r="R188" i="33"/>
  <c r="Q378" i="33"/>
  <c r="T378" i="33" s="1"/>
  <c r="Q377" i="33"/>
  <c r="T377" i="33" s="1"/>
  <c r="T380" i="33"/>
  <c r="L339" i="33"/>
  <c r="O339" i="33" s="1"/>
  <c r="O383" i="31"/>
  <c r="R693" i="32"/>
  <c r="U693" i="32" s="1"/>
  <c r="T191" i="32"/>
  <c r="P181" i="32"/>
  <c r="M179" i="32"/>
  <c r="P179" i="32" s="1"/>
  <c r="T80" i="32"/>
  <c r="U729" i="33"/>
  <c r="R714" i="33"/>
  <c r="U714" i="33" s="1"/>
  <c r="U715" i="33"/>
  <c r="U695" i="33"/>
  <c r="S692" i="33"/>
  <c r="S690" i="33" s="1"/>
  <c r="S645" i="33"/>
  <c r="J615" i="33"/>
  <c r="K615" i="33" s="1"/>
  <c r="K626" i="33"/>
  <c r="N601" i="33"/>
  <c r="N599" i="33" s="1"/>
  <c r="P600" i="33"/>
  <c r="N578" i="33"/>
  <c r="N576" i="33" s="1"/>
  <c r="P577" i="33"/>
  <c r="O514" i="33"/>
  <c r="P364" i="33"/>
  <c r="M362" i="33"/>
  <c r="P362" i="33" s="1"/>
  <c r="P274" i="33"/>
  <c r="M272" i="33"/>
  <c r="P272" i="33" s="1"/>
  <c r="L268" i="33"/>
  <c r="O271" i="33"/>
  <c r="L269" i="33"/>
  <c r="O269" i="33" s="1"/>
  <c r="M120" i="32"/>
  <c r="P120" i="32" s="1"/>
  <c r="O560" i="33"/>
  <c r="L558" i="33"/>
  <c r="O558" i="33" s="1"/>
  <c r="U498" i="30"/>
  <c r="K784" i="31"/>
  <c r="K781" i="31"/>
  <c r="K778" i="31"/>
  <c r="K689" i="32"/>
  <c r="P584" i="32"/>
  <c r="P542" i="32"/>
  <c r="O498" i="32"/>
  <c r="K369" i="32"/>
  <c r="M305" i="32"/>
  <c r="M303" i="32" s="1"/>
  <c r="M306" i="32"/>
  <c r="P306" i="32" s="1"/>
  <c r="U194" i="32"/>
  <c r="L159" i="32"/>
  <c r="L157" i="32" s="1"/>
  <c r="T761" i="33"/>
  <c r="R731" i="33"/>
  <c r="R730" i="33"/>
  <c r="U730" i="33" s="1"/>
  <c r="U733" i="33"/>
  <c r="O600" i="33"/>
  <c r="O577" i="33"/>
  <c r="N536" i="33"/>
  <c r="N534" i="33" s="1"/>
  <c r="P535" i="33"/>
  <c r="R333" i="33"/>
  <c r="U333" i="33" s="1"/>
  <c r="U334" i="33"/>
  <c r="M728" i="33"/>
  <c r="P728" i="33" s="1"/>
  <c r="P729" i="33"/>
  <c r="M714" i="33"/>
  <c r="P714" i="33" s="1"/>
  <c r="P715" i="33"/>
  <c r="O542" i="33"/>
  <c r="L540" i="33"/>
  <c r="O540" i="33" s="1"/>
  <c r="T604" i="30"/>
  <c r="K330" i="31"/>
  <c r="N96" i="31"/>
  <c r="N94" i="31" s="1"/>
  <c r="K779" i="32"/>
  <c r="J701" i="32"/>
  <c r="K676" i="32"/>
  <c r="K630" i="32"/>
  <c r="R394" i="32"/>
  <c r="O306" i="32"/>
  <c r="K292" i="32"/>
  <c r="R188" i="32"/>
  <c r="R186" i="32" s="1"/>
  <c r="M760" i="33"/>
  <c r="P760" i="33" s="1"/>
  <c r="Q730" i="33"/>
  <c r="T733" i="33"/>
  <c r="T693" i="33"/>
  <c r="O584" i="33"/>
  <c r="L582" i="33"/>
  <c r="O582" i="33" s="1"/>
  <c r="O535" i="33"/>
  <c r="I412" i="33"/>
  <c r="K412" i="33" s="1"/>
  <c r="K423" i="33"/>
  <c r="K425" i="33"/>
  <c r="U380" i="33"/>
  <c r="R378" i="33"/>
  <c r="U378" i="33" s="1"/>
  <c r="R377" i="33"/>
  <c r="U377" i="33" s="1"/>
  <c r="L236" i="32"/>
  <c r="K631" i="33"/>
  <c r="P560" i="33"/>
  <c r="P518" i="33"/>
  <c r="K457" i="33"/>
  <c r="K433" i="33"/>
  <c r="K346" i="33"/>
  <c r="O325" i="33"/>
  <c r="L322" i="33"/>
  <c r="L323" i="33"/>
  <c r="O323" i="33" s="1"/>
  <c r="I319" i="33"/>
  <c r="K319" i="33" s="1"/>
  <c r="U187" i="33"/>
  <c r="K707" i="33"/>
  <c r="R601" i="33"/>
  <c r="U601" i="33" s="1"/>
  <c r="L601" i="33"/>
  <c r="L578" i="33"/>
  <c r="O578" i="33" s="1"/>
  <c r="L536" i="33"/>
  <c r="O536" i="33" s="1"/>
  <c r="K441" i="33"/>
  <c r="K344" i="33"/>
  <c r="P287" i="33"/>
  <c r="M285" i="33"/>
  <c r="R282" i="33"/>
  <c r="U282" i="33" s="1"/>
  <c r="U283" i="33"/>
  <c r="O383" i="33"/>
  <c r="L381" i="33"/>
  <c r="O381" i="33" s="1"/>
  <c r="J343" i="33"/>
  <c r="R306" i="33"/>
  <c r="U306" i="33" s="1"/>
  <c r="R305" i="33"/>
  <c r="U305" i="33" s="1"/>
  <c r="I280" i="33"/>
  <c r="K280" i="33" s="1"/>
  <c r="K293" i="33"/>
  <c r="Q269" i="33"/>
  <c r="Q268" i="33"/>
  <c r="T268" i="33" s="1"/>
  <c r="O158" i="33"/>
  <c r="S493" i="33"/>
  <c r="O421" i="33"/>
  <c r="L419" i="33"/>
  <c r="O419" i="33" s="1"/>
  <c r="O418" i="33"/>
  <c r="L416" i="33"/>
  <c r="O380" i="33"/>
  <c r="L378" i="33"/>
  <c r="O378" i="33" s="1"/>
  <c r="L336" i="33"/>
  <c r="O338" i="33"/>
  <c r="L335" i="33"/>
  <c r="M322" i="33"/>
  <c r="R320" i="33"/>
  <c r="U320" i="33" s="1"/>
  <c r="I253" i="33"/>
  <c r="K253" i="33" s="1"/>
  <c r="K260" i="33"/>
  <c r="P308" i="33"/>
  <c r="M306" i="33"/>
  <c r="P306" i="33" s="1"/>
  <c r="M305" i="33"/>
  <c r="N285" i="33"/>
  <c r="O285" i="33" s="1"/>
  <c r="S269" i="33"/>
  <c r="L233" i="33"/>
  <c r="L243" i="33"/>
  <c r="O194" i="33"/>
  <c r="L192" i="33"/>
  <c r="O192" i="33" s="1"/>
  <c r="N175" i="33"/>
  <c r="R175" i="33"/>
  <c r="O162" i="33"/>
  <c r="L160" i="33"/>
  <c r="O160" i="33" s="1"/>
  <c r="L159" i="33"/>
  <c r="O159" i="33" s="1"/>
  <c r="R157" i="33"/>
  <c r="U157" i="33" s="1"/>
  <c r="U158" i="33"/>
  <c r="U122" i="33"/>
  <c r="R120" i="33"/>
  <c r="R119" i="33"/>
  <c r="P334" i="33"/>
  <c r="O311" i="33"/>
  <c r="L305" i="33"/>
  <c r="O305" i="33" s="1"/>
  <c r="Q282" i="33"/>
  <c r="T282" i="33" s="1"/>
  <c r="R268" i="33"/>
  <c r="U268" i="33" s="1"/>
  <c r="U271" i="33"/>
  <c r="R269" i="33"/>
  <c r="T267" i="33"/>
  <c r="I265" i="33"/>
  <c r="K265" i="33" s="1"/>
  <c r="I240" i="33"/>
  <c r="K240" i="33" s="1"/>
  <c r="O125" i="33"/>
  <c r="L123" i="33"/>
  <c r="O123" i="33" s="1"/>
  <c r="S19" i="33"/>
  <c r="I238" i="33"/>
  <c r="K238" i="33" s="1"/>
  <c r="U194" i="33"/>
  <c r="R192" i="33"/>
  <c r="U192" i="33" s="1"/>
  <c r="Q26" i="33"/>
  <c r="P338" i="33"/>
  <c r="Q333" i="33"/>
  <c r="T333" i="33" s="1"/>
  <c r="N322" i="33"/>
  <c r="N320" i="33" s="1"/>
  <c r="P311" i="33"/>
  <c r="M309" i="33"/>
  <c r="P309" i="33" s="1"/>
  <c r="U304" i="33"/>
  <c r="O287" i="33"/>
  <c r="L284" i="33"/>
  <c r="O274" i="33"/>
  <c r="L272" i="33"/>
  <c r="O272" i="33" s="1"/>
  <c r="M268" i="33"/>
  <c r="O267" i="33"/>
  <c r="J231" i="33"/>
  <c r="J185" i="33" s="1"/>
  <c r="K213" i="33"/>
  <c r="O191" i="33"/>
  <c r="L189" i="33"/>
  <c r="O189" i="33" s="1"/>
  <c r="L188" i="33"/>
  <c r="L186" i="33" s="1"/>
  <c r="R176" i="33"/>
  <c r="I156" i="33"/>
  <c r="K156" i="33" s="1"/>
  <c r="K169" i="33"/>
  <c r="U95" i="33"/>
  <c r="O283" i="33"/>
  <c r="M269" i="33"/>
  <c r="P269" i="33" s="1"/>
  <c r="N233" i="33"/>
  <c r="N254" i="33"/>
  <c r="K242" i="33"/>
  <c r="K230" i="33"/>
  <c r="O187" i="33"/>
  <c r="U19" i="33"/>
  <c r="K220" i="33"/>
  <c r="K198" i="33"/>
  <c r="M192" i="33"/>
  <c r="P192" i="33" s="1"/>
  <c r="S189" i="33"/>
  <c r="M189" i="33"/>
  <c r="P189" i="33" s="1"/>
  <c r="K183" i="33"/>
  <c r="Q175" i="33"/>
  <c r="T175" i="33" s="1"/>
  <c r="U162" i="33"/>
  <c r="R160" i="33"/>
  <c r="U160" i="33" s="1"/>
  <c r="N159" i="33"/>
  <c r="N157" i="33" s="1"/>
  <c r="U125" i="33"/>
  <c r="R123" i="33"/>
  <c r="U123" i="33" s="1"/>
  <c r="N120" i="33"/>
  <c r="P47" i="33"/>
  <c r="P191" i="33"/>
  <c r="K172" i="33"/>
  <c r="P178" i="33"/>
  <c r="N176" i="33"/>
  <c r="S141" i="33"/>
  <c r="S139" i="33" s="1"/>
  <c r="O118" i="33"/>
  <c r="I82" i="33"/>
  <c r="N26" i="33"/>
  <c r="N24" i="33" s="1"/>
  <c r="P144" i="33"/>
  <c r="M142" i="33"/>
  <c r="P142" i="33" s="1"/>
  <c r="U118" i="33"/>
  <c r="N96" i="33"/>
  <c r="N94" i="33" s="1"/>
  <c r="P52" i="33"/>
  <c r="M26" i="33"/>
  <c r="M24" i="33" s="1"/>
  <c r="M50" i="33"/>
  <c r="P50" i="33" s="1"/>
  <c r="L163" i="33"/>
  <c r="O163" i="33" s="1"/>
  <c r="K116" i="33"/>
  <c r="L26" i="33"/>
  <c r="P22" i="33"/>
  <c r="M19" i="33"/>
  <c r="O178" i="33"/>
  <c r="P147" i="33"/>
  <c r="M145" i="33"/>
  <c r="P145" i="33" s="1"/>
  <c r="P140" i="33"/>
  <c r="O122" i="33"/>
  <c r="L120" i="33"/>
  <c r="O120" i="33" s="1"/>
  <c r="O95" i="33"/>
  <c r="R26" i="33"/>
  <c r="P75" i="33"/>
  <c r="P67" i="33"/>
  <c r="M65" i="33"/>
  <c r="P65" i="33" s="1"/>
  <c r="O47" i="33"/>
  <c r="P25" i="33"/>
  <c r="O19" i="33"/>
  <c r="T144" i="33"/>
  <c r="U80" i="33"/>
  <c r="O80" i="33"/>
  <c r="Q78" i="33"/>
  <c r="T78" i="33" s="1"/>
  <c r="U77" i="33"/>
  <c r="O77" i="33"/>
  <c r="Q75" i="33"/>
  <c r="T75" i="33" s="1"/>
  <c r="O64" i="33"/>
  <c r="N50" i="33"/>
  <c r="O49" i="33"/>
  <c r="N23" i="33"/>
  <c r="R96" i="33"/>
  <c r="U96" i="33" s="1"/>
  <c r="L96" i="33"/>
  <c r="O96" i="33" s="1"/>
  <c r="N74" i="33"/>
  <c r="N61" i="33"/>
  <c r="N59" i="33" s="1"/>
  <c r="N46" i="33"/>
  <c r="S26" i="33"/>
  <c r="S24" i="33" s="1"/>
  <c r="S23" i="33"/>
  <c r="M23" i="33"/>
  <c r="M21" i="33" s="1"/>
  <c r="Q19" i="33"/>
  <c r="R141" i="33"/>
  <c r="U141" i="33" s="1"/>
  <c r="L141" i="33"/>
  <c r="O141" i="33" s="1"/>
  <c r="Q119" i="33"/>
  <c r="Q96" i="33"/>
  <c r="K85" i="33"/>
  <c r="S74" i="33"/>
  <c r="S72" i="33" s="1"/>
  <c r="M74" i="33"/>
  <c r="M72" i="33" s="1"/>
  <c r="M61" i="33"/>
  <c r="M46" i="33"/>
  <c r="R23" i="33"/>
  <c r="L23" i="33"/>
  <c r="L100" i="33"/>
  <c r="O100" i="33" s="1"/>
  <c r="R97" i="33"/>
  <c r="U97" i="33" s="1"/>
  <c r="L97" i="33"/>
  <c r="O97" i="33" s="1"/>
  <c r="Q23" i="33"/>
  <c r="Q616" i="30"/>
  <c r="O498" i="30"/>
  <c r="U733" i="31"/>
  <c r="S693" i="31"/>
  <c r="U693" i="31" s="1"/>
  <c r="I92" i="31"/>
  <c r="K92" i="31" s="1"/>
  <c r="K108" i="31"/>
  <c r="S714" i="32"/>
  <c r="L557" i="32"/>
  <c r="O557" i="32" s="1"/>
  <c r="L558" i="32"/>
  <c r="O558" i="32" s="1"/>
  <c r="O560" i="32"/>
  <c r="R555" i="32"/>
  <c r="U555" i="32" s="1"/>
  <c r="P518" i="32"/>
  <c r="M516" i="32"/>
  <c r="P516" i="32" s="1"/>
  <c r="I221" i="32"/>
  <c r="K221" i="32" s="1"/>
  <c r="K229" i="32"/>
  <c r="I116" i="32"/>
  <c r="K116" i="32" s="1"/>
  <c r="K127" i="32"/>
  <c r="J675" i="31"/>
  <c r="N335" i="31"/>
  <c r="N333" i="31" s="1"/>
  <c r="N336" i="31"/>
  <c r="P336" i="31" s="1"/>
  <c r="Q690" i="32"/>
  <c r="T691" i="32"/>
  <c r="Q555" i="32"/>
  <c r="T555" i="32" s="1"/>
  <c r="T556" i="32"/>
  <c r="N159" i="32"/>
  <c r="N157" i="32" s="1"/>
  <c r="N160" i="32"/>
  <c r="O160" i="32" s="1"/>
  <c r="M75" i="32"/>
  <c r="P75" i="32" s="1"/>
  <c r="P77" i="32"/>
  <c r="K109" i="30"/>
  <c r="S394" i="31"/>
  <c r="S392" i="31" s="1"/>
  <c r="N160" i="31"/>
  <c r="O160" i="31" s="1"/>
  <c r="O162" i="31"/>
  <c r="K632" i="32"/>
  <c r="J626" i="32"/>
  <c r="K626" i="32" s="1"/>
  <c r="K504" i="32"/>
  <c r="J503" i="32"/>
  <c r="J492" i="32" s="1"/>
  <c r="T357" i="32"/>
  <c r="Q356" i="32"/>
  <c r="T356" i="32" s="1"/>
  <c r="P338" i="32"/>
  <c r="N336" i="32"/>
  <c r="Q645" i="31"/>
  <c r="T765" i="32"/>
  <c r="Q762" i="32"/>
  <c r="T762" i="32" s="1"/>
  <c r="Q763" i="32"/>
  <c r="L415" i="32"/>
  <c r="L413" i="32" s="1"/>
  <c r="O418" i="32"/>
  <c r="L416" i="32"/>
  <c r="O416" i="32" s="1"/>
  <c r="N141" i="32"/>
  <c r="N139" i="32" s="1"/>
  <c r="N142" i="32"/>
  <c r="Q97" i="32"/>
  <c r="Q96" i="32"/>
  <c r="Q94" i="32" s="1"/>
  <c r="S75" i="32"/>
  <c r="U75" i="32" s="1"/>
  <c r="U77" i="32"/>
  <c r="P308" i="29"/>
  <c r="K344" i="30"/>
  <c r="M326" i="30"/>
  <c r="P326" i="30" s="1"/>
  <c r="K108" i="30"/>
  <c r="I221" i="31"/>
  <c r="K221" i="31" s="1"/>
  <c r="K229" i="31"/>
  <c r="R731" i="32"/>
  <c r="U731" i="32" s="1"/>
  <c r="R730" i="32"/>
  <c r="R728" i="32" s="1"/>
  <c r="Q619" i="32"/>
  <c r="T621" i="32"/>
  <c r="N579" i="32"/>
  <c r="O579" i="32" s="1"/>
  <c r="T514" i="32"/>
  <c r="Q513" i="32"/>
  <c r="T513" i="32" s="1"/>
  <c r="J457" i="32"/>
  <c r="J456" i="32" s="1"/>
  <c r="U334" i="32"/>
  <c r="R333" i="32"/>
  <c r="U333" i="32" s="1"/>
  <c r="L188" i="32"/>
  <c r="L186" i="32" s="1"/>
  <c r="L189" i="32"/>
  <c r="O271" i="30"/>
  <c r="S690" i="31"/>
  <c r="N536" i="31"/>
  <c r="N534" i="31" s="1"/>
  <c r="Q377" i="31"/>
  <c r="Q375" i="31" s="1"/>
  <c r="R415" i="32"/>
  <c r="R413" i="32" s="1"/>
  <c r="R416" i="32"/>
  <c r="Q378" i="32"/>
  <c r="T380" i="32"/>
  <c r="N322" i="32"/>
  <c r="N320" i="32" s="1"/>
  <c r="N323" i="32"/>
  <c r="P125" i="32"/>
  <c r="M123" i="32"/>
  <c r="P123" i="32" s="1"/>
  <c r="I92" i="32"/>
  <c r="K92" i="32" s="1"/>
  <c r="K108" i="32"/>
  <c r="M305" i="31"/>
  <c r="P305" i="31" s="1"/>
  <c r="S763" i="32"/>
  <c r="U763" i="32" s="1"/>
  <c r="M760" i="32"/>
  <c r="P760" i="32" s="1"/>
  <c r="T731" i="32"/>
  <c r="T715" i="32"/>
  <c r="N690" i="32"/>
  <c r="K682" i="32"/>
  <c r="K654" i="32"/>
  <c r="L642" i="32"/>
  <c r="O642" i="32" s="1"/>
  <c r="S619" i="32"/>
  <c r="R616" i="32"/>
  <c r="S601" i="32"/>
  <c r="S599" i="32" s="1"/>
  <c r="M601" i="32"/>
  <c r="S602" i="32"/>
  <c r="P579" i="32"/>
  <c r="R576" i="32"/>
  <c r="U576" i="32" s="1"/>
  <c r="J458" i="32"/>
  <c r="I423" i="32"/>
  <c r="I412" i="32" s="1"/>
  <c r="K412" i="32" s="1"/>
  <c r="T418" i="32"/>
  <c r="U397" i="32"/>
  <c r="M392" i="32"/>
  <c r="P392" i="32" s="1"/>
  <c r="P364" i="32"/>
  <c r="M358" i="32"/>
  <c r="M356" i="32" s="1"/>
  <c r="M335" i="32"/>
  <c r="M333" i="32" s="1"/>
  <c r="S320" i="32"/>
  <c r="O311" i="32"/>
  <c r="O308" i="32"/>
  <c r="P287" i="32"/>
  <c r="M268" i="32"/>
  <c r="M266" i="32" s="1"/>
  <c r="O194" i="32"/>
  <c r="U191" i="32"/>
  <c r="L179" i="32"/>
  <c r="O179" i="32" s="1"/>
  <c r="N175" i="32"/>
  <c r="N173" i="32" s="1"/>
  <c r="M159" i="32"/>
  <c r="S160" i="32"/>
  <c r="Q123" i="32"/>
  <c r="T123" i="32" s="1"/>
  <c r="I93" i="32"/>
  <c r="K93" i="32" s="1"/>
  <c r="R74" i="32"/>
  <c r="R72" i="32" s="1"/>
  <c r="L74" i="32"/>
  <c r="L72" i="32" s="1"/>
  <c r="P49" i="32"/>
  <c r="L47" i="32"/>
  <c r="O47" i="32" s="1"/>
  <c r="N19" i="32"/>
  <c r="L235" i="31"/>
  <c r="T80" i="31"/>
  <c r="K758" i="32"/>
  <c r="S760" i="32"/>
  <c r="L760" i="32"/>
  <c r="O760" i="32" s="1"/>
  <c r="L728" i="32"/>
  <c r="O728" i="32" s="1"/>
  <c r="L714" i="32"/>
  <c r="O714" i="32" s="1"/>
  <c r="I701" i="32"/>
  <c r="R645" i="32"/>
  <c r="U645" i="32" s="1"/>
  <c r="L578" i="32"/>
  <c r="L576" i="32" s="1"/>
  <c r="U556" i="32"/>
  <c r="N536" i="32"/>
  <c r="N534" i="32" s="1"/>
  <c r="N537" i="32"/>
  <c r="M495" i="32"/>
  <c r="P495" i="32" s="1"/>
  <c r="P418" i="32"/>
  <c r="K385" i="32"/>
  <c r="L381" i="32"/>
  <c r="O381" i="32" s="1"/>
  <c r="O338" i="32"/>
  <c r="O287" i="32"/>
  <c r="P271" i="32"/>
  <c r="N232" i="32"/>
  <c r="N188" i="32"/>
  <c r="N186" i="32" s="1"/>
  <c r="M175" i="32"/>
  <c r="M173" i="32" s="1"/>
  <c r="S176" i="32"/>
  <c r="S173" i="32"/>
  <c r="T158" i="32"/>
  <c r="K154" i="32"/>
  <c r="L142" i="32"/>
  <c r="O142" i="32" s="1"/>
  <c r="I138" i="32"/>
  <c r="K138" i="32" s="1"/>
  <c r="Q74" i="32"/>
  <c r="Q72" i="32" s="1"/>
  <c r="L75" i="32"/>
  <c r="O75" i="32" s="1"/>
  <c r="R44" i="32"/>
  <c r="U44" i="32" s="1"/>
  <c r="R119" i="31"/>
  <c r="R117" i="31" s="1"/>
  <c r="R714" i="32"/>
  <c r="U714" i="32" s="1"/>
  <c r="N642" i="32"/>
  <c r="N616" i="32"/>
  <c r="M602" i="32"/>
  <c r="P602" i="32" s="1"/>
  <c r="L495" i="32"/>
  <c r="O495" i="32" s="1"/>
  <c r="S496" i="32"/>
  <c r="N495" i="32"/>
  <c r="N493" i="32" s="1"/>
  <c r="M377" i="32"/>
  <c r="M375" i="32" s="1"/>
  <c r="S378" i="32"/>
  <c r="U378" i="32" s="1"/>
  <c r="M339" i="32"/>
  <c r="P339" i="32" s="1"/>
  <c r="K314" i="32"/>
  <c r="K293" i="32"/>
  <c r="N284" i="32"/>
  <c r="N282" i="32" s="1"/>
  <c r="Q266" i="32"/>
  <c r="L234" i="32"/>
  <c r="L222" i="32"/>
  <c r="O222" i="32" s="1"/>
  <c r="K220" i="32"/>
  <c r="L214" i="32"/>
  <c r="O214" i="32" s="1"/>
  <c r="N176" i="32"/>
  <c r="M160" i="32"/>
  <c r="L141" i="32"/>
  <c r="O141" i="32" s="1"/>
  <c r="N119" i="32"/>
  <c r="N117" i="32" s="1"/>
  <c r="M100" i="32"/>
  <c r="P100" i="32" s="1"/>
  <c r="S616" i="32"/>
  <c r="U617" i="32"/>
  <c r="P604" i="32"/>
  <c r="Q601" i="32"/>
  <c r="T601" i="32" s="1"/>
  <c r="N557" i="32"/>
  <c r="N555" i="32" s="1"/>
  <c r="L536" i="32"/>
  <c r="O536" i="32" s="1"/>
  <c r="O518" i="32"/>
  <c r="S513" i="32"/>
  <c r="R496" i="32"/>
  <c r="U496" i="32" s="1"/>
  <c r="N415" i="32"/>
  <c r="N413" i="32" s="1"/>
  <c r="L305" i="32"/>
  <c r="L303" i="32" s="1"/>
  <c r="R306" i="32"/>
  <c r="U306" i="32" s="1"/>
  <c r="L203" i="32"/>
  <c r="O203" i="32" s="1"/>
  <c r="M176" i="32"/>
  <c r="P162" i="32"/>
  <c r="I137" i="32"/>
  <c r="K137" i="32" s="1"/>
  <c r="M119" i="32"/>
  <c r="P119" i="32" s="1"/>
  <c r="I82" i="32"/>
  <c r="O77" i="32"/>
  <c r="S19" i="32"/>
  <c r="K346" i="31"/>
  <c r="L236" i="31"/>
  <c r="U733" i="32"/>
  <c r="P715" i="32"/>
  <c r="L690" i="32"/>
  <c r="O690" i="32" s="1"/>
  <c r="L616" i="32"/>
  <c r="O616" i="32" s="1"/>
  <c r="O604" i="32"/>
  <c r="O542" i="32"/>
  <c r="Q534" i="32"/>
  <c r="T534" i="32" s="1"/>
  <c r="R534" i="32"/>
  <c r="U534" i="32" s="1"/>
  <c r="N515" i="32"/>
  <c r="N513" i="32" s="1"/>
  <c r="R493" i="32"/>
  <c r="U493" i="32" s="1"/>
  <c r="K457" i="32"/>
  <c r="P416" i="32"/>
  <c r="U380" i="32"/>
  <c r="M378" i="32"/>
  <c r="P378" i="32" s="1"/>
  <c r="M359" i="32"/>
  <c r="M336" i="32"/>
  <c r="S333" i="32"/>
  <c r="Q306" i="32"/>
  <c r="T306" i="32" s="1"/>
  <c r="M188" i="32"/>
  <c r="M186" i="32" s="1"/>
  <c r="R189" i="32"/>
  <c r="P178" i="32"/>
  <c r="I169" i="32"/>
  <c r="K169" i="32" s="1"/>
  <c r="O165" i="32"/>
  <c r="O162" i="32"/>
  <c r="Q159" i="32"/>
  <c r="T159" i="32" s="1"/>
  <c r="P144" i="32"/>
  <c r="S119" i="32"/>
  <c r="S117" i="32" s="1"/>
  <c r="N120" i="32"/>
  <c r="S692" i="32"/>
  <c r="T692" i="32" s="1"/>
  <c r="T397" i="30"/>
  <c r="L285" i="30"/>
  <c r="O285" i="30" s="1"/>
  <c r="L236" i="30"/>
  <c r="S730" i="31"/>
  <c r="S728" i="31" s="1"/>
  <c r="K707" i="31"/>
  <c r="K705" i="31"/>
  <c r="P560" i="31"/>
  <c r="O498" i="31"/>
  <c r="O341" i="31"/>
  <c r="U162" i="31"/>
  <c r="R141" i="31"/>
  <c r="R139" i="31" s="1"/>
  <c r="P125" i="31"/>
  <c r="U96" i="31"/>
  <c r="L61" i="31"/>
  <c r="S730" i="32"/>
  <c r="S728" i="32" s="1"/>
  <c r="K705" i="32"/>
  <c r="J675" i="32"/>
  <c r="K675" i="32" s="1"/>
  <c r="K678" i="32"/>
  <c r="T604" i="32"/>
  <c r="N601" i="32"/>
  <c r="N599" i="32" s="1"/>
  <c r="P563" i="32"/>
  <c r="P560" i="32"/>
  <c r="S555" i="32"/>
  <c r="M536" i="32"/>
  <c r="P536" i="32" s="1"/>
  <c r="R513" i="32"/>
  <c r="U513" i="32" s="1"/>
  <c r="U494" i="32"/>
  <c r="P421" i="32"/>
  <c r="M415" i="32"/>
  <c r="L323" i="32"/>
  <c r="O323" i="32" s="1"/>
  <c r="L322" i="32"/>
  <c r="O322" i="32" s="1"/>
  <c r="M284" i="32"/>
  <c r="N268" i="32"/>
  <c r="N266" i="32" s="1"/>
  <c r="N272" i="32"/>
  <c r="S188" i="32"/>
  <c r="S186" i="32" s="1"/>
  <c r="S493" i="31"/>
  <c r="R74" i="28"/>
  <c r="R72" i="28" s="1"/>
  <c r="K783" i="31"/>
  <c r="K780" i="31"/>
  <c r="R731" i="31"/>
  <c r="U731" i="31" s="1"/>
  <c r="R730" i="31"/>
  <c r="R728" i="31" s="1"/>
  <c r="N557" i="31"/>
  <c r="N555" i="31" s="1"/>
  <c r="O418" i="31"/>
  <c r="U397" i="31"/>
  <c r="J351" i="31"/>
  <c r="L222" i="31"/>
  <c r="O222" i="31" s="1"/>
  <c r="M119" i="31"/>
  <c r="P119" i="31" s="1"/>
  <c r="K109" i="31"/>
  <c r="T99" i="31"/>
  <c r="Q74" i="31"/>
  <c r="T74" i="31" s="1"/>
  <c r="K707" i="32"/>
  <c r="R690" i="32"/>
  <c r="Q642" i="32"/>
  <c r="U618" i="32"/>
  <c r="M578" i="32"/>
  <c r="M576" i="32" s="1"/>
  <c r="N359" i="32"/>
  <c r="O359" i="32" s="1"/>
  <c r="O361" i="32"/>
  <c r="N358" i="32"/>
  <c r="N356" i="32" s="1"/>
  <c r="M288" i="32"/>
  <c r="P288" i="32" s="1"/>
  <c r="P290" i="32"/>
  <c r="S94" i="32"/>
  <c r="O418" i="28"/>
  <c r="K676" i="29"/>
  <c r="T607" i="31"/>
  <c r="S496" i="31"/>
  <c r="T397" i="31"/>
  <c r="N141" i="31"/>
  <c r="N139" i="31" s="1"/>
  <c r="T125" i="31"/>
  <c r="O67" i="31"/>
  <c r="U765" i="32"/>
  <c r="R762" i="32"/>
  <c r="U762" i="32" s="1"/>
  <c r="P761" i="32"/>
  <c r="T733" i="32"/>
  <c r="Q730" i="32"/>
  <c r="U729" i="32"/>
  <c r="O729" i="32"/>
  <c r="U715" i="32"/>
  <c r="O715" i="32"/>
  <c r="O617" i="32"/>
  <c r="T577" i="32"/>
  <c r="S534" i="32"/>
  <c r="O521" i="32"/>
  <c r="P514" i="32"/>
  <c r="T498" i="32"/>
  <c r="I238" i="32"/>
  <c r="K238" i="32" s="1"/>
  <c r="I242" i="32"/>
  <c r="K249" i="32"/>
  <c r="R173" i="32"/>
  <c r="U175" i="32"/>
  <c r="K780" i="30"/>
  <c r="K386" i="30"/>
  <c r="K368" i="30"/>
  <c r="N358" i="30"/>
  <c r="N356" i="30" s="1"/>
  <c r="N268" i="30"/>
  <c r="N266" i="30" s="1"/>
  <c r="P181" i="30"/>
  <c r="P122" i="30"/>
  <c r="P102" i="30"/>
  <c r="K785" i="31"/>
  <c r="K782" i="31"/>
  <c r="K779" i="31"/>
  <c r="I759" i="31"/>
  <c r="K759" i="31" s="1"/>
  <c r="N578" i="31"/>
  <c r="N576" i="31" s="1"/>
  <c r="K365" i="31"/>
  <c r="N175" i="31"/>
  <c r="N173" i="31" s="1"/>
  <c r="U695" i="32"/>
  <c r="M642" i="32"/>
  <c r="P642" i="32" s="1"/>
  <c r="Q618" i="32"/>
  <c r="T618" i="32" s="1"/>
  <c r="J615" i="32"/>
  <c r="S576" i="32"/>
  <c r="M557" i="32"/>
  <c r="P557" i="32" s="1"/>
  <c r="P539" i="32"/>
  <c r="L515" i="32"/>
  <c r="O515" i="32" s="1"/>
  <c r="Q395" i="32"/>
  <c r="T395" i="32" s="1"/>
  <c r="Q394" i="32"/>
  <c r="T394" i="32" s="1"/>
  <c r="Q377" i="32"/>
  <c r="T377" i="32" s="1"/>
  <c r="R356" i="32"/>
  <c r="U356" i="32" s="1"/>
  <c r="U357" i="32"/>
  <c r="L336" i="32"/>
  <c r="L335" i="32"/>
  <c r="I265" i="32"/>
  <c r="K265" i="32" s="1"/>
  <c r="K276" i="32"/>
  <c r="S269" i="32"/>
  <c r="T271" i="32"/>
  <c r="S268" i="32"/>
  <c r="T268" i="32" s="1"/>
  <c r="L268" i="32"/>
  <c r="L266" i="32" s="1"/>
  <c r="O271" i="32"/>
  <c r="U267" i="32"/>
  <c r="I253" i="32"/>
  <c r="K253" i="32" s="1"/>
  <c r="K260" i="32"/>
  <c r="K678" i="27"/>
  <c r="K681" i="28"/>
  <c r="I701" i="30"/>
  <c r="I374" i="30"/>
  <c r="J332" i="30"/>
  <c r="K332" i="30" s="1"/>
  <c r="I195" i="30"/>
  <c r="K195" i="30" s="1"/>
  <c r="O147" i="30"/>
  <c r="S141" i="30"/>
  <c r="S139" i="30" s="1"/>
  <c r="P125" i="30"/>
  <c r="T380" i="31"/>
  <c r="N358" i="31"/>
  <c r="I281" i="31"/>
  <c r="K281" i="31" s="1"/>
  <c r="L192" i="31"/>
  <c r="O192" i="31" s="1"/>
  <c r="L188" i="31"/>
  <c r="L186" i="31" s="1"/>
  <c r="U147" i="31"/>
  <c r="Q96" i="31"/>
  <c r="T96" i="31" s="1"/>
  <c r="L74" i="31"/>
  <c r="O74" i="31" s="1"/>
  <c r="N61" i="31"/>
  <c r="N59" i="31" s="1"/>
  <c r="P49" i="31"/>
  <c r="K772" i="32"/>
  <c r="T695" i="32"/>
  <c r="Q693" i="32"/>
  <c r="T693" i="32" s="1"/>
  <c r="M690" i="32"/>
  <c r="P690" i="32" s="1"/>
  <c r="J674" i="32"/>
  <c r="K674" i="32" s="1"/>
  <c r="S644" i="32"/>
  <c r="U644" i="32" s="1"/>
  <c r="T643" i="32"/>
  <c r="K615" i="32"/>
  <c r="T607" i="32"/>
  <c r="P581" i="32"/>
  <c r="Q495" i="32"/>
  <c r="T495" i="32" s="1"/>
  <c r="O494" i="32"/>
  <c r="U418" i="32"/>
  <c r="S416" i="32"/>
  <c r="S415" i="32"/>
  <c r="S413" i="32" s="1"/>
  <c r="O393" i="32"/>
  <c r="U376" i="32"/>
  <c r="O376" i="32"/>
  <c r="K344" i="32"/>
  <c r="I332" i="32"/>
  <c r="P321" i="32"/>
  <c r="P194" i="32"/>
  <c r="U144" i="32"/>
  <c r="R141" i="32"/>
  <c r="R142" i="32"/>
  <c r="U142" i="32" s="1"/>
  <c r="Q645" i="32"/>
  <c r="T645" i="32" s="1"/>
  <c r="R619" i="32"/>
  <c r="O581" i="32"/>
  <c r="P556" i="32"/>
  <c r="O539" i="32"/>
  <c r="P498" i="32"/>
  <c r="T494" i="32"/>
  <c r="I456" i="32"/>
  <c r="K456" i="32" s="1"/>
  <c r="P414" i="32"/>
  <c r="L358" i="32"/>
  <c r="L356" i="32" s="1"/>
  <c r="P283" i="32"/>
  <c r="R269" i="32"/>
  <c r="R268" i="32"/>
  <c r="R266" i="32" s="1"/>
  <c r="U271" i="32"/>
  <c r="R26" i="32"/>
  <c r="U26" i="32" s="1"/>
  <c r="R123" i="32"/>
  <c r="U123" i="32" s="1"/>
  <c r="U125" i="32"/>
  <c r="T122" i="32"/>
  <c r="Q120" i="32"/>
  <c r="T120" i="32" s="1"/>
  <c r="Q119" i="32"/>
  <c r="R601" i="32"/>
  <c r="U601" i="32" s="1"/>
  <c r="L601" i="32"/>
  <c r="O601" i="32" s="1"/>
  <c r="M515" i="32"/>
  <c r="P515" i="32" s="1"/>
  <c r="K503" i="32"/>
  <c r="Q415" i="32"/>
  <c r="K371" i="32"/>
  <c r="O357" i="32"/>
  <c r="Q333" i="32"/>
  <c r="T333" i="32" s="1"/>
  <c r="T335" i="32"/>
  <c r="O267" i="32"/>
  <c r="O191" i="32"/>
  <c r="N189" i="32"/>
  <c r="P73" i="32"/>
  <c r="P691" i="32"/>
  <c r="U647" i="32"/>
  <c r="P643" i="32"/>
  <c r="R605" i="32"/>
  <c r="U605" i="32" s="1"/>
  <c r="L605" i="32"/>
  <c r="O605" i="32" s="1"/>
  <c r="R602" i="32"/>
  <c r="U602" i="32" s="1"/>
  <c r="N392" i="32"/>
  <c r="K346" i="32"/>
  <c r="O321" i="32"/>
  <c r="N309" i="32"/>
  <c r="N305" i="32"/>
  <c r="L288" i="32"/>
  <c r="O288" i="32" s="1"/>
  <c r="Q282" i="32"/>
  <c r="T282" i="32" s="1"/>
  <c r="M272" i="32"/>
  <c r="P272" i="32" s="1"/>
  <c r="P274" i="32"/>
  <c r="L243" i="32"/>
  <c r="O125" i="32"/>
  <c r="U19" i="32"/>
  <c r="T647" i="32"/>
  <c r="U621" i="32"/>
  <c r="N377" i="32"/>
  <c r="P357" i="32"/>
  <c r="J332" i="32"/>
  <c r="J343" i="32"/>
  <c r="R320" i="32"/>
  <c r="U320" i="32" s="1"/>
  <c r="U321" i="32"/>
  <c r="S305" i="32"/>
  <c r="U305" i="32" s="1"/>
  <c r="U308" i="32"/>
  <c r="R303" i="32"/>
  <c r="P269" i="32"/>
  <c r="T203" i="32"/>
  <c r="S157" i="32"/>
  <c r="N335" i="32"/>
  <c r="L284" i="32"/>
  <c r="L233" i="32"/>
  <c r="Q188" i="32"/>
  <c r="L175" i="32"/>
  <c r="L176" i="32"/>
  <c r="R176" i="32"/>
  <c r="R160" i="32"/>
  <c r="U160" i="32" s="1"/>
  <c r="U162" i="32"/>
  <c r="S97" i="32"/>
  <c r="T99" i="32"/>
  <c r="P52" i="32"/>
  <c r="M26" i="32"/>
  <c r="P26" i="32" s="1"/>
  <c r="M50" i="32"/>
  <c r="P50" i="32" s="1"/>
  <c r="P47" i="32"/>
  <c r="U25" i="32"/>
  <c r="R377" i="32"/>
  <c r="U377" i="32" s="1"/>
  <c r="L377" i="32"/>
  <c r="I365" i="32"/>
  <c r="K365" i="32" s="1"/>
  <c r="P361" i="32"/>
  <c r="Q320" i="32"/>
  <c r="T320" i="32" s="1"/>
  <c r="P311" i="32"/>
  <c r="T308" i="32"/>
  <c r="K280" i="32"/>
  <c r="T194" i="32"/>
  <c r="P191" i="32"/>
  <c r="T178" i="32"/>
  <c r="Q175" i="32"/>
  <c r="Q176" i="32"/>
  <c r="S142" i="32"/>
  <c r="S141" i="32"/>
  <c r="S139" i="32" s="1"/>
  <c r="U99" i="32"/>
  <c r="U95" i="32"/>
  <c r="K87" i="32"/>
  <c r="I83" i="32"/>
  <c r="S78" i="32"/>
  <c r="S26" i="32"/>
  <c r="S24" i="32" s="1"/>
  <c r="P67" i="32"/>
  <c r="M65" i="32"/>
  <c r="P65" i="32" s="1"/>
  <c r="P62" i="32"/>
  <c r="P22" i="32"/>
  <c r="M19" i="32"/>
  <c r="R157" i="32"/>
  <c r="U157" i="32" s="1"/>
  <c r="U159" i="32"/>
  <c r="M145" i="32"/>
  <c r="P145" i="32" s="1"/>
  <c r="M141" i="32"/>
  <c r="N97" i="32"/>
  <c r="N23" i="32"/>
  <c r="Q26" i="32"/>
  <c r="P25" i="32"/>
  <c r="O19" i="32"/>
  <c r="S189" i="32"/>
  <c r="U178" i="32"/>
  <c r="O147" i="32"/>
  <c r="L145" i="32"/>
  <c r="O145" i="32" s="1"/>
  <c r="R23" i="32"/>
  <c r="R120" i="32"/>
  <c r="U120" i="32" s="1"/>
  <c r="R119" i="32"/>
  <c r="L23" i="32"/>
  <c r="L21" i="32" s="1"/>
  <c r="L120" i="32"/>
  <c r="O120" i="32" s="1"/>
  <c r="L119" i="32"/>
  <c r="P99" i="32"/>
  <c r="M97" i="32"/>
  <c r="N96" i="32"/>
  <c r="N94" i="32" s="1"/>
  <c r="O95" i="32"/>
  <c r="P80" i="32"/>
  <c r="O62" i="32"/>
  <c r="R21" i="32"/>
  <c r="U22" i="32"/>
  <c r="P174" i="32"/>
  <c r="Q160" i="32"/>
  <c r="T160" i="32" s="1"/>
  <c r="P60" i="32"/>
  <c r="P45" i="32"/>
  <c r="R145" i="32"/>
  <c r="U145" i="32" s="1"/>
  <c r="O99" i="32"/>
  <c r="T95" i="32"/>
  <c r="O67" i="32"/>
  <c r="L65" i="32"/>
  <c r="O65" i="32" s="1"/>
  <c r="L61" i="32"/>
  <c r="O52" i="32"/>
  <c r="L26" i="32"/>
  <c r="O26" i="32" s="1"/>
  <c r="L50" i="32"/>
  <c r="O50" i="32" s="1"/>
  <c r="L46" i="32"/>
  <c r="N26" i="32"/>
  <c r="N24" i="32" s="1"/>
  <c r="O25" i="32"/>
  <c r="O22" i="32"/>
  <c r="Q141" i="32"/>
  <c r="T141" i="32" s="1"/>
  <c r="R96" i="32"/>
  <c r="U96" i="32" s="1"/>
  <c r="L96" i="32"/>
  <c r="L94" i="32" s="1"/>
  <c r="T77" i="32"/>
  <c r="N74" i="32"/>
  <c r="N61" i="32"/>
  <c r="N59" i="32" s="1"/>
  <c r="N46" i="32"/>
  <c r="N44" i="32" s="1"/>
  <c r="S23" i="32"/>
  <c r="M23" i="32"/>
  <c r="M21" i="32" s="1"/>
  <c r="Q19" i="32"/>
  <c r="S74" i="32"/>
  <c r="M74" i="32"/>
  <c r="M61" i="32"/>
  <c r="M46" i="32"/>
  <c r="K183" i="32"/>
  <c r="K167" i="32"/>
  <c r="Q145" i="32"/>
  <c r="T145" i="32" s="1"/>
  <c r="Q142" i="32"/>
  <c r="T142" i="32" s="1"/>
  <c r="L100" i="32"/>
  <c r="O100" i="32" s="1"/>
  <c r="R97" i="32"/>
  <c r="L97" i="32"/>
  <c r="Q23" i="32"/>
  <c r="M175" i="28"/>
  <c r="M173" i="28" s="1"/>
  <c r="K153" i="28"/>
  <c r="K330" i="30"/>
  <c r="R192" i="30"/>
  <c r="U192" i="30" s="1"/>
  <c r="K772" i="31"/>
  <c r="S762" i="31"/>
  <c r="S760" i="31" s="1"/>
  <c r="N579" i="31"/>
  <c r="J503" i="31"/>
  <c r="J492" i="31" s="1"/>
  <c r="L499" i="31"/>
  <c r="O499" i="31" s="1"/>
  <c r="O501" i="31"/>
  <c r="S413" i="31"/>
  <c r="M326" i="31"/>
  <c r="P326" i="31" s="1"/>
  <c r="P328" i="31"/>
  <c r="L288" i="31"/>
  <c r="O288" i="31" s="1"/>
  <c r="S188" i="31"/>
  <c r="S186" i="31" s="1"/>
  <c r="M163" i="31"/>
  <c r="P163" i="31" s="1"/>
  <c r="P165" i="31"/>
  <c r="O144" i="31"/>
  <c r="L75" i="31"/>
  <c r="O75" i="31" s="1"/>
  <c r="Q714" i="31"/>
  <c r="T714" i="31" s="1"/>
  <c r="S644" i="31"/>
  <c r="T644" i="31" s="1"/>
  <c r="S645" i="31"/>
  <c r="U645" i="31" s="1"/>
  <c r="K632" i="31"/>
  <c r="K630" i="31"/>
  <c r="M179" i="31"/>
  <c r="P179" i="31" s="1"/>
  <c r="P181" i="31"/>
  <c r="O364" i="27"/>
  <c r="K440" i="29"/>
  <c r="P287" i="30"/>
  <c r="U271" i="30"/>
  <c r="N760" i="31"/>
  <c r="Q731" i="31"/>
  <c r="T731" i="31" s="1"/>
  <c r="M582" i="31"/>
  <c r="P582" i="31" s="1"/>
  <c r="P584" i="31"/>
  <c r="L557" i="31"/>
  <c r="L555" i="31" s="1"/>
  <c r="O555" i="31" s="1"/>
  <c r="L558" i="31"/>
  <c r="O558" i="31" s="1"/>
  <c r="O560" i="31"/>
  <c r="K386" i="31"/>
  <c r="O357" i="31"/>
  <c r="M322" i="31"/>
  <c r="P322" i="31" s="1"/>
  <c r="I265" i="31"/>
  <c r="K265" i="31" s="1"/>
  <c r="K276" i="31"/>
  <c r="U189" i="31"/>
  <c r="L179" i="31"/>
  <c r="O179" i="31" s="1"/>
  <c r="O181" i="31"/>
  <c r="O147" i="31"/>
  <c r="L145" i="31"/>
  <c r="O145" i="31" s="1"/>
  <c r="R74" i="31"/>
  <c r="U74" i="31" s="1"/>
  <c r="R75" i="31"/>
  <c r="U75" i="31" s="1"/>
  <c r="M714" i="31"/>
  <c r="P714" i="31" s="1"/>
  <c r="P715" i="31"/>
  <c r="Q601" i="31"/>
  <c r="T601" i="31" s="1"/>
  <c r="Q602" i="31"/>
  <c r="T602" i="31" s="1"/>
  <c r="T604" i="31"/>
  <c r="L582" i="31"/>
  <c r="O582" i="31" s="1"/>
  <c r="O584" i="31"/>
  <c r="Q305" i="31"/>
  <c r="Q303" i="31" s="1"/>
  <c r="Q306" i="31"/>
  <c r="N285" i="31"/>
  <c r="O285" i="31" s="1"/>
  <c r="N284" i="31"/>
  <c r="N282" i="31" s="1"/>
  <c r="I172" i="31"/>
  <c r="K172" i="31" s="1"/>
  <c r="K183" i="31"/>
  <c r="O140" i="31"/>
  <c r="U122" i="31"/>
  <c r="R120" i="31"/>
  <c r="P99" i="31"/>
  <c r="N97" i="31"/>
  <c r="P97" i="31" s="1"/>
  <c r="L50" i="31"/>
  <c r="O50" i="31" s="1"/>
  <c r="O52" i="31"/>
  <c r="K661" i="28"/>
  <c r="I136" i="29"/>
  <c r="K136" i="29" s="1"/>
  <c r="J702" i="30"/>
  <c r="P521" i="30"/>
  <c r="K369" i="30"/>
  <c r="O328" i="30"/>
  <c r="L760" i="31"/>
  <c r="O760" i="31" s="1"/>
  <c r="K727" i="31"/>
  <c r="J701" i="31"/>
  <c r="Q692" i="31"/>
  <c r="T692" i="31" s="1"/>
  <c r="Q693" i="31"/>
  <c r="M642" i="31"/>
  <c r="P642" i="31" s="1"/>
  <c r="K631" i="31"/>
  <c r="R495" i="31"/>
  <c r="U495" i="31" s="1"/>
  <c r="R496" i="31"/>
  <c r="U496" i="31" s="1"/>
  <c r="U498" i="31"/>
  <c r="N415" i="31"/>
  <c r="N413" i="31" s="1"/>
  <c r="N416" i="31"/>
  <c r="O416" i="31" s="1"/>
  <c r="L359" i="31"/>
  <c r="O361" i="31"/>
  <c r="U357" i="31"/>
  <c r="R356" i="31"/>
  <c r="U356" i="31" s="1"/>
  <c r="L335" i="31"/>
  <c r="L336" i="31"/>
  <c r="O338" i="31"/>
  <c r="M285" i="31"/>
  <c r="P285" i="31" s="1"/>
  <c r="M284" i="31"/>
  <c r="M282" i="31" s="1"/>
  <c r="P287" i="31"/>
  <c r="I238" i="31"/>
  <c r="K238" i="31" s="1"/>
  <c r="I242" i="31"/>
  <c r="K242" i="31" s="1"/>
  <c r="Q119" i="31"/>
  <c r="Q120" i="31"/>
  <c r="T122" i="31"/>
  <c r="S59" i="31"/>
  <c r="K346" i="30"/>
  <c r="M268" i="30"/>
  <c r="S97" i="30"/>
  <c r="I701" i="31"/>
  <c r="M519" i="31"/>
  <c r="P519" i="31" s="1"/>
  <c r="P521" i="31"/>
  <c r="M419" i="31"/>
  <c r="P419" i="31" s="1"/>
  <c r="L392" i="31"/>
  <c r="O392" i="31" s="1"/>
  <c r="O394" i="31"/>
  <c r="L362" i="31"/>
  <c r="O362" i="31" s="1"/>
  <c r="R282" i="31"/>
  <c r="U282" i="31" s="1"/>
  <c r="K209" i="31"/>
  <c r="M192" i="31"/>
  <c r="P192" i="31" s="1"/>
  <c r="P194" i="31"/>
  <c r="M188" i="31"/>
  <c r="M186" i="31" s="1"/>
  <c r="M78" i="31"/>
  <c r="P78" i="31" s="1"/>
  <c r="P80" i="31"/>
  <c r="S714" i="31"/>
  <c r="K689" i="31"/>
  <c r="K673" i="31"/>
  <c r="L642" i="31"/>
  <c r="O642" i="31" s="1"/>
  <c r="N601" i="31"/>
  <c r="N599" i="31" s="1"/>
  <c r="M578" i="31"/>
  <c r="P578" i="31" s="1"/>
  <c r="N558" i="31"/>
  <c r="N515" i="31"/>
  <c r="N513" i="31" s="1"/>
  <c r="N516" i="31"/>
  <c r="K440" i="31"/>
  <c r="U418" i="31"/>
  <c r="P418" i="31"/>
  <c r="J374" i="31"/>
  <c r="T378" i="31"/>
  <c r="Q282" i="31"/>
  <c r="T282" i="31" s="1"/>
  <c r="Q188" i="31"/>
  <c r="M159" i="31"/>
  <c r="M157" i="31" s="1"/>
  <c r="Q160" i="31"/>
  <c r="T160" i="31" s="1"/>
  <c r="Q157" i="31"/>
  <c r="T157" i="31" s="1"/>
  <c r="P144" i="31"/>
  <c r="R142" i="31"/>
  <c r="U142" i="31" s="1"/>
  <c r="P122" i="31"/>
  <c r="P102" i="31"/>
  <c r="M96" i="31"/>
  <c r="M94" i="31" s="1"/>
  <c r="S97" i="31"/>
  <c r="R44" i="31"/>
  <c r="U44" i="31" s="1"/>
  <c r="K709" i="31"/>
  <c r="N690" i="31"/>
  <c r="J674" i="31"/>
  <c r="Q618" i="31"/>
  <c r="Q616" i="31" s="1"/>
  <c r="N616" i="31"/>
  <c r="P604" i="31"/>
  <c r="S534" i="31"/>
  <c r="M515" i="31"/>
  <c r="M513" i="31" s="1"/>
  <c r="P513" i="31" s="1"/>
  <c r="M516" i="31"/>
  <c r="P516" i="31" s="1"/>
  <c r="R513" i="31"/>
  <c r="U513" i="31" s="1"/>
  <c r="S416" i="31"/>
  <c r="U416" i="31" s="1"/>
  <c r="Q395" i="31"/>
  <c r="T395" i="31" s="1"/>
  <c r="K344" i="31"/>
  <c r="P311" i="31"/>
  <c r="L234" i="31"/>
  <c r="T203" i="31"/>
  <c r="M175" i="31"/>
  <c r="M173" i="31" s="1"/>
  <c r="S176" i="31"/>
  <c r="T176" i="31" s="1"/>
  <c r="L141" i="31"/>
  <c r="L139" i="31" s="1"/>
  <c r="M142" i="31"/>
  <c r="P77" i="31"/>
  <c r="O65" i="31"/>
  <c r="Q44" i="31"/>
  <c r="T44" i="31" s="1"/>
  <c r="M616" i="31"/>
  <c r="P616" i="31" s="1"/>
  <c r="N537" i="31"/>
  <c r="J458" i="31"/>
  <c r="N359" i="31"/>
  <c r="N305" i="31"/>
  <c r="N303" i="31" s="1"/>
  <c r="P67" i="31"/>
  <c r="L46" i="31"/>
  <c r="L44" i="31" s="1"/>
  <c r="K703" i="31"/>
  <c r="M690" i="31"/>
  <c r="P690" i="31" s="1"/>
  <c r="N642" i="31"/>
  <c r="S601" i="31"/>
  <c r="S599" i="31" s="1"/>
  <c r="N602" i="31"/>
  <c r="Q534" i="31"/>
  <c r="T534" i="31" s="1"/>
  <c r="O521" i="31"/>
  <c r="L495" i="31"/>
  <c r="O495" i="31" s="1"/>
  <c r="T418" i="31"/>
  <c r="M392" i="31"/>
  <c r="P392" i="31" s="1"/>
  <c r="S333" i="31"/>
  <c r="R320" i="31"/>
  <c r="U320" i="31" s="1"/>
  <c r="O287" i="31"/>
  <c r="L284" i="31"/>
  <c r="T191" i="31"/>
  <c r="Q189" i="31"/>
  <c r="T189" i="31" s="1"/>
  <c r="M176" i="31"/>
  <c r="L163" i="31"/>
  <c r="O163" i="31" s="1"/>
  <c r="P162" i="31"/>
  <c r="R159" i="31"/>
  <c r="U159" i="31" s="1"/>
  <c r="Q141" i="31"/>
  <c r="Q139" i="31" s="1"/>
  <c r="S119" i="31"/>
  <c r="S117" i="31" s="1"/>
  <c r="T77" i="31"/>
  <c r="L62" i="31"/>
  <c r="T60" i="31"/>
  <c r="Q728" i="31"/>
  <c r="Q642" i="31"/>
  <c r="R616" i="31"/>
  <c r="R760" i="31"/>
  <c r="U760" i="31" s="1"/>
  <c r="T619" i="31"/>
  <c r="J615" i="31"/>
  <c r="K626" i="31"/>
  <c r="O308" i="31"/>
  <c r="L305" i="31"/>
  <c r="O305" i="31" s="1"/>
  <c r="K678" i="29"/>
  <c r="J675" i="30"/>
  <c r="M578" i="30"/>
  <c r="P578" i="30" s="1"/>
  <c r="P416" i="30"/>
  <c r="R601" i="31"/>
  <c r="L601" i="31"/>
  <c r="L578" i="31"/>
  <c r="L536" i="31"/>
  <c r="M499" i="31"/>
  <c r="P499" i="31" s="1"/>
  <c r="N495" i="31"/>
  <c r="N493" i="31" s="1"/>
  <c r="M416" i="31"/>
  <c r="M415" i="31"/>
  <c r="S377" i="31"/>
  <c r="S375" i="31" s="1"/>
  <c r="U376" i="31"/>
  <c r="I374" i="31"/>
  <c r="K368" i="31"/>
  <c r="S306" i="31"/>
  <c r="T308" i="31"/>
  <c r="S305" i="31"/>
  <c r="S303" i="31" s="1"/>
  <c r="S269" i="31"/>
  <c r="T269" i="31" s="1"/>
  <c r="S268" i="31"/>
  <c r="S266" i="31" s="1"/>
  <c r="N119" i="31"/>
  <c r="N117" i="31" s="1"/>
  <c r="N120" i="31"/>
  <c r="O99" i="31"/>
  <c r="L97" i="31"/>
  <c r="L96" i="31"/>
  <c r="M601" i="31"/>
  <c r="M599" i="31" s="1"/>
  <c r="L515" i="31"/>
  <c r="O515" i="31" s="1"/>
  <c r="T358" i="31"/>
  <c r="Q356" i="31"/>
  <c r="T356" i="31" s="1"/>
  <c r="N309" i="31"/>
  <c r="K782" i="28"/>
  <c r="M582" i="28"/>
  <c r="P582" i="28" s="1"/>
  <c r="Q763" i="29"/>
  <c r="T763" i="29" s="1"/>
  <c r="L159" i="29"/>
  <c r="L157" i="29" s="1"/>
  <c r="R730" i="30"/>
  <c r="R728" i="30" s="1"/>
  <c r="L578" i="30"/>
  <c r="O578" i="30" s="1"/>
  <c r="O518" i="30"/>
  <c r="O274" i="30"/>
  <c r="Q269" i="30"/>
  <c r="L203" i="30"/>
  <c r="O203" i="30" s="1"/>
  <c r="K127" i="30"/>
  <c r="L74" i="30"/>
  <c r="L72" i="30" s="1"/>
  <c r="O72" i="30" s="1"/>
  <c r="P49" i="30"/>
  <c r="U765" i="31"/>
  <c r="T733" i="31"/>
  <c r="K629" i="31"/>
  <c r="M605" i="31"/>
  <c r="P605" i="31" s="1"/>
  <c r="S602" i="31"/>
  <c r="M602" i="31"/>
  <c r="M579" i="31"/>
  <c r="P579" i="31" s="1"/>
  <c r="M561" i="31"/>
  <c r="P561" i="31" s="1"/>
  <c r="M537" i="31"/>
  <c r="P537" i="31" s="1"/>
  <c r="P518" i="31"/>
  <c r="L516" i="31"/>
  <c r="O516" i="31" s="1"/>
  <c r="P498" i="31"/>
  <c r="Q496" i="31"/>
  <c r="T496" i="31" s="1"/>
  <c r="M495" i="31"/>
  <c r="L415" i="31"/>
  <c r="I412" i="31"/>
  <c r="K412" i="31" s="1"/>
  <c r="R378" i="31"/>
  <c r="U378" i="31" s="1"/>
  <c r="R377" i="31"/>
  <c r="U380" i="31"/>
  <c r="T376" i="31"/>
  <c r="O364" i="31"/>
  <c r="P341" i="31"/>
  <c r="O325" i="31"/>
  <c r="I302" i="31"/>
  <c r="K302" i="31" s="1"/>
  <c r="K314" i="31"/>
  <c r="O311" i="31"/>
  <c r="L309" i="31"/>
  <c r="O309" i="31" s="1"/>
  <c r="R305" i="31"/>
  <c r="U308" i="31"/>
  <c r="R306" i="31"/>
  <c r="R269" i="31"/>
  <c r="U271" i="31"/>
  <c r="R268" i="31"/>
  <c r="L214" i="31"/>
  <c r="O214" i="31" s="1"/>
  <c r="U174" i="31"/>
  <c r="I138" i="31"/>
  <c r="K138" i="31" s="1"/>
  <c r="K153" i="31"/>
  <c r="P147" i="31"/>
  <c r="M145" i="31"/>
  <c r="P145" i="31" s="1"/>
  <c r="M141" i="31"/>
  <c r="U125" i="31"/>
  <c r="R123" i="31"/>
  <c r="U123" i="31" s="1"/>
  <c r="M536" i="31"/>
  <c r="P536" i="31" s="1"/>
  <c r="K260" i="28"/>
  <c r="K783" i="29"/>
  <c r="K629" i="29"/>
  <c r="O560" i="29"/>
  <c r="K705" i="30"/>
  <c r="S642" i="30"/>
  <c r="O560" i="30"/>
  <c r="S268" i="30"/>
  <c r="U268" i="30" s="1"/>
  <c r="N175" i="30"/>
  <c r="N173" i="30" s="1"/>
  <c r="N159" i="30"/>
  <c r="N157" i="30" s="1"/>
  <c r="T765" i="31"/>
  <c r="Q762" i="31"/>
  <c r="T762" i="31" s="1"/>
  <c r="U761" i="31"/>
  <c r="O761" i="31"/>
  <c r="M760" i="31"/>
  <c r="P760" i="31" s="1"/>
  <c r="T729" i="31"/>
  <c r="L728" i="31"/>
  <c r="O728" i="31" s="1"/>
  <c r="T715" i="31"/>
  <c r="R714" i="31"/>
  <c r="U714" i="31" s="1"/>
  <c r="L714" i="31"/>
  <c r="O714" i="31" s="1"/>
  <c r="U695" i="31"/>
  <c r="R692" i="31"/>
  <c r="U692" i="31" s="1"/>
  <c r="P691" i="31"/>
  <c r="U647" i="31"/>
  <c r="R644" i="31"/>
  <c r="P643" i="31"/>
  <c r="S618" i="31"/>
  <c r="S616" i="31" s="1"/>
  <c r="I615" i="31"/>
  <c r="K615" i="31" s="1"/>
  <c r="R605" i="31"/>
  <c r="U605" i="31" s="1"/>
  <c r="L605" i="31"/>
  <c r="O605" i="31" s="1"/>
  <c r="R602" i="31"/>
  <c r="U602" i="31" s="1"/>
  <c r="L602" i="31"/>
  <c r="T600" i="31"/>
  <c r="P581" i="31"/>
  <c r="L579" i="31"/>
  <c r="O579" i="31" s="1"/>
  <c r="T577" i="31"/>
  <c r="R576" i="31"/>
  <c r="U576" i="31" s="1"/>
  <c r="L561" i="31"/>
  <c r="O561" i="31" s="1"/>
  <c r="M557" i="31"/>
  <c r="P557" i="31" s="1"/>
  <c r="L537" i="31"/>
  <c r="O537" i="31" s="1"/>
  <c r="T535" i="31"/>
  <c r="R534" i="31"/>
  <c r="U534" i="31" s="1"/>
  <c r="Q513" i="31"/>
  <c r="T513" i="31" s="1"/>
  <c r="Q493" i="31"/>
  <c r="T493" i="31" s="1"/>
  <c r="J457" i="31"/>
  <c r="O421" i="31"/>
  <c r="O376" i="31"/>
  <c r="M358" i="31"/>
  <c r="P361" i="31"/>
  <c r="M359" i="31"/>
  <c r="J332" i="31"/>
  <c r="K332" i="31" s="1"/>
  <c r="P334" i="31"/>
  <c r="O328" i="31"/>
  <c r="L306" i="31"/>
  <c r="O306" i="31" s="1"/>
  <c r="P290" i="31"/>
  <c r="M288" i="31"/>
  <c r="P288" i="31" s="1"/>
  <c r="Q26" i="31"/>
  <c r="N75" i="31"/>
  <c r="N74" i="31"/>
  <c r="N72" i="31" s="1"/>
  <c r="P380" i="31"/>
  <c r="M377" i="31"/>
  <c r="P377" i="31" s="1"/>
  <c r="P287" i="29"/>
  <c r="L233" i="29"/>
  <c r="L203" i="29"/>
  <c r="O203" i="29" s="1"/>
  <c r="I169" i="29"/>
  <c r="K169" i="29" s="1"/>
  <c r="R78" i="29"/>
  <c r="U78" i="29" s="1"/>
  <c r="K784" i="30"/>
  <c r="K781" i="30"/>
  <c r="K778" i="30"/>
  <c r="S645" i="30"/>
  <c r="N601" i="30"/>
  <c r="N599" i="30" s="1"/>
  <c r="P584" i="30"/>
  <c r="M558" i="30"/>
  <c r="P558" i="30" s="1"/>
  <c r="S495" i="30"/>
  <c r="S493" i="30" s="1"/>
  <c r="O421" i="30"/>
  <c r="Q395" i="30"/>
  <c r="T395" i="30" s="1"/>
  <c r="M339" i="30"/>
  <c r="P339" i="30" s="1"/>
  <c r="N160" i="30"/>
  <c r="P80" i="30"/>
  <c r="O67" i="30"/>
  <c r="T761" i="31"/>
  <c r="T695" i="31"/>
  <c r="U691" i="31"/>
  <c r="O691" i="31"/>
  <c r="T647" i="31"/>
  <c r="U643" i="31"/>
  <c r="O643" i="31"/>
  <c r="U621" i="31"/>
  <c r="P617" i="31"/>
  <c r="P556" i="31"/>
  <c r="T498" i="31"/>
  <c r="I492" i="31"/>
  <c r="K492" i="31" s="1"/>
  <c r="Q416" i="31"/>
  <c r="R415" i="31"/>
  <c r="R394" i="31"/>
  <c r="Q392" i="31"/>
  <c r="T392" i="31" s="1"/>
  <c r="O380" i="31"/>
  <c r="N377" i="31"/>
  <c r="N375" i="31" s="1"/>
  <c r="T334" i="31"/>
  <c r="N323" i="31"/>
  <c r="K293" i="31"/>
  <c r="I280" i="31"/>
  <c r="K280" i="31" s="1"/>
  <c r="O267" i="31"/>
  <c r="I83" i="31"/>
  <c r="L269" i="31"/>
  <c r="L268" i="31"/>
  <c r="O271" i="31"/>
  <c r="R175" i="31"/>
  <c r="U175" i="31" s="1"/>
  <c r="U178" i="31"/>
  <c r="R176" i="31"/>
  <c r="M516" i="29"/>
  <c r="P516" i="29" s="1"/>
  <c r="I168" i="29"/>
  <c r="K168" i="29" s="1"/>
  <c r="S763" i="30"/>
  <c r="R495" i="30"/>
  <c r="U495" i="30" s="1"/>
  <c r="K314" i="30"/>
  <c r="M160" i="30"/>
  <c r="P160" i="30" s="1"/>
  <c r="P77" i="30"/>
  <c r="L46" i="30"/>
  <c r="L44" i="30" s="1"/>
  <c r="T621" i="31"/>
  <c r="Q415" i="31"/>
  <c r="T415" i="31" s="1"/>
  <c r="M381" i="31"/>
  <c r="P381" i="31" s="1"/>
  <c r="M378" i="31"/>
  <c r="P378" i="31" s="1"/>
  <c r="L377" i="31"/>
  <c r="O377" i="31" s="1"/>
  <c r="P376" i="31"/>
  <c r="K371" i="31"/>
  <c r="J343" i="31"/>
  <c r="L322" i="31"/>
  <c r="M306" i="31"/>
  <c r="P306" i="31" s="1"/>
  <c r="P308" i="31"/>
  <c r="U267" i="31"/>
  <c r="L254" i="31"/>
  <c r="O254" i="31" s="1"/>
  <c r="P118" i="31"/>
  <c r="P364" i="31"/>
  <c r="P338" i="31"/>
  <c r="Q268" i="31"/>
  <c r="T271" i="31"/>
  <c r="M268" i="31"/>
  <c r="I195" i="31"/>
  <c r="K195" i="31" s="1"/>
  <c r="U191" i="31"/>
  <c r="O191" i="31"/>
  <c r="L189" i="31"/>
  <c r="Q175" i="31"/>
  <c r="T178" i="31"/>
  <c r="N159" i="31"/>
  <c r="S141" i="31"/>
  <c r="S139" i="31" s="1"/>
  <c r="R94" i="31"/>
  <c r="U94" i="31" s="1"/>
  <c r="U95" i="31"/>
  <c r="L272" i="31"/>
  <c r="O272" i="31" s="1"/>
  <c r="O274" i="31"/>
  <c r="L243" i="31"/>
  <c r="L233" i="31"/>
  <c r="N188" i="31"/>
  <c r="N186" i="31" s="1"/>
  <c r="N189" i="31"/>
  <c r="P189" i="31" s="1"/>
  <c r="L159" i="31"/>
  <c r="L119" i="31"/>
  <c r="L120" i="31"/>
  <c r="O120" i="31" s="1"/>
  <c r="O122" i="31"/>
  <c r="M335" i="31"/>
  <c r="R333" i="31"/>
  <c r="U333" i="31" s="1"/>
  <c r="M323" i="31"/>
  <c r="P323" i="31" s="1"/>
  <c r="M272" i="31"/>
  <c r="P272" i="31" s="1"/>
  <c r="N268" i="31"/>
  <c r="N266" i="31" s="1"/>
  <c r="N269" i="31"/>
  <c r="P269" i="31" s="1"/>
  <c r="I253" i="31"/>
  <c r="K253" i="31" s="1"/>
  <c r="K260" i="31"/>
  <c r="K249" i="31"/>
  <c r="I213" i="31"/>
  <c r="K213" i="31" s="1"/>
  <c r="K220" i="31"/>
  <c r="L203" i="31"/>
  <c r="O203" i="31" s="1"/>
  <c r="R192" i="31"/>
  <c r="U192" i="31" s="1"/>
  <c r="P174" i="31"/>
  <c r="U144" i="31"/>
  <c r="N62" i="31"/>
  <c r="P64" i="31"/>
  <c r="O60" i="31"/>
  <c r="Q320" i="31"/>
  <c r="T320" i="31" s="1"/>
  <c r="R188" i="31"/>
  <c r="T187" i="31"/>
  <c r="O178" i="31"/>
  <c r="L175" i="31"/>
  <c r="L176" i="31"/>
  <c r="L123" i="31"/>
  <c r="O123" i="31" s="1"/>
  <c r="O125" i="31"/>
  <c r="S282" i="31"/>
  <c r="P271" i="31"/>
  <c r="U187" i="31"/>
  <c r="P178" i="31"/>
  <c r="N176" i="31"/>
  <c r="S157" i="31"/>
  <c r="I116" i="31"/>
  <c r="K116" i="31" s="1"/>
  <c r="K127" i="31"/>
  <c r="O102" i="31"/>
  <c r="L100" i="31"/>
  <c r="O100" i="31" s="1"/>
  <c r="O47" i="31"/>
  <c r="S19" i="31"/>
  <c r="T147" i="31"/>
  <c r="Q145" i="31"/>
  <c r="T145" i="31" s="1"/>
  <c r="T144" i="31"/>
  <c r="Q142" i="31"/>
  <c r="T142" i="31" s="1"/>
  <c r="U99" i="31"/>
  <c r="R97" i="31"/>
  <c r="P65" i="31"/>
  <c r="J231" i="31"/>
  <c r="J185" i="31" s="1"/>
  <c r="Q97" i="31"/>
  <c r="Q23" i="31"/>
  <c r="R26" i="31"/>
  <c r="U26" i="31" s="1"/>
  <c r="P47" i="31"/>
  <c r="P25" i="31"/>
  <c r="S173" i="31"/>
  <c r="K93" i="31"/>
  <c r="I82" i="31"/>
  <c r="R59" i="31"/>
  <c r="U59" i="31" s="1"/>
  <c r="N26" i="31"/>
  <c r="N24" i="31" s="1"/>
  <c r="S75" i="31"/>
  <c r="S74" i="31"/>
  <c r="S72" i="31" s="1"/>
  <c r="S23" i="31"/>
  <c r="S21" i="31" s="1"/>
  <c r="P52" i="31"/>
  <c r="M26" i="31"/>
  <c r="M50" i="31"/>
  <c r="P50" i="31" s="1"/>
  <c r="S78" i="31"/>
  <c r="S26" i="31"/>
  <c r="S24" i="31" s="1"/>
  <c r="L26" i="31"/>
  <c r="L24" i="31" s="1"/>
  <c r="P22" i="31"/>
  <c r="M19" i="31"/>
  <c r="S160" i="31"/>
  <c r="M160" i="31"/>
  <c r="N142" i="31"/>
  <c r="O142" i="31" s="1"/>
  <c r="S120" i="31"/>
  <c r="M120" i="31"/>
  <c r="P120" i="31" s="1"/>
  <c r="U80" i="31"/>
  <c r="O80" i="31"/>
  <c r="U77" i="31"/>
  <c r="O77" i="31"/>
  <c r="Q75" i="31"/>
  <c r="T75" i="31" s="1"/>
  <c r="O64" i="31"/>
  <c r="N50" i="31"/>
  <c r="O49" i="31"/>
  <c r="N23" i="31"/>
  <c r="R19" i="31"/>
  <c r="L19" i="31"/>
  <c r="N46" i="31"/>
  <c r="M23" i="31"/>
  <c r="Q19" i="31"/>
  <c r="M74" i="31"/>
  <c r="P74" i="31" s="1"/>
  <c r="M61" i="31"/>
  <c r="M46" i="31"/>
  <c r="R23" i="31"/>
  <c r="L23" i="31"/>
  <c r="K682" i="28"/>
  <c r="O584" i="28"/>
  <c r="K705" i="29"/>
  <c r="R513" i="30"/>
  <c r="U513" i="30" s="1"/>
  <c r="S415" i="30"/>
  <c r="S413" i="30" s="1"/>
  <c r="S416" i="30"/>
  <c r="U416" i="30" s="1"/>
  <c r="I202" i="30"/>
  <c r="K202" i="30" s="1"/>
  <c r="O194" i="30"/>
  <c r="L192" i="30"/>
  <c r="O192" i="30" s="1"/>
  <c r="M163" i="30"/>
  <c r="P163" i="30" s="1"/>
  <c r="P165" i="30"/>
  <c r="R142" i="30"/>
  <c r="U142" i="30" s="1"/>
  <c r="U144" i="30"/>
  <c r="L75" i="30"/>
  <c r="O75" i="30" s="1"/>
  <c r="Q59" i="30"/>
  <c r="T59" i="30" s="1"/>
  <c r="T60" i="30"/>
  <c r="R19" i="30"/>
  <c r="U22" i="30"/>
  <c r="K781" i="29"/>
  <c r="U621" i="29"/>
  <c r="K369" i="29"/>
  <c r="O290" i="29"/>
  <c r="L288" i="29"/>
  <c r="O288" i="29" s="1"/>
  <c r="K727" i="30"/>
  <c r="K709" i="30"/>
  <c r="O617" i="30"/>
  <c r="L616" i="30"/>
  <c r="O616" i="30" s="1"/>
  <c r="Q555" i="30"/>
  <c r="T555" i="30" s="1"/>
  <c r="T557" i="30"/>
  <c r="M536" i="30"/>
  <c r="P536" i="30" s="1"/>
  <c r="M537" i="30"/>
  <c r="P537" i="30" s="1"/>
  <c r="P539" i="30"/>
  <c r="Q513" i="30"/>
  <c r="T513" i="30" s="1"/>
  <c r="T514" i="30"/>
  <c r="R415" i="30"/>
  <c r="R413" i="30" s="1"/>
  <c r="U413" i="30" s="1"/>
  <c r="U418" i="30"/>
  <c r="N359" i="30"/>
  <c r="P359" i="30" s="1"/>
  <c r="M305" i="30"/>
  <c r="M303" i="30" s="1"/>
  <c r="P308" i="30"/>
  <c r="M306" i="30"/>
  <c r="S306" i="30"/>
  <c r="T306" i="30" s="1"/>
  <c r="S119" i="30"/>
  <c r="S117" i="30" s="1"/>
  <c r="S120" i="30"/>
  <c r="T120" i="30" s="1"/>
  <c r="T122" i="30"/>
  <c r="L323" i="30"/>
  <c r="O323" i="30" s="1"/>
  <c r="O325" i="30"/>
  <c r="T162" i="27"/>
  <c r="O80" i="28"/>
  <c r="Q601" i="29"/>
  <c r="Q599" i="29" s="1"/>
  <c r="T599" i="29" s="1"/>
  <c r="U418" i="29"/>
  <c r="L416" i="29"/>
  <c r="O418" i="29"/>
  <c r="J674" i="30"/>
  <c r="R601" i="30"/>
  <c r="U601" i="30" s="1"/>
  <c r="N557" i="30"/>
  <c r="N555" i="30" s="1"/>
  <c r="M540" i="30"/>
  <c r="P540" i="30" s="1"/>
  <c r="L536" i="30"/>
  <c r="O536" i="30" s="1"/>
  <c r="O521" i="30"/>
  <c r="L519" i="30"/>
  <c r="O519" i="30" s="1"/>
  <c r="U308" i="30"/>
  <c r="L305" i="30"/>
  <c r="L303" i="30" s="1"/>
  <c r="L306" i="30"/>
  <c r="S282" i="30"/>
  <c r="U122" i="30"/>
  <c r="Q97" i="30"/>
  <c r="T97" i="30" s="1"/>
  <c r="T99" i="30"/>
  <c r="R74" i="30"/>
  <c r="U74" i="30" s="1"/>
  <c r="R75" i="30"/>
  <c r="U75" i="30" s="1"/>
  <c r="S731" i="30"/>
  <c r="U731" i="30" s="1"/>
  <c r="S730" i="30"/>
  <c r="S728" i="30" s="1"/>
  <c r="M309" i="30"/>
  <c r="P309" i="30" s="1"/>
  <c r="P311" i="30"/>
  <c r="N188" i="30"/>
  <c r="N186" i="30" s="1"/>
  <c r="N189" i="30"/>
  <c r="P189" i="30" s="1"/>
  <c r="L74" i="28"/>
  <c r="L72" i="28" s="1"/>
  <c r="L540" i="30"/>
  <c r="O540" i="30" s="1"/>
  <c r="N495" i="30"/>
  <c r="N493" i="30" s="1"/>
  <c r="N496" i="30"/>
  <c r="N377" i="30"/>
  <c r="N375" i="30" s="1"/>
  <c r="N378" i="30"/>
  <c r="T322" i="30"/>
  <c r="Q320" i="30"/>
  <c r="T320" i="30" s="1"/>
  <c r="M62" i="30"/>
  <c r="P62" i="30" s="1"/>
  <c r="P64" i="30"/>
  <c r="R44" i="30"/>
  <c r="U44" i="30" s="1"/>
  <c r="Q495" i="29"/>
  <c r="T498" i="29"/>
  <c r="Q496" i="29"/>
  <c r="T496" i="29" s="1"/>
  <c r="L62" i="29"/>
  <c r="O62" i="29" s="1"/>
  <c r="O64" i="29"/>
  <c r="I689" i="30"/>
  <c r="K689" i="30" s="1"/>
  <c r="K707" i="30"/>
  <c r="L415" i="30"/>
  <c r="L413" i="30" s="1"/>
  <c r="L416" i="30"/>
  <c r="O416" i="30" s="1"/>
  <c r="O418" i="30"/>
  <c r="M192" i="30"/>
  <c r="P192" i="30" s="1"/>
  <c r="P194" i="30"/>
  <c r="K785" i="29"/>
  <c r="K709" i="29"/>
  <c r="U647" i="29"/>
  <c r="T604" i="29"/>
  <c r="N557" i="29"/>
  <c r="N555" i="29" s="1"/>
  <c r="L323" i="29"/>
  <c r="O323" i="29" s="1"/>
  <c r="O325" i="29"/>
  <c r="M62" i="29"/>
  <c r="P62" i="29" s="1"/>
  <c r="P64" i="29"/>
  <c r="S760" i="30"/>
  <c r="U733" i="30"/>
  <c r="Q605" i="30"/>
  <c r="T605" i="30" s="1"/>
  <c r="T607" i="30"/>
  <c r="Q534" i="30"/>
  <c r="T534" i="30" s="1"/>
  <c r="T535" i="30"/>
  <c r="M495" i="30"/>
  <c r="P495" i="30" s="1"/>
  <c r="S394" i="30"/>
  <c r="S392" i="30" s="1"/>
  <c r="S395" i="30"/>
  <c r="L358" i="30"/>
  <c r="L362" i="30"/>
  <c r="O362" i="30" s="1"/>
  <c r="O364" i="30"/>
  <c r="L322" i="30"/>
  <c r="O322" i="30" s="1"/>
  <c r="R303" i="30"/>
  <c r="U303" i="30" s="1"/>
  <c r="K293" i="30"/>
  <c r="I280" i="30"/>
  <c r="K280" i="30" s="1"/>
  <c r="L214" i="30"/>
  <c r="O214" i="30" s="1"/>
  <c r="P191" i="30"/>
  <c r="L61" i="30"/>
  <c r="L59" i="30" s="1"/>
  <c r="L62" i="30"/>
  <c r="O62" i="30" s="1"/>
  <c r="M378" i="29"/>
  <c r="P378" i="29" s="1"/>
  <c r="P325" i="29"/>
  <c r="R763" i="30"/>
  <c r="I759" i="30"/>
  <c r="K759" i="30" s="1"/>
  <c r="J701" i="30"/>
  <c r="O584" i="30"/>
  <c r="M561" i="30"/>
  <c r="P561" i="30" s="1"/>
  <c r="T418" i="30"/>
  <c r="O393" i="30"/>
  <c r="M377" i="30"/>
  <c r="M375" i="30" s="1"/>
  <c r="P361" i="30"/>
  <c r="S356" i="30"/>
  <c r="M335" i="30"/>
  <c r="M333" i="30" s="1"/>
  <c r="Q282" i="30"/>
  <c r="T282" i="30" s="1"/>
  <c r="R269" i="30"/>
  <c r="K252" i="30"/>
  <c r="M175" i="30"/>
  <c r="M173" i="30" s="1"/>
  <c r="S176" i="30"/>
  <c r="K153" i="30"/>
  <c r="O144" i="30"/>
  <c r="T125" i="30"/>
  <c r="Q74" i="30"/>
  <c r="T74" i="30" s="1"/>
  <c r="S44" i="30"/>
  <c r="Q44" i="30"/>
  <c r="T44" i="30" s="1"/>
  <c r="S306" i="29"/>
  <c r="K772" i="30"/>
  <c r="M728" i="30"/>
  <c r="P728" i="30" s="1"/>
  <c r="K703" i="30"/>
  <c r="K632" i="30"/>
  <c r="Q601" i="30"/>
  <c r="T601" i="30" s="1"/>
  <c r="L561" i="30"/>
  <c r="O561" i="30" s="1"/>
  <c r="Q496" i="30"/>
  <c r="T496" i="30" s="1"/>
  <c r="L495" i="30"/>
  <c r="O495" i="30" s="1"/>
  <c r="M419" i="30"/>
  <c r="P419" i="30" s="1"/>
  <c r="Q392" i="30"/>
  <c r="T392" i="30" s="1"/>
  <c r="N392" i="30"/>
  <c r="O361" i="30"/>
  <c r="N284" i="30"/>
  <c r="N282" i="30" s="1"/>
  <c r="L268" i="30"/>
  <c r="L266" i="30" s="1"/>
  <c r="I265" i="30"/>
  <c r="K265" i="30" s="1"/>
  <c r="L188" i="30"/>
  <c r="L186" i="30" s="1"/>
  <c r="N141" i="30"/>
  <c r="N139" i="30" s="1"/>
  <c r="M96" i="30"/>
  <c r="P96" i="30" s="1"/>
  <c r="N19" i="30"/>
  <c r="S576" i="30"/>
  <c r="R555" i="30"/>
  <c r="U555" i="30" s="1"/>
  <c r="M515" i="30"/>
  <c r="P515" i="30" s="1"/>
  <c r="Q415" i="30"/>
  <c r="Q413" i="30" s="1"/>
  <c r="R333" i="30"/>
  <c r="U333" i="30" s="1"/>
  <c r="R266" i="30"/>
  <c r="L269" i="30"/>
  <c r="K251" i="30"/>
  <c r="L233" i="30"/>
  <c r="L222" i="30"/>
  <c r="O222" i="30" s="1"/>
  <c r="R188" i="30"/>
  <c r="R186" i="30" s="1"/>
  <c r="L189" i="30"/>
  <c r="S173" i="30"/>
  <c r="M159" i="30"/>
  <c r="P159" i="30" s="1"/>
  <c r="S160" i="30"/>
  <c r="K152" i="30"/>
  <c r="S94" i="30"/>
  <c r="L234" i="29"/>
  <c r="Q731" i="30"/>
  <c r="S693" i="30"/>
  <c r="T693" i="30" s="1"/>
  <c r="M601" i="30"/>
  <c r="M599" i="30" s="1"/>
  <c r="N578" i="30"/>
  <c r="N576" i="30" s="1"/>
  <c r="N579" i="30"/>
  <c r="L515" i="30"/>
  <c r="O501" i="30"/>
  <c r="N415" i="30"/>
  <c r="N413" i="30" s="1"/>
  <c r="J351" i="30"/>
  <c r="M322" i="30"/>
  <c r="P322" i="30" s="1"/>
  <c r="O311" i="30"/>
  <c r="L284" i="30"/>
  <c r="O284" i="30" s="1"/>
  <c r="T284" i="30"/>
  <c r="Q188" i="30"/>
  <c r="Q186" i="30" s="1"/>
  <c r="M119" i="30"/>
  <c r="P119" i="30" s="1"/>
  <c r="M97" i="30"/>
  <c r="P97" i="30" s="1"/>
  <c r="I83" i="30"/>
  <c r="I71" i="30" s="1"/>
  <c r="K71" i="30" s="1"/>
  <c r="R59" i="30"/>
  <c r="U59" i="30" s="1"/>
  <c r="L19" i="30"/>
  <c r="Q576" i="30"/>
  <c r="T576" i="30" s="1"/>
  <c r="T577" i="30"/>
  <c r="K705" i="25"/>
  <c r="K778" i="29"/>
  <c r="L100" i="29"/>
  <c r="O100" i="29" s="1"/>
  <c r="O102" i="29"/>
  <c r="P762" i="30"/>
  <c r="M760" i="30"/>
  <c r="P760" i="30" s="1"/>
  <c r="Q728" i="30"/>
  <c r="T729" i="30"/>
  <c r="L690" i="30"/>
  <c r="O690" i="30" s="1"/>
  <c r="O691" i="30"/>
  <c r="Q644" i="30"/>
  <c r="T647" i="30"/>
  <c r="O604" i="30"/>
  <c r="L602" i="30"/>
  <c r="O602" i="30" s="1"/>
  <c r="R378" i="30"/>
  <c r="U380" i="30"/>
  <c r="R377" i="30"/>
  <c r="R375" i="30" s="1"/>
  <c r="P311" i="29"/>
  <c r="M309" i="29"/>
  <c r="P309" i="29" s="1"/>
  <c r="Q763" i="30"/>
  <c r="Q762" i="30"/>
  <c r="T762" i="30" s="1"/>
  <c r="T765" i="30"/>
  <c r="N760" i="30"/>
  <c r="Q714" i="30"/>
  <c r="T714" i="30" s="1"/>
  <c r="T715" i="30"/>
  <c r="M690" i="30"/>
  <c r="P690" i="30" s="1"/>
  <c r="P691" i="30"/>
  <c r="R618" i="30"/>
  <c r="U621" i="30"/>
  <c r="S378" i="30"/>
  <c r="T378" i="30" s="1"/>
  <c r="S377" i="30"/>
  <c r="S375" i="30" s="1"/>
  <c r="I365" i="30"/>
  <c r="K365" i="30" s="1"/>
  <c r="K371" i="30"/>
  <c r="K778" i="26"/>
  <c r="K229" i="27"/>
  <c r="K705" i="28"/>
  <c r="P421" i="28"/>
  <c r="Q395" i="28"/>
  <c r="T395" i="28" s="1"/>
  <c r="R269" i="28"/>
  <c r="M119" i="28"/>
  <c r="M117" i="28" s="1"/>
  <c r="P117" i="28" s="1"/>
  <c r="L120" i="28"/>
  <c r="O120" i="28" s="1"/>
  <c r="R97" i="28"/>
  <c r="U97" i="28" s="1"/>
  <c r="R692" i="29"/>
  <c r="R690" i="29" s="1"/>
  <c r="T621" i="29"/>
  <c r="R602" i="29"/>
  <c r="U602" i="29" s="1"/>
  <c r="U604" i="29"/>
  <c r="O518" i="29"/>
  <c r="R378" i="29"/>
  <c r="U378" i="29" s="1"/>
  <c r="U380" i="29"/>
  <c r="I221" i="29"/>
  <c r="K221" i="29" s="1"/>
  <c r="K229" i="29"/>
  <c r="O189" i="29"/>
  <c r="M141" i="29"/>
  <c r="M139" i="29" s="1"/>
  <c r="I92" i="29"/>
  <c r="K92" i="29" s="1"/>
  <c r="K108" i="29"/>
  <c r="K785" i="30"/>
  <c r="K779" i="30"/>
  <c r="L760" i="30"/>
  <c r="O760" i="30" s="1"/>
  <c r="O761" i="30"/>
  <c r="S690" i="30"/>
  <c r="M642" i="30"/>
  <c r="P642" i="30" s="1"/>
  <c r="P643" i="30"/>
  <c r="R619" i="30"/>
  <c r="P607" i="30"/>
  <c r="M605" i="30"/>
  <c r="P605" i="30" s="1"/>
  <c r="L601" i="30"/>
  <c r="M392" i="30"/>
  <c r="P392" i="30" s="1"/>
  <c r="Q333" i="30"/>
  <c r="T333" i="30" s="1"/>
  <c r="N322" i="30"/>
  <c r="N320" i="30" s="1"/>
  <c r="N323" i="30"/>
  <c r="L378" i="29"/>
  <c r="O378" i="29" s="1"/>
  <c r="O380" i="29"/>
  <c r="R645" i="30"/>
  <c r="U645" i="30" s="1"/>
  <c r="R644" i="30"/>
  <c r="U644" i="30" s="1"/>
  <c r="U647" i="30"/>
  <c r="P604" i="30"/>
  <c r="M602" i="30"/>
  <c r="P602" i="30" s="1"/>
  <c r="U578" i="30"/>
  <c r="R576" i="30"/>
  <c r="U576" i="30" s="1"/>
  <c r="O421" i="28"/>
  <c r="T99" i="28"/>
  <c r="R763" i="29"/>
  <c r="U763" i="29" s="1"/>
  <c r="T647" i="29"/>
  <c r="L362" i="29"/>
  <c r="O362" i="29" s="1"/>
  <c r="O364" i="29"/>
  <c r="L46" i="29"/>
  <c r="L47" i="29"/>
  <c r="O716" i="30"/>
  <c r="L714" i="30"/>
  <c r="O714" i="30" s="1"/>
  <c r="U691" i="30"/>
  <c r="Q645" i="30"/>
  <c r="T645" i="30" s="1"/>
  <c r="L642" i="30"/>
  <c r="O642" i="30" s="1"/>
  <c r="O643" i="30"/>
  <c r="K626" i="30"/>
  <c r="M616" i="30"/>
  <c r="P616" i="30" s="1"/>
  <c r="P617" i="30"/>
  <c r="O607" i="30"/>
  <c r="L605" i="30"/>
  <c r="O605" i="30" s="1"/>
  <c r="U604" i="30"/>
  <c r="R602" i="30"/>
  <c r="U602" i="30" s="1"/>
  <c r="P581" i="30"/>
  <c r="M579" i="30"/>
  <c r="P579" i="30" s="1"/>
  <c r="N536" i="30"/>
  <c r="N534" i="30" s="1"/>
  <c r="R534" i="30"/>
  <c r="U534" i="30" s="1"/>
  <c r="U535" i="30"/>
  <c r="T376" i="30"/>
  <c r="K630" i="26"/>
  <c r="R306" i="27"/>
  <c r="J702" i="28"/>
  <c r="J702" i="29"/>
  <c r="P383" i="29"/>
  <c r="M381" i="29"/>
  <c r="P381" i="29" s="1"/>
  <c r="U305" i="29"/>
  <c r="R303" i="29"/>
  <c r="U303" i="29" s="1"/>
  <c r="N74" i="29"/>
  <c r="N72" i="29" s="1"/>
  <c r="N75" i="29"/>
  <c r="R760" i="30"/>
  <c r="U761" i="30"/>
  <c r="O730" i="30"/>
  <c r="L728" i="30"/>
  <c r="O728" i="30" s="1"/>
  <c r="S714" i="30"/>
  <c r="R693" i="30"/>
  <c r="R692" i="30"/>
  <c r="U692" i="30" s="1"/>
  <c r="U695" i="30"/>
  <c r="O581" i="30"/>
  <c r="L579" i="30"/>
  <c r="O579" i="30" s="1"/>
  <c r="O308" i="27"/>
  <c r="Q96" i="27"/>
  <c r="Q94" i="27" s="1"/>
  <c r="K249" i="28"/>
  <c r="N61" i="28"/>
  <c r="N59" i="28" s="1"/>
  <c r="K774" i="29"/>
  <c r="S730" i="29"/>
  <c r="S728" i="29" s="1"/>
  <c r="S731" i="29"/>
  <c r="U731" i="29" s="1"/>
  <c r="I689" i="29"/>
  <c r="K689" i="29" s="1"/>
  <c r="R644" i="29"/>
  <c r="R642" i="29" s="1"/>
  <c r="R645" i="29"/>
  <c r="M605" i="29"/>
  <c r="P605" i="29" s="1"/>
  <c r="K385" i="29"/>
  <c r="K371" i="29"/>
  <c r="P191" i="29"/>
  <c r="M163" i="29"/>
  <c r="P163" i="29" s="1"/>
  <c r="U762" i="30"/>
  <c r="T761" i="30"/>
  <c r="U716" i="30"/>
  <c r="R714" i="30"/>
  <c r="U714" i="30" s="1"/>
  <c r="Q692" i="30"/>
  <c r="T695" i="30"/>
  <c r="U643" i="30"/>
  <c r="S619" i="30"/>
  <c r="T621" i="30"/>
  <c r="S618" i="30"/>
  <c r="S616" i="30" s="1"/>
  <c r="U607" i="30"/>
  <c r="R605" i="30"/>
  <c r="U605" i="30" s="1"/>
  <c r="S601" i="30"/>
  <c r="S599" i="30" s="1"/>
  <c r="T600" i="30"/>
  <c r="O535" i="30"/>
  <c r="L378" i="30"/>
  <c r="L377" i="30"/>
  <c r="O380" i="30"/>
  <c r="K780" i="29"/>
  <c r="U695" i="29"/>
  <c r="P418" i="29"/>
  <c r="K368" i="29"/>
  <c r="P364" i="29"/>
  <c r="K330" i="29"/>
  <c r="S303" i="29"/>
  <c r="I280" i="29"/>
  <c r="K280" i="29" s="1"/>
  <c r="R269" i="29"/>
  <c r="U269" i="29" s="1"/>
  <c r="Q266" i="29"/>
  <c r="K249" i="29"/>
  <c r="R192" i="29"/>
  <c r="U192" i="29" s="1"/>
  <c r="O178" i="29"/>
  <c r="K167" i="29"/>
  <c r="R97" i="29"/>
  <c r="U765" i="30"/>
  <c r="T733" i="30"/>
  <c r="K629" i="30"/>
  <c r="N515" i="30"/>
  <c r="N513" i="30" s="1"/>
  <c r="K503" i="30"/>
  <c r="P501" i="30"/>
  <c r="M499" i="30"/>
  <c r="P499" i="30" s="1"/>
  <c r="P418" i="30"/>
  <c r="J374" i="30"/>
  <c r="O383" i="30"/>
  <c r="T380" i="30"/>
  <c r="L359" i="30"/>
  <c r="J343" i="30"/>
  <c r="O341" i="30"/>
  <c r="L339" i="30"/>
  <c r="O339" i="30" s="1"/>
  <c r="O283" i="30"/>
  <c r="T267" i="30"/>
  <c r="Q266" i="30"/>
  <c r="I213" i="30"/>
  <c r="K213" i="30" s="1"/>
  <c r="K220" i="30"/>
  <c r="L96" i="29"/>
  <c r="L94" i="29" s="1"/>
  <c r="I615" i="30"/>
  <c r="K615" i="30" s="1"/>
  <c r="O539" i="30"/>
  <c r="L537" i="30"/>
  <c r="O537" i="30" s="1"/>
  <c r="M516" i="30"/>
  <c r="P516" i="30" s="1"/>
  <c r="P498" i="30"/>
  <c r="M496" i="30"/>
  <c r="P496" i="30" s="1"/>
  <c r="R395" i="30"/>
  <c r="U395" i="30" s="1"/>
  <c r="R394" i="30"/>
  <c r="U394" i="30" s="1"/>
  <c r="U397" i="30"/>
  <c r="N335" i="30"/>
  <c r="N336" i="30"/>
  <c r="O336" i="30" s="1"/>
  <c r="O338" i="30"/>
  <c r="P338" i="30"/>
  <c r="S413" i="29"/>
  <c r="M305" i="29"/>
  <c r="M303" i="29" s="1"/>
  <c r="L222" i="29"/>
  <c r="O222" i="29" s="1"/>
  <c r="N159" i="29"/>
  <c r="N157" i="29" s="1"/>
  <c r="T99" i="29"/>
  <c r="L61" i="29"/>
  <c r="L59" i="29" s="1"/>
  <c r="P383" i="30"/>
  <c r="M381" i="30"/>
  <c r="P381" i="30" s="1"/>
  <c r="M362" i="30"/>
  <c r="P362" i="30" s="1"/>
  <c r="M358" i="30"/>
  <c r="P364" i="30"/>
  <c r="P321" i="30"/>
  <c r="K365" i="29"/>
  <c r="J351" i="29"/>
  <c r="N160" i="29"/>
  <c r="P160" i="29" s="1"/>
  <c r="Q74" i="29"/>
  <c r="Q72" i="29" s="1"/>
  <c r="T72" i="29" s="1"/>
  <c r="J503" i="30"/>
  <c r="J492" i="30" s="1"/>
  <c r="J457" i="30"/>
  <c r="P380" i="30"/>
  <c r="M378" i="30"/>
  <c r="I253" i="30"/>
  <c r="K253" i="30" s="1"/>
  <c r="K260" i="30"/>
  <c r="M557" i="30"/>
  <c r="P557" i="30" s="1"/>
  <c r="Q495" i="30"/>
  <c r="I423" i="30"/>
  <c r="M415" i="30"/>
  <c r="Q377" i="30"/>
  <c r="S333" i="30"/>
  <c r="K302" i="30"/>
  <c r="O308" i="30"/>
  <c r="N306" i="30"/>
  <c r="K292" i="30"/>
  <c r="I281" i="30"/>
  <c r="K281" i="30" s="1"/>
  <c r="P274" i="30"/>
  <c r="M272" i="30"/>
  <c r="P272" i="30" s="1"/>
  <c r="P271" i="30"/>
  <c r="M269" i="30"/>
  <c r="I172" i="30"/>
  <c r="K172" i="30" s="1"/>
  <c r="K183" i="30"/>
  <c r="O181" i="30"/>
  <c r="L175" i="30"/>
  <c r="L557" i="30"/>
  <c r="O557" i="30" s="1"/>
  <c r="R356" i="30"/>
  <c r="U356" i="30" s="1"/>
  <c r="T308" i="30"/>
  <c r="Q305" i="30"/>
  <c r="R282" i="30"/>
  <c r="U282" i="30" s="1"/>
  <c r="T271" i="30"/>
  <c r="S269" i="30"/>
  <c r="P267" i="30"/>
  <c r="L254" i="30"/>
  <c r="O254" i="30" s="1"/>
  <c r="I238" i="30"/>
  <c r="K238" i="30" s="1"/>
  <c r="U189" i="30"/>
  <c r="S19" i="30"/>
  <c r="K116" i="30"/>
  <c r="Q26" i="30"/>
  <c r="O321" i="30"/>
  <c r="U305" i="30"/>
  <c r="N305" i="30"/>
  <c r="N176" i="30"/>
  <c r="O176" i="30" s="1"/>
  <c r="P178" i="30"/>
  <c r="O158" i="30"/>
  <c r="P144" i="30"/>
  <c r="M142" i="30"/>
  <c r="P142" i="30" s="1"/>
  <c r="M141" i="30"/>
  <c r="P141" i="30" s="1"/>
  <c r="U95" i="30"/>
  <c r="Q356" i="30"/>
  <c r="T356" i="30" s="1"/>
  <c r="L335" i="30"/>
  <c r="P334" i="30"/>
  <c r="R320" i="30"/>
  <c r="U320" i="30" s="1"/>
  <c r="U321" i="30"/>
  <c r="M288" i="30"/>
  <c r="P288" i="30" s="1"/>
  <c r="M284" i="30"/>
  <c r="L234" i="30"/>
  <c r="L243" i="30"/>
  <c r="U158" i="30"/>
  <c r="U19" i="30"/>
  <c r="M323" i="30"/>
  <c r="P323" i="30" s="1"/>
  <c r="L288" i="30"/>
  <c r="O288" i="30" s="1"/>
  <c r="N269" i="30"/>
  <c r="Q192" i="30"/>
  <c r="T192" i="30" s="1"/>
  <c r="U191" i="30"/>
  <c r="O191" i="30"/>
  <c r="Q189" i="30"/>
  <c r="T189" i="30" s="1"/>
  <c r="T178" i="30"/>
  <c r="L163" i="30"/>
  <c r="O163" i="30" s="1"/>
  <c r="U147" i="30"/>
  <c r="P147" i="30"/>
  <c r="M145" i="30"/>
  <c r="P145" i="30" s="1"/>
  <c r="P47" i="30"/>
  <c r="P325" i="30"/>
  <c r="K249" i="30"/>
  <c r="I242" i="30"/>
  <c r="T191" i="30"/>
  <c r="O178" i="30"/>
  <c r="U174" i="30"/>
  <c r="K169" i="30"/>
  <c r="T162" i="30"/>
  <c r="L160" i="30"/>
  <c r="O160" i="30" s="1"/>
  <c r="L159" i="30"/>
  <c r="O159" i="30" s="1"/>
  <c r="P140" i="30"/>
  <c r="N119" i="30"/>
  <c r="N117" i="30" s="1"/>
  <c r="I82" i="30"/>
  <c r="N26" i="30"/>
  <c r="N24" i="30" s="1"/>
  <c r="K229" i="30"/>
  <c r="S188" i="30"/>
  <c r="S186" i="30" s="1"/>
  <c r="M188" i="30"/>
  <c r="R176" i="30"/>
  <c r="U176" i="30" s="1"/>
  <c r="R175" i="30"/>
  <c r="U175" i="30" s="1"/>
  <c r="K154" i="30"/>
  <c r="Q145" i="30"/>
  <c r="T145" i="30" s="1"/>
  <c r="Q141" i="30"/>
  <c r="T141" i="30" s="1"/>
  <c r="N96" i="30"/>
  <c r="N94" i="30" s="1"/>
  <c r="P52" i="30"/>
  <c r="M26" i="30"/>
  <c r="P26" i="30" s="1"/>
  <c r="M50" i="30"/>
  <c r="P50" i="30" s="1"/>
  <c r="Q175" i="30"/>
  <c r="T175" i="30" s="1"/>
  <c r="R160" i="30"/>
  <c r="U160" i="30" s="1"/>
  <c r="R159" i="30"/>
  <c r="U159" i="30" s="1"/>
  <c r="O118" i="30"/>
  <c r="L26" i="30"/>
  <c r="P22" i="30"/>
  <c r="M19" i="30"/>
  <c r="Q159" i="30"/>
  <c r="T159" i="30" s="1"/>
  <c r="U118" i="30"/>
  <c r="O95" i="30"/>
  <c r="R26" i="30"/>
  <c r="P67" i="30"/>
  <c r="M65" i="30"/>
  <c r="P65" i="30" s="1"/>
  <c r="O47" i="30"/>
  <c r="P25" i="30"/>
  <c r="O19" i="30"/>
  <c r="T144" i="30"/>
  <c r="U80" i="30"/>
  <c r="O80" i="30"/>
  <c r="Q78" i="30"/>
  <c r="T78" i="30" s="1"/>
  <c r="U77" i="30"/>
  <c r="O77" i="30"/>
  <c r="Q75" i="30"/>
  <c r="T75" i="30" s="1"/>
  <c r="O64" i="30"/>
  <c r="N50" i="30"/>
  <c r="O49" i="30"/>
  <c r="N23" i="30"/>
  <c r="R119" i="30"/>
  <c r="L119" i="30"/>
  <c r="O119" i="30" s="1"/>
  <c r="R96" i="30"/>
  <c r="U96" i="30" s="1"/>
  <c r="L96" i="30"/>
  <c r="O96" i="30" s="1"/>
  <c r="N74" i="30"/>
  <c r="N72" i="30" s="1"/>
  <c r="N61" i="30"/>
  <c r="N46" i="30"/>
  <c r="S26" i="30"/>
  <c r="S24" i="30" s="1"/>
  <c r="S23" i="30"/>
  <c r="S21" i="30" s="1"/>
  <c r="M23" i="30"/>
  <c r="M21" i="30" s="1"/>
  <c r="Q19" i="30"/>
  <c r="R141" i="30"/>
  <c r="U141" i="30" s="1"/>
  <c r="L141" i="30"/>
  <c r="O141" i="30" s="1"/>
  <c r="Q119" i="30"/>
  <c r="Q96" i="30"/>
  <c r="K85" i="30"/>
  <c r="S74" i="30"/>
  <c r="S72" i="30" s="1"/>
  <c r="M74" i="30"/>
  <c r="M61" i="30"/>
  <c r="M46" i="30"/>
  <c r="R23" i="30"/>
  <c r="L23" i="30"/>
  <c r="R123" i="30"/>
  <c r="U123" i="30" s="1"/>
  <c r="L123" i="30"/>
  <c r="O123" i="30" s="1"/>
  <c r="R120" i="30"/>
  <c r="L120" i="30"/>
  <c r="O120" i="30" s="1"/>
  <c r="L100" i="30"/>
  <c r="O100" i="30" s="1"/>
  <c r="R97" i="30"/>
  <c r="U97" i="30" s="1"/>
  <c r="L97" i="30"/>
  <c r="O97" i="30" s="1"/>
  <c r="Q23" i="30"/>
  <c r="Q760" i="29"/>
  <c r="T760" i="29" s="1"/>
  <c r="P194" i="29"/>
  <c r="M192" i="29"/>
  <c r="P192" i="29" s="1"/>
  <c r="Q145" i="29"/>
  <c r="T145" i="29" s="1"/>
  <c r="T147" i="29"/>
  <c r="U191" i="26"/>
  <c r="K784" i="28"/>
  <c r="Q645" i="28"/>
  <c r="T645" i="28" s="1"/>
  <c r="N601" i="28"/>
  <c r="N599" i="28" s="1"/>
  <c r="K782" i="29"/>
  <c r="L642" i="29"/>
  <c r="O642" i="29" s="1"/>
  <c r="O643" i="29"/>
  <c r="P602" i="29"/>
  <c r="R534" i="29"/>
  <c r="U534" i="29" s="1"/>
  <c r="M269" i="29"/>
  <c r="P271" i="29"/>
  <c r="O194" i="29"/>
  <c r="L192" i="29"/>
  <c r="O192" i="29" s="1"/>
  <c r="K109" i="29"/>
  <c r="I93" i="29"/>
  <c r="K93" i="29" s="1"/>
  <c r="S96" i="29"/>
  <c r="S94" i="29" s="1"/>
  <c r="M78" i="29"/>
  <c r="P78" i="29" s="1"/>
  <c r="P80" i="29"/>
  <c r="M47" i="29"/>
  <c r="P49" i="29"/>
  <c r="N268" i="29"/>
  <c r="N266" i="29" s="1"/>
  <c r="N269" i="29"/>
  <c r="O269" i="29" s="1"/>
  <c r="L97" i="29"/>
  <c r="N46" i="29"/>
  <c r="N44" i="29" s="1"/>
  <c r="O49" i="29"/>
  <c r="N47" i="29"/>
  <c r="K369" i="26"/>
  <c r="K707" i="27"/>
  <c r="K630" i="28"/>
  <c r="N515" i="28"/>
  <c r="N513" i="28" s="1"/>
  <c r="K503" i="28"/>
  <c r="Q378" i="28"/>
  <c r="T378" i="28" s="1"/>
  <c r="K229" i="28"/>
  <c r="M159" i="28"/>
  <c r="M157" i="28" s="1"/>
  <c r="S159" i="28"/>
  <c r="S157" i="28" s="1"/>
  <c r="K127" i="28"/>
  <c r="K784" i="29"/>
  <c r="T765" i="29"/>
  <c r="J701" i="29"/>
  <c r="M582" i="29"/>
  <c r="P582" i="29" s="1"/>
  <c r="P584" i="29"/>
  <c r="Q576" i="29"/>
  <c r="T576" i="29" s="1"/>
  <c r="T578" i="29"/>
  <c r="Q534" i="29"/>
  <c r="T534" i="29" s="1"/>
  <c r="L499" i="29"/>
  <c r="O499" i="29" s="1"/>
  <c r="O501" i="29"/>
  <c r="K346" i="29"/>
  <c r="U271" i="29"/>
  <c r="S159" i="29"/>
  <c r="S157" i="29" s="1"/>
  <c r="S160" i="29"/>
  <c r="N119" i="29"/>
  <c r="N117" i="29" s="1"/>
  <c r="N120" i="29"/>
  <c r="O80" i="29"/>
  <c r="L78" i="29"/>
  <c r="O78" i="29" s="1"/>
  <c r="L74" i="29"/>
  <c r="L72" i="29" s="1"/>
  <c r="O72" i="29" s="1"/>
  <c r="O77" i="29"/>
  <c r="L75" i="29"/>
  <c r="O75" i="29" s="1"/>
  <c r="I758" i="29"/>
  <c r="K758" i="29" s="1"/>
  <c r="T498" i="26"/>
  <c r="L495" i="26"/>
  <c r="O495" i="26" s="1"/>
  <c r="R416" i="26"/>
  <c r="T607" i="27"/>
  <c r="O521" i="27"/>
  <c r="R619" i="28"/>
  <c r="U619" i="28" s="1"/>
  <c r="T607" i="28"/>
  <c r="N578" i="28"/>
  <c r="N576" i="28" s="1"/>
  <c r="M495" i="28"/>
  <c r="P495" i="28" s="1"/>
  <c r="L377" i="28"/>
  <c r="L375" i="28" s="1"/>
  <c r="O375" i="28" s="1"/>
  <c r="T162" i="28"/>
  <c r="O162" i="28"/>
  <c r="L760" i="29"/>
  <c r="O760" i="29" s="1"/>
  <c r="Q730" i="29"/>
  <c r="Q728" i="29" s="1"/>
  <c r="Q731" i="29"/>
  <c r="I701" i="29"/>
  <c r="K703" i="29"/>
  <c r="U643" i="29"/>
  <c r="R605" i="29"/>
  <c r="U605" i="29" s="1"/>
  <c r="U607" i="29"/>
  <c r="N601" i="29"/>
  <c r="N599" i="29" s="1"/>
  <c r="M537" i="29"/>
  <c r="P537" i="29" s="1"/>
  <c r="P539" i="29"/>
  <c r="M496" i="29"/>
  <c r="P496" i="29" s="1"/>
  <c r="P498" i="29"/>
  <c r="N335" i="29"/>
  <c r="N333" i="29" s="1"/>
  <c r="N336" i="29"/>
  <c r="O336" i="29" s="1"/>
  <c r="O283" i="29"/>
  <c r="R141" i="29"/>
  <c r="R139" i="29" s="1"/>
  <c r="K127" i="29"/>
  <c r="P125" i="29"/>
  <c r="M123" i="29"/>
  <c r="P123" i="29" s="1"/>
  <c r="M119" i="29"/>
  <c r="P119" i="29" s="1"/>
  <c r="M120" i="29"/>
  <c r="P120" i="29" s="1"/>
  <c r="O45" i="29"/>
  <c r="Q714" i="29"/>
  <c r="T714" i="29" s="1"/>
  <c r="T715" i="29"/>
  <c r="M642" i="29"/>
  <c r="P642" i="29" s="1"/>
  <c r="P643" i="29"/>
  <c r="L561" i="29"/>
  <c r="O561" i="29" s="1"/>
  <c r="O563" i="29"/>
  <c r="P140" i="29"/>
  <c r="K784" i="27"/>
  <c r="K778" i="27"/>
  <c r="Q160" i="27"/>
  <c r="T160" i="27" s="1"/>
  <c r="R145" i="27"/>
  <c r="U145" i="27" s="1"/>
  <c r="K780" i="28"/>
  <c r="K673" i="28"/>
  <c r="L515" i="28"/>
  <c r="O515" i="28" s="1"/>
  <c r="U305" i="28"/>
  <c r="P80" i="28"/>
  <c r="Q605" i="29"/>
  <c r="T605" i="29" s="1"/>
  <c r="T607" i="29"/>
  <c r="L495" i="29"/>
  <c r="O495" i="29" s="1"/>
  <c r="O498" i="29"/>
  <c r="L496" i="29"/>
  <c r="O496" i="29" s="1"/>
  <c r="Q378" i="29"/>
  <c r="T378" i="29" s="1"/>
  <c r="T380" i="29"/>
  <c r="Q377" i="29"/>
  <c r="T377" i="29" s="1"/>
  <c r="M336" i="29"/>
  <c r="P338" i="29"/>
  <c r="L284" i="29"/>
  <c r="O284" i="29" s="1"/>
  <c r="L285" i="29"/>
  <c r="O285" i="29" s="1"/>
  <c r="U283" i="29"/>
  <c r="R282" i="29"/>
  <c r="U282" i="29" s="1"/>
  <c r="N175" i="29"/>
  <c r="N173" i="29" s="1"/>
  <c r="K116" i="29"/>
  <c r="R74" i="29"/>
  <c r="R72" i="29" s="1"/>
  <c r="U72" i="29" s="1"/>
  <c r="R75" i="29"/>
  <c r="U75" i="29" s="1"/>
  <c r="U77" i="29"/>
  <c r="S44" i="29"/>
  <c r="R44" i="29"/>
  <c r="U44" i="29" s="1"/>
  <c r="Q601" i="28"/>
  <c r="T601" i="28" s="1"/>
  <c r="Q693" i="29"/>
  <c r="T693" i="29" s="1"/>
  <c r="T695" i="29"/>
  <c r="L519" i="28"/>
  <c r="O519" i="28" s="1"/>
  <c r="O64" i="28"/>
  <c r="U693" i="29"/>
  <c r="M616" i="29"/>
  <c r="P616" i="29" s="1"/>
  <c r="M561" i="29"/>
  <c r="P561" i="29" s="1"/>
  <c r="P563" i="29"/>
  <c r="N558" i="29"/>
  <c r="S496" i="29"/>
  <c r="S495" i="29"/>
  <c r="S493" i="29" s="1"/>
  <c r="P394" i="29"/>
  <c r="M392" i="29"/>
  <c r="P392" i="29" s="1"/>
  <c r="R333" i="29"/>
  <c r="U333" i="29" s="1"/>
  <c r="M272" i="29"/>
  <c r="P272" i="29" s="1"/>
  <c r="P274" i="29"/>
  <c r="M179" i="29"/>
  <c r="P179" i="29" s="1"/>
  <c r="I83" i="29"/>
  <c r="N714" i="29"/>
  <c r="J674" i="29"/>
  <c r="K674" i="29" s="1"/>
  <c r="K632" i="29"/>
  <c r="L616" i="29"/>
  <c r="O616" i="29" s="1"/>
  <c r="P617" i="29"/>
  <c r="O607" i="29"/>
  <c r="O602" i="29"/>
  <c r="O581" i="29"/>
  <c r="M579" i="29"/>
  <c r="P579" i="29" s="1"/>
  <c r="T515" i="29"/>
  <c r="K344" i="29"/>
  <c r="Q333" i="29"/>
  <c r="T333" i="29" s="1"/>
  <c r="S320" i="29"/>
  <c r="L309" i="29"/>
  <c r="O309" i="29" s="1"/>
  <c r="L268" i="29"/>
  <c r="Q269" i="29"/>
  <c r="T269" i="29" s="1"/>
  <c r="K183" i="29"/>
  <c r="U178" i="29"/>
  <c r="Q175" i="29"/>
  <c r="Q173" i="29" s="1"/>
  <c r="T173" i="29" s="1"/>
  <c r="Q141" i="29"/>
  <c r="P77" i="29"/>
  <c r="N61" i="29"/>
  <c r="Q19" i="29"/>
  <c r="T19" i="29" s="1"/>
  <c r="M714" i="29"/>
  <c r="P714" i="29" s="1"/>
  <c r="K654" i="29"/>
  <c r="R618" i="29"/>
  <c r="R616" i="29" s="1"/>
  <c r="S601" i="29"/>
  <c r="S599" i="29" s="1"/>
  <c r="S576" i="29"/>
  <c r="R555" i="29"/>
  <c r="U555" i="29" s="1"/>
  <c r="P521" i="29"/>
  <c r="M415" i="29"/>
  <c r="M413" i="29" s="1"/>
  <c r="S416" i="29"/>
  <c r="U416" i="29" s="1"/>
  <c r="N377" i="29"/>
  <c r="N375" i="29" s="1"/>
  <c r="S356" i="29"/>
  <c r="M326" i="29"/>
  <c r="P326" i="29" s="1"/>
  <c r="M322" i="29"/>
  <c r="P322" i="29" s="1"/>
  <c r="L305" i="29"/>
  <c r="O305" i="29" s="1"/>
  <c r="R306" i="29"/>
  <c r="U306" i="29" s="1"/>
  <c r="L236" i="29"/>
  <c r="M188" i="29"/>
  <c r="M186" i="29" s="1"/>
  <c r="S173" i="29"/>
  <c r="N141" i="29"/>
  <c r="N139" i="29" s="1"/>
  <c r="I138" i="29"/>
  <c r="K138" i="29" s="1"/>
  <c r="S119" i="29"/>
  <c r="S117" i="29" s="1"/>
  <c r="N19" i="29"/>
  <c r="N728" i="29"/>
  <c r="L714" i="29"/>
  <c r="O714" i="29" s="1"/>
  <c r="Q690" i="29"/>
  <c r="J675" i="29"/>
  <c r="K675" i="29" s="1"/>
  <c r="N616" i="29"/>
  <c r="R576" i="29"/>
  <c r="U576" i="29" s="1"/>
  <c r="K554" i="29"/>
  <c r="N416" i="29"/>
  <c r="Q394" i="29"/>
  <c r="T394" i="29" s="1"/>
  <c r="M377" i="29"/>
  <c r="P377" i="29" s="1"/>
  <c r="S378" i="29"/>
  <c r="S375" i="29"/>
  <c r="N358" i="29"/>
  <c r="N356" i="29" s="1"/>
  <c r="N359" i="29"/>
  <c r="J343" i="29"/>
  <c r="M306" i="29"/>
  <c r="P306" i="29" s="1"/>
  <c r="L235" i="29"/>
  <c r="S188" i="29"/>
  <c r="S186" i="29" s="1"/>
  <c r="L188" i="29"/>
  <c r="L186" i="29" s="1"/>
  <c r="M728" i="29"/>
  <c r="P728" i="29" s="1"/>
  <c r="S714" i="29"/>
  <c r="S645" i="29"/>
  <c r="T645" i="29" s="1"/>
  <c r="Q644" i="29"/>
  <c r="Q642" i="29" s="1"/>
  <c r="N642" i="29"/>
  <c r="S619" i="29"/>
  <c r="U619" i="29" s="1"/>
  <c r="S616" i="29"/>
  <c r="N536" i="29"/>
  <c r="N534" i="29" s="1"/>
  <c r="S534" i="29"/>
  <c r="J503" i="29"/>
  <c r="J492" i="29" s="1"/>
  <c r="N495" i="29"/>
  <c r="N493" i="29" s="1"/>
  <c r="J457" i="29"/>
  <c r="J456" i="29" s="1"/>
  <c r="K423" i="29"/>
  <c r="M416" i="29"/>
  <c r="S395" i="29"/>
  <c r="M358" i="29"/>
  <c r="O338" i="29"/>
  <c r="L306" i="29"/>
  <c r="O306" i="29" s="1"/>
  <c r="M284" i="29"/>
  <c r="O274" i="29"/>
  <c r="O271" i="29"/>
  <c r="L254" i="29"/>
  <c r="O254" i="29" s="1"/>
  <c r="R188" i="29"/>
  <c r="U188" i="29" s="1"/>
  <c r="M189" i="29"/>
  <c r="P189" i="29" s="1"/>
  <c r="M159" i="29"/>
  <c r="M157" i="29" s="1"/>
  <c r="N142" i="29"/>
  <c r="R760" i="29"/>
  <c r="U760" i="29" s="1"/>
  <c r="U762" i="29"/>
  <c r="Q616" i="29"/>
  <c r="T618" i="29"/>
  <c r="K778" i="28"/>
  <c r="Q616" i="28"/>
  <c r="L536" i="28"/>
  <c r="O536" i="28" s="1"/>
  <c r="N322" i="28"/>
  <c r="N320" i="28" s="1"/>
  <c r="P271" i="28"/>
  <c r="I238" i="28"/>
  <c r="K238" i="28" s="1"/>
  <c r="O584" i="29"/>
  <c r="L582" i="29"/>
  <c r="O582" i="29" s="1"/>
  <c r="P560" i="29"/>
  <c r="M558" i="29"/>
  <c r="P558" i="29" s="1"/>
  <c r="M557" i="29"/>
  <c r="L536" i="29"/>
  <c r="O521" i="29"/>
  <c r="L519" i="29"/>
  <c r="O519" i="29" s="1"/>
  <c r="I492" i="29"/>
  <c r="K492" i="29" s="1"/>
  <c r="K503" i="29"/>
  <c r="U414" i="29"/>
  <c r="O361" i="29"/>
  <c r="L359" i="29"/>
  <c r="L358" i="29"/>
  <c r="T194" i="29"/>
  <c r="Q192" i="29"/>
  <c r="T192" i="29" s="1"/>
  <c r="O174" i="29"/>
  <c r="P542" i="29"/>
  <c r="M540" i="29"/>
  <c r="P540" i="29" s="1"/>
  <c r="I456" i="27"/>
  <c r="K456" i="27" s="1"/>
  <c r="K371" i="27"/>
  <c r="K368" i="27"/>
  <c r="I238" i="27"/>
  <c r="K238" i="27" s="1"/>
  <c r="L175" i="27"/>
  <c r="L173" i="27" s="1"/>
  <c r="K783" i="28"/>
  <c r="K679" i="28"/>
  <c r="K676" i="28"/>
  <c r="Q602" i="28"/>
  <c r="T602" i="28" s="1"/>
  <c r="P560" i="28"/>
  <c r="L558" i="28"/>
  <c r="O558" i="28" s="1"/>
  <c r="P542" i="28"/>
  <c r="N516" i="28"/>
  <c r="U418" i="28"/>
  <c r="R377" i="28"/>
  <c r="R375" i="28" s="1"/>
  <c r="U375" i="28" s="1"/>
  <c r="M322" i="28"/>
  <c r="P322" i="28" s="1"/>
  <c r="P287" i="28"/>
  <c r="L272" i="28"/>
  <c r="O272" i="28" s="1"/>
  <c r="L268" i="28"/>
  <c r="L266" i="28" s="1"/>
  <c r="L236" i="28"/>
  <c r="Q189" i="28"/>
  <c r="T189" i="28" s="1"/>
  <c r="O144" i="28"/>
  <c r="U80" i="28"/>
  <c r="K631" i="29"/>
  <c r="U557" i="29"/>
  <c r="L557" i="29"/>
  <c r="Q555" i="29"/>
  <c r="T555" i="29" s="1"/>
  <c r="R395" i="29"/>
  <c r="U395" i="29" s="1"/>
  <c r="R394" i="29"/>
  <c r="U394" i="29" s="1"/>
  <c r="U397" i="29"/>
  <c r="T604" i="28"/>
  <c r="O604" i="28"/>
  <c r="O542" i="28"/>
  <c r="K292" i="28"/>
  <c r="O287" i="28"/>
  <c r="U271" i="28"/>
  <c r="I265" i="28"/>
  <c r="K265" i="28" s="1"/>
  <c r="L214" i="28"/>
  <c r="O214" i="28" s="1"/>
  <c r="Q188" i="28"/>
  <c r="Q186" i="28" s="1"/>
  <c r="K167" i="28"/>
  <c r="U147" i="28"/>
  <c r="Q145" i="28"/>
  <c r="T145" i="28" s="1"/>
  <c r="P77" i="28"/>
  <c r="S762" i="29"/>
  <c r="S760" i="29" s="1"/>
  <c r="U733" i="29"/>
  <c r="R730" i="29"/>
  <c r="P729" i="29"/>
  <c r="P715" i="29"/>
  <c r="K630" i="29"/>
  <c r="K626" i="29"/>
  <c r="Q619" i="29"/>
  <c r="O604" i="29"/>
  <c r="L381" i="29"/>
  <c r="O381" i="29" s="1"/>
  <c r="O383" i="29"/>
  <c r="I168" i="21"/>
  <c r="K168" i="21" s="1"/>
  <c r="U604" i="27"/>
  <c r="L358" i="27"/>
  <c r="L356" i="27" s="1"/>
  <c r="K785" i="28"/>
  <c r="R730" i="28"/>
  <c r="U730" i="28" s="1"/>
  <c r="P380" i="28"/>
  <c r="O341" i="28"/>
  <c r="K302" i="28"/>
  <c r="L234" i="28"/>
  <c r="L203" i="28"/>
  <c r="O203" i="28" s="1"/>
  <c r="U144" i="28"/>
  <c r="O77" i="28"/>
  <c r="U765" i="29"/>
  <c r="P761" i="29"/>
  <c r="T733" i="29"/>
  <c r="U729" i="29"/>
  <c r="O729" i="29"/>
  <c r="U715" i="29"/>
  <c r="O715" i="29"/>
  <c r="S692" i="29"/>
  <c r="S690" i="29" s="1"/>
  <c r="S644" i="29"/>
  <c r="S642" i="29" s="1"/>
  <c r="O577" i="29"/>
  <c r="O542" i="29"/>
  <c r="O539" i="29"/>
  <c r="O514" i="29"/>
  <c r="P501" i="29"/>
  <c r="R496" i="29"/>
  <c r="U496" i="29" s="1"/>
  <c r="R495" i="29"/>
  <c r="M495" i="29"/>
  <c r="P495" i="29" s="1"/>
  <c r="K457" i="29"/>
  <c r="I456" i="29"/>
  <c r="Q413" i="29"/>
  <c r="T415" i="29"/>
  <c r="R320" i="29"/>
  <c r="U320" i="29" s="1"/>
  <c r="U321" i="29"/>
  <c r="S145" i="29"/>
  <c r="S141" i="29"/>
  <c r="Q268" i="27"/>
  <c r="Q266" i="27" s="1"/>
  <c r="L235" i="27"/>
  <c r="I253" i="27"/>
  <c r="K253" i="27" s="1"/>
  <c r="K109" i="27"/>
  <c r="K779" i="28"/>
  <c r="J701" i="28"/>
  <c r="K653" i="28"/>
  <c r="P328" i="28"/>
  <c r="L243" i="28"/>
  <c r="O243" i="28" s="1"/>
  <c r="P64" i="28"/>
  <c r="N62" i="28"/>
  <c r="P62" i="28" s="1"/>
  <c r="K615" i="29"/>
  <c r="P604" i="29"/>
  <c r="N578" i="29"/>
  <c r="N576" i="29" s="1"/>
  <c r="N515" i="29"/>
  <c r="N513" i="29" s="1"/>
  <c r="K504" i="29"/>
  <c r="O414" i="29"/>
  <c r="U376" i="29"/>
  <c r="I238" i="29"/>
  <c r="K238" i="29" s="1"/>
  <c r="K260" i="29"/>
  <c r="I253" i="29"/>
  <c r="K253" i="29" s="1"/>
  <c r="M601" i="29"/>
  <c r="M578" i="29"/>
  <c r="P578" i="29" s="1"/>
  <c r="M515" i="29"/>
  <c r="P515" i="29" s="1"/>
  <c r="N415" i="29"/>
  <c r="N413" i="29" s="1"/>
  <c r="K209" i="29"/>
  <c r="I202" i="29"/>
  <c r="K202" i="29" s="1"/>
  <c r="U189" i="29"/>
  <c r="O67" i="29"/>
  <c r="L65" i="29"/>
  <c r="O65" i="29" s="1"/>
  <c r="P25" i="29"/>
  <c r="R601" i="29"/>
  <c r="U601" i="29" s="1"/>
  <c r="L601" i="29"/>
  <c r="L578" i="29"/>
  <c r="O578" i="29" s="1"/>
  <c r="M536" i="29"/>
  <c r="P536" i="29" s="1"/>
  <c r="L515" i="29"/>
  <c r="O515" i="29" s="1"/>
  <c r="N496" i="29"/>
  <c r="T418" i="29"/>
  <c r="L415" i="29"/>
  <c r="L377" i="29"/>
  <c r="O377" i="29" s="1"/>
  <c r="U358" i="29"/>
  <c r="R356" i="29"/>
  <c r="U356" i="29" s="1"/>
  <c r="Q356" i="29"/>
  <c r="T356" i="29" s="1"/>
  <c r="T357" i="29"/>
  <c r="P267" i="29"/>
  <c r="L243" i="29"/>
  <c r="K220" i="29"/>
  <c r="L214" i="29"/>
  <c r="O214" i="29" s="1"/>
  <c r="U174" i="29"/>
  <c r="T159" i="29"/>
  <c r="Q157" i="29"/>
  <c r="T157" i="29" s="1"/>
  <c r="T125" i="29"/>
  <c r="Q123" i="29"/>
  <c r="T123" i="29" s="1"/>
  <c r="Q119" i="29"/>
  <c r="U122" i="29"/>
  <c r="R120" i="29"/>
  <c r="U120" i="29" s="1"/>
  <c r="R119" i="29"/>
  <c r="R117" i="29" s="1"/>
  <c r="O99" i="29"/>
  <c r="N97" i="29"/>
  <c r="N23" i="29"/>
  <c r="N96" i="29"/>
  <c r="N94" i="29" s="1"/>
  <c r="K84" i="29"/>
  <c r="I82" i="29"/>
  <c r="R26" i="29"/>
  <c r="U26" i="29" s="1"/>
  <c r="L392" i="29"/>
  <c r="O392" i="29" s="1"/>
  <c r="N322" i="29"/>
  <c r="N320" i="29" s="1"/>
  <c r="P321" i="29"/>
  <c r="I195" i="29"/>
  <c r="K195" i="29" s="1"/>
  <c r="T191" i="29"/>
  <c r="Q189" i="29"/>
  <c r="T189" i="29" s="1"/>
  <c r="P99" i="29"/>
  <c r="M97" i="29"/>
  <c r="M96" i="29"/>
  <c r="O421" i="29"/>
  <c r="Q416" i="29"/>
  <c r="R415" i="29"/>
  <c r="U415" i="29" s="1"/>
  <c r="T397" i="29"/>
  <c r="R377" i="29"/>
  <c r="U377" i="29" s="1"/>
  <c r="P341" i="29"/>
  <c r="M339" i="29"/>
  <c r="P339" i="29" s="1"/>
  <c r="P334" i="29"/>
  <c r="O321" i="29"/>
  <c r="T308" i="29"/>
  <c r="Q306" i="29"/>
  <c r="T306" i="29" s="1"/>
  <c r="K292" i="29"/>
  <c r="P290" i="29"/>
  <c r="M288" i="29"/>
  <c r="P288" i="29" s="1"/>
  <c r="Q188" i="29"/>
  <c r="N176" i="29"/>
  <c r="O176" i="29" s="1"/>
  <c r="N100" i="29"/>
  <c r="N26" i="29"/>
  <c r="N24" i="29" s="1"/>
  <c r="T95" i="29"/>
  <c r="P52" i="29"/>
  <c r="M26" i="29"/>
  <c r="M50" i="29"/>
  <c r="P50" i="29" s="1"/>
  <c r="S19" i="29"/>
  <c r="O376" i="29"/>
  <c r="P361" i="29"/>
  <c r="M359" i="29"/>
  <c r="O341" i="29"/>
  <c r="L339" i="29"/>
  <c r="O339" i="29" s="1"/>
  <c r="L335" i="29"/>
  <c r="O328" i="29"/>
  <c r="L326" i="29"/>
  <c r="O326" i="29" s="1"/>
  <c r="Q303" i="29"/>
  <c r="T303" i="29" s="1"/>
  <c r="Q282" i="29"/>
  <c r="T282" i="29" s="1"/>
  <c r="O147" i="29"/>
  <c r="L145" i="29"/>
  <c r="O145" i="29" s="1"/>
  <c r="T140" i="29"/>
  <c r="P102" i="29"/>
  <c r="M100" i="29"/>
  <c r="P100" i="29" s="1"/>
  <c r="P73" i="29"/>
  <c r="J332" i="29"/>
  <c r="K332" i="29" s="1"/>
  <c r="U308" i="29"/>
  <c r="O308" i="29"/>
  <c r="O287" i="29"/>
  <c r="K276" i="29"/>
  <c r="T271" i="29"/>
  <c r="U191" i="29"/>
  <c r="O191" i="29"/>
  <c r="O181" i="29"/>
  <c r="T178" i="29"/>
  <c r="M175" i="29"/>
  <c r="P178" i="29"/>
  <c r="M176" i="29"/>
  <c r="O162" i="29"/>
  <c r="L160" i="29"/>
  <c r="U147" i="29"/>
  <c r="R145" i="29"/>
  <c r="U145" i="29" s="1"/>
  <c r="P144" i="29"/>
  <c r="M142" i="29"/>
  <c r="T122" i="29"/>
  <c r="Q120" i="29"/>
  <c r="T120" i="29" s="1"/>
  <c r="Q26" i="29"/>
  <c r="M335" i="29"/>
  <c r="L322" i="29"/>
  <c r="O322" i="29" s="1"/>
  <c r="K314" i="29"/>
  <c r="N305" i="29"/>
  <c r="N284" i="29"/>
  <c r="N282" i="29" s="1"/>
  <c r="S268" i="29"/>
  <c r="U268" i="29" s="1"/>
  <c r="M268" i="29"/>
  <c r="N188" i="29"/>
  <c r="L175" i="29"/>
  <c r="O165" i="29"/>
  <c r="L163" i="29"/>
  <c r="O163" i="29" s="1"/>
  <c r="O144" i="29"/>
  <c r="L142" i="29"/>
  <c r="O125" i="29"/>
  <c r="L123" i="29"/>
  <c r="O123" i="29" s="1"/>
  <c r="U99" i="29"/>
  <c r="S97" i="29"/>
  <c r="O95" i="29"/>
  <c r="S176" i="29"/>
  <c r="U162" i="29"/>
  <c r="R160" i="29"/>
  <c r="U160" i="29" s="1"/>
  <c r="T144" i="29"/>
  <c r="S142" i="29"/>
  <c r="T142" i="29" s="1"/>
  <c r="L141" i="29"/>
  <c r="L119" i="29"/>
  <c r="O119" i="29" s="1"/>
  <c r="P22" i="29"/>
  <c r="M19" i="29"/>
  <c r="R175" i="29"/>
  <c r="U175" i="29" s="1"/>
  <c r="T162" i="29"/>
  <c r="Q160" i="29"/>
  <c r="T160" i="29" s="1"/>
  <c r="R159" i="29"/>
  <c r="U159" i="29" s="1"/>
  <c r="P147" i="29"/>
  <c r="M145" i="29"/>
  <c r="P145" i="29" s="1"/>
  <c r="U144" i="29"/>
  <c r="R142" i="29"/>
  <c r="U142" i="29" s="1"/>
  <c r="U125" i="29"/>
  <c r="R123" i="29"/>
  <c r="U123" i="29" s="1"/>
  <c r="O122" i="29"/>
  <c r="L120" i="29"/>
  <c r="O120" i="29" s="1"/>
  <c r="R94" i="29"/>
  <c r="U95" i="29"/>
  <c r="P67" i="29"/>
  <c r="M65" i="29"/>
  <c r="P65" i="29" s="1"/>
  <c r="P60" i="29"/>
  <c r="R19" i="29"/>
  <c r="L19" i="29"/>
  <c r="P162" i="29"/>
  <c r="P122" i="29"/>
  <c r="T80" i="29"/>
  <c r="T77" i="29"/>
  <c r="S26" i="29"/>
  <c r="S24" i="29" s="1"/>
  <c r="S23" i="29"/>
  <c r="M23" i="29"/>
  <c r="M21" i="29" s="1"/>
  <c r="Q96" i="29"/>
  <c r="K85" i="29"/>
  <c r="S74" i="29"/>
  <c r="S72" i="29" s="1"/>
  <c r="M74" i="29"/>
  <c r="P74" i="29" s="1"/>
  <c r="M61" i="29"/>
  <c r="L50" i="29"/>
  <c r="O50" i="29" s="1"/>
  <c r="M46" i="29"/>
  <c r="L26" i="29"/>
  <c r="R23" i="29"/>
  <c r="L23" i="29"/>
  <c r="L21" i="29" s="1"/>
  <c r="P45" i="29"/>
  <c r="U25" i="29"/>
  <c r="O25" i="29"/>
  <c r="Q23" i="29"/>
  <c r="U22" i="29"/>
  <c r="O22" i="29"/>
  <c r="Q495" i="28"/>
  <c r="T495" i="28" s="1"/>
  <c r="Q496" i="28"/>
  <c r="T496" i="28" s="1"/>
  <c r="T498" i="28"/>
  <c r="U321" i="28"/>
  <c r="R320" i="28"/>
  <c r="U320" i="28" s="1"/>
  <c r="U194" i="28"/>
  <c r="R192" i="28"/>
  <c r="U192" i="28" s="1"/>
  <c r="I137" i="28"/>
  <c r="K137" i="28" s="1"/>
  <c r="K152" i="28"/>
  <c r="N46" i="28"/>
  <c r="N44" i="28" s="1"/>
  <c r="O49" i="28"/>
  <c r="N47" i="28"/>
  <c r="O47" i="28" s="1"/>
  <c r="K785" i="25"/>
  <c r="K782" i="25"/>
  <c r="K779" i="25"/>
  <c r="L214" i="26"/>
  <c r="O214" i="26" s="1"/>
  <c r="P62" i="26"/>
  <c r="K709" i="27"/>
  <c r="Q601" i="27"/>
  <c r="T601" i="27" s="1"/>
  <c r="M728" i="28"/>
  <c r="P728" i="28" s="1"/>
  <c r="P729" i="28"/>
  <c r="K703" i="28"/>
  <c r="I701" i="28"/>
  <c r="L269" i="28"/>
  <c r="N189" i="28"/>
  <c r="O191" i="28"/>
  <c r="O99" i="28"/>
  <c r="L97" i="28"/>
  <c r="O97" i="28" s="1"/>
  <c r="L419" i="25"/>
  <c r="O419" i="25" s="1"/>
  <c r="N760" i="28"/>
  <c r="N416" i="28"/>
  <c r="P416" i="28" s="1"/>
  <c r="P418" i="28"/>
  <c r="O364" i="28"/>
  <c r="L362" i="28"/>
  <c r="O362" i="28" s="1"/>
  <c r="J332" i="28"/>
  <c r="M339" i="28"/>
  <c r="P339" i="28" s="1"/>
  <c r="P341" i="28"/>
  <c r="K654" i="23"/>
  <c r="O271" i="26"/>
  <c r="T393" i="28"/>
  <c r="Q392" i="28"/>
  <c r="T392" i="28" s="1"/>
  <c r="K344" i="28"/>
  <c r="I332" i="28"/>
  <c r="Q305" i="28"/>
  <c r="Q306" i="28"/>
  <c r="T308" i="28"/>
  <c r="I231" i="28"/>
  <c r="K231" i="28" s="1"/>
  <c r="K242" i="28"/>
  <c r="I93" i="28"/>
  <c r="K93" i="28" s="1"/>
  <c r="K109" i="28"/>
  <c r="O102" i="28"/>
  <c r="L100" i="28"/>
  <c r="O100" i="28" s="1"/>
  <c r="S160" i="24"/>
  <c r="P274" i="26"/>
  <c r="P165" i="26"/>
  <c r="K779" i="27"/>
  <c r="K679" i="27"/>
  <c r="N578" i="27"/>
  <c r="N576" i="27" s="1"/>
  <c r="S731" i="28"/>
  <c r="S730" i="28"/>
  <c r="S728" i="28" s="1"/>
  <c r="Q692" i="28"/>
  <c r="Q690" i="28" s="1"/>
  <c r="Q693" i="28"/>
  <c r="T693" i="28" s="1"/>
  <c r="N392" i="28"/>
  <c r="K156" i="28"/>
  <c r="L145" i="28"/>
  <c r="O145" i="28" s="1"/>
  <c r="O147" i="28"/>
  <c r="Q123" i="28"/>
  <c r="T123" i="28" s="1"/>
  <c r="T125" i="28"/>
  <c r="R605" i="27"/>
  <c r="U605" i="27" s="1"/>
  <c r="P521" i="27"/>
  <c r="M519" i="28"/>
  <c r="P519" i="28" s="1"/>
  <c r="M515" i="28"/>
  <c r="P515" i="28" s="1"/>
  <c r="P521" i="28"/>
  <c r="K251" i="28"/>
  <c r="I240" i="28"/>
  <c r="K240" i="28" s="1"/>
  <c r="P271" i="27"/>
  <c r="S269" i="27"/>
  <c r="T269" i="27" s="1"/>
  <c r="T191" i="27"/>
  <c r="P97" i="27"/>
  <c r="K781" i="28"/>
  <c r="M760" i="28"/>
  <c r="P760" i="28" s="1"/>
  <c r="L728" i="28"/>
  <c r="O728" i="28" s="1"/>
  <c r="K707" i="28"/>
  <c r="J674" i="28"/>
  <c r="K674" i="28" s="1"/>
  <c r="Q619" i="28"/>
  <c r="T619" i="28" s="1"/>
  <c r="S601" i="28"/>
  <c r="S599" i="28" s="1"/>
  <c r="N602" i="28"/>
  <c r="U557" i="28"/>
  <c r="N536" i="28"/>
  <c r="N534" i="28" s="1"/>
  <c r="M516" i="28"/>
  <c r="P516" i="28" s="1"/>
  <c r="O501" i="28"/>
  <c r="O498" i="28"/>
  <c r="M415" i="28"/>
  <c r="M413" i="28" s="1"/>
  <c r="S416" i="28"/>
  <c r="O393" i="28"/>
  <c r="L381" i="28"/>
  <c r="O381" i="28" s="1"/>
  <c r="O380" i="28"/>
  <c r="O328" i="28"/>
  <c r="P308" i="28"/>
  <c r="N305" i="28"/>
  <c r="N303" i="28" s="1"/>
  <c r="O290" i="28"/>
  <c r="N284" i="28"/>
  <c r="N282" i="28" s="1"/>
  <c r="L284" i="28"/>
  <c r="O284" i="28" s="1"/>
  <c r="T192" i="28"/>
  <c r="U191" i="28"/>
  <c r="S175" i="28"/>
  <c r="S173" i="28" s="1"/>
  <c r="T144" i="28"/>
  <c r="T120" i="28"/>
  <c r="U77" i="28"/>
  <c r="N74" i="28"/>
  <c r="Q19" i="28"/>
  <c r="T19" i="28" s="1"/>
  <c r="O498" i="27"/>
  <c r="M358" i="27"/>
  <c r="P311" i="27"/>
  <c r="K198" i="27"/>
  <c r="L760" i="28"/>
  <c r="O760" i="28" s="1"/>
  <c r="K632" i="28"/>
  <c r="R601" i="28"/>
  <c r="U601" i="28" s="1"/>
  <c r="U498" i="28"/>
  <c r="L415" i="28"/>
  <c r="O415" i="28" s="1"/>
  <c r="R416" i="28"/>
  <c r="U416" i="28" s="1"/>
  <c r="T397" i="28"/>
  <c r="U380" i="28"/>
  <c r="N377" i="28"/>
  <c r="N375" i="28" s="1"/>
  <c r="J343" i="28"/>
  <c r="O311" i="28"/>
  <c r="M309" i="28"/>
  <c r="P309" i="28" s="1"/>
  <c r="M305" i="28"/>
  <c r="M303" i="28" s="1"/>
  <c r="S306" i="28"/>
  <c r="M288" i="28"/>
  <c r="P288" i="28" s="1"/>
  <c r="M284" i="28"/>
  <c r="P284" i="28" s="1"/>
  <c r="T283" i="28"/>
  <c r="J231" i="28"/>
  <c r="J185" i="28" s="1"/>
  <c r="P194" i="28"/>
  <c r="L188" i="28"/>
  <c r="L186" i="28" s="1"/>
  <c r="T178" i="28"/>
  <c r="O178" i="28"/>
  <c r="R75" i="28"/>
  <c r="U75" i="28" s="1"/>
  <c r="M61" i="28"/>
  <c r="M59" i="28" s="1"/>
  <c r="S714" i="28"/>
  <c r="S333" i="28"/>
  <c r="S282" i="28"/>
  <c r="R188" i="28"/>
  <c r="R186" i="28" s="1"/>
  <c r="L123" i="28"/>
  <c r="O123" i="28" s="1"/>
  <c r="J351" i="27"/>
  <c r="L46" i="27"/>
  <c r="L44" i="27" s="1"/>
  <c r="S762" i="28"/>
  <c r="S760" i="28" s="1"/>
  <c r="I759" i="28"/>
  <c r="K759" i="28" s="1"/>
  <c r="R714" i="28"/>
  <c r="U714" i="28" s="1"/>
  <c r="K709" i="28"/>
  <c r="M690" i="28"/>
  <c r="P690" i="28" s="1"/>
  <c r="L642" i="28"/>
  <c r="O642" i="28" s="1"/>
  <c r="N579" i="28"/>
  <c r="J503" i="28"/>
  <c r="J492" i="28" s="1"/>
  <c r="L358" i="28"/>
  <c r="L356" i="28" s="1"/>
  <c r="J351" i="28"/>
  <c r="K346" i="28"/>
  <c r="K314" i="28"/>
  <c r="L235" i="28"/>
  <c r="I213" i="28"/>
  <c r="K213" i="28" s="1"/>
  <c r="K198" i="28"/>
  <c r="L189" i="28"/>
  <c r="K183" i="28"/>
  <c r="U178" i="28"/>
  <c r="Q141" i="28"/>
  <c r="T122" i="28"/>
  <c r="I83" i="28"/>
  <c r="K83" i="28" s="1"/>
  <c r="Q74" i="28"/>
  <c r="Q72" i="28" s="1"/>
  <c r="N75" i="28"/>
  <c r="P75" i="28" s="1"/>
  <c r="P49" i="28"/>
  <c r="M416" i="27"/>
  <c r="P416" i="27" s="1"/>
  <c r="N335" i="27"/>
  <c r="N333" i="27" s="1"/>
  <c r="L214" i="27"/>
  <c r="O214" i="27" s="1"/>
  <c r="P176" i="27"/>
  <c r="P162" i="27"/>
  <c r="N119" i="27"/>
  <c r="N117" i="27" s="1"/>
  <c r="L50" i="27"/>
  <c r="O50" i="27" s="1"/>
  <c r="U733" i="28"/>
  <c r="Q714" i="28"/>
  <c r="T714" i="28" s="1"/>
  <c r="L690" i="28"/>
  <c r="O690" i="28" s="1"/>
  <c r="M601" i="28"/>
  <c r="M599" i="28" s="1"/>
  <c r="S495" i="28"/>
  <c r="S493" i="28" s="1"/>
  <c r="J458" i="28"/>
  <c r="N323" i="28"/>
  <c r="S320" i="28"/>
  <c r="M306" i="28"/>
  <c r="P306" i="28" s="1"/>
  <c r="L254" i="28"/>
  <c r="O254" i="28" s="1"/>
  <c r="T176" i="28"/>
  <c r="U120" i="28"/>
  <c r="L75" i="28"/>
  <c r="K626" i="28"/>
  <c r="J615" i="28"/>
  <c r="L513" i="28"/>
  <c r="O513" i="28" s="1"/>
  <c r="U645" i="28"/>
  <c r="R616" i="28"/>
  <c r="U693" i="28"/>
  <c r="Q642" i="28"/>
  <c r="I156" i="27"/>
  <c r="K156" i="27" s="1"/>
  <c r="M578" i="28"/>
  <c r="R413" i="28"/>
  <c r="U413" i="28" s="1"/>
  <c r="P25" i="28"/>
  <c r="M496" i="27"/>
  <c r="P496" i="27" s="1"/>
  <c r="L601" i="28"/>
  <c r="M557" i="28"/>
  <c r="U397" i="28"/>
  <c r="R394" i="28"/>
  <c r="P364" i="28"/>
  <c r="M362" i="28"/>
  <c r="P362" i="28" s="1"/>
  <c r="K709" i="26"/>
  <c r="U693" i="26"/>
  <c r="Q377" i="26"/>
  <c r="Q375" i="26" s="1"/>
  <c r="K365" i="26"/>
  <c r="O67" i="26"/>
  <c r="K785" i="27"/>
  <c r="K705" i="27"/>
  <c r="L579" i="27"/>
  <c r="O579" i="27" s="1"/>
  <c r="M557" i="27"/>
  <c r="P539" i="27"/>
  <c r="L537" i="27"/>
  <c r="O537" i="27" s="1"/>
  <c r="M419" i="27"/>
  <c r="P419" i="27" s="1"/>
  <c r="N358" i="27"/>
  <c r="N356" i="27" s="1"/>
  <c r="L306" i="27"/>
  <c r="O306" i="27" s="1"/>
  <c r="M269" i="27"/>
  <c r="P269" i="27" s="1"/>
  <c r="L236" i="27"/>
  <c r="L176" i="27"/>
  <c r="O176" i="27" s="1"/>
  <c r="T159" i="27"/>
  <c r="N120" i="27"/>
  <c r="U765" i="28"/>
  <c r="R762" i="28"/>
  <c r="U762" i="28" s="1"/>
  <c r="P761" i="28"/>
  <c r="T733" i="28"/>
  <c r="Q730" i="28"/>
  <c r="T730" i="28" s="1"/>
  <c r="U729" i="28"/>
  <c r="O729" i="28"/>
  <c r="U715" i="28"/>
  <c r="O715" i="28"/>
  <c r="S692" i="28"/>
  <c r="S690" i="28" s="1"/>
  <c r="S644" i="28"/>
  <c r="T644" i="28" s="1"/>
  <c r="K629" i="28"/>
  <c r="M605" i="28"/>
  <c r="P605" i="28" s="1"/>
  <c r="S602" i="28"/>
  <c r="M602" i="28"/>
  <c r="U600" i="28"/>
  <c r="O600" i="28"/>
  <c r="M579" i="28"/>
  <c r="P579" i="28" s="1"/>
  <c r="U577" i="28"/>
  <c r="L557" i="28"/>
  <c r="P501" i="28"/>
  <c r="M499" i="28"/>
  <c r="P499" i="28" s="1"/>
  <c r="U494" i="28"/>
  <c r="R356" i="28"/>
  <c r="U356" i="28" s="1"/>
  <c r="R282" i="28"/>
  <c r="U282" i="28" s="1"/>
  <c r="U283" i="28"/>
  <c r="M188" i="28"/>
  <c r="M186" i="28" s="1"/>
  <c r="M189" i="28"/>
  <c r="P191" i="28"/>
  <c r="I92" i="28"/>
  <c r="K92" i="28" s="1"/>
  <c r="K108" i="28"/>
  <c r="P45" i="28"/>
  <c r="P539" i="28"/>
  <c r="M537" i="28"/>
  <c r="P537" i="28" s="1"/>
  <c r="P376" i="28"/>
  <c r="R303" i="28"/>
  <c r="U304" i="28"/>
  <c r="K230" i="28"/>
  <c r="T95" i="28"/>
  <c r="K783" i="27"/>
  <c r="K681" i="27"/>
  <c r="L578" i="28"/>
  <c r="O578" i="28" s="1"/>
  <c r="Q416" i="28"/>
  <c r="T416" i="28" s="1"/>
  <c r="T267" i="28"/>
  <c r="S493" i="27"/>
  <c r="L419" i="27"/>
  <c r="O419" i="27" s="1"/>
  <c r="R392" i="27"/>
  <c r="U392" i="27" s="1"/>
  <c r="O338" i="27"/>
  <c r="M323" i="27"/>
  <c r="P323" i="27" s="1"/>
  <c r="T271" i="27"/>
  <c r="O181" i="27"/>
  <c r="Q141" i="27"/>
  <c r="Q139" i="27" s="1"/>
  <c r="I138" i="27"/>
  <c r="K138" i="27" s="1"/>
  <c r="T765" i="28"/>
  <c r="Q762" i="28"/>
  <c r="T762" i="28" s="1"/>
  <c r="U761" i="28"/>
  <c r="O761" i="28"/>
  <c r="T729" i="28"/>
  <c r="T715" i="28"/>
  <c r="U695" i="28"/>
  <c r="R692" i="28"/>
  <c r="P691" i="28"/>
  <c r="U647" i="28"/>
  <c r="R644" i="28"/>
  <c r="P643" i="28"/>
  <c r="S618" i="28"/>
  <c r="S616" i="28" s="1"/>
  <c r="I615" i="28"/>
  <c r="K615" i="28" s="1"/>
  <c r="R605" i="28"/>
  <c r="U605" i="28" s="1"/>
  <c r="L605" i="28"/>
  <c r="O605" i="28" s="1"/>
  <c r="P604" i="28"/>
  <c r="R602" i="28"/>
  <c r="U602" i="28" s="1"/>
  <c r="L602" i="28"/>
  <c r="T600" i="28"/>
  <c r="L579" i="28"/>
  <c r="O579" i="28" s="1"/>
  <c r="T577" i="28"/>
  <c r="O535" i="28"/>
  <c r="O518" i="28"/>
  <c r="L516" i="28"/>
  <c r="O516" i="28" s="1"/>
  <c r="P498" i="28"/>
  <c r="M496" i="28"/>
  <c r="P496" i="28" s="1"/>
  <c r="S395" i="28"/>
  <c r="M381" i="28"/>
  <c r="P381" i="28" s="1"/>
  <c r="P383" i="28"/>
  <c r="N336" i="28"/>
  <c r="O336" i="28" s="1"/>
  <c r="N335" i="28"/>
  <c r="N333" i="28" s="1"/>
  <c r="O334" i="28"/>
  <c r="Q269" i="28"/>
  <c r="T271" i="28"/>
  <c r="Q268" i="28"/>
  <c r="Q266" i="28" s="1"/>
  <c r="S188" i="28"/>
  <c r="S186" i="28" s="1"/>
  <c r="S189" i="28"/>
  <c r="T118" i="28"/>
  <c r="S19" i="28"/>
  <c r="L605" i="27"/>
  <c r="O605" i="27" s="1"/>
  <c r="O494" i="28"/>
  <c r="N359" i="28"/>
  <c r="P359" i="28" s="1"/>
  <c r="O361" i="28"/>
  <c r="N358" i="28"/>
  <c r="N356" i="28" s="1"/>
  <c r="O357" i="28"/>
  <c r="N26" i="28"/>
  <c r="N24" i="28" s="1"/>
  <c r="M536" i="28"/>
  <c r="Q320" i="28"/>
  <c r="T320" i="28" s="1"/>
  <c r="T321" i="28"/>
  <c r="P563" i="25"/>
  <c r="M558" i="26"/>
  <c r="P558" i="26" s="1"/>
  <c r="K457" i="26"/>
  <c r="T380" i="26"/>
  <c r="K781" i="27"/>
  <c r="T418" i="27"/>
  <c r="R416" i="27"/>
  <c r="U416" i="27" s="1"/>
  <c r="S395" i="27"/>
  <c r="P364" i="27"/>
  <c r="K330" i="27"/>
  <c r="O325" i="27"/>
  <c r="O287" i="27"/>
  <c r="I241" i="27"/>
  <c r="K241" i="27" s="1"/>
  <c r="K220" i="27"/>
  <c r="L163" i="27"/>
  <c r="O163" i="27" s="1"/>
  <c r="P147" i="27"/>
  <c r="P99" i="27"/>
  <c r="I92" i="27"/>
  <c r="K92" i="27" s="1"/>
  <c r="P49" i="27"/>
  <c r="K772" i="28"/>
  <c r="T761" i="28"/>
  <c r="T695" i="28"/>
  <c r="U691" i="28"/>
  <c r="O691" i="28"/>
  <c r="T647" i="28"/>
  <c r="U643" i="28"/>
  <c r="O643" i="28"/>
  <c r="U621" i="28"/>
  <c r="P617" i="28"/>
  <c r="U604" i="28"/>
  <c r="R534" i="28"/>
  <c r="U534" i="28" s="1"/>
  <c r="U535" i="28"/>
  <c r="K457" i="28"/>
  <c r="R395" i="28"/>
  <c r="U395" i="28" s="1"/>
  <c r="M392" i="28"/>
  <c r="P392" i="28" s="1"/>
  <c r="P393" i="28"/>
  <c r="P338" i="28"/>
  <c r="M335" i="28"/>
  <c r="M336" i="28"/>
  <c r="R333" i="28"/>
  <c r="U333" i="28" s="1"/>
  <c r="U334" i="28"/>
  <c r="M323" i="28"/>
  <c r="P323" i="28" s="1"/>
  <c r="P325" i="28"/>
  <c r="L306" i="28"/>
  <c r="O306" i="28" s="1"/>
  <c r="L305" i="28"/>
  <c r="O308" i="28"/>
  <c r="O304" i="28"/>
  <c r="N285" i="28"/>
  <c r="N268" i="28"/>
  <c r="K252" i="28"/>
  <c r="I241" i="28"/>
  <c r="K241" i="28" s="1"/>
  <c r="N192" i="28"/>
  <c r="P192" i="28" s="1"/>
  <c r="N188" i="28"/>
  <c r="N186" i="28" s="1"/>
  <c r="U22" i="28"/>
  <c r="R19" i="28"/>
  <c r="P563" i="28"/>
  <c r="M561" i="28"/>
  <c r="P561" i="28" s="1"/>
  <c r="Q513" i="28"/>
  <c r="T513" i="28" s="1"/>
  <c r="T514" i="28"/>
  <c r="K440" i="28"/>
  <c r="I423" i="28"/>
  <c r="R306" i="28"/>
  <c r="U308" i="28"/>
  <c r="Q415" i="27"/>
  <c r="T415" i="27" s="1"/>
  <c r="O563" i="28"/>
  <c r="L561" i="28"/>
  <c r="O561" i="28" s="1"/>
  <c r="O539" i="28"/>
  <c r="L537" i="28"/>
  <c r="O537" i="28" s="1"/>
  <c r="U604" i="26"/>
  <c r="J701" i="27"/>
  <c r="P584" i="27"/>
  <c r="P563" i="27"/>
  <c r="M540" i="27"/>
  <c r="P540" i="27" s="1"/>
  <c r="K503" i="27"/>
  <c r="S266" i="27"/>
  <c r="L233" i="27"/>
  <c r="T621" i="28"/>
  <c r="Q534" i="28"/>
  <c r="T534" i="28" s="1"/>
  <c r="T535" i="28"/>
  <c r="U515" i="28"/>
  <c r="R513" i="28"/>
  <c r="U513" i="28" s="1"/>
  <c r="N495" i="28"/>
  <c r="N493" i="28" s="1"/>
  <c r="P494" i="28"/>
  <c r="Q415" i="28"/>
  <c r="S392" i="28"/>
  <c r="K385" i="28"/>
  <c r="I374" i="28"/>
  <c r="K374" i="28" s="1"/>
  <c r="P361" i="28"/>
  <c r="Q333" i="28"/>
  <c r="T333" i="28" s="1"/>
  <c r="T334" i="28"/>
  <c r="S303" i="28"/>
  <c r="I280" i="28"/>
  <c r="K280" i="28" s="1"/>
  <c r="K293" i="28"/>
  <c r="U95" i="28"/>
  <c r="N557" i="28"/>
  <c r="N555" i="28" s="1"/>
  <c r="R495" i="28"/>
  <c r="U495" i="28" s="1"/>
  <c r="L495" i="28"/>
  <c r="O495" i="28" s="1"/>
  <c r="N415" i="28"/>
  <c r="L378" i="28"/>
  <c r="O378" i="28" s="1"/>
  <c r="M377" i="28"/>
  <c r="P377" i="28" s="1"/>
  <c r="M358" i="28"/>
  <c r="O338" i="28"/>
  <c r="L323" i="28"/>
  <c r="O323" i="28" s="1"/>
  <c r="L322" i="28"/>
  <c r="I319" i="28"/>
  <c r="K319" i="28" s="1"/>
  <c r="M272" i="28"/>
  <c r="P272" i="28" s="1"/>
  <c r="O271" i="28"/>
  <c r="N269" i="28"/>
  <c r="M269" i="28"/>
  <c r="M268" i="28"/>
  <c r="L222" i="28"/>
  <c r="O222" i="28" s="1"/>
  <c r="T194" i="28"/>
  <c r="P178" i="28"/>
  <c r="M176" i="28"/>
  <c r="P176" i="28" s="1"/>
  <c r="T174" i="28"/>
  <c r="N141" i="28"/>
  <c r="N139" i="28" s="1"/>
  <c r="O140" i="28"/>
  <c r="N119" i="28"/>
  <c r="N117" i="28" s="1"/>
  <c r="P67" i="28"/>
  <c r="M65" i="28"/>
  <c r="P65" i="28" s="1"/>
  <c r="P52" i="28"/>
  <c r="M26" i="28"/>
  <c r="M24" i="28" s="1"/>
  <c r="M50" i="28"/>
  <c r="P50" i="28" s="1"/>
  <c r="L46" i="28"/>
  <c r="I365" i="28"/>
  <c r="K365" i="28" s="1"/>
  <c r="L233" i="28"/>
  <c r="O194" i="28"/>
  <c r="P181" i="28"/>
  <c r="M179" i="28"/>
  <c r="P179" i="28" s="1"/>
  <c r="P162" i="28"/>
  <c r="M160" i="28"/>
  <c r="P160" i="28" s="1"/>
  <c r="T158" i="28"/>
  <c r="Q26" i="28"/>
  <c r="O52" i="28"/>
  <c r="L26" i="28"/>
  <c r="L24" i="28" s="1"/>
  <c r="L50" i="28"/>
  <c r="O50" i="28" s="1"/>
  <c r="U25" i="28"/>
  <c r="S377" i="28"/>
  <c r="S375" i="28" s="1"/>
  <c r="S269" i="28"/>
  <c r="K209" i="28"/>
  <c r="I202" i="28"/>
  <c r="K202" i="28" s="1"/>
  <c r="P165" i="28"/>
  <c r="M163" i="28"/>
  <c r="P163" i="28" s="1"/>
  <c r="P102" i="28"/>
  <c r="M100" i="28"/>
  <c r="P100" i="28" s="1"/>
  <c r="M96" i="28"/>
  <c r="N97" i="28"/>
  <c r="N23" i="28"/>
  <c r="N21" i="28" s="1"/>
  <c r="N96" i="28"/>
  <c r="N94" i="28" s="1"/>
  <c r="M19" i="28"/>
  <c r="O283" i="28"/>
  <c r="S268" i="28"/>
  <c r="S266" i="28" s="1"/>
  <c r="R266" i="28"/>
  <c r="U187" i="28"/>
  <c r="U118" i="28"/>
  <c r="O19" i="28"/>
  <c r="Q377" i="28"/>
  <c r="L335" i="28"/>
  <c r="N175" i="28"/>
  <c r="N173" i="28" s="1"/>
  <c r="N159" i="28"/>
  <c r="P140" i="28"/>
  <c r="P122" i="28"/>
  <c r="M120" i="28"/>
  <c r="P120" i="28" s="1"/>
  <c r="S119" i="28"/>
  <c r="S117" i="28" s="1"/>
  <c r="P99" i="28"/>
  <c r="M97" i="28"/>
  <c r="P97" i="28" s="1"/>
  <c r="S96" i="28"/>
  <c r="S94" i="28" s="1"/>
  <c r="I82" i="28"/>
  <c r="O174" i="28"/>
  <c r="O158" i="28"/>
  <c r="K116" i="28"/>
  <c r="T75" i="28"/>
  <c r="O67" i="28"/>
  <c r="L65" i="28"/>
  <c r="O65" i="28" s="1"/>
  <c r="L61" i="28"/>
  <c r="P60" i="28"/>
  <c r="O25" i="28"/>
  <c r="P22" i="28"/>
  <c r="U174" i="28"/>
  <c r="I168" i="28"/>
  <c r="K168" i="28" s="1"/>
  <c r="I169" i="28"/>
  <c r="K169" i="28" s="1"/>
  <c r="U158" i="28"/>
  <c r="U140" i="28"/>
  <c r="P125" i="28"/>
  <c r="M123" i="28"/>
  <c r="P123" i="28" s="1"/>
  <c r="U122" i="28"/>
  <c r="O118" i="28"/>
  <c r="O95" i="28"/>
  <c r="R26" i="28"/>
  <c r="P73" i="28"/>
  <c r="O22" i="28"/>
  <c r="R175" i="28"/>
  <c r="R173" i="28" s="1"/>
  <c r="L175" i="28"/>
  <c r="R159" i="28"/>
  <c r="U159" i="28" s="1"/>
  <c r="L159" i="28"/>
  <c r="K154" i="28"/>
  <c r="S141" i="28"/>
  <c r="S139" i="28" s="1"/>
  <c r="M141" i="28"/>
  <c r="P141" i="28" s="1"/>
  <c r="R119" i="28"/>
  <c r="L119" i="28"/>
  <c r="O119" i="28" s="1"/>
  <c r="R96" i="28"/>
  <c r="U96" i="28" s="1"/>
  <c r="L96" i="28"/>
  <c r="O96" i="28" s="1"/>
  <c r="T80" i="28"/>
  <c r="T77" i="28"/>
  <c r="S26" i="28"/>
  <c r="S24" i="28" s="1"/>
  <c r="S23" i="28"/>
  <c r="M23" i="28"/>
  <c r="M21" i="28" s="1"/>
  <c r="Q175" i="28"/>
  <c r="Q159" i="28"/>
  <c r="T159" i="28" s="1"/>
  <c r="R141" i="28"/>
  <c r="U141" i="28" s="1"/>
  <c r="L141" i="28"/>
  <c r="O141" i="28" s="1"/>
  <c r="Q119" i="28"/>
  <c r="Q117" i="28" s="1"/>
  <c r="Q96" i="28"/>
  <c r="T96" i="28" s="1"/>
  <c r="S74" i="28"/>
  <c r="M74" i="28"/>
  <c r="M46" i="28"/>
  <c r="R23" i="28"/>
  <c r="L23" i="28"/>
  <c r="L21" i="28" s="1"/>
  <c r="L179" i="28"/>
  <c r="O179" i="28" s="1"/>
  <c r="R176" i="28"/>
  <c r="U176" i="28" s="1"/>
  <c r="L176" i="28"/>
  <c r="O176" i="28" s="1"/>
  <c r="L163" i="28"/>
  <c r="O163" i="28" s="1"/>
  <c r="R160" i="28"/>
  <c r="U160" i="28" s="1"/>
  <c r="L160" i="28"/>
  <c r="O160" i="28" s="1"/>
  <c r="M145" i="28"/>
  <c r="P145" i="28" s="1"/>
  <c r="M142" i="28"/>
  <c r="P142" i="28" s="1"/>
  <c r="R123" i="28"/>
  <c r="U123" i="28" s="1"/>
  <c r="Q23" i="28"/>
  <c r="K661" i="24"/>
  <c r="K654" i="25"/>
  <c r="L561" i="25"/>
  <c r="O561" i="25" s="1"/>
  <c r="O311" i="25"/>
  <c r="K785" i="26"/>
  <c r="K782" i="26"/>
  <c r="K779" i="26"/>
  <c r="Q731" i="26"/>
  <c r="O560" i="26"/>
  <c r="N415" i="26"/>
  <c r="N413" i="26" s="1"/>
  <c r="K386" i="26"/>
  <c r="O274" i="26"/>
  <c r="Q269" i="26"/>
  <c r="T269" i="26" s="1"/>
  <c r="M96" i="26"/>
  <c r="M94" i="26" s="1"/>
  <c r="K780" i="27"/>
  <c r="Q763" i="27"/>
  <c r="T763" i="27" s="1"/>
  <c r="S762" i="27"/>
  <c r="S760" i="27" s="1"/>
  <c r="M728" i="27"/>
  <c r="P728" i="27" s="1"/>
  <c r="P729" i="27"/>
  <c r="I701" i="27"/>
  <c r="I689" i="27"/>
  <c r="K689" i="27" s="1"/>
  <c r="P607" i="27"/>
  <c r="N536" i="27"/>
  <c r="N534" i="27" s="1"/>
  <c r="Q513" i="27"/>
  <c r="T513" i="27" s="1"/>
  <c r="R496" i="27"/>
  <c r="U496" i="27" s="1"/>
  <c r="R495" i="27"/>
  <c r="U495" i="27" s="1"/>
  <c r="I365" i="27"/>
  <c r="K365" i="27" s="1"/>
  <c r="T334" i="27"/>
  <c r="N188" i="27"/>
  <c r="N186" i="27" s="1"/>
  <c r="N189" i="27"/>
  <c r="S176" i="27"/>
  <c r="T178" i="27"/>
  <c r="K154" i="27"/>
  <c r="I136" i="27"/>
  <c r="K136" i="27" s="1"/>
  <c r="S96" i="27"/>
  <c r="S94" i="27" s="1"/>
  <c r="S97" i="27"/>
  <c r="T97" i="27" s="1"/>
  <c r="R74" i="27"/>
  <c r="U74" i="27" s="1"/>
  <c r="R75" i="27"/>
  <c r="U75" i="27" s="1"/>
  <c r="R19" i="27"/>
  <c r="U22" i="27"/>
  <c r="K632" i="26"/>
  <c r="K626" i="26"/>
  <c r="L269" i="26"/>
  <c r="O269" i="26" s="1"/>
  <c r="Q141" i="26"/>
  <c r="T141" i="26" s="1"/>
  <c r="P102" i="26"/>
  <c r="L74" i="26"/>
  <c r="O74" i="26" s="1"/>
  <c r="K782" i="27"/>
  <c r="I759" i="27"/>
  <c r="K759" i="27" s="1"/>
  <c r="L728" i="27"/>
  <c r="O728" i="27" s="1"/>
  <c r="T691" i="27"/>
  <c r="M616" i="27"/>
  <c r="P616" i="27" s="1"/>
  <c r="S601" i="27"/>
  <c r="S599" i="27" s="1"/>
  <c r="S602" i="27"/>
  <c r="N557" i="27"/>
  <c r="N555" i="27" s="1"/>
  <c r="N558" i="27"/>
  <c r="S392" i="27"/>
  <c r="Q377" i="27"/>
  <c r="Q378" i="27"/>
  <c r="K346" i="27"/>
  <c r="L336" i="27"/>
  <c r="I281" i="27"/>
  <c r="K281" i="27" s="1"/>
  <c r="K292" i="27"/>
  <c r="P274" i="27"/>
  <c r="L222" i="27"/>
  <c r="O222" i="27" s="1"/>
  <c r="L145" i="27"/>
  <c r="O145" i="27" s="1"/>
  <c r="R693" i="27"/>
  <c r="R692" i="27"/>
  <c r="U692" i="27" s="1"/>
  <c r="U695" i="27"/>
  <c r="S692" i="26"/>
  <c r="S690" i="26" s="1"/>
  <c r="M582" i="26"/>
  <c r="P582" i="26" s="1"/>
  <c r="M495" i="26"/>
  <c r="P495" i="26" s="1"/>
  <c r="M419" i="26"/>
  <c r="P419" i="26" s="1"/>
  <c r="O144" i="26"/>
  <c r="N760" i="27"/>
  <c r="S644" i="27"/>
  <c r="S642" i="27" s="1"/>
  <c r="S645" i="27"/>
  <c r="U645" i="27" s="1"/>
  <c r="J332" i="27"/>
  <c r="K332" i="27" s="1"/>
  <c r="J343" i="27"/>
  <c r="R333" i="27"/>
  <c r="U333" i="27" s="1"/>
  <c r="T321" i="27"/>
  <c r="I137" i="27"/>
  <c r="K137" i="27" s="1"/>
  <c r="K152" i="27"/>
  <c r="M100" i="27"/>
  <c r="P100" i="27" s="1"/>
  <c r="P102" i="27"/>
  <c r="N75" i="27"/>
  <c r="N74" i="27"/>
  <c r="N72" i="27" s="1"/>
  <c r="K505" i="27"/>
  <c r="J503" i="27"/>
  <c r="J492" i="27" s="1"/>
  <c r="M160" i="27"/>
  <c r="P160" i="27" s="1"/>
  <c r="M159" i="27"/>
  <c r="M157" i="27" s="1"/>
  <c r="S306" i="26"/>
  <c r="L234" i="26"/>
  <c r="M760" i="27"/>
  <c r="P760" i="27" s="1"/>
  <c r="S731" i="27"/>
  <c r="T731" i="27" s="1"/>
  <c r="S730" i="27"/>
  <c r="S728" i="27" s="1"/>
  <c r="M163" i="27"/>
  <c r="P163" i="27" s="1"/>
  <c r="P165" i="27"/>
  <c r="R141" i="27"/>
  <c r="R139" i="27" s="1"/>
  <c r="P162" i="25"/>
  <c r="K783" i="26"/>
  <c r="K780" i="26"/>
  <c r="S728" i="26"/>
  <c r="T728" i="26" s="1"/>
  <c r="K629" i="26"/>
  <c r="L309" i="26"/>
  <c r="O309" i="26" s="1"/>
  <c r="R306" i="26"/>
  <c r="P80" i="26"/>
  <c r="P77" i="26"/>
  <c r="L760" i="27"/>
  <c r="O760" i="27" s="1"/>
  <c r="R731" i="27"/>
  <c r="U733" i="27"/>
  <c r="R730" i="27"/>
  <c r="R728" i="27" s="1"/>
  <c r="T695" i="27"/>
  <c r="S693" i="27"/>
  <c r="T693" i="27" s="1"/>
  <c r="K673" i="27"/>
  <c r="T647" i="27"/>
  <c r="Q645" i="27"/>
  <c r="K632" i="27"/>
  <c r="K629" i="27"/>
  <c r="T619" i="27"/>
  <c r="M579" i="27"/>
  <c r="P579" i="27" s="1"/>
  <c r="M578" i="27"/>
  <c r="P578" i="27" s="1"/>
  <c r="U498" i="27"/>
  <c r="S415" i="27"/>
  <c r="S413" i="27" s="1"/>
  <c r="S416" i="27"/>
  <c r="L415" i="27"/>
  <c r="O415" i="27" s="1"/>
  <c r="L416" i="27"/>
  <c r="O416" i="27" s="1"/>
  <c r="P393" i="27"/>
  <c r="P383" i="27"/>
  <c r="T380" i="27"/>
  <c r="I265" i="27"/>
  <c r="K265" i="27" s="1"/>
  <c r="K276" i="27"/>
  <c r="K195" i="27"/>
  <c r="P125" i="27"/>
  <c r="Q119" i="27"/>
  <c r="Q117" i="27" s="1"/>
  <c r="Q120" i="27"/>
  <c r="L47" i="27"/>
  <c r="O47" i="27" s="1"/>
  <c r="K727" i="27"/>
  <c r="L714" i="27"/>
  <c r="O714" i="27" s="1"/>
  <c r="K703" i="27"/>
  <c r="L690" i="27"/>
  <c r="O690" i="27" s="1"/>
  <c r="R601" i="27"/>
  <c r="U601" i="27" s="1"/>
  <c r="L578" i="27"/>
  <c r="O578" i="27" s="1"/>
  <c r="R555" i="27"/>
  <c r="U555" i="27" s="1"/>
  <c r="M536" i="27"/>
  <c r="P536" i="27" s="1"/>
  <c r="T498" i="27"/>
  <c r="R395" i="27"/>
  <c r="U395" i="27" s="1"/>
  <c r="L392" i="27"/>
  <c r="O392" i="27" s="1"/>
  <c r="O383" i="27"/>
  <c r="P380" i="27"/>
  <c r="K369" i="27"/>
  <c r="N359" i="27"/>
  <c r="L305" i="27"/>
  <c r="L303" i="27" s="1"/>
  <c r="Q303" i="27"/>
  <c r="I280" i="27"/>
  <c r="K280" i="27" s="1"/>
  <c r="O274" i="27"/>
  <c r="O194" i="27"/>
  <c r="L159" i="27"/>
  <c r="O159" i="27" s="1"/>
  <c r="T144" i="27"/>
  <c r="L141" i="27"/>
  <c r="L139" i="27" s="1"/>
  <c r="Q142" i="27"/>
  <c r="U125" i="27"/>
  <c r="O125" i="27"/>
  <c r="Q74" i="27"/>
  <c r="T74" i="27" s="1"/>
  <c r="O67" i="27"/>
  <c r="L61" i="27"/>
  <c r="L59" i="27" s="1"/>
  <c r="R44" i="27"/>
  <c r="U44" i="27" s="1"/>
  <c r="K726" i="27"/>
  <c r="N714" i="27"/>
  <c r="Q692" i="27"/>
  <c r="T692" i="27" s="1"/>
  <c r="S690" i="27"/>
  <c r="J675" i="27"/>
  <c r="K675" i="27" s="1"/>
  <c r="K661" i="27"/>
  <c r="P560" i="27"/>
  <c r="Q555" i="27"/>
  <c r="T555" i="27" s="1"/>
  <c r="U535" i="27"/>
  <c r="R513" i="27"/>
  <c r="U513" i="27" s="1"/>
  <c r="M495" i="27"/>
  <c r="S496" i="27"/>
  <c r="M415" i="27"/>
  <c r="P415" i="27" s="1"/>
  <c r="U397" i="27"/>
  <c r="J374" i="27"/>
  <c r="U380" i="27"/>
  <c r="O380" i="27"/>
  <c r="K344" i="27"/>
  <c r="N305" i="27"/>
  <c r="N303" i="27" s="1"/>
  <c r="Q282" i="27"/>
  <c r="T282" i="27" s="1"/>
  <c r="M268" i="27"/>
  <c r="M266" i="27" s="1"/>
  <c r="T125" i="27"/>
  <c r="P77" i="27"/>
  <c r="S44" i="27"/>
  <c r="Q44" i="27"/>
  <c r="T44" i="27" s="1"/>
  <c r="M377" i="27"/>
  <c r="P377" i="27" s="1"/>
  <c r="S378" i="27"/>
  <c r="U378" i="27" s="1"/>
  <c r="S375" i="27"/>
  <c r="S320" i="27"/>
  <c r="L234" i="27"/>
  <c r="Q145" i="27"/>
  <c r="T145" i="27" s="1"/>
  <c r="M96" i="27"/>
  <c r="M94" i="27" s="1"/>
  <c r="J702" i="27"/>
  <c r="J674" i="27"/>
  <c r="K674" i="27" s="1"/>
  <c r="T604" i="27"/>
  <c r="L601" i="27"/>
  <c r="L599" i="27" s="1"/>
  <c r="S576" i="27"/>
  <c r="O563" i="27"/>
  <c r="N515" i="27"/>
  <c r="N513" i="27" s="1"/>
  <c r="N516" i="27"/>
  <c r="P501" i="27"/>
  <c r="J457" i="27"/>
  <c r="J456" i="27" s="1"/>
  <c r="P338" i="27"/>
  <c r="N336" i="27"/>
  <c r="P336" i="27" s="1"/>
  <c r="M326" i="27"/>
  <c r="P326" i="27" s="1"/>
  <c r="M322" i="27"/>
  <c r="P322" i="27" s="1"/>
  <c r="N284" i="27"/>
  <c r="N282" i="27" s="1"/>
  <c r="N285" i="27"/>
  <c r="I240" i="27"/>
  <c r="K240" i="27" s="1"/>
  <c r="T203" i="27"/>
  <c r="O178" i="27"/>
  <c r="Q176" i="27"/>
  <c r="I172" i="27"/>
  <c r="K172" i="27" s="1"/>
  <c r="T99" i="27"/>
  <c r="L74" i="27"/>
  <c r="O74" i="27" s="1"/>
  <c r="P62" i="27"/>
  <c r="L19" i="27"/>
  <c r="I365" i="25"/>
  <c r="K365" i="25" s="1"/>
  <c r="K371" i="25"/>
  <c r="Q189" i="25"/>
  <c r="T189" i="25" s="1"/>
  <c r="T191" i="25"/>
  <c r="U763" i="27"/>
  <c r="Q760" i="27"/>
  <c r="R189" i="24"/>
  <c r="U189" i="24" s="1"/>
  <c r="U191" i="24"/>
  <c r="R145" i="25"/>
  <c r="U145" i="25" s="1"/>
  <c r="U147" i="25"/>
  <c r="I759" i="26"/>
  <c r="K759" i="26" s="1"/>
  <c r="K774" i="26"/>
  <c r="M601" i="27"/>
  <c r="P604" i="27"/>
  <c r="K781" i="25"/>
  <c r="U692" i="25"/>
  <c r="K707" i="26"/>
  <c r="U619" i="26"/>
  <c r="M602" i="26"/>
  <c r="P602" i="26" s="1"/>
  <c r="N46" i="26"/>
  <c r="N44" i="26" s="1"/>
  <c r="L616" i="27"/>
  <c r="O616" i="27" s="1"/>
  <c r="O617" i="27"/>
  <c r="U600" i="27"/>
  <c r="Q534" i="27"/>
  <c r="T534" i="27" s="1"/>
  <c r="L516" i="27"/>
  <c r="O516" i="27" s="1"/>
  <c r="L515" i="27"/>
  <c r="N378" i="27"/>
  <c r="N377" i="27"/>
  <c r="N375" i="27" s="1"/>
  <c r="U187" i="27"/>
  <c r="T619" i="26"/>
  <c r="S618" i="26"/>
  <c r="S616" i="26" s="1"/>
  <c r="P269" i="26"/>
  <c r="L254" i="26"/>
  <c r="O254" i="26" s="1"/>
  <c r="N141" i="26"/>
  <c r="N139" i="26" s="1"/>
  <c r="R618" i="27"/>
  <c r="R616" i="27" s="1"/>
  <c r="U621" i="27"/>
  <c r="S618" i="27"/>
  <c r="S616" i="27" s="1"/>
  <c r="U617" i="27"/>
  <c r="I615" i="27"/>
  <c r="K615" i="27" s="1"/>
  <c r="O560" i="27"/>
  <c r="L557" i="27"/>
  <c r="O557" i="27" s="1"/>
  <c r="N495" i="27"/>
  <c r="N493" i="27" s="1"/>
  <c r="N416" i="27"/>
  <c r="N415" i="27"/>
  <c r="N413" i="27" s="1"/>
  <c r="P328" i="25"/>
  <c r="P269" i="25"/>
  <c r="L163" i="25"/>
  <c r="O163" i="25" s="1"/>
  <c r="P125" i="25"/>
  <c r="K689" i="26"/>
  <c r="J674" i="26"/>
  <c r="P518" i="26"/>
  <c r="O421" i="26"/>
  <c r="J374" i="26"/>
  <c r="M326" i="26"/>
  <c r="P326" i="26" s="1"/>
  <c r="U144" i="26"/>
  <c r="L75" i="26"/>
  <c r="O75" i="26" s="1"/>
  <c r="L46" i="26"/>
  <c r="L44" i="26" s="1"/>
  <c r="U765" i="27"/>
  <c r="R762" i="27"/>
  <c r="P761" i="27"/>
  <c r="T733" i="27"/>
  <c r="Q730" i="27"/>
  <c r="U729" i="27"/>
  <c r="O729" i="27"/>
  <c r="R644" i="27"/>
  <c r="Q618" i="27"/>
  <c r="Q616" i="27" s="1"/>
  <c r="T621" i="27"/>
  <c r="T617" i="27"/>
  <c r="T577" i="27"/>
  <c r="Q576" i="27"/>
  <c r="T576" i="27" s="1"/>
  <c r="T556" i="27"/>
  <c r="P535" i="27"/>
  <c r="S513" i="27"/>
  <c r="L499" i="27"/>
  <c r="O499" i="27" s="1"/>
  <c r="O501" i="27"/>
  <c r="L495" i="27"/>
  <c r="O495" i="27" s="1"/>
  <c r="O494" i="27"/>
  <c r="P191" i="27"/>
  <c r="M188" i="27"/>
  <c r="M189" i="27"/>
  <c r="M192" i="26"/>
  <c r="P192" i="26" s="1"/>
  <c r="L235" i="24"/>
  <c r="J702" i="25"/>
  <c r="P341" i="25"/>
  <c r="K154" i="25"/>
  <c r="U695" i="26"/>
  <c r="K346" i="26"/>
  <c r="O341" i="26"/>
  <c r="M285" i="26"/>
  <c r="P285" i="26" s="1"/>
  <c r="L236" i="26"/>
  <c r="I238" i="26"/>
  <c r="K238" i="26" s="1"/>
  <c r="P191" i="26"/>
  <c r="I168" i="26"/>
  <c r="K168" i="26" s="1"/>
  <c r="K154" i="26"/>
  <c r="T125" i="26"/>
  <c r="P64" i="26"/>
  <c r="L50" i="26"/>
  <c r="O50" i="26" s="1"/>
  <c r="T765" i="27"/>
  <c r="U761" i="27"/>
  <c r="O761" i="27"/>
  <c r="T729" i="27"/>
  <c r="P715" i="27"/>
  <c r="P691" i="27"/>
  <c r="U647" i="27"/>
  <c r="Q644" i="27"/>
  <c r="M642" i="27"/>
  <c r="P642" i="27" s="1"/>
  <c r="M602" i="27"/>
  <c r="N601" i="27"/>
  <c r="R576" i="27"/>
  <c r="U576" i="27" s="1"/>
  <c r="O556" i="27"/>
  <c r="U376" i="27"/>
  <c r="N322" i="27"/>
  <c r="N320" i="27" s="1"/>
  <c r="P321" i="27"/>
  <c r="L189" i="27"/>
  <c r="L188" i="27"/>
  <c r="O191" i="27"/>
  <c r="S78" i="27"/>
  <c r="S26" i="27"/>
  <c r="S24" i="27" s="1"/>
  <c r="J675" i="26"/>
  <c r="S305" i="27"/>
  <c r="S303" i="27" s="1"/>
  <c r="S306" i="27"/>
  <c r="U308" i="27"/>
  <c r="S61" i="1"/>
  <c r="U194" i="24"/>
  <c r="O341" i="25"/>
  <c r="O604" i="26"/>
  <c r="P542" i="26"/>
  <c r="P364" i="26"/>
  <c r="K330" i="26"/>
  <c r="S303" i="26"/>
  <c r="U303" i="26" s="1"/>
  <c r="K293" i="26"/>
  <c r="P271" i="26"/>
  <c r="P178" i="26"/>
  <c r="N47" i="26"/>
  <c r="O47" i="26" s="1"/>
  <c r="K772" i="27"/>
  <c r="O691" i="27"/>
  <c r="K676" i="27"/>
  <c r="L642" i="27"/>
  <c r="O642" i="27" s="1"/>
  <c r="K631" i="27"/>
  <c r="K626" i="27"/>
  <c r="R619" i="27"/>
  <c r="U619" i="27" s="1"/>
  <c r="N602" i="27"/>
  <c r="O602" i="27" s="1"/>
  <c r="O604" i="27"/>
  <c r="T600" i="27"/>
  <c r="O584" i="27"/>
  <c r="L582" i="27"/>
  <c r="O582" i="27" s="1"/>
  <c r="N582" i="27"/>
  <c r="L540" i="27"/>
  <c r="O540" i="27" s="1"/>
  <c r="Q493" i="27"/>
  <c r="T493" i="27" s="1"/>
  <c r="T495" i="27"/>
  <c r="U494" i="27"/>
  <c r="U414" i="27"/>
  <c r="R413" i="27"/>
  <c r="U413" i="27" s="1"/>
  <c r="T194" i="27"/>
  <c r="Q188" i="27"/>
  <c r="Q192" i="27"/>
  <c r="T192" i="27" s="1"/>
  <c r="O99" i="27"/>
  <c r="L97" i="27"/>
  <c r="O97" i="27" s="1"/>
  <c r="L96" i="27"/>
  <c r="L94" i="27" s="1"/>
  <c r="O95" i="27"/>
  <c r="L536" i="27"/>
  <c r="P518" i="27"/>
  <c r="U515" i="27"/>
  <c r="T397" i="27"/>
  <c r="Q394" i="27"/>
  <c r="T394" i="27" s="1"/>
  <c r="N392" i="27"/>
  <c r="P361" i="27"/>
  <c r="M359" i="27"/>
  <c r="P341" i="27"/>
  <c r="M339" i="27"/>
  <c r="P339" i="27" s="1"/>
  <c r="P334" i="27"/>
  <c r="O321" i="27"/>
  <c r="M284" i="27"/>
  <c r="P287" i="27"/>
  <c r="M285" i="27"/>
  <c r="P285" i="27" s="1"/>
  <c r="O271" i="27"/>
  <c r="L268" i="27"/>
  <c r="L266" i="27" s="1"/>
  <c r="P267" i="27"/>
  <c r="L254" i="27"/>
  <c r="O254" i="27" s="1"/>
  <c r="U191" i="27"/>
  <c r="S188" i="27"/>
  <c r="S186" i="27" s="1"/>
  <c r="S189" i="27"/>
  <c r="N142" i="27"/>
  <c r="O142" i="27" s="1"/>
  <c r="O144" i="27"/>
  <c r="N141" i="27"/>
  <c r="O60" i="27"/>
  <c r="S19" i="27"/>
  <c r="M515" i="27"/>
  <c r="P515" i="27" s="1"/>
  <c r="P376" i="27"/>
  <c r="O361" i="27"/>
  <c r="L359" i="27"/>
  <c r="S356" i="27"/>
  <c r="O341" i="27"/>
  <c r="L339" i="27"/>
  <c r="O339" i="27" s="1"/>
  <c r="L335" i="27"/>
  <c r="O328" i="27"/>
  <c r="L326" i="27"/>
  <c r="O326" i="27" s="1"/>
  <c r="L284" i="27"/>
  <c r="O290" i="27"/>
  <c r="L288" i="27"/>
  <c r="O288" i="27" s="1"/>
  <c r="R268" i="27"/>
  <c r="U268" i="27" s="1"/>
  <c r="U271" i="27"/>
  <c r="R269" i="27"/>
  <c r="O267" i="27"/>
  <c r="K249" i="27"/>
  <c r="I242" i="27"/>
  <c r="M179" i="27"/>
  <c r="P179" i="27" s="1"/>
  <c r="P181" i="27"/>
  <c r="M120" i="27"/>
  <c r="P120" i="27" s="1"/>
  <c r="M119" i="27"/>
  <c r="P119" i="27" s="1"/>
  <c r="P122" i="27"/>
  <c r="R59" i="27"/>
  <c r="U59" i="27" s="1"/>
  <c r="Q496" i="27"/>
  <c r="T496" i="27" s="1"/>
  <c r="K440" i="27"/>
  <c r="I423" i="27"/>
  <c r="O376" i="27"/>
  <c r="R320" i="27"/>
  <c r="U320" i="27" s="1"/>
  <c r="U321" i="27"/>
  <c r="P187" i="27"/>
  <c r="U174" i="27"/>
  <c r="R173" i="27"/>
  <c r="Q173" i="27"/>
  <c r="K386" i="27"/>
  <c r="I374" i="27"/>
  <c r="U358" i="27"/>
  <c r="R356" i="27"/>
  <c r="U356" i="27" s="1"/>
  <c r="Q356" i="27"/>
  <c r="T356" i="27" s="1"/>
  <c r="T357" i="27"/>
  <c r="M305" i="27"/>
  <c r="P308" i="27"/>
  <c r="M306" i="27"/>
  <c r="P306" i="27" s="1"/>
  <c r="R303" i="27"/>
  <c r="R282" i="27"/>
  <c r="U282" i="27" s="1"/>
  <c r="O269" i="27"/>
  <c r="U267" i="27"/>
  <c r="O187" i="27"/>
  <c r="R176" i="27"/>
  <c r="U178" i="27"/>
  <c r="L26" i="27"/>
  <c r="U418" i="27"/>
  <c r="O418" i="27"/>
  <c r="P290" i="27"/>
  <c r="N268" i="27"/>
  <c r="N266" i="27" s="1"/>
  <c r="L243" i="27"/>
  <c r="K209" i="27"/>
  <c r="L203" i="27"/>
  <c r="O203" i="27" s="1"/>
  <c r="U194" i="27"/>
  <c r="N175" i="27"/>
  <c r="L160" i="27"/>
  <c r="O160" i="27" s="1"/>
  <c r="M141" i="27"/>
  <c r="P144" i="27"/>
  <c r="L119" i="27"/>
  <c r="O119" i="27" s="1"/>
  <c r="O122" i="27"/>
  <c r="R94" i="27"/>
  <c r="U95" i="27"/>
  <c r="R377" i="27"/>
  <c r="U377" i="27" s="1"/>
  <c r="L377" i="27"/>
  <c r="O377" i="27" s="1"/>
  <c r="M335" i="27"/>
  <c r="L322" i="27"/>
  <c r="O322" i="27" s="1"/>
  <c r="T308" i="27"/>
  <c r="I302" i="27"/>
  <c r="K302" i="27" s="1"/>
  <c r="P174" i="27"/>
  <c r="O158" i="27"/>
  <c r="S120" i="27"/>
  <c r="T122" i="27"/>
  <c r="S119" i="27"/>
  <c r="O118" i="27"/>
  <c r="O102" i="27"/>
  <c r="L100" i="27"/>
  <c r="O100" i="27" s="1"/>
  <c r="K84" i="27"/>
  <c r="I82" i="27"/>
  <c r="S75" i="27"/>
  <c r="S23" i="27"/>
  <c r="S74" i="27"/>
  <c r="S72" i="27" s="1"/>
  <c r="M192" i="27"/>
  <c r="P192" i="27" s="1"/>
  <c r="N159" i="27"/>
  <c r="N157" i="27" s="1"/>
  <c r="N163" i="27"/>
  <c r="R160" i="27"/>
  <c r="U160" i="27" s="1"/>
  <c r="R159" i="27"/>
  <c r="U159" i="27" s="1"/>
  <c r="S159" i="27"/>
  <c r="S157" i="27" s="1"/>
  <c r="S141" i="27"/>
  <c r="U144" i="27"/>
  <c r="S142" i="27"/>
  <c r="U142" i="27" s="1"/>
  <c r="P140" i="27"/>
  <c r="R119" i="27"/>
  <c r="R117" i="27" s="1"/>
  <c r="U122" i="27"/>
  <c r="R120" i="27"/>
  <c r="U118" i="27"/>
  <c r="T73" i="27"/>
  <c r="U19" i="27"/>
  <c r="L309" i="27"/>
  <c r="O309" i="27" s="1"/>
  <c r="Q306" i="27"/>
  <c r="R188" i="27"/>
  <c r="S175" i="27"/>
  <c r="S173" i="27" s="1"/>
  <c r="O140" i="27"/>
  <c r="M78" i="27"/>
  <c r="P78" i="27" s="1"/>
  <c r="P80" i="27"/>
  <c r="M65" i="27"/>
  <c r="P65" i="27" s="1"/>
  <c r="P67" i="27"/>
  <c r="N26" i="27"/>
  <c r="N24" i="27" s="1"/>
  <c r="P47" i="27"/>
  <c r="P178" i="27"/>
  <c r="M175" i="27"/>
  <c r="N96" i="27"/>
  <c r="N94" i="27" s="1"/>
  <c r="R26" i="27"/>
  <c r="M74" i="27"/>
  <c r="P52" i="27"/>
  <c r="M26" i="27"/>
  <c r="P26" i="27" s="1"/>
  <c r="U99" i="27"/>
  <c r="R97" i="27"/>
  <c r="I83" i="27"/>
  <c r="Q26" i="27"/>
  <c r="P64" i="27"/>
  <c r="O62" i="27"/>
  <c r="N61" i="27"/>
  <c r="N59" i="27" s="1"/>
  <c r="P22" i="27"/>
  <c r="M19" i="27"/>
  <c r="I116" i="27"/>
  <c r="K116" i="27" s="1"/>
  <c r="K93" i="27"/>
  <c r="P25" i="27"/>
  <c r="O19" i="27"/>
  <c r="U80" i="27"/>
  <c r="O80" i="27"/>
  <c r="Q78" i="27"/>
  <c r="T78" i="27" s="1"/>
  <c r="U77" i="27"/>
  <c r="O77" i="27"/>
  <c r="Q75" i="27"/>
  <c r="T75" i="27" s="1"/>
  <c r="O64" i="27"/>
  <c r="N50" i="27"/>
  <c r="O49" i="27"/>
  <c r="N23" i="27"/>
  <c r="N46" i="27"/>
  <c r="M23" i="27"/>
  <c r="Q19" i="27"/>
  <c r="M61" i="27"/>
  <c r="M46" i="27"/>
  <c r="R23" i="27"/>
  <c r="L23" i="27"/>
  <c r="Q23" i="27"/>
  <c r="O535" i="26"/>
  <c r="I92" i="26"/>
  <c r="K92" i="26" s="1"/>
  <c r="K108" i="26"/>
  <c r="J675" i="25"/>
  <c r="K675" i="25" s="1"/>
  <c r="K678" i="25"/>
  <c r="N515" i="25"/>
  <c r="N513" i="25" s="1"/>
  <c r="S763" i="26"/>
  <c r="S762" i="26"/>
  <c r="S760" i="26" s="1"/>
  <c r="U715" i="26"/>
  <c r="R714" i="26"/>
  <c r="U714" i="26" s="1"/>
  <c r="R576" i="26"/>
  <c r="U576" i="26" s="1"/>
  <c r="U577" i="26"/>
  <c r="M339" i="26"/>
  <c r="P339" i="26" s="1"/>
  <c r="P341" i="26"/>
  <c r="M305" i="26"/>
  <c r="P305" i="26" s="1"/>
  <c r="P308" i="26"/>
  <c r="M306" i="26"/>
  <c r="P306" i="26" s="1"/>
  <c r="Q19" i="26"/>
  <c r="T19" i="26" s="1"/>
  <c r="T22" i="26"/>
  <c r="I240" i="25"/>
  <c r="K240" i="25" s="1"/>
  <c r="K251" i="25"/>
  <c r="L540" i="26"/>
  <c r="O540" i="26" s="1"/>
  <c r="O542" i="26"/>
  <c r="Q320" i="26"/>
  <c r="T320" i="26" s="1"/>
  <c r="T321" i="26"/>
  <c r="R74" i="26"/>
  <c r="U74" i="26" s="1"/>
  <c r="R75" i="26"/>
  <c r="U75" i="26" s="1"/>
  <c r="K682" i="23"/>
  <c r="K661" i="23"/>
  <c r="R763" i="26"/>
  <c r="U763" i="26" s="1"/>
  <c r="R762" i="26"/>
  <c r="U762" i="26" s="1"/>
  <c r="U765" i="26"/>
  <c r="P607" i="26"/>
  <c r="M605" i="26"/>
  <c r="P605" i="26" s="1"/>
  <c r="Q555" i="26"/>
  <c r="T555" i="26" s="1"/>
  <c r="T557" i="26"/>
  <c r="R534" i="26"/>
  <c r="U534" i="26" s="1"/>
  <c r="U535" i="26"/>
  <c r="S377" i="26"/>
  <c r="S375" i="26" s="1"/>
  <c r="S378" i="26"/>
  <c r="T378" i="26" s="1"/>
  <c r="R356" i="26"/>
  <c r="U356" i="26" s="1"/>
  <c r="U358" i="26"/>
  <c r="M322" i="26"/>
  <c r="P322" i="26" s="1"/>
  <c r="M323" i="26"/>
  <c r="P323" i="26" s="1"/>
  <c r="P325" i="26"/>
  <c r="L305" i="26"/>
  <c r="O305" i="26" s="1"/>
  <c r="L306" i="26"/>
  <c r="O306" i="26" s="1"/>
  <c r="L288" i="26"/>
  <c r="O288" i="26" s="1"/>
  <c r="O290" i="26"/>
  <c r="L233" i="26"/>
  <c r="L243" i="26"/>
  <c r="O243" i="26" s="1"/>
  <c r="M179" i="26"/>
  <c r="P179" i="26" s="1"/>
  <c r="P181" i="26"/>
  <c r="L61" i="26"/>
  <c r="L59" i="26" s="1"/>
  <c r="L62" i="26"/>
  <c r="O62" i="26" s="1"/>
  <c r="P49" i="26"/>
  <c r="M78" i="25"/>
  <c r="P78" i="25" s="1"/>
  <c r="P80" i="25"/>
  <c r="L690" i="26"/>
  <c r="O690" i="26" s="1"/>
  <c r="O691" i="26"/>
  <c r="Q59" i="26"/>
  <c r="T59" i="26" s="1"/>
  <c r="T60" i="26"/>
  <c r="L326" i="23"/>
  <c r="O326" i="23" s="1"/>
  <c r="J674" i="25"/>
  <c r="K674" i="25" s="1"/>
  <c r="S645" i="26"/>
  <c r="S644" i="26"/>
  <c r="S642" i="26" s="1"/>
  <c r="L605" i="26"/>
  <c r="O605" i="26" s="1"/>
  <c r="O607" i="26"/>
  <c r="L519" i="26"/>
  <c r="O519" i="26" s="1"/>
  <c r="O521" i="26"/>
  <c r="R394" i="26"/>
  <c r="U394" i="26" s="1"/>
  <c r="R395" i="26"/>
  <c r="U395" i="26" s="1"/>
  <c r="L336" i="26"/>
  <c r="O336" i="26" s="1"/>
  <c r="O338" i="26"/>
  <c r="L323" i="26"/>
  <c r="O323" i="26" s="1"/>
  <c r="O325" i="26"/>
  <c r="K220" i="26"/>
  <c r="L145" i="26"/>
  <c r="O145" i="26" s="1"/>
  <c r="O147" i="26"/>
  <c r="P144" i="26"/>
  <c r="M142" i="26"/>
  <c r="P142" i="26" s="1"/>
  <c r="Q416" i="26"/>
  <c r="T418" i="26"/>
  <c r="I137" i="26"/>
  <c r="K137" i="26" s="1"/>
  <c r="K152" i="26"/>
  <c r="R395" i="23"/>
  <c r="U395" i="23" s="1"/>
  <c r="O144" i="23"/>
  <c r="P716" i="26"/>
  <c r="M714" i="26"/>
  <c r="P714" i="26" s="1"/>
  <c r="R645" i="26"/>
  <c r="U645" i="26" s="1"/>
  <c r="U647" i="26"/>
  <c r="R644" i="26"/>
  <c r="U644" i="26" s="1"/>
  <c r="L582" i="26"/>
  <c r="O582" i="26" s="1"/>
  <c r="O584" i="26"/>
  <c r="P577" i="26"/>
  <c r="N495" i="26"/>
  <c r="N493" i="26" s="1"/>
  <c r="N496" i="26"/>
  <c r="M309" i="26"/>
  <c r="P309" i="26" s="1"/>
  <c r="P311" i="26"/>
  <c r="P174" i="26"/>
  <c r="M159" i="26"/>
  <c r="M157" i="26" s="1"/>
  <c r="P162" i="26"/>
  <c r="M123" i="26"/>
  <c r="P123" i="26" s="1"/>
  <c r="P125" i="26"/>
  <c r="S96" i="26"/>
  <c r="S94" i="26" s="1"/>
  <c r="T99" i="26"/>
  <c r="S97" i="26"/>
  <c r="T97" i="26" s="1"/>
  <c r="L192" i="23"/>
  <c r="O192" i="23" s="1"/>
  <c r="Q189" i="24"/>
  <c r="T189" i="24" s="1"/>
  <c r="P99" i="24"/>
  <c r="K682" i="25"/>
  <c r="K385" i="25"/>
  <c r="R605" i="26"/>
  <c r="U605" i="26" s="1"/>
  <c r="U607" i="26"/>
  <c r="P393" i="26"/>
  <c r="M392" i="26"/>
  <c r="P392" i="26" s="1"/>
  <c r="R145" i="26"/>
  <c r="U145" i="26" s="1"/>
  <c r="U147" i="26"/>
  <c r="S119" i="26"/>
  <c r="S117" i="26" s="1"/>
  <c r="T122" i="26"/>
  <c r="S19" i="26"/>
  <c r="O328" i="25"/>
  <c r="K784" i="26"/>
  <c r="K781" i="26"/>
  <c r="L714" i="26"/>
  <c r="O714" i="26" s="1"/>
  <c r="J702" i="26"/>
  <c r="R692" i="26"/>
  <c r="L642" i="26"/>
  <c r="O642" i="26" s="1"/>
  <c r="M616" i="26"/>
  <c r="P616" i="26" s="1"/>
  <c r="M578" i="26"/>
  <c r="M576" i="26" s="1"/>
  <c r="M561" i="26"/>
  <c r="P561" i="26" s="1"/>
  <c r="M557" i="26"/>
  <c r="P557" i="26" s="1"/>
  <c r="M536" i="26"/>
  <c r="P536" i="26" s="1"/>
  <c r="Q534" i="26"/>
  <c r="T534" i="26" s="1"/>
  <c r="N515" i="26"/>
  <c r="N513" i="26" s="1"/>
  <c r="Q496" i="26"/>
  <c r="T496" i="26" s="1"/>
  <c r="U418" i="26"/>
  <c r="M415" i="26"/>
  <c r="S416" i="26"/>
  <c r="P338" i="26"/>
  <c r="T334" i="26"/>
  <c r="K302" i="26"/>
  <c r="U271" i="26"/>
  <c r="N268" i="26"/>
  <c r="N266" i="26" s="1"/>
  <c r="L222" i="26"/>
  <c r="O222" i="26" s="1"/>
  <c r="K172" i="26"/>
  <c r="K167" i="26"/>
  <c r="S141" i="26"/>
  <c r="S139" i="26" s="1"/>
  <c r="L141" i="26"/>
  <c r="O141" i="26" s="1"/>
  <c r="R123" i="26"/>
  <c r="U123" i="26" s="1"/>
  <c r="Q119" i="26"/>
  <c r="Q117" i="26" s="1"/>
  <c r="Q74" i="26"/>
  <c r="T74" i="26" s="1"/>
  <c r="S44" i="26"/>
  <c r="N19" i="26"/>
  <c r="P560" i="25"/>
  <c r="L235" i="25"/>
  <c r="K772" i="26"/>
  <c r="L728" i="26"/>
  <c r="O728" i="26" s="1"/>
  <c r="N601" i="26"/>
  <c r="N599" i="26" s="1"/>
  <c r="L578" i="26"/>
  <c r="L576" i="26" s="1"/>
  <c r="L557" i="26"/>
  <c r="O557" i="26" s="1"/>
  <c r="L536" i="26"/>
  <c r="O536" i="26" s="1"/>
  <c r="K503" i="26"/>
  <c r="L415" i="26"/>
  <c r="N358" i="26"/>
  <c r="N356" i="26" s="1"/>
  <c r="N359" i="26"/>
  <c r="O359" i="26" s="1"/>
  <c r="S356" i="26"/>
  <c r="J351" i="26"/>
  <c r="S333" i="26"/>
  <c r="R269" i="26"/>
  <c r="U269" i="26" s="1"/>
  <c r="K260" i="26"/>
  <c r="K229" i="26"/>
  <c r="R192" i="26"/>
  <c r="U192" i="26" s="1"/>
  <c r="K156" i="26"/>
  <c r="K153" i="26"/>
  <c r="R141" i="26"/>
  <c r="U141" i="26" s="1"/>
  <c r="K109" i="26"/>
  <c r="R44" i="26"/>
  <c r="U44" i="26" s="1"/>
  <c r="M322" i="25"/>
  <c r="P322" i="25" s="1"/>
  <c r="M272" i="25"/>
  <c r="P272" i="25" s="1"/>
  <c r="N714" i="26"/>
  <c r="S601" i="26"/>
  <c r="S599" i="26" s="1"/>
  <c r="M601" i="26"/>
  <c r="P601" i="26" s="1"/>
  <c r="S602" i="26"/>
  <c r="L515" i="26"/>
  <c r="O515" i="26" s="1"/>
  <c r="R513" i="26"/>
  <c r="U513" i="26" s="1"/>
  <c r="S413" i="26"/>
  <c r="N335" i="26"/>
  <c r="N333" i="26" s="1"/>
  <c r="T305" i="26"/>
  <c r="L284" i="26"/>
  <c r="O284" i="26" s="1"/>
  <c r="L268" i="26"/>
  <c r="L203" i="26"/>
  <c r="O203" i="26" s="1"/>
  <c r="O191" i="26"/>
  <c r="N175" i="26"/>
  <c r="N119" i="26"/>
  <c r="N117" i="26" s="1"/>
  <c r="L78" i="26"/>
  <c r="O78" i="26" s="1"/>
  <c r="S59" i="26"/>
  <c r="L19" i="26"/>
  <c r="T305" i="25"/>
  <c r="N284" i="25"/>
  <c r="N282" i="25" s="1"/>
  <c r="I137" i="25"/>
  <c r="K137" i="25" s="1"/>
  <c r="T125" i="25"/>
  <c r="T765" i="26"/>
  <c r="Q762" i="26"/>
  <c r="T762" i="26" s="1"/>
  <c r="N642" i="26"/>
  <c r="N602" i="26"/>
  <c r="K575" i="26"/>
  <c r="S493" i="26"/>
  <c r="L416" i="26"/>
  <c r="P380" i="26"/>
  <c r="P336" i="26"/>
  <c r="S320" i="26"/>
  <c r="L235" i="26"/>
  <c r="L192" i="26"/>
  <c r="O192" i="26" s="1"/>
  <c r="M175" i="26"/>
  <c r="M173" i="26" s="1"/>
  <c r="N176" i="26"/>
  <c r="I169" i="26"/>
  <c r="K169" i="26" s="1"/>
  <c r="N159" i="26"/>
  <c r="M141" i="26"/>
  <c r="P141" i="26" s="1"/>
  <c r="M119" i="26"/>
  <c r="P119" i="26" s="1"/>
  <c r="M97" i="26"/>
  <c r="R728" i="26"/>
  <c r="U730" i="26"/>
  <c r="T495" i="26"/>
  <c r="Q493" i="26"/>
  <c r="T493" i="26" s="1"/>
  <c r="Q395" i="26"/>
  <c r="T395" i="26" s="1"/>
  <c r="Q394" i="26"/>
  <c r="T397" i="26"/>
  <c r="R618" i="25"/>
  <c r="U618" i="25" s="1"/>
  <c r="S601" i="25"/>
  <c r="S599" i="25" s="1"/>
  <c r="S266" i="25"/>
  <c r="L142" i="25"/>
  <c r="O142" i="25" s="1"/>
  <c r="L65" i="25"/>
  <c r="O65" i="25" s="1"/>
  <c r="O67" i="25"/>
  <c r="M728" i="26"/>
  <c r="P728" i="26" s="1"/>
  <c r="Q714" i="26"/>
  <c r="T714" i="26" s="1"/>
  <c r="K705" i="26"/>
  <c r="R555" i="26"/>
  <c r="U555" i="26" s="1"/>
  <c r="U556" i="26"/>
  <c r="R377" i="26"/>
  <c r="R375" i="26" s="1"/>
  <c r="U380" i="26"/>
  <c r="R378" i="26"/>
  <c r="I82" i="26"/>
  <c r="O418" i="26"/>
  <c r="P418" i="26"/>
  <c r="N416" i="26"/>
  <c r="P416" i="26" s="1"/>
  <c r="K785" i="22"/>
  <c r="S730" i="23"/>
  <c r="S728" i="23" s="1"/>
  <c r="J701" i="24"/>
  <c r="U695" i="24"/>
  <c r="K679" i="24"/>
  <c r="K774" i="25"/>
  <c r="S619" i="25"/>
  <c r="U619" i="25" s="1"/>
  <c r="M578" i="25"/>
  <c r="M576" i="25" s="1"/>
  <c r="P576" i="25" s="1"/>
  <c r="P518" i="25"/>
  <c r="P501" i="25"/>
  <c r="U397" i="25"/>
  <c r="I319" i="25"/>
  <c r="K319" i="25" s="1"/>
  <c r="U268" i="25"/>
  <c r="L234" i="25"/>
  <c r="L222" i="25"/>
  <c r="O222" i="25" s="1"/>
  <c r="P178" i="25"/>
  <c r="O52" i="25"/>
  <c r="L50" i="25"/>
  <c r="O50" i="25" s="1"/>
  <c r="T761" i="26"/>
  <c r="U733" i="26"/>
  <c r="S731" i="26"/>
  <c r="O716" i="26"/>
  <c r="T695" i="26"/>
  <c r="U691" i="26"/>
  <c r="O643" i="26"/>
  <c r="K505" i="26"/>
  <c r="J503" i="26"/>
  <c r="J492" i="26" s="1"/>
  <c r="O414" i="26"/>
  <c r="U393" i="26"/>
  <c r="O376" i="26"/>
  <c r="T357" i="26"/>
  <c r="Q356" i="26"/>
  <c r="T356" i="26" s="1"/>
  <c r="L392" i="26"/>
  <c r="O392" i="26" s="1"/>
  <c r="O393" i="26"/>
  <c r="T308" i="24"/>
  <c r="S94" i="24"/>
  <c r="R731" i="25"/>
  <c r="U731" i="25" s="1"/>
  <c r="U621" i="25"/>
  <c r="M579" i="25"/>
  <c r="P579" i="25" s="1"/>
  <c r="L540" i="25"/>
  <c r="O540" i="25" s="1"/>
  <c r="O518" i="25"/>
  <c r="T498" i="25"/>
  <c r="Q377" i="25"/>
  <c r="T377" i="25" s="1"/>
  <c r="L74" i="25"/>
  <c r="O74" i="25" s="1"/>
  <c r="P762" i="26"/>
  <c r="T733" i="26"/>
  <c r="R731" i="26"/>
  <c r="M690" i="26"/>
  <c r="P690" i="26" s="1"/>
  <c r="T647" i="26"/>
  <c r="U643" i="26"/>
  <c r="U621" i="26"/>
  <c r="O498" i="26"/>
  <c r="L496" i="26"/>
  <c r="O496" i="26" s="1"/>
  <c r="L760" i="26"/>
  <c r="O760" i="26" s="1"/>
  <c r="T643" i="26"/>
  <c r="O383" i="26"/>
  <c r="L381" i="26"/>
  <c r="O381" i="26" s="1"/>
  <c r="P80" i="23"/>
  <c r="K783" i="24"/>
  <c r="K780" i="24"/>
  <c r="P271" i="24"/>
  <c r="K783" i="25"/>
  <c r="K778" i="25"/>
  <c r="K709" i="25"/>
  <c r="T621" i="25"/>
  <c r="P607" i="25"/>
  <c r="Q416" i="25"/>
  <c r="T380" i="25"/>
  <c r="L254" i="25"/>
  <c r="O254" i="25" s="1"/>
  <c r="K229" i="25"/>
  <c r="T730" i="26"/>
  <c r="J701" i="26"/>
  <c r="Q692" i="26"/>
  <c r="M642" i="26"/>
  <c r="P642" i="26" s="1"/>
  <c r="L616" i="26"/>
  <c r="O616" i="26" s="1"/>
  <c r="O617" i="26"/>
  <c r="P600" i="26"/>
  <c r="P579" i="26"/>
  <c r="N557" i="26"/>
  <c r="N555" i="26" s="1"/>
  <c r="O501" i="26"/>
  <c r="L499" i="26"/>
  <c r="O499" i="26" s="1"/>
  <c r="U415" i="26"/>
  <c r="R413" i="26"/>
  <c r="U414" i="26"/>
  <c r="N392" i="26"/>
  <c r="U376" i="26"/>
  <c r="J332" i="26"/>
  <c r="K332" i="26" s="1"/>
  <c r="K344" i="26"/>
  <c r="J343" i="26"/>
  <c r="I231" i="26"/>
  <c r="K231" i="26" s="1"/>
  <c r="U162" i="26"/>
  <c r="R159" i="26"/>
  <c r="R160" i="26"/>
  <c r="U160" i="26" s="1"/>
  <c r="Q618" i="26"/>
  <c r="T621" i="26"/>
  <c r="K707" i="24"/>
  <c r="K252" i="24"/>
  <c r="L234" i="24"/>
  <c r="O178" i="24"/>
  <c r="P80" i="24"/>
  <c r="U733" i="25"/>
  <c r="S690" i="25"/>
  <c r="O604" i="25"/>
  <c r="Q495" i="25"/>
  <c r="T495" i="25" s="1"/>
  <c r="L335" i="25"/>
  <c r="L333" i="25" s="1"/>
  <c r="T308" i="25"/>
  <c r="K260" i="25"/>
  <c r="I238" i="25"/>
  <c r="K238" i="25" s="1"/>
  <c r="P165" i="25"/>
  <c r="I701" i="26"/>
  <c r="K703" i="26"/>
  <c r="T693" i="26"/>
  <c r="T691" i="26"/>
  <c r="Q644" i="26"/>
  <c r="T644" i="26" s="1"/>
  <c r="R618" i="26"/>
  <c r="U617" i="26"/>
  <c r="Q605" i="26"/>
  <c r="T605" i="26" s="1"/>
  <c r="Q601" i="26"/>
  <c r="T604" i="26"/>
  <c r="Q576" i="26"/>
  <c r="T576" i="26" s="1"/>
  <c r="O556" i="26"/>
  <c r="P521" i="26"/>
  <c r="M519" i="26"/>
  <c r="P519" i="26" s="1"/>
  <c r="U498" i="26"/>
  <c r="R496" i="26"/>
  <c r="U496" i="26" s="1"/>
  <c r="R495" i="26"/>
  <c r="U495" i="26" s="1"/>
  <c r="O380" i="26"/>
  <c r="L377" i="26"/>
  <c r="L378" i="26"/>
  <c r="O378" i="26" s="1"/>
  <c r="R266" i="26"/>
  <c r="O125" i="26"/>
  <c r="L123" i="26"/>
  <c r="O123" i="26" s="1"/>
  <c r="L119" i="26"/>
  <c r="O99" i="25"/>
  <c r="P581" i="26"/>
  <c r="L579" i="26"/>
  <c r="O579" i="26" s="1"/>
  <c r="T577" i="26"/>
  <c r="L561" i="26"/>
  <c r="O561" i="26" s="1"/>
  <c r="P539" i="26"/>
  <c r="L537" i="26"/>
  <c r="O537" i="26" s="1"/>
  <c r="T535" i="26"/>
  <c r="O518" i="26"/>
  <c r="M499" i="26"/>
  <c r="P499" i="26" s="1"/>
  <c r="S496" i="26"/>
  <c r="M496" i="26"/>
  <c r="P496" i="26" s="1"/>
  <c r="U494" i="26"/>
  <c r="O494" i="26"/>
  <c r="J456" i="26"/>
  <c r="K456" i="26" s="1"/>
  <c r="I423" i="26"/>
  <c r="S394" i="26"/>
  <c r="S392" i="26" s="1"/>
  <c r="M381" i="26"/>
  <c r="P381" i="26" s="1"/>
  <c r="N377" i="26"/>
  <c r="N375" i="26" s="1"/>
  <c r="O364" i="26"/>
  <c r="P361" i="26"/>
  <c r="M358" i="26"/>
  <c r="P267" i="26"/>
  <c r="K242" i="26"/>
  <c r="I195" i="26"/>
  <c r="K195" i="26" s="1"/>
  <c r="Q188" i="26"/>
  <c r="Q186" i="26" s="1"/>
  <c r="Q189" i="26"/>
  <c r="T189" i="26" s="1"/>
  <c r="T191" i="26"/>
  <c r="O165" i="26"/>
  <c r="L163" i="26"/>
  <c r="O163" i="26" s="1"/>
  <c r="K631" i="26"/>
  <c r="O581" i="26"/>
  <c r="O539" i="26"/>
  <c r="P498" i="26"/>
  <c r="U397" i="26"/>
  <c r="K371" i="26"/>
  <c r="O361" i="26"/>
  <c r="L358" i="26"/>
  <c r="N322" i="26"/>
  <c r="N320" i="26" s="1"/>
  <c r="P321" i="26"/>
  <c r="U305" i="26"/>
  <c r="M284" i="26"/>
  <c r="O178" i="26"/>
  <c r="L175" i="26"/>
  <c r="L176" i="26"/>
  <c r="S142" i="26"/>
  <c r="L26" i="26"/>
  <c r="R601" i="26"/>
  <c r="L601" i="26"/>
  <c r="N578" i="26"/>
  <c r="N576" i="26" s="1"/>
  <c r="N536" i="26"/>
  <c r="N534" i="26" s="1"/>
  <c r="M515" i="26"/>
  <c r="Q415" i="26"/>
  <c r="I374" i="26"/>
  <c r="L335" i="26"/>
  <c r="P334" i="26"/>
  <c r="O321" i="26"/>
  <c r="T308" i="26"/>
  <c r="Q306" i="26"/>
  <c r="K292" i="26"/>
  <c r="P290" i="26"/>
  <c r="M288" i="26"/>
  <c r="P288" i="26" s="1"/>
  <c r="U178" i="26"/>
  <c r="R175" i="26"/>
  <c r="O95" i="26"/>
  <c r="O328" i="26"/>
  <c r="L326" i="26"/>
  <c r="O326" i="26" s="1"/>
  <c r="Q303" i="26"/>
  <c r="Q282" i="26"/>
  <c r="T282" i="26" s="1"/>
  <c r="T194" i="26"/>
  <c r="Q192" i="26"/>
  <c r="T192" i="26" s="1"/>
  <c r="O181" i="26"/>
  <c r="L179" i="26"/>
  <c r="O179" i="26" s="1"/>
  <c r="O122" i="26"/>
  <c r="L120" i="26"/>
  <c r="O120" i="26" s="1"/>
  <c r="P99" i="26"/>
  <c r="N97" i="26"/>
  <c r="N96" i="26"/>
  <c r="N94" i="26" s="1"/>
  <c r="R94" i="26"/>
  <c r="U95" i="26"/>
  <c r="M377" i="26"/>
  <c r="M378" i="26"/>
  <c r="P378" i="26" s="1"/>
  <c r="K368" i="26"/>
  <c r="R320" i="26"/>
  <c r="U320" i="26" s="1"/>
  <c r="U321" i="26"/>
  <c r="K209" i="26"/>
  <c r="I202" i="26"/>
  <c r="K202" i="26" s="1"/>
  <c r="O162" i="26"/>
  <c r="L159" i="26"/>
  <c r="L160" i="26"/>
  <c r="O160" i="26" s="1"/>
  <c r="P147" i="26"/>
  <c r="M145" i="26"/>
  <c r="P145" i="26" s="1"/>
  <c r="U122" i="26"/>
  <c r="R119" i="26"/>
  <c r="N61" i="26"/>
  <c r="N59" i="26" s="1"/>
  <c r="U308" i="26"/>
  <c r="O308" i="26"/>
  <c r="O287" i="26"/>
  <c r="K276" i="26"/>
  <c r="T271" i="26"/>
  <c r="K230" i="26"/>
  <c r="S188" i="26"/>
  <c r="S186" i="26" s="1"/>
  <c r="S173" i="26"/>
  <c r="S157" i="26"/>
  <c r="T144" i="26"/>
  <c r="Q142" i="26"/>
  <c r="T142" i="26" s="1"/>
  <c r="M65" i="26"/>
  <c r="P65" i="26" s="1"/>
  <c r="M335" i="26"/>
  <c r="L322" i="26"/>
  <c r="O322" i="26" s="1"/>
  <c r="K314" i="26"/>
  <c r="N305" i="26"/>
  <c r="N303" i="26" s="1"/>
  <c r="N284" i="26"/>
  <c r="N282" i="26" s="1"/>
  <c r="S268" i="26"/>
  <c r="S266" i="26" s="1"/>
  <c r="T266" i="26" s="1"/>
  <c r="M268" i="26"/>
  <c r="K249" i="26"/>
  <c r="N189" i="26"/>
  <c r="O189" i="26" s="1"/>
  <c r="N188" i="26"/>
  <c r="N186" i="26" s="1"/>
  <c r="O102" i="26"/>
  <c r="L100" i="26"/>
  <c r="O100" i="26" s="1"/>
  <c r="O99" i="26"/>
  <c r="L97" i="26"/>
  <c r="R26" i="26"/>
  <c r="U26" i="26" s="1"/>
  <c r="N74" i="26"/>
  <c r="N72" i="26" s="1"/>
  <c r="M188" i="26"/>
  <c r="T147" i="26"/>
  <c r="Q145" i="26"/>
  <c r="T145" i="26" s="1"/>
  <c r="L96" i="26"/>
  <c r="Q26" i="26"/>
  <c r="R59" i="26"/>
  <c r="U59" i="26" s="1"/>
  <c r="N26" i="26"/>
  <c r="N24" i="26" s="1"/>
  <c r="P25" i="26"/>
  <c r="P22" i="26"/>
  <c r="M19" i="26"/>
  <c r="R189" i="26"/>
  <c r="U189" i="26" s="1"/>
  <c r="R188" i="26"/>
  <c r="P187" i="26"/>
  <c r="T140" i="26"/>
  <c r="I116" i="26"/>
  <c r="K116" i="26" s="1"/>
  <c r="K127" i="26"/>
  <c r="U99" i="26"/>
  <c r="R97" i="26"/>
  <c r="K87" i="26"/>
  <c r="I83" i="26"/>
  <c r="P52" i="26"/>
  <c r="M26" i="26"/>
  <c r="P26" i="26" s="1"/>
  <c r="M50" i="26"/>
  <c r="P50" i="26" s="1"/>
  <c r="O19" i="26"/>
  <c r="S176" i="26"/>
  <c r="M176" i="26"/>
  <c r="Q175" i="26"/>
  <c r="T175" i="26" s="1"/>
  <c r="S160" i="26"/>
  <c r="M160" i="26"/>
  <c r="P160" i="26" s="1"/>
  <c r="Q159" i="26"/>
  <c r="N142" i="26"/>
  <c r="S120" i="26"/>
  <c r="T120" i="26" s="1"/>
  <c r="M120" i="26"/>
  <c r="P120" i="26" s="1"/>
  <c r="U80" i="26"/>
  <c r="Q78" i="26"/>
  <c r="T78" i="26" s="1"/>
  <c r="U77" i="26"/>
  <c r="O77" i="26"/>
  <c r="Q75" i="26"/>
  <c r="T75" i="26" s="1"/>
  <c r="O64" i="26"/>
  <c r="N50" i="26"/>
  <c r="O49" i="26"/>
  <c r="N23" i="26"/>
  <c r="R19" i="26"/>
  <c r="S26" i="26"/>
  <c r="S24" i="26" s="1"/>
  <c r="S23" i="26"/>
  <c r="M23" i="26"/>
  <c r="M21" i="26" s="1"/>
  <c r="L188" i="26"/>
  <c r="Q176" i="26"/>
  <c r="T176" i="26" s="1"/>
  <c r="Q160" i="26"/>
  <c r="T160" i="26" s="1"/>
  <c r="Q96" i="26"/>
  <c r="S74" i="26"/>
  <c r="S72" i="26" s="1"/>
  <c r="M74" i="26"/>
  <c r="P74" i="26" s="1"/>
  <c r="M61" i="26"/>
  <c r="M46" i="26"/>
  <c r="R23" i="26"/>
  <c r="L23" i="26"/>
  <c r="K183" i="26"/>
  <c r="Q23" i="26"/>
  <c r="S762" i="25"/>
  <c r="S760" i="25" s="1"/>
  <c r="S763" i="25"/>
  <c r="L536" i="25"/>
  <c r="O536" i="25" s="1"/>
  <c r="L537" i="25"/>
  <c r="O537" i="25" s="1"/>
  <c r="O539" i="25"/>
  <c r="R513" i="25"/>
  <c r="U513" i="25" s="1"/>
  <c r="N416" i="25"/>
  <c r="P416" i="25" s="1"/>
  <c r="N415" i="25"/>
  <c r="O383" i="25"/>
  <c r="L381" i="25"/>
  <c r="O381" i="25" s="1"/>
  <c r="S188" i="25"/>
  <c r="S186" i="25" s="1"/>
  <c r="S189" i="25"/>
  <c r="L179" i="25"/>
  <c r="O179" i="25" s="1"/>
  <c r="O181" i="25"/>
  <c r="I92" i="25"/>
  <c r="K92" i="25" s="1"/>
  <c r="K108" i="25"/>
  <c r="R74" i="25"/>
  <c r="U74" i="25" s="1"/>
  <c r="R75" i="25"/>
  <c r="U75" i="25" s="1"/>
  <c r="L61" i="25"/>
  <c r="L59" i="25" s="1"/>
  <c r="L62" i="25"/>
  <c r="O62" i="25" s="1"/>
  <c r="K784" i="25"/>
  <c r="R644" i="25"/>
  <c r="U644" i="25" s="1"/>
  <c r="R645" i="25"/>
  <c r="U647" i="25"/>
  <c r="R602" i="25"/>
  <c r="U602" i="25" s="1"/>
  <c r="U604" i="25"/>
  <c r="R601" i="25"/>
  <c r="U601" i="25" s="1"/>
  <c r="R534" i="25"/>
  <c r="U534" i="25" s="1"/>
  <c r="Q513" i="25"/>
  <c r="T513" i="25" s="1"/>
  <c r="K456" i="25"/>
  <c r="J332" i="25"/>
  <c r="K332" i="25" s="1"/>
  <c r="M336" i="25"/>
  <c r="M335" i="25"/>
  <c r="M333" i="25" s="1"/>
  <c r="Q192" i="25"/>
  <c r="T192" i="25" s="1"/>
  <c r="T194" i="25"/>
  <c r="R188" i="25"/>
  <c r="U188" i="25" s="1"/>
  <c r="R189" i="25"/>
  <c r="U189" i="25" s="1"/>
  <c r="U191" i="25"/>
  <c r="S119" i="25"/>
  <c r="S117" i="25" s="1"/>
  <c r="T122" i="25"/>
  <c r="S96" i="25"/>
  <c r="S94" i="25" s="1"/>
  <c r="T99" i="25"/>
  <c r="S97" i="25"/>
  <c r="T97" i="25" s="1"/>
  <c r="R19" i="25"/>
  <c r="U22" i="25"/>
  <c r="L236" i="23"/>
  <c r="L284" i="24"/>
  <c r="O284" i="24" s="1"/>
  <c r="L214" i="24"/>
  <c r="O214" i="24" s="1"/>
  <c r="L50" i="24"/>
  <c r="O50" i="24" s="1"/>
  <c r="Q714" i="25"/>
  <c r="T714" i="25" s="1"/>
  <c r="Q644" i="25"/>
  <c r="Q645" i="25"/>
  <c r="T647" i="25"/>
  <c r="Q601" i="25"/>
  <c r="T601" i="25" s="1"/>
  <c r="T604" i="25"/>
  <c r="S395" i="25"/>
  <c r="S394" i="25"/>
  <c r="S392" i="25" s="1"/>
  <c r="M378" i="25"/>
  <c r="P378" i="25" s="1"/>
  <c r="P380" i="25"/>
  <c r="P364" i="25"/>
  <c r="M362" i="25"/>
  <c r="P362" i="25" s="1"/>
  <c r="R356" i="25"/>
  <c r="U356" i="25" s="1"/>
  <c r="U357" i="25"/>
  <c r="M288" i="25"/>
  <c r="P288" i="25" s="1"/>
  <c r="P290" i="25"/>
  <c r="O147" i="25"/>
  <c r="L145" i="25"/>
  <c r="O145" i="25" s="1"/>
  <c r="U99" i="25"/>
  <c r="L582" i="23"/>
  <c r="O582" i="23" s="1"/>
  <c r="O144" i="24"/>
  <c r="L760" i="25"/>
  <c r="O760" i="25" s="1"/>
  <c r="O762" i="25"/>
  <c r="Q605" i="25"/>
  <c r="T605" i="25" s="1"/>
  <c r="M540" i="25"/>
  <c r="P540" i="25" s="1"/>
  <c r="P542" i="25"/>
  <c r="M415" i="25"/>
  <c r="M413" i="25" s="1"/>
  <c r="L377" i="25"/>
  <c r="O377" i="25" s="1"/>
  <c r="T357" i="25"/>
  <c r="Q356" i="25"/>
  <c r="T356" i="25" s="1"/>
  <c r="P304" i="25"/>
  <c r="L288" i="25"/>
  <c r="O288" i="25" s="1"/>
  <c r="O290" i="25"/>
  <c r="L214" i="25"/>
  <c r="O214" i="25" s="1"/>
  <c r="L203" i="25"/>
  <c r="O203" i="25" s="1"/>
  <c r="R192" i="25"/>
  <c r="U192" i="25" s="1"/>
  <c r="N159" i="25"/>
  <c r="N157" i="25" s="1"/>
  <c r="N160" i="25"/>
  <c r="L75" i="25"/>
  <c r="O75" i="25" s="1"/>
  <c r="Q59" i="25"/>
  <c r="T59" i="25" s="1"/>
  <c r="T60" i="25"/>
  <c r="P563" i="24"/>
  <c r="U147" i="24"/>
  <c r="Q145" i="24"/>
  <c r="T145" i="24" s="1"/>
  <c r="O67" i="24"/>
  <c r="K758" i="25"/>
  <c r="K626" i="25"/>
  <c r="L605" i="25"/>
  <c r="O605" i="25" s="1"/>
  <c r="L601" i="25"/>
  <c r="L599" i="25" s="1"/>
  <c r="O607" i="25"/>
  <c r="O560" i="25"/>
  <c r="L558" i="25"/>
  <c r="O558" i="25" s="1"/>
  <c r="L519" i="25"/>
  <c r="O519" i="25" s="1"/>
  <c r="O521" i="25"/>
  <c r="O394" i="25"/>
  <c r="L392" i="25"/>
  <c r="O392" i="25" s="1"/>
  <c r="N305" i="25"/>
  <c r="N303" i="25" s="1"/>
  <c r="I281" i="25"/>
  <c r="K281" i="25" s="1"/>
  <c r="K292" i="25"/>
  <c r="L192" i="25"/>
  <c r="O192" i="25" s="1"/>
  <c r="O194" i="25"/>
  <c r="R141" i="25"/>
  <c r="U141" i="25" s="1"/>
  <c r="R142" i="25"/>
  <c r="U142" i="25" s="1"/>
  <c r="U144" i="25"/>
  <c r="P518" i="22"/>
  <c r="L235" i="22"/>
  <c r="L100" i="22"/>
  <c r="O100" i="22" s="1"/>
  <c r="K293" i="23"/>
  <c r="P147" i="23"/>
  <c r="K676" i="24"/>
  <c r="P607" i="24"/>
  <c r="K293" i="24"/>
  <c r="O290" i="24"/>
  <c r="P178" i="24"/>
  <c r="U144" i="24"/>
  <c r="K780" i="25"/>
  <c r="K629" i="25"/>
  <c r="K632" i="25"/>
  <c r="I615" i="25"/>
  <c r="K615" i="25" s="1"/>
  <c r="K630" i="25"/>
  <c r="L616" i="25"/>
  <c r="O616" i="25" s="1"/>
  <c r="O618" i="25"/>
  <c r="R605" i="25"/>
  <c r="U605" i="25" s="1"/>
  <c r="U607" i="25"/>
  <c r="N561" i="25"/>
  <c r="N557" i="25"/>
  <c r="N555" i="25" s="1"/>
  <c r="M536" i="25"/>
  <c r="M534" i="25" s="1"/>
  <c r="P534" i="25" s="1"/>
  <c r="P539" i="25"/>
  <c r="N285" i="25"/>
  <c r="Q175" i="25"/>
  <c r="T175" i="25" s="1"/>
  <c r="Q176" i="25"/>
  <c r="T176" i="25" s="1"/>
  <c r="T178" i="25"/>
  <c r="P118" i="25"/>
  <c r="M62" i="25"/>
  <c r="P62" i="25" s="1"/>
  <c r="P64" i="25"/>
  <c r="P49" i="25"/>
  <c r="S693" i="25"/>
  <c r="M690" i="25"/>
  <c r="P690" i="25" s="1"/>
  <c r="K679" i="25"/>
  <c r="S645" i="25"/>
  <c r="S642" i="25"/>
  <c r="Q618" i="25"/>
  <c r="Q616" i="25" s="1"/>
  <c r="Q555" i="25"/>
  <c r="T555" i="25" s="1"/>
  <c r="N516" i="25"/>
  <c r="M495" i="25"/>
  <c r="P495" i="25" s="1"/>
  <c r="O418" i="25"/>
  <c r="M392" i="25"/>
  <c r="P392" i="25" s="1"/>
  <c r="R378" i="25"/>
  <c r="U378" i="25" s="1"/>
  <c r="L358" i="25"/>
  <c r="L356" i="25" s="1"/>
  <c r="K346" i="25"/>
  <c r="K314" i="25"/>
  <c r="K293" i="25"/>
  <c r="M284" i="25"/>
  <c r="P284" i="25" s="1"/>
  <c r="Q282" i="25"/>
  <c r="T282" i="25" s="1"/>
  <c r="L233" i="25"/>
  <c r="P194" i="25"/>
  <c r="P181" i="25"/>
  <c r="S173" i="25"/>
  <c r="T162" i="25"/>
  <c r="M159" i="25"/>
  <c r="Q119" i="25"/>
  <c r="Q74" i="25"/>
  <c r="T74" i="25" s="1"/>
  <c r="S44" i="25"/>
  <c r="Q44" i="25"/>
  <c r="T44" i="25" s="1"/>
  <c r="N714" i="25"/>
  <c r="K707" i="25"/>
  <c r="S496" i="25"/>
  <c r="J458" i="25"/>
  <c r="L362" i="25"/>
  <c r="O362" i="25" s="1"/>
  <c r="M268" i="25"/>
  <c r="M266" i="25" s="1"/>
  <c r="S269" i="25"/>
  <c r="Q266" i="25"/>
  <c r="L236" i="25"/>
  <c r="K249" i="25"/>
  <c r="Q160" i="25"/>
  <c r="T160" i="25" s="1"/>
  <c r="N141" i="25"/>
  <c r="N139" i="25" s="1"/>
  <c r="L119" i="25"/>
  <c r="O119" i="25" s="1"/>
  <c r="K109" i="25"/>
  <c r="P102" i="25"/>
  <c r="N96" i="25"/>
  <c r="N94" i="25" s="1"/>
  <c r="P77" i="25"/>
  <c r="L46" i="25"/>
  <c r="L44" i="25" s="1"/>
  <c r="N19" i="25"/>
  <c r="K661" i="25"/>
  <c r="M557" i="25"/>
  <c r="P557" i="25" s="1"/>
  <c r="M496" i="25"/>
  <c r="P496" i="25" s="1"/>
  <c r="L416" i="25"/>
  <c r="R395" i="25"/>
  <c r="U395" i="25" s="1"/>
  <c r="R392" i="25"/>
  <c r="U392" i="25" s="1"/>
  <c r="L359" i="25"/>
  <c r="N322" i="25"/>
  <c r="N320" i="25" s="1"/>
  <c r="N323" i="25"/>
  <c r="L268" i="25"/>
  <c r="L266" i="25" s="1"/>
  <c r="M188" i="25"/>
  <c r="M186" i="25" s="1"/>
  <c r="K183" i="25"/>
  <c r="M175" i="25"/>
  <c r="M173" i="25" s="1"/>
  <c r="K169" i="25"/>
  <c r="K153" i="25"/>
  <c r="M141" i="25"/>
  <c r="M139" i="25" s="1"/>
  <c r="P139" i="25" s="1"/>
  <c r="N119" i="25"/>
  <c r="N117" i="25" s="1"/>
  <c r="M96" i="25"/>
  <c r="M94" i="25" s="1"/>
  <c r="L78" i="25"/>
  <c r="O78" i="25" s="1"/>
  <c r="L690" i="25"/>
  <c r="O690" i="25" s="1"/>
  <c r="L582" i="25"/>
  <c r="O582" i="25" s="1"/>
  <c r="L578" i="25"/>
  <c r="O578" i="25" s="1"/>
  <c r="T556" i="25"/>
  <c r="L515" i="25"/>
  <c r="S513" i="25"/>
  <c r="R377" i="25"/>
  <c r="S356" i="25"/>
  <c r="S320" i="25"/>
  <c r="M305" i="25"/>
  <c r="P305" i="25" s="1"/>
  <c r="Q306" i="25"/>
  <c r="L188" i="25"/>
  <c r="L186" i="25" s="1"/>
  <c r="L175" i="25"/>
  <c r="L173" i="25" s="1"/>
  <c r="L141" i="25"/>
  <c r="O141" i="25" s="1"/>
  <c r="M119" i="25"/>
  <c r="P119" i="25" s="1"/>
  <c r="Q120" i="25"/>
  <c r="M97" i="25"/>
  <c r="I83" i="25"/>
  <c r="I71" i="25" s="1"/>
  <c r="K71" i="25" s="1"/>
  <c r="R59" i="25"/>
  <c r="U59" i="25" s="1"/>
  <c r="L19" i="25"/>
  <c r="T692" i="25"/>
  <c r="Q690" i="25"/>
  <c r="K631" i="24"/>
  <c r="K629" i="24"/>
  <c r="K630" i="24"/>
  <c r="L540" i="24"/>
  <c r="O540" i="24" s="1"/>
  <c r="O542" i="24"/>
  <c r="L499" i="24"/>
  <c r="O499" i="24" s="1"/>
  <c r="O501" i="24"/>
  <c r="L381" i="24"/>
  <c r="O381" i="24" s="1"/>
  <c r="O383" i="24"/>
  <c r="M339" i="24"/>
  <c r="P339" i="24" s="1"/>
  <c r="P341" i="24"/>
  <c r="Q763" i="25"/>
  <c r="T765" i="25"/>
  <c r="Q762" i="25"/>
  <c r="U729" i="25"/>
  <c r="R728" i="25"/>
  <c r="U728" i="25" s="1"/>
  <c r="M714" i="25"/>
  <c r="P714" i="25" s="1"/>
  <c r="P715" i="25"/>
  <c r="K440" i="25"/>
  <c r="I423" i="25"/>
  <c r="M381" i="25"/>
  <c r="P381" i="25" s="1"/>
  <c r="P383" i="25"/>
  <c r="Q123" i="22"/>
  <c r="T123" i="22" s="1"/>
  <c r="T125" i="22"/>
  <c r="R762" i="25"/>
  <c r="U765" i="25"/>
  <c r="R763" i="25"/>
  <c r="R78" i="20"/>
  <c r="U78" i="20" s="1"/>
  <c r="U80" i="20"/>
  <c r="K346" i="23"/>
  <c r="Q763" i="24"/>
  <c r="T763" i="24" s="1"/>
  <c r="M558" i="24"/>
  <c r="P558" i="24" s="1"/>
  <c r="K772" i="25"/>
  <c r="I701" i="25"/>
  <c r="K505" i="25"/>
  <c r="J503" i="25"/>
  <c r="J492" i="25" s="1"/>
  <c r="T415" i="25"/>
  <c r="O187" i="25"/>
  <c r="M381" i="24"/>
  <c r="P381" i="24" s="1"/>
  <c r="P383" i="24"/>
  <c r="L578" i="23"/>
  <c r="O578" i="23" s="1"/>
  <c r="O581" i="23"/>
  <c r="R142" i="23"/>
  <c r="U142" i="23" s="1"/>
  <c r="U144" i="23"/>
  <c r="S394" i="24"/>
  <c r="S392" i="24" s="1"/>
  <c r="S395" i="24"/>
  <c r="N358" i="24"/>
  <c r="N356" i="24" s="1"/>
  <c r="P643" i="25"/>
  <c r="M642" i="25"/>
  <c r="P642" i="25" s="1"/>
  <c r="M616" i="25"/>
  <c r="P616" i="25" s="1"/>
  <c r="P617" i="25"/>
  <c r="N601" i="25"/>
  <c r="N599" i="25" s="1"/>
  <c r="N602" i="25"/>
  <c r="P602" i="25" s="1"/>
  <c r="O729" i="25"/>
  <c r="L728" i="25"/>
  <c r="O728" i="25" s="1"/>
  <c r="Q693" i="25"/>
  <c r="T695" i="25"/>
  <c r="S416" i="25"/>
  <c r="T418" i="25"/>
  <c r="R731" i="24"/>
  <c r="U731" i="24" s="1"/>
  <c r="U733" i="24"/>
  <c r="J675" i="24"/>
  <c r="K675" i="24" s="1"/>
  <c r="R495" i="24"/>
  <c r="U495" i="24" s="1"/>
  <c r="R496" i="24"/>
  <c r="U496" i="24" s="1"/>
  <c r="U498" i="24"/>
  <c r="K676" i="25"/>
  <c r="S616" i="25"/>
  <c r="K330" i="23"/>
  <c r="I319" i="23"/>
  <c r="K319" i="23" s="1"/>
  <c r="K229" i="19"/>
  <c r="Q495" i="24"/>
  <c r="T495" i="24" s="1"/>
  <c r="T498" i="24"/>
  <c r="L192" i="24"/>
  <c r="O192" i="24" s="1"/>
  <c r="T761" i="25"/>
  <c r="J701" i="25"/>
  <c r="R693" i="25"/>
  <c r="U695" i="25"/>
  <c r="R690" i="25"/>
  <c r="K681" i="25"/>
  <c r="K369" i="22"/>
  <c r="K673" i="23"/>
  <c r="O359" i="23"/>
  <c r="N335" i="24"/>
  <c r="N333" i="24" s="1"/>
  <c r="N336" i="24"/>
  <c r="O336" i="24" s="1"/>
  <c r="K673" i="25"/>
  <c r="R493" i="25"/>
  <c r="U493" i="25" s="1"/>
  <c r="N359" i="25"/>
  <c r="P359" i="25" s="1"/>
  <c r="O361" i="25"/>
  <c r="N358" i="25"/>
  <c r="P361" i="25"/>
  <c r="O357" i="25"/>
  <c r="J343" i="25"/>
  <c r="K344" i="25"/>
  <c r="P563" i="22"/>
  <c r="K346" i="22"/>
  <c r="P604" i="23"/>
  <c r="K785" i="24"/>
  <c r="K782" i="24"/>
  <c r="K779" i="24"/>
  <c r="U765" i="24"/>
  <c r="K673" i="24"/>
  <c r="L601" i="24"/>
  <c r="L599" i="24" s="1"/>
  <c r="M578" i="24"/>
  <c r="P578" i="24" s="1"/>
  <c r="O271" i="24"/>
  <c r="L236" i="24"/>
  <c r="P102" i="24"/>
  <c r="U600" i="25"/>
  <c r="M537" i="25"/>
  <c r="P537" i="25" s="1"/>
  <c r="Q534" i="25"/>
  <c r="T534" i="25" s="1"/>
  <c r="P521" i="25"/>
  <c r="M519" i="25"/>
  <c r="P519" i="25" s="1"/>
  <c r="M419" i="25"/>
  <c r="P419" i="25" s="1"/>
  <c r="P421" i="25"/>
  <c r="P418" i="25"/>
  <c r="T376" i="25"/>
  <c r="R693" i="24"/>
  <c r="U693" i="24" s="1"/>
  <c r="L378" i="24"/>
  <c r="O378" i="24" s="1"/>
  <c r="Q730" i="25"/>
  <c r="T730" i="25" s="1"/>
  <c r="T733" i="25"/>
  <c r="S730" i="25"/>
  <c r="S728" i="25" s="1"/>
  <c r="L714" i="25"/>
  <c r="O714" i="25" s="1"/>
  <c r="L642" i="25"/>
  <c r="O642" i="25" s="1"/>
  <c r="S555" i="25"/>
  <c r="O501" i="25"/>
  <c r="L499" i="25"/>
  <c r="O499" i="25" s="1"/>
  <c r="O498" i="25"/>
  <c r="L496" i="25"/>
  <c r="O496" i="25" s="1"/>
  <c r="L495" i="25"/>
  <c r="O495" i="25" s="1"/>
  <c r="N495" i="25"/>
  <c r="N493" i="25" s="1"/>
  <c r="S413" i="25"/>
  <c r="S377" i="25"/>
  <c r="S375" i="25" s="1"/>
  <c r="S378" i="25"/>
  <c r="N335" i="25"/>
  <c r="N333" i="25" s="1"/>
  <c r="M323" i="25"/>
  <c r="P323" i="25" s="1"/>
  <c r="P325" i="25"/>
  <c r="K230" i="25"/>
  <c r="K784" i="24"/>
  <c r="K781" i="24"/>
  <c r="K778" i="24"/>
  <c r="R762" i="24"/>
  <c r="U762" i="24" s="1"/>
  <c r="J702" i="24"/>
  <c r="O560" i="24"/>
  <c r="T418" i="24"/>
  <c r="Q415" i="24"/>
  <c r="T415" i="24" s="1"/>
  <c r="L377" i="24"/>
  <c r="O377" i="24" s="1"/>
  <c r="K346" i="24"/>
  <c r="O341" i="24"/>
  <c r="M760" i="25"/>
  <c r="P760" i="25" s="1"/>
  <c r="M728" i="25"/>
  <c r="P728" i="25" s="1"/>
  <c r="R714" i="25"/>
  <c r="U714" i="25" s="1"/>
  <c r="U643" i="25"/>
  <c r="P604" i="25"/>
  <c r="M601" i="25"/>
  <c r="M599" i="25" s="1"/>
  <c r="M582" i="25"/>
  <c r="P582" i="25" s="1"/>
  <c r="P584" i="25"/>
  <c r="U556" i="25"/>
  <c r="R555" i="25"/>
  <c r="U555" i="25" s="1"/>
  <c r="U498" i="25"/>
  <c r="R496" i="25"/>
  <c r="U496" i="25" s="1"/>
  <c r="U494" i="25"/>
  <c r="O494" i="25"/>
  <c r="K457" i="25"/>
  <c r="U414" i="25"/>
  <c r="Q395" i="25"/>
  <c r="T395" i="25" s="1"/>
  <c r="Q394" i="25"/>
  <c r="T394" i="25" s="1"/>
  <c r="T397" i="25"/>
  <c r="M377" i="25"/>
  <c r="P377" i="25" s="1"/>
  <c r="Q320" i="25"/>
  <c r="T320" i="25" s="1"/>
  <c r="T321" i="25"/>
  <c r="Q576" i="25"/>
  <c r="T576" i="25" s="1"/>
  <c r="U418" i="25"/>
  <c r="Q413" i="25"/>
  <c r="N377" i="25"/>
  <c r="N375" i="25" s="1"/>
  <c r="N378" i="25"/>
  <c r="R306" i="25"/>
  <c r="R305" i="25"/>
  <c r="U305" i="25" s="1"/>
  <c r="U308" i="25"/>
  <c r="O581" i="25"/>
  <c r="L557" i="25"/>
  <c r="R415" i="25"/>
  <c r="U415" i="25" s="1"/>
  <c r="L415" i="25"/>
  <c r="L323" i="25"/>
  <c r="O323" i="25" s="1"/>
  <c r="L322" i="25"/>
  <c r="L305" i="25"/>
  <c r="O305" i="25" s="1"/>
  <c r="O287" i="25"/>
  <c r="L285" i="25"/>
  <c r="O285" i="25" s="1"/>
  <c r="T271" i="25"/>
  <c r="Q269" i="25"/>
  <c r="I231" i="25"/>
  <c r="K231" i="25" s="1"/>
  <c r="K242" i="25"/>
  <c r="L26" i="25"/>
  <c r="N578" i="25"/>
  <c r="N576" i="25" s="1"/>
  <c r="N536" i="25"/>
  <c r="N534" i="25" s="1"/>
  <c r="M515" i="25"/>
  <c r="P515" i="25" s="1"/>
  <c r="K503" i="25"/>
  <c r="L378" i="25"/>
  <c r="O378" i="25" s="1"/>
  <c r="M358" i="25"/>
  <c r="R320" i="25"/>
  <c r="U320" i="25" s="1"/>
  <c r="O308" i="25"/>
  <c r="S303" i="25"/>
  <c r="T303" i="25" s="1"/>
  <c r="O304" i="25"/>
  <c r="R266" i="25"/>
  <c r="U187" i="25"/>
  <c r="S19" i="25"/>
  <c r="U304" i="25"/>
  <c r="U162" i="25"/>
  <c r="R160" i="25"/>
  <c r="U160" i="25" s="1"/>
  <c r="R159" i="25"/>
  <c r="O125" i="25"/>
  <c r="L123" i="25"/>
  <c r="O123" i="25" s="1"/>
  <c r="Q26" i="25"/>
  <c r="O380" i="25"/>
  <c r="P376" i="25"/>
  <c r="J351" i="25"/>
  <c r="P338" i="25"/>
  <c r="R333" i="25"/>
  <c r="U333" i="25" s="1"/>
  <c r="L284" i="25"/>
  <c r="O284" i="25" s="1"/>
  <c r="O191" i="25"/>
  <c r="P191" i="25"/>
  <c r="N189" i="25"/>
  <c r="P189" i="25" s="1"/>
  <c r="T140" i="25"/>
  <c r="U95" i="25"/>
  <c r="O338" i="25"/>
  <c r="L336" i="25"/>
  <c r="N336" i="25"/>
  <c r="Q333" i="25"/>
  <c r="T333" i="25" s="1"/>
  <c r="T334" i="25"/>
  <c r="T268" i="25"/>
  <c r="N188" i="25"/>
  <c r="N186" i="25" s="1"/>
  <c r="U19" i="25"/>
  <c r="M309" i="25"/>
  <c r="P309" i="25" s="1"/>
  <c r="S306" i="25"/>
  <c r="M306" i="25"/>
  <c r="P306" i="25" s="1"/>
  <c r="M285" i="25"/>
  <c r="P285" i="25" s="1"/>
  <c r="U283" i="25"/>
  <c r="O283" i="25"/>
  <c r="L272" i="25"/>
  <c r="O272" i="25" s="1"/>
  <c r="P271" i="25"/>
  <c r="R269" i="25"/>
  <c r="L269" i="25"/>
  <c r="O269" i="25" s="1"/>
  <c r="T267" i="25"/>
  <c r="I202" i="25"/>
  <c r="K202" i="25" s="1"/>
  <c r="U178" i="25"/>
  <c r="O178" i="25"/>
  <c r="L176" i="25"/>
  <c r="O176" i="25" s="1"/>
  <c r="T159" i="25"/>
  <c r="Q157" i="25"/>
  <c r="T157" i="25" s="1"/>
  <c r="S157" i="25"/>
  <c r="S141" i="25"/>
  <c r="S139" i="25" s="1"/>
  <c r="U125" i="25"/>
  <c r="R123" i="25"/>
  <c r="U123" i="25" s="1"/>
  <c r="P47" i="25"/>
  <c r="P308" i="25"/>
  <c r="P287" i="25"/>
  <c r="U271" i="25"/>
  <c r="O271" i="25"/>
  <c r="K252" i="25"/>
  <c r="N175" i="25"/>
  <c r="R175" i="25"/>
  <c r="L160" i="25"/>
  <c r="O160" i="25" s="1"/>
  <c r="T147" i="25"/>
  <c r="Q145" i="25"/>
  <c r="T145" i="25" s="1"/>
  <c r="I82" i="25"/>
  <c r="N26" i="25"/>
  <c r="N24" i="25" s="1"/>
  <c r="K276" i="25"/>
  <c r="N268" i="25"/>
  <c r="N266" i="25" s="1"/>
  <c r="L243" i="25"/>
  <c r="K220" i="25"/>
  <c r="K198" i="25"/>
  <c r="Q188" i="25"/>
  <c r="P144" i="25"/>
  <c r="M142" i="25"/>
  <c r="P142" i="25" s="1"/>
  <c r="O122" i="25"/>
  <c r="L120" i="25"/>
  <c r="O120" i="25" s="1"/>
  <c r="P52" i="25"/>
  <c r="M26" i="25"/>
  <c r="M50" i="25"/>
  <c r="P50" i="25" s="1"/>
  <c r="U122" i="25"/>
  <c r="R120" i="25"/>
  <c r="P99" i="25"/>
  <c r="N97" i="25"/>
  <c r="P22" i="25"/>
  <c r="M19" i="25"/>
  <c r="L159" i="25"/>
  <c r="P147" i="25"/>
  <c r="M145" i="25"/>
  <c r="P145" i="25" s="1"/>
  <c r="R119" i="25"/>
  <c r="O95" i="25"/>
  <c r="R26" i="25"/>
  <c r="P67" i="25"/>
  <c r="M65" i="25"/>
  <c r="P65" i="25" s="1"/>
  <c r="O47" i="25"/>
  <c r="P25" i="25"/>
  <c r="O19" i="25"/>
  <c r="S176" i="25"/>
  <c r="M176" i="25"/>
  <c r="P176" i="25" s="1"/>
  <c r="S160" i="25"/>
  <c r="M160" i="25"/>
  <c r="N142" i="25"/>
  <c r="K127" i="25"/>
  <c r="S120" i="25"/>
  <c r="M120" i="25"/>
  <c r="P120" i="25" s="1"/>
  <c r="U80" i="25"/>
  <c r="Q78" i="25"/>
  <c r="T78" i="25" s="1"/>
  <c r="U77" i="25"/>
  <c r="O77" i="25"/>
  <c r="Q75" i="25"/>
  <c r="T75" i="25" s="1"/>
  <c r="O64" i="25"/>
  <c r="N50" i="25"/>
  <c r="O49" i="25"/>
  <c r="N23" i="25"/>
  <c r="Q141" i="25"/>
  <c r="T141" i="25" s="1"/>
  <c r="R96" i="25"/>
  <c r="L96" i="25"/>
  <c r="N74" i="25"/>
  <c r="N72" i="25" s="1"/>
  <c r="N61" i="25"/>
  <c r="N59" i="25" s="1"/>
  <c r="N46" i="25"/>
  <c r="S26" i="25"/>
  <c r="S24" i="25" s="1"/>
  <c r="S23" i="25"/>
  <c r="M23" i="25"/>
  <c r="Q19" i="25"/>
  <c r="Q96" i="25"/>
  <c r="K85" i="25"/>
  <c r="S74" i="25"/>
  <c r="S72" i="25" s="1"/>
  <c r="M74" i="25"/>
  <c r="M61" i="25"/>
  <c r="M46" i="25"/>
  <c r="R23" i="25"/>
  <c r="L23" i="25"/>
  <c r="Q142" i="25"/>
  <c r="T142" i="25" s="1"/>
  <c r="L100" i="25"/>
  <c r="O100" i="25" s="1"/>
  <c r="R97" i="25"/>
  <c r="L97" i="25"/>
  <c r="Q23" i="25"/>
  <c r="R74" i="24"/>
  <c r="U74" i="24" s="1"/>
  <c r="R75" i="24"/>
  <c r="U75" i="24" s="1"/>
  <c r="O122" i="21"/>
  <c r="U604" i="22"/>
  <c r="P501" i="22"/>
  <c r="K440" i="22"/>
  <c r="J374" i="22"/>
  <c r="P383" i="22"/>
  <c r="L335" i="22"/>
  <c r="L333" i="22" s="1"/>
  <c r="K108" i="22"/>
  <c r="K782" i="23"/>
  <c r="K707" i="23"/>
  <c r="K705" i="23"/>
  <c r="O518" i="23"/>
  <c r="I456" i="23"/>
  <c r="K456" i="23" s="1"/>
  <c r="U397" i="23"/>
  <c r="L335" i="23"/>
  <c r="L333" i="23" s="1"/>
  <c r="P287" i="23"/>
  <c r="L268" i="23"/>
  <c r="L266" i="23" s="1"/>
  <c r="R145" i="23"/>
  <c r="U145" i="23" s="1"/>
  <c r="T765" i="24"/>
  <c r="P715" i="24"/>
  <c r="I701" i="24"/>
  <c r="K701" i="24" s="1"/>
  <c r="K703" i="24"/>
  <c r="S693" i="24"/>
  <c r="S692" i="24"/>
  <c r="S690" i="24" s="1"/>
  <c r="R645" i="24"/>
  <c r="R644" i="24"/>
  <c r="R642" i="24" s="1"/>
  <c r="Q555" i="24"/>
  <c r="T555" i="24" s="1"/>
  <c r="T557" i="24"/>
  <c r="M415" i="24"/>
  <c r="P415" i="24" s="1"/>
  <c r="M416" i="24"/>
  <c r="P416" i="24" s="1"/>
  <c r="P418" i="24"/>
  <c r="S416" i="24"/>
  <c r="O338" i="24"/>
  <c r="L335" i="24"/>
  <c r="L333" i="24" s="1"/>
  <c r="I281" i="24"/>
  <c r="K281" i="24" s="1"/>
  <c r="K172" i="24"/>
  <c r="T122" i="24"/>
  <c r="Q74" i="24"/>
  <c r="T74" i="24" s="1"/>
  <c r="T77" i="24"/>
  <c r="L582" i="24"/>
  <c r="O582" i="24" s="1"/>
  <c r="O584" i="24"/>
  <c r="N415" i="24"/>
  <c r="N413" i="24" s="1"/>
  <c r="N416" i="24"/>
  <c r="M272" i="24"/>
  <c r="P272" i="24" s="1"/>
  <c r="P274" i="24"/>
  <c r="T761" i="24"/>
  <c r="Q760" i="24"/>
  <c r="T760" i="24" s="1"/>
  <c r="L728" i="24"/>
  <c r="O728" i="24" s="1"/>
  <c r="O729" i="24"/>
  <c r="S619" i="24"/>
  <c r="S618" i="24"/>
  <c r="S616" i="24" s="1"/>
  <c r="Q605" i="24"/>
  <c r="T605" i="24" s="1"/>
  <c r="T607" i="24"/>
  <c r="L519" i="24"/>
  <c r="O519" i="24" s="1"/>
  <c r="O521" i="24"/>
  <c r="P414" i="24"/>
  <c r="P393" i="24"/>
  <c r="M392" i="24"/>
  <c r="P392" i="24" s="1"/>
  <c r="Q356" i="24"/>
  <c r="T356" i="24" s="1"/>
  <c r="T357" i="24"/>
  <c r="M322" i="24"/>
  <c r="P322" i="24" s="1"/>
  <c r="P325" i="24"/>
  <c r="M288" i="24"/>
  <c r="P288" i="24" s="1"/>
  <c r="P290" i="24"/>
  <c r="I202" i="24"/>
  <c r="K202" i="24" s="1"/>
  <c r="T140" i="24"/>
  <c r="Q59" i="24"/>
  <c r="T59" i="24" s="1"/>
  <c r="T60" i="24"/>
  <c r="Q44" i="24"/>
  <c r="T44" i="24" s="1"/>
  <c r="T45" i="24"/>
  <c r="L254" i="24"/>
  <c r="O254" i="24" s="1"/>
  <c r="K784" i="23"/>
  <c r="K778" i="23"/>
  <c r="S763" i="23"/>
  <c r="U763" i="23" s="1"/>
  <c r="U495" i="23"/>
  <c r="L415" i="23"/>
  <c r="O415" i="23" s="1"/>
  <c r="O361" i="23"/>
  <c r="U729" i="24"/>
  <c r="Q602" i="24"/>
  <c r="T602" i="24" s="1"/>
  <c r="T604" i="24"/>
  <c r="L495" i="24"/>
  <c r="L493" i="24" s="1"/>
  <c r="O493" i="24" s="1"/>
  <c r="L496" i="24"/>
  <c r="O496" i="24" s="1"/>
  <c r="O498" i="24"/>
  <c r="L392" i="24"/>
  <c r="O392" i="24" s="1"/>
  <c r="O393" i="24"/>
  <c r="I240" i="24"/>
  <c r="K240" i="24" s="1"/>
  <c r="O73" i="24"/>
  <c r="K783" i="21"/>
  <c r="T645" i="23"/>
  <c r="K626" i="23"/>
  <c r="U498" i="23"/>
  <c r="L284" i="23"/>
  <c r="O284" i="23" s="1"/>
  <c r="M284" i="23"/>
  <c r="P284" i="23" s="1"/>
  <c r="U194" i="23"/>
  <c r="I759" i="24"/>
  <c r="K759" i="24" s="1"/>
  <c r="L714" i="24"/>
  <c r="O714" i="24" s="1"/>
  <c r="O715" i="24"/>
  <c r="P617" i="24"/>
  <c r="M616" i="24"/>
  <c r="P616" i="24" s="1"/>
  <c r="P604" i="24"/>
  <c r="N601" i="24"/>
  <c r="N599" i="24" s="1"/>
  <c r="L537" i="24"/>
  <c r="O537" i="24" s="1"/>
  <c r="L536" i="24"/>
  <c r="O536" i="24" s="1"/>
  <c r="O539" i="24"/>
  <c r="S495" i="24"/>
  <c r="S493" i="24" s="1"/>
  <c r="M309" i="24"/>
  <c r="P309" i="24" s="1"/>
  <c r="S268" i="24"/>
  <c r="S266" i="24" s="1"/>
  <c r="Q160" i="24"/>
  <c r="T160" i="24" s="1"/>
  <c r="T162" i="24"/>
  <c r="Q123" i="24"/>
  <c r="T123" i="24" s="1"/>
  <c r="T125" i="24"/>
  <c r="M62" i="24"/>
  <c r="P62" i="24" s="1"/>
  <c r="P64" i="24"/>
  <c r="M119" i="24"/>
  <c r="P119" i="24" s="1"/>
  <c r="P122" i="24"/>
  <c r="L46" i="24"/>
  <c r="L44" i="24" s="1"/>
  <c r="L47" i="24"/>
  <c r="O47" i="24" s="1"/>
  <c r="J702" i="23"/>
  <c r="K629" i="23"/>
  <c r="L537" i="23"/>
  <c r="O537" i="23" s="1"/>
  <c r="O501" i="23"/>
  <c r="L322" i="23"/>
  <c r="O322" i="23" s="1"/>
  <c r="U191" i="23"/>
  <c r="S762" i="24"/>
  <c r="S760" i="24" s="1"/>
  <c r="M760" i="24"/>
  <c r="P760" i="24" s="1"/>
  <c r="P761" i="24"/>
  <c r="S731" i="24"/>
  <c r="R714" i="24"/>
  <c r="U714" i="24" s="1"/>
  <c r="U715" i="24"/>
  <c r="L616" i="24"/>
  <c r="O616" i="24" s="1"/>
  <c r="N377" i="24"/>
  <c r="N375" i="24" s="1"/>
  <c r="N378" i="24"/>
  <c r="M306" i="24"/>
  <c r="P306" i="24" s="1"/>
  <c r="I238" i="24"/>
  <c r="K238" i="24" s="1"/>
  <c r="I242" i="24"/>
  <c r="K242" i="24" s="1"/>
  <c r="I221" i="24"/>
  <c r="K221" i="24" s="1"/>
  <c r="K229" i="24"/>
  <c r="M179" i="24"/>
  <c r="P179" i="24" s="1"/>
  <c r="P181" i="24"/>
  <c r="I137" i="24"/>
  <c r="K137" i="24" s="1"/>
  <c r="K152" i="24"/>
  <c r="L145" i="24"/>
  <c r="O145" i="24" s="1"/>
  <c r="O147" i="24"/>
  <c r="L61" i="24"/>
  <c r="L59" i="24" s="1"/>
  <c r="L62" i="24"/>
  <c r="O62" i="24" s="1"/>
  <c r="M47" i="24"/>
  <c r="P47" i="24" s="1"/>
  <c r="P49" i="24"/>
  <c r="T733" i="24"/>
  <c r="M601" i="24"/>
  <c r="P601" i="24" s="1"/>
  <c r="N578" i="24"/>
  <c r="N576" i="24" s="1"/>
  <c r="M579" i="24"/>
  <c r="P579" i="24" s="1"/>
  <c r="S555" i="24"/>
  <c r="Q534" i="24"/>
  <c r="T534" i="24" s="1"/>
  <c r="L516" i="24"/>
  <c r="O516" i="24" s="1"/>
  <c r="Q496" i="24"/>
  <c r="T496" i="24" s="1"/>
  <c r="S413" i="24"/>
  <c r="S378" i="24"/>
  <c r="S303" i="24"/>
  <c r="I253" i="24"/>
  <c r="K253" i="24" s="1"/>
  <c r="J231" i="24"/>
  <c r="J185" i="24" s="1"/>
  <c r="K195" i="24"/>
  <c r="T194" i="24"/>
  <c r="L188" i="24"/>
  <c r="L186" i="24" s="1"/>
  <c r="K154" i="24"/>
  <c r="T144" i="24"/>
  <c r="K127" i="24"/>
  <c r="U122" i="24"/>
  <c r="K108" i="24"/>
  <c r="T99" i="24"/>
  <c r="M96" i="24"/>
  <c r="P96" i="24" s="1"/>
  <c r="S97" i="24"/>
  <c r="P77" i="24"/>
  <c r="N690" i="24"/>
  <c r="M515" i="24"/>
  <c r="P515" i="24" s="1"/>
  <c r="S513" i="24"/>
  <c r="K440" i="24"/>
  <c r="P421" i="24"/>
  <c r="K371" i="24"/>
  <c r="M358" i="24"/>
  <c r="M356" i="24" s="1"/>
  <c r="N284" i="24"/>
  <c r="N282" i="24" s="1"/>
  <c r="M163" i="24"/>
  <c r="P163" i="24" s="1"/>
  <c r="T120" i="24"/>
  <c r="L78" i="24"/>
  <c r="O78" i="24" s="1"/>
  <c r="N19" i="24"/>
  <c r="R730" i="24"/>
  <c r="U730" i="24" s="1"/>
  <c r="K654" i="24"/>
  <c r="S601" i="24"/>
  <c r="S599" i="24" s="1"/>
  <c r="M582" i="24"/>
  <c r="P582" i="24" s="1"/>
  <c r="L578" i="24"/>
  <c r="O578" i="24" s="1"/>
  <c r="N557" i="24"/>
  <c r="N555" i="24" s="1"/>
  <c r="S375" i="24"/>
  <c r="S356" i="24"/>
  <c r="N268" i="24"/>
  <c r="N266" i="24" s="1"/>
  <c r="L222" i="24"/>
  <c r="O222" i="24" s="1"/>
  <c r="L203" i="24"/>
  <c r="O203" i="24" s="1"/>
  <c r="R188" i="24"/>
  <c r="U188" i="24" s="1"/>
  <c r="R59" i="24"/>
  <c r="U59" i="24" s="1"/>
  <c r="R44" i="24"/>
  <c r="U44" i="24" s="1"/>
  <c r="Q730" i="24"/>
  <c r="T730" i="24" s="1"/>
  <c r="Q576" i="24"/>
  <c r="T576" i="24" s="1"/>
  <c r="N495" i="24"/>
  <c r="N493" i="24" s="1"/>
  <c r="Q394" i="24"/>
  <c r="T394" i="24" s="1"/>
  <c r="M268" i="24"/>
  <c r="M266" i="24" s="1"/>
  <c r="Q188" i="24"/>
  <c r="T188" i="24" s="1"/>
  <c r="N175" i="24"/>
  <c r="N173" i="24" s="1"/>
  <c r="S157" i="24"/>
  <c r="M160" i="24"/>
  <c r="P160" i="24" s="1"/>
  <c r="Q141" i="24"/>
  <c r="T141" i="24" s="1"/>
  <c r="M123" i="24"/>
  <c r="P123" i="24" s="1"/>
  <c r="L74" i="24"/>
  <c r="O74" i="24" s="1"/>
  <c r="L75" i="24"/>
  <c r="O75" i="24" s="1"/>
  <c r="Q616" i="24"/>
  <c r="N579" i="24"/>
  <c r="L326" i="24"/>
  <c r="O326" i="24" s="1"/>
  <c r="O328" i="24"/>
  <c r="K781" i="21"/>
  <c r="T621" i="22"/>
  <c r="S269" i="22"/>
  <c r="U191" i="22"/>
  <c r="K783" i="23"/>
  <c r="K780" i="23"/>
  <c r="Q495" i="23"/>
  <c r="T495" i="23" s="1"/>
  <c r="S416" i="23"/>
  <c r="L285" i="23"/>
  <c r="O285" i="23" s="1"/>
  <c r="N268" i="23"/>
  <c r="N266" i="23" s="1"/>
  <c r="M175" i="23"/>
  <c r="M173" i="23" s="1"/>
  <c r="O147" i="23"/>
  <c r="O125" i="23"/>
  <c r="Q97" i="23"/>
  <c r="T97" i="23" s="1"/>
  <c r="P77" i="23"/>
  <c r="P47" i="23"/>
  <c r="M690" i="24"/>
  <c r="P690" i="24" s="1"/>
  <c r="J674" i="24"/>
  <c r="K674" i="24" s="1"/>
  <c r="N642" i="24"/>
  <c r="O607" i="24"/>
  <c r="L605" i="24"/>
  <c r="O605" i="24" s="1"/>
  <c r="U604" i="24"/>
  <c r="R602" i="24"/>
  <c r="U602" i="24" s="1"/>
  <c r="N602" i="24"/>
  <c r="P602" i="24" s="1"/>
  <c r="O563" i="24"/>
  <c r="L561" i="24"/>
  <c r="O561" i="24" s="1"/>
  <c r="N515" i="24"/>
  <c r="N513" i="24" s="1"/>
  <c r="K503" i="24"/>
  <c r="I492" i="24"/>
  <c r="K492" i="24" s="1"/>
  <c r="R282" i="24"/>
  <c r="U282" i="24" s="1"/>
  <c r="U283" i="24"/>
  <c r="T604" i="21"/>
  <c r="T322" i="24"/>
  <c r="Q320" i="24"/>
  <c r="T320" i="24" s="1"/>
  <c r="K292" i="20"/>
  <c r="N578" i="21"/>
  <c r="N576" i="21" s="1"/>
  <c r="O271" i="22"/>
  <c r="K209" i="22"/>
  <c r="U765" i="23"/>
  <c r="U733" i="23"/>
  <c r="K709" i="23"/>
  <c r="J674" i="23"/>
  <c r="K674" i="23" s="1"/>
  <c r="M602" i="23"/>
  <c r="N536" i="23"/>
  <c r="N534" i="23" s="1"/>
  <c r="M536" i="23"/>
  <c r="P536" i="23" s="1"/>
  <c r="K503" i="23"/>
  <c r="O287" i="23"/>
  <c r="M268" i="23"/>
  <c r="M266" i="23" s="1"/>
  <c r="Q269" i="23"/>
  <c r="T269" i="23" s="1"/>
  <c r="T178" i="23"/>
  <c r="Q176" i="23"/>
  <c r="T176" i="23" s="1"/>
  <c r="L119" i="23"/>
  <c r="O119" i="23" s="1"/>
  <c r="T99" i="23"/>
  <c r="T96" i="23"/>
  <c r="K772" i="24"/>
  <c r="L760" i="24"/>
  <c r="O760" i="24" s="1"/>
  <c r="Q714" i="24"/>
  <c r="T714" i="24" s="1"/>
  <c r="T695" i="24"/>
  <c r="K678" i="24"/>
  <c r="M642" i="24"/>
  <c r="P642" i="24" s="1"/>
  <c r="L642" i="24"/>
  <c r="O642" i="24" s="1"/>
  <c r="K626" i="24"/>
  <c r="Q619" i="24"/>
  <c r="O617" i="24"/>
  <c r="U607" i="24"/>
  <c r="R605" i="24"/>
  <c r="U605" i="24" s="1"/>
  <c r="O581" i="24"/>
  <c r="L579" i="24"/>
  <c r="O579" i="24" s="1"/>
  <c r="T578" i="24"/>
  <c r="U577" i="24"/>
  <c r="N536" i="24"/>
  <c r="N534" i="24" s="1"/>
  <c r="N537" i="24"/>
  <c r="P494" i="24"/>
  <c r="O364" i="24"/>
  <c r="L362" i="24"/>
  <c r="O362" i="24" s="1"/>
  <c r="J332" i="24"/>
  <c r="K332" i="24" s="1"/>
  <c r="J343" i="24"/>
  <c r="P287" i="24"/>
  <c r="M284" i="24"/>
  <c r="M285" i="24"/>
  <c r="P285" i="24" s="1"/>
  <c r="S189" i="24"/>
  <c r="S188" i="24"/>
  <c r="S186" i="24" s="1"/>
  <c r="M537" i="22"/>
  <c r="P537" i="22" s="1"/>
  <c r="O563" i="23"/>
  <c r="P341" i="23"/>
  <c r="M339" i="23"/>
  <c r="P339" i="23" s="1"/>
  <c r="L690" i="24"/>
  <c r="O690" i="24" s="1"/>
  <c r="S645" i="24"/>
  <c r="U647" i="24"/>
  <c r="T514" i="24"/>
  <c r="R416" i="24"/>
  <c r="U416" i="24" s="1"/>
  <c r="R415" i="24"/>
  <c r="U415" i="24" s="1"/>
  <c r="U414" i="24"/>
  <c r="R395" i="24"/>
  <c r="U395" i="24" s="1"/>
  <c r="R394" i="24"/>
  <c r="U394" i="24" s="1"/>
  <c r="N359" i="24"/>
  <c r="P361" i="24"/>
  <c r="O361" i="24"/>
  <c r="K153" i="21"/>
  <c r="J675" i="22"/>
  <c r="I374" i="22"/>
  <c r="O194" i="22"/>
  <c r="N61" i="22"/>
  <c r="N59" i="22" s="1"/>
  <c r="K631" i="23"/>
  <c r="L601" i="23"/>
  <c r="L599" i="23" s="1"/>
  <c r="L515" i="23"/>
  <c r="O515" i="23" s="1"/>
  <c r="S413" i="23"/>
  <c r="K344" i="23"/>
  <c r="O341" i="23"/>
  <c r="K198" i="23"/>
  <c r="I137" i="23"/>
  <c r="K137" i="23" s="1"/>
  <c r="S119" i="23"/>
  <c r="S117" i="23" s="1"/>
  <c r="R119" i="23"/>
  <c r="L75" i="23"/>
  <c r="O75" i="23" s="1"/>
  <c r="O64" i="23"/>
  <c r="Q693" i="24"/>
  <c r="T693" i="24" s="1"/>
  <c r="Q690" i="24"/>
  <c r="T690" i="24" s="1"/>
  <c r="K681" i="24"/>
  <c r="U617" i="24"/>
  <c r="R601" i="24"/>
  <c r="U601" i="24" s="1"/>
  <c r="O556" i="24"/>
  <c r="P501" i="24"/>
  <c r="O421" i="24"/>
  <c r="L322" i="24"/>
  <c r="L323" i="24"/>
  <c r="O323" i="24" s="1"/>
  <c r="O283" i="24"/>
  <c r="T733" i="23"/>
  <c r="M605" i="23"/>
  <c r="P605" i="23" s="1"/>
  <c r="M601" i="23"/>
  <c r="M599" i="23" s="1"/>
  <c r="P584" i="23"/>
  <c r="P539" i="23"/>
  <c r="S175" i="23"/>
  <c r="S173" i="23" s="1"/>
  <c r="P144" i="23"/>
  <c r="L78" i="23"/>
  <c r="O78" i="23" s="1"/>
  <c r="S642" i="24"/>
  <c r="T621" i="24"/>
  <c r="T494" i="24"/>
  <c r="L416" i="24"/>
  <c r="O416" i="24" s="1"/>
  <c r="L415" i="24"/>
  <c r="O415" i="24" s="1"/>
  <c r="L236" i="22"/>
  <c r="K183" i="22"/>
  <c r="Q175" i="22"/>
  <c r="Q173" i="22" s="1"/>
  <c r="T173" i="22" s="1"/>
  <c r="K678" i="23"/>
  <c r="L579" i="23"/>
  <c r="O579" i="23" s="1"/>
  <c r="S392" i="23"/>
  <c r="L203" i="23"/>
  <c r="O203" i="23" s="1"/>
  <c r="K108" i="23"/>
  <c r="R690" i="24"/>
  <c r="U690" i="24" s="1"/>
  <c r="Q645" i="24"/>
  <c r="Q644" i="24"/>
  <c r="T644" i="24" s="1"/>
  <c r="T647" i="24"/>
  <c r="R619" i="24"/>
  <c r="R618" i="24"/>
  <c r="U621" i="24"/>
  <c r="O604" i="24"/>
  <c r="L602" i="24"/>
  <c r="Q601" i="24"/>
  <c r="N561" i="24"/>
  <c r="I412" i="24"/>
  <c r="K412" i="24" s="1"/>
  <c r="K423" i="24"/>
  <c r="O191" i="24"/>
  <c r="N189" i="24"/>
  <c r="O189" i="24" s="1"/>
  <c r="N188" i="24"/>
  <c r="N186" i="24" s="1"/>
  <c r="I615" i="24"/>
  <c r="K615" i="24" s="1"/>
  <c r="M557" i="24"/>
  <c r="M540" i="24"/>
  <c r="P540" i="24" s="1"/>
  <c r="P539" i="24"/>
  <c r="M536" i="24"/>
  <c r="P536" i="24" s="1"/>
  <c r="M519" i="24"/>
  <c r="P519" i="24" s="1"/>
  <c r="K504" i="24"/>
  <c r="J503" i="24"/>
  <c r="J492" i="24" s="1"/>
  <c r="M495" i="24"/>
  <c r="P495" i="24" s="1"/>
  <c r="J457" i="24"/>
  <c r="J456" i="24" s="1"/>
  <c r="I456" i="24"/>
  <c r="K456" i="24" s="1"/>
  <c r="R377" i="24"/>
  <c r="R378" i="24"/>
  <c r="U378" i="24" s="1"/>
  <c r="M335" i="24"/>
  <c r="M336" i="24"/>
  <c r="P338" i="24"/>
  <c r="K314" i="24"/>
  <c r="I302" i="24"/>
  <c r="K302" i="24" s="1"/>
  <c r="S306" i="24"/>
  <c r="N97" i="24"/>
  <c r="N96" i="24"/>
  <c r="N94" i="24" s="1"/>
  <c r="K632" i="24"/>
  <c r="L557" i="24"/>
  <c r="O557" i="24" s="1"/>
  <c r="R534" i="24"/>
  <c r="U534" i="24" s="1"/>
  <c r="M516" i="24"/>
  <c r="P516" i="24" s="1"/>
  <c r="T380" i="24"/>
  <c r="Q378" i="24"/>
  <c r="T378" i="24" s="1"/>
  <c r="M362" i="24"/>
  <c r="P362" i="24" s="1"/>
  <c r="P321" i="24"/>
  <c r="U308" i="24"/>
  <c r="R306" i="24"/>
  <c r="U306" i="24" s="1"/>
  <c r="K276" i="24"/>
  <c r="I265" i="24"/>
  <c r="K265" i="24" s="1"/>
  <c r="O274" i="24"/>
  <c r="L272" i="24"/>
  <c r="O272" i="24" s="1"/>
  <c r="U271" i="24"/>
  <c r="R268" i="24"/>
  <c r="R269" i="24"/>
  <c r="U269" i="24" s="1"/>
  <c r="L233" i="24"/>
  <c r="P498" i="24"/>
  <c r="T397" i="24"/>
  <c r="I374" i="24"/>
  <c r="K374" i="24" s="1"/>
  <c r="K385" i="24"/>
  <c r="Q377" i="24"/>
  <c r="K344" i="24"/>
  <c r="I319" i="24"/>
  <c r="K319" i="24" s="1"/>
  <c r="K330" i="24"/>
  <c r="N305" i="24"/>
  <c r="N303" i="24" s="1"/>
  <c r="U187" i="24"/>
  <c r="R26" i="24"/>
  <c r="M305" i="24"/>
  <c r="L515" i="24"/>
  <c r="M377" i="24"/>
  <c r="P377" i="24" s="1"/>
  <c r="P357" i="24"/>
  <c r="R333" i="24"/>
  <c r="U333" i="24" s="1"/>
  <c r="P328" i="24"/>
  <c r="M326" i="24"/>
  <c r="P326" i="24" s="1"/>
  <c r="N322" i="24"/>
  <c r="N320" i="24" s="1"/>
  <c r="O308" i="24"/>
  <c r="L306" i="24"/>
  <c r="O306" i="24" s="1"/>
  <c r="L305" i="24"/>
  <c r="O305" i="24" s="1"/>
  <c r="O287" i="24"/>
  <c r="L285" i="24"/>
  <c r="O285" i="24" s="1"/>
  <c r="N285" i="24"/>
  <c r="Q282" i="24"/>
  <c r="T282" i="24" s="1"/>
  <c r="T283" i="24"/>
  <c r="M269" i="24"/>
  <c r="P269" i="24" s="1"/>
  <c r="Q266" i="24"/>
  <c r="P194" i="24"/>
  <c r="M192" i="24"/>
  <c r="P192" i="24" s="1"/>
  <c r="P191" i="24"/>
  <c r="M189" i="24"/>
  <c r="T187" i="24"/>
  <c r="P67" i="24"/>
  <c r="M65" i="24"/>
  <c r="P65" i="24" s="1"/>
  <c r="L269" i="24"/>
  <c r="O269" i="24" s="1"/>
  <c r="L268" i="24"/>
  <c r="O118" i="24"/>
  <c r="P380" i="24"/>
  <c r="R356" i="24"/>
  <c r="U356" i="24" s="1"/>
  <c r="Q333" i="24"/>
  <c r="T333" i="24" s="1"/>
  <c r="Q305" i="24"/>
  <c r="T305" i="24" s="1"/>
  <c r="R303" i="24"/>
  <c r="U303" i="24" s="1"/>
  <c r="T271" i="24"/>
  <c r="Q269" i="24"/>
  <c r="T269" i="24" s="1"/>
  <c r="T267" i="24"/>
  <c r="K249" i="24"/>
  <c r="M188" i="24"/>
  <c r="O187" i="24"/>
  <c r="O174" i="24"/>
  <c r="N120" i="24"/>
  <c r="N119" i="24"/>
  <c r="N117" i="24" s="1"/>
  <c r="K84" i="24"/>
  <c r="I82" i="24"/>
  <c r="L358" i="24"/>
  <c r="J351" i="24"/>
  <c r="O311" i="24"/>
  <c r="L309" i="24"/>
  <c r="O309" i="24" s="1"/>
  <c r="N306" i="24"/>
  <c r="T304" i="24"/>
  <c r="O95" i="24"/>
  <c r="S19" i="24"/>
  <c r="P187" i="24"/>
  <c r="Q176" i="24"/>
  <c r="T176" i="24" s="1"/>
  <c r="Q175" i="24"/>
  <c r="T175" i="24" s="1"/>
  <c r="U174" i="24"/>
  <c r="U118" i="24"/>
  <c r="U95" i="24"/>
  <c r="Q26" i="24"/>
  <c r="N26" i="24"/>
  <c r="N24" i="24" s="1"/>
  <c r="P25" i="24"/>
  <c r="L243" i="24"/>
  <c r="K220" i="24"/>
  <c r="K198" i="24"/>
  <c r="K183" i="24"/>
  <c r="N159" i="24"/>
  <c r="N157" i="24" s="1"/>
  <c r="K87" i="24"/>
  <c r="I83" i="24"/>
  <c r="P52" i="24"/>
  <c r="M26" i="24"/>
  <c r="P26" i="24" s="1"/>
  <c r="M50" i="24"/>
  <c r="P50" i="24" s="1"/>
  <c r="O181" i="24"/>
  <c r="L179" i="24"/>
  <c r="O179" i="24" s="1"/>
  <c r="O158" i="24"/>
  <c r="P140" i="24"/>
  <c r="U158" i="24"/>
  <c r="P22" i="24"/>
  <c r="M19" i="24"/>
  <c r="S175" i="24"/>
  <c r="S173" i="24" s="1"/>
  <c r="M175" i="24"/>
  <c r="M159" i="24"/>
  <c r="I156" i="24"/>
  <c r="K156" i="24" s="1"/>
  <c r="N141" i="24"/>
  <c r="N139" i="24" s="1"/>
  <c r="S119" i="24"/>
  <c r="S117" i="24" s="1"/>
  <c r="I93" i="24"/>
  <c r="K93" i="24" s="1"/>
  <c r="U80" i="24"/>
  <c r="Q78" i="24"/>
  <c r="T78" i="24" s="1"/>
  <c r="U77" i="24"/>
  <c r="O77" i="24"/>
  <c r="Q75" i="24"/>
  <c r="T75" i="24" s="1"/>
  <c r="O64" i="24"/>
  <c r="N50" i="24"/>
  <c r="O49" i="24"/>
  <c r="N23" i="24"/>
  <c r="R19" i="24"/>
  <c r="L19" i="24"/>
  <c r="R175" i="24"/>
  <c r="U175" i="24" s="1"/>
  <c r="L175" i="24"/>
  <c r="R159" i="24"/>
  <c r="U159" i="24" s="1"/>
  <c r="L159" i="24"/>
  <c r="O159" i="24" s="1"/>
  <c r="S141" i="24"/>
  <c r="S139" i="24" s="1"/>
  <c r="M141" i="24"/>
  <c r="P141" i="24" s="1"/>
  <c r="I138" i="24"/>
  <c r="K138" i="24" s="1"/>
  <c r="R119" i="24"/>
  <c r="R117" i="24" s="1"/>
  <c r="L119" i="24"/>
  <c r="O119" i="24" s="1"/>
  <c r="R96" i="24"/>
  <c r="U96" i="24" s="1"/>
  <c r="L96" i="24"/>
  <c r="O96" i="24" s="1"/>
  <c r="N74" i="24"/>
  <c r="N72" i="24" s="1"/>
  <c r="N61" i="24"/>
  <c r="N46" i="24"/>
  <c r="N44" i="24" s="1"/>
  <c r="S26" i="24"/>
  <c r="S24" i="24" s="1"/>
  <c r="S23" i="24"/>
  <c r="M23" i="24"/>
  <c r="M21" i="24" s="1"/>
  <c r="Q19" i="24"/>
  <c r="M176" i="24"/>
  <c r="P176" i="24" s="1"/>
  <c r="Q159" i="24"/>
  <c r="T159" i="24" s="1"/>
  <c r="R141" i="24"/>
  <c r="U141" i="24" s="1"/>
  <c r="L141" i="24"/>
  <c r="O141" i="24" s="1"/>
  <c r="Q119" i="24"/>
  <c r="Q96" i="24"/>
  <c r="S74" i="24"/>
  <c r="S72" i="24" s="1"/>
  <c r="M74" i="24"/>
  <c r="M61" i="24"/>
  <c r="M46" i="24"/>
  <c r="L26" i="24"/>
  <c r="R23" i="24"/>
  <c r="L23" i="24"/>
  <c r="R176" i="24"/>
  <c r="U176" i="24" s="1"/>
  <c r="L176" i="24"/>
  <c r="O176" i="24" s="1"/>
  <c r="T174" i="24"/>
  <c r="L163" i="24"/>
  <c r="O163" i="24" s="1"/>
  <c r="R160" i="24"/>
  <c r="U160" i="24" s="1"/>
  <c r="L160" i="24"/>
  <c r="O160" i="24" s="1"/>
  <c r="T158" i="24"/>
  <c r="M145" i="24"/>
  <c r="P145" i="24" s="1"/>
  <c r="M142" i="24"/>
  <c r="P142" i="24" s="1"/>
  <c r="R123" i="24"/>
  <c r="U123" i="24" s="1"/>
  <c r="L123" i="24"/>
  <c r="O123" i="24" s="1"/>
  <c r="R120" i="24"/>
  <c r="U120" i="24" s="1"/>
  <c r="L120" i="24"/>
  <c r="O120" i="24" s="1"/>
  <c r="L100" i="24"/>
  <c r="O100" i="24" s="1"/>
  <c r="R97" i="24"/>
  <c r="U97" i="24" s="1"/>
  <c r="L97" i="24"/>
  <c r="O97" i="24" s="1"/>
  <c r="Q23" i="24"/>
  <c r="Q305" i="23"/>
  <c r="T305" i="23" s="1"/>
  <c r="Q306" i="23"/>
  <c r="P394" i="23"/>
  <c r="M392" i="23"/>
  <c r="P392" i="23" s="1"/>
  <c r="K371" i="23"/>
  <c r="I365" i="23"/>
  <c r="K365" i="23" s="1"/>
  <c r="K154" i="23"/>
  <c r="I136" i="23"/>
  <c r="K136" i="23" s="1"/>
  <c r="O49" i="23"/>
  <c r="L47" i="23"/>
  <c r="O47" i="23" s="1"/>
  <c r="P144" i="19"/>
  <c r="O604" i="21"/>
  <c r="L582" i="21"/>
  <c r="O582" i="21" s="1"/>
  <c r="T418" i="21"/>
  <c r="S395" i="22"/>
  <c r="S394" i="22"/>
  <c r="S392" i="22" s="1"/>
  <c r="K785" i="23"/>
  <c r="K779" i="23"/>
  <c r="T140" i="23"/>
  <c r="I423" i="23"/>
  <c r="I412" i="23" s="1"/>
  <c r="K412" i="23" s="1"/>
  <c r="K440" i="23"/>
  <c r="O49" i="20"/>
  <c r="K368" i="21"/>
  <c r="P191" i="21"/>
  <c r="K781" i="23"/>
  <c r="M381" i="23"/>
  <c r="P381" i="23" s="1"/>
  <c r="K292" i="23"/>
  <c r="I281" i="23"/>
  <c r="K281" i="23" s="1"/>
  <c r="L222" i="23"/>
  <c r="O222" i="23" s="1"/>
  <c r="O73" i="23"/>
  <c r="R44" i="23"/>
  <c r="U44" i="23" s="1"/>
  <c r="U46" i="23"/>
  <c r="Q605" i="22"/>
  <c r="T605" i="22" s="1"/>
  <c r="T607" i="22"/>
  <c r="N188" i="23"/>
  <c r="N186" i="23" s="1"/>
  <c r="O191" i="23"/>
  <c r="N189" i="23"/>
  <c r="O189" i="23" s="1"/>
  <c r="Q119" i="23"/>
  <c r="Q117" i="23" s="1"/>
  <c r="Q120" i="23"/>
  <c r="K108" i="20"/>
  <c r="Q644" i="22"/>
  <c r="Q642" i="22" s="1"/>
  <c r="T642" i="22" s="1"/>
  <c r="T647" i="22"/>
  <c r="N415" i="23"/>
  <c r="N413" i="23" s="1"/>
  <c r="N416" i="23"/>
  <c r="L163" i="23"/>
  <c r="O163" i="23" s="1"/>
  <c r="O165" i="23"/>
  <c r="L159" i="23"/>
  <c r="O159" i="23" s="1"/>
  <c r="K781" i="22"/>
  <c r="M495" i="23"/>
  <c r="P495" i="23" s="1"/>
  <c r="S496" i="23"/>
  <c r="N322" i="23"/>
  <c r="N320" i="23" s="1"/>
  <c r="N323" i="23"/>
  <c r="I238" i="23"/>
  <c r="K238" i="23" s="1"/>
  <c r="L214" i="23"/>
  <c r="O214" i="23" s="1"/>
  <c r="S188" i="23"/>
  <c r="S186" i="23" s="1"/>
  <c r="M188" i="23"/>
  <c r="S189" i="23"/>
  <c r="N119" i="23"/>
  <c r="N117" i="23" s="1"/>
  <c r="P162" i="21"/>
  <c r="S728" i="22"/>
  <c r="K727" i="22"/>
  <c r="M578" i="22"/>
  <c r="M576" i="22" s="1"/>
  <c r="Q141" i="22"/>
  <c r="T141" i="22" s="1"/>
  <c r="K774" i="23"/>
  <c r="R762" i="23"/>
  <c r="U762" i="23" s="1"/>
  <c r="R731" i="23"/>
  <c r="U731" i="23" s="1"/>
  <c r="K681" i="23"/>
  <c r="K653" i="23"/>
  <c r="N557" i="23"/>
  <c r="N555" i="23" s="1"/>
  <c r="N558" i="23"/>
  <c r="R534" i="23"/>
  <c r="U534" i="23" s="1"/>
  <c r="L495" i="23"/>
  <c r="L493" i="23" s="1"/>
  <c r="O493" i="23" s="1"/>
  <c r="R496" i="23"/>
  <c r="U496" i="23" s="1"/>
  <c r="T397" i="23"/>
  <c r="S395" i="23"/>
  <c r="M322" i="23"/>
  <c r="P322" i="23" s="1"/>
  <c r="M323" i="23"/>
  <c r="P323" i="23" s="1"/>
  <c r="I213" i="23"/>
  <c r="K213" i="23" s="1"/>
  <c r="T203" i="23"/>
  <c r="R188" i="23"/>
  <c r="L188" i="23"/>
  <c r="R189" i="23"/>
  <c r="K169" i="23"/>
  <c r="N159" i="23"/>
  <c r="N157" i="23" s="1"/>
  <c r="T147" i="23"/>
  <c r="T144" i="23"/>
  <c r="S141" i="23"/>
  <c r="S139" i="23" s="1"/>
  <c r="T125" i="23"/>
  <c r="I116" i="23"/>
  <c r="K116" i="23" s="1"/>
  <c r="U80" i="23"/>
  <c r="P49" i="23"/>
  <c r="T45" i="23"/>
  <c r="N19" i="23"/>
  <c r="M415" i="22"/>
  <c r="M413" i="22" s="1"/>
  <c r="M268" i="22"/>
  <c r="M266" i="22" s="1"/>
  <c r="N188" i="22"/>
  <c r="N186" i="22" s="1"/>
  <c r="Q730" i="23"/>
  <c r="T730" i="23" s="1"/>
  <c r="K632" i="23"/>
  <c r="N540" i="23"/>
  <c r="S534" i="23"/>
  <c r="M496" i="23"/>
  <c r="P496" i="23" s="1"/>
  <c r="S493" i="23"/>
  <c r="T191" i="23"/>
  <c r="T271" i="22"/>
  <c r="Q269" i="22"/>
  <c r="Q176" i="22"/>
  <c r="T176" i="22" s="1"/>
  <c r="M120" i="22"/>
  <c r="P120" i="22" s="1"/>
  <c r="O67" i="22"/>
  <c r="S644" i="23"/>
  <c r="S642" i="23" s="1"/>
  <c r="N601" i="23"/>
  <c r="N599" i="23" s="1"/>
  <c r="P501" i="23"/>
  <c r="P498" i="23"/>
  <c r="L496" i="23"/>
  <c r="O496" i="23" s="1"/>
  <c r="Q394" i="23"/>
  <c r="T394" i="23" s="1"/>
  <c r="N377" i="23"/>
  <c r="N375" i="23" s="1"/>
  <c r="N335" i="23"/>
  <c r="N333" i="23" s="1"/>
  <c r="N336" i="23"/>
  <c r="P328" i="23"/>
  <c r="O311" i="23"/>
  <c r="T308" i="23"/>
  <c r="K276" i="23"/>
  <c r="L254" i="23"/>
  <c r="O254" i="23" s="1"/>
  <c r="L234" i="23"/>
  <c r="I241" i="23"/>
  <c r="K241" i="23" s="1"/>
  <c r="K221" i="23"/>
  <c r="P194" i="23"/>
  <c r="P191" i="23"/>
  <c r="M189" i="23"/>
  <c r="T162" i="23"/>
  <c r="Q160" i="23"/>
  <c r="T160" i="23" s="1"/>
  <c r="R141" i="23"/>
  <c r="U141" i="23" s="1"/>
  <c r="L141" i="23"/>
  <c r="O141" i="23" s="1"/>
  <c r="O102" i="23"/>
  <c r="S74" i="23"/>
  <c r="S72" i="23" s="1"/>
  <c r="M74" i="23"/>
  <c r="P74" i="23" s="1"/>
  <c r="S75" i="23"/>
  <c r="N74" i="23"/>
  <c r="N72" i="23" s="1"/>
  <c r="L19" i="23"/>
  <c r="K779" i="22"/>
  <c r="Q619" i="22"/>
  <c r="T619" i="22" s="1"/>
  <c r="P274" i="22"/>
  <c r="M163" i="22"/>
  <c r="P163" i="22" s="1"/>
  <c r="Q145" i="22"/>
  <c r="T145" i="22" s="1"/>
  <c r="M97" i="22"/>
  <c r="P97" i="22" s="1"/>
  <c r="Q74" i="22"/>
  <c r="T74" i="22" s="1"/>
  <c r="M760" i="23"/>
  <c r="P760" i="23" s="1"/>
  <c r="S692" i="23"/>
  <c r="S690" i="23" s="1"/>
  <c r="K679" i="23"/>
  <c r="N602" i="23"/>
  <c r="J458" i="23"/>
  <c r="M377" i="23"/>
  <c r="P377" i="23" s="1"/>
  <c r="S378" i="23"/>
  <c r="P361" i="23"/>
  <c r="P359" i="23"/>
  <c r="K265" i="23"/>
  <c r="L233" i="23"/>
  <c r="N175" i="23"/>
  <c r="N173" i="23" s="1"/>
  <c r="S159" i="23"/>
  <c r="S157" i="23" s="1"/>
  <c r="Q141" i="23"/>
  <c r="T141" i="23" s="1"/>
  <c r="R74" i="23"/>
  <c r="U74" i="23" s="1"/>
  <c r="L74" i="23"/>
  <c r="O74" i="23" s="1"/>
  <c r="R75" i="23"/>
  <c r="U75" i="23" s="1"/>
  <c r="U761" i="23"/>
  <c r="U604" i="23"/>
  <c r="R602" i="23"/>
  <c r="U602" i="23" s="1"/>
  <c r="O542" i="23"/>
  <c r="L540" i="23"/>
  <c r="O540" i="23" s="1"/>
  <c r="Q333" i="23"/>
  <c r="T333" i="23" s="1"/>
  <c r="T334" i="23"/>
  <c r="I240" i="23"/>
  <c r="K240" i="23" s="1"/>
  <c r="K251" i="23"/>
  <c r="J674" i="22"/>
  <c r="N141" i="22"/>
  <c r="N139" i="22" s="1"/>
  <c r="S119" i="22"/>
  <c r="S117" i="22" s="1"/>
  <c r="U99" i="22"/>
  <c r="R97" i="22"/>
  <c r="U97" i="22" s="1"/>
  <c r="T761" i="23"/>
  <c r="I701" i="23"/>
  <c r="U691" i="23"/>
  <c r="M642" i="23"/>
  <c r="P642" i="23" s="1"/>
  <c r="P643" i="23"/>
  <c r="T604" i="23"/>
  <c r="Q602" i="23"/>
  <c r="T602" i="23" s="1"/>
  <c r="O514" i="23"/>
  <c r="T418" i="23"/>
  <c r="Q416" i="23"/>
  <c r="T416" i="23" s="1"/>
  <c r="U415" i="23"/>
  <c r="R413" i="23"/>
  <c r="U413" i="23" s="1"/>
  <c r="O394" i="23"/>
  <c r="L392" i="23"/>
  <c r="O392" i="23" s="1"/>
  <c r="O383" i="23"/>
  <c r="L381" i="23"/>
  <c r="O381" i="23" s="1"/>
  <c r="O308" i="23"/>
  <c r="N306" i="23"/>
  <c r="O306" i="23" s="1"/>
  <c r="N305" i="23"/>
  <c r="N303" i="23" s="1"/>
  <c r="U304" i="23"/>
  <c r="N284" i="23"/>
  <c r="N282" i="23" s="1"/>
  <c r="N288" i="23"/>
  <c r="K242" i="23"/>
  <c r="I231" i="23"/>
  <c r="K231" i="23" s="1"/>
  <c r="P118" i="23"/>
  <c r="R306" i="21"/>
  <c r="S269" i="21"/>
  <c r="K780" i="22"/>
  <c r="K707" i="22"/>
  <c r="U692" i="22"/>
  <c r="K632" i="22"/>
  <c r="J351" i="22"/>
  <c r="L305" i="22"/>
  <c r="L303" i="22" s="1"/>
  <c r="O303" i="22" s="1"/>
  <c r="P287" i="22"/>
  <c r="U268" i="22"/>
  <c r="L269" i="22"/>
  <c r="N159" i="22"/>
  <c r="N157" i="22" s="1"/>
  <c r="M145" i="22"/>
  <c r="P145" i="22" s="1"/>
  <c r="M142" i="22"/>
  <c r="P142" i="22" s="1"/>
  <c r="Q763" i="23"/>
  <c r="Q762" i="23"/>
  <c r="T762" i="23" s="1"/>
  <c r="T765" i="23"/>
  <c r="R728" i="23"/>
  <c r="U728" i="23" s="1"/>
  <c r="L728" i="23"/>
  <c r="O728" i="23" s="1"/>
  <c r="M728" i="23"/>
  <c r="P728" i="23" s="1"/>
  <c r="R714" i="23"/>
  <c r="U714" i="23" s="1"/>
  <c r="L714" i="23"/>
  <c r="O714" i="23" s="1"/>
  <c r="M714" i="23"/>
  <c r="P714" i="23" s="1"/>
  <c r="R693" i="23"/>
  <c r="U693" i="23" s="1"/>
  <c r="R692" i="23"/>
  <c r="U695" i="23"/>
  <c r="K676" i="23"/>
  <c r="L642" i="23"/>
  <c r="O642" i="23" s="1"/>
  <c r="O643" i="23"/>
  <c r="S619" i="23"/>
  <c r="T619" i="23" s="1"/>
  <c r="S618" i="23"/>
  <c r="S616" i="23" s="1"/>
  <c r="U607" i="23"/>
  <c r="R605" i="23"/>
  <c r="U605" i="23" s="1"/>
  <c r="M578" i="23"/>
  <c r="P581" i="23"/>
  <c r="O577" i="23"/>
  <c r="N515" i="23"/>
  <c r="N513" i="23" s="1"/>
  <c r="N516" i="23"/>
  <c r="S513" i="23"/>
  <c r="Q415" i="23"/>
  <c r="T415" i="23" s="1"/>
  <c r="J332" i="23"/>
  <c r="K332" i="23" s="1"/>
  <c r="J343" i="23"/>
  <c r="T304" i="23"/>
  <c r="P158" i="23"/>
  <c r="L97" i="23"/>
  <c r="O97" i="23" s="1"/>
  <c r="O99" i="23"/>
  <c r="L96" i="23"/>
  <c r="O96" i="23" s="1"/>
  <c r="L306" i="22"/>
  <c r="O306" i="22" s="1"/>
  <c r="O380" i="23"/>
  <c r="L378" i="23"/>
  <c r="O378" i="23" s="1"/>
  <c r="T142" i="19"/>
  <c r="O518" i="21"/>
  <c r="S415" i="21"/>
  <c r="S413" i="21" s="1"/>
  <c r="Q305" i="21"/>
  <c r="Q303" i="21" s="1"/>
  <c r="O287" i="21"/>
  <c r="O65" i="21"/>
  <c r="S645" i="22"/>
  <c r="R618" i="22"/>
  <c r="R616" i="22" s="1"/>
  <c r="P607" i="22"/>
  <c r="U397" i="22"/>
  <c r="T377" i="22"/>
  <c r="K276" i="22"/>
  <c r="U194" i="22"/>
  <c r="N192" i="22"/>
  <c r="M188" i="22"/>
  <c r="M186" i="22" s="1"/>
  <c r="U144" i="22"/>
  <c r="P125" i="22"/>
  <c r="L74" i="22"/>
  <c r="O74" i="22" s="1"/>
  <c r="L46" i="22"/>
  <c r="L44" i="22" s="1"/>
  <c r="T729" i="23"/>
  <c r="Q714" i="23"/>
  <c r="T714" i="23" s="1"/>
  <c r="T715" i="23"/>
  <c r="Q692" i="23"/>
  <c r="T695" i="23"/>
  <c r="N690" i="23"/>
  <c r="R618" i="23"/>
  <c r="U621" i="23"/>
  <c r="T607" i="23"/>
  <c r="Q605" i="23"/>
  <c r="T605" i="23" s="1"/>
  <c r="S601" i="23"/>
  <c r="S599" i="23" s="1"/>
  <c r="R555" i="23"/>
  <c r="U555" i="23" s="1"/>
  <c r="T535" i="23"/>
  <c r="Q534" i="23"/>
  <c r="T534" i="23" s="1"/>
  <c r="M519" i="23"/>
  <c r="P519" i="23" s="1"/>
  <c r="M516" i="23"/>
  <c r="P516" i="23" s="1"/>
  <c r="M515" i="23"/>
  <c r="P515" i="23" s="1"/>
  <c r="P518" i="23"/>
  <c r="R513" i="23"/>
  <c r="U513" i="23" s="1"/>
  <c r="U514" i="23"/>
  <c r="M415" i="23"/>
  <c r="Q173" i="23"/>
  <c r="T173" i="23" s="1"/>
  <c r="T174" i="23"/>
  <c r="Q157" i="23"/>
  <c r="T157" i="23" s="1"/>
  <c r="T159" i="23"/>
  <c r="P102" i="23"/>
  <c r="M100" i="23"/>
  <c r="P100" i="23" s="1"/>
  <c r="S97" i="23"/>
  <c r="S23" i="23"/>
  <c r="S21" i="23" s="1"/>
  <c r="S96" i="23"/>
  <c r="S94" i="23" s="1"/>
  <c r="I758" i="23"/>
  <c r="K758" i="23" s="1"/>
  <c r="K772" i="23"/>
  <c r="O607" i="23"/>
  <c r="L605" i="23"/>
  <c r="O605" i="23" s="1"/>
  <c r="O67" i="23"/>
  <c r="L65" i="23"/>
  <c r="O65" i="23" s="1"/>
  <c r="O380" i="20"/>
  <c r="L415" i="21"/>
  <c r="L413" i="21" s="1"/>
  <c r="U162" i="21"/>
  <c r="J702" i="22"/>
  <c r="K631" i="22"/>
  <c r="U607" i="22"/>
  <c r="N495" i="22"/>
  <c r="N493" i="22" s="1"/>
  <c r="N377" i="22"/>
  <c r="N375" i="22" s="1"/>
  <c r="M309" i="22"/>
  <c r="P309" i="22" s="1"/>
  <c r="S266" i="22"/>
  <c r="K265" i="22"/>
  <c r="L188" i="22"/>
  <c r="L186" i="22" s="1"/>
  <c r="P181" i="22"/>
  <c r="S176" i="22"/>
  <c r="L61" i="22"/>
  <c r="L59" i="22" s="1"/>
  <c r="L62" i="22"/>
  <c r="L50" i="22"/>
  <c r="O50" i="22" s="1"/>
  <c r="J701" i="23"/>
  <c r="M690" i="23"/>
  <c r="P690" i="23" s="1"/>
  <c r="P691" i="23"/>
  <c r="J675" i="23"/>
  <c r="K675" i="23" s="1"/>
  <c r="U643" i="23"/>
  <c r="Q618" i="23"/>
  <c r="T621" i="23"/>
  <c r="L616" i="23"/>
  <c r="O616" i="23" s="1"/>
  <c r="O604" i="23"/>
  <c r="L602" i="23"/>
  <c r="R601" i="23"/>
  <c r="U601" i="23" s="1"/>
  <c r="U577" i="23"/>
  <c r="R576" i="23"/>
  <c r="U576" i="23" s="1"/>
  <c r="M557" i="23"/>
  <c r="P560" i="23"/>
  <c r="L519" i="23"/>
  <c r="O519" i="23" s="1"/>
  <c r="P421" i="23"/>
  <c r="M419" i="23"/>
  <c r="P419" i="23" s="1"/>
  <c r="L377" i="23"/>
  <c r="I172" i="23"/>
  <c r="K172" i="23" s="1"/>
  <c r="K183" i="23"/>
  <c r="S642" i="22"/>
  <c r="L123" i="22"/>
  <c r="O123" i="22" s="1"/>
  <c r="Q644" i="23"/>
  <c r="T647" i="23"/>
  <c r="N642" i="23"/>
  <c r="P194" i="19"/>
  <c r="T308" i="20"/>
  <c r="L284" i="21"/>
  <c r="L282" i="21" s="1"/>
  <c r="O282" i="21" s="1"/>
  <c r="O165" i="21"/>
  <c r="L74" i="21"/>
  <c r="L72" i="21" s="1"/>
  <c r="K784" i="22"/>
  <c r="L496" i="22"/>
  <c r="O496" i="22" s="1"/>
  <c r="U308" i="22"/>
  <c r="M305" i="22"/>
  <c r="P305" i="22" s="1"/>
  <c r="M306" i="22"/>
  <c r="P306" i="22" s="1"/>
  <c r="K109" i="22"/>
  <c r="P102" i="22"/>
  <c r="S760" i="23"/>
  <c r="L760" i="23"/>
  <c r="O760" i="23" s="1"/>
  <c r="O761" i="23"/>
  <c r="T693" i="23"/>
  <c r="L690" i="23"/>
  <c r="O690" i="23" s="1"/>
  <c r="O691" i="23"/>
  <c r="R645" i="23"/>
  <c r="U645" i="23" s="1"/>
  <c r="R644" i="23"/>
  <c r="U647" i="23"/>
  <c r="M616" i="23"/>
  <c r="P616" i="23" s="1"/>
  <c r="P617" i="23"/>
  <c r="Q601" i="23"/>
  <c r="T601" i="23" s="1"/>
  <c r="T600" i="23"/>
  <c r="Q576" i="23"/>
  <c r="T576" i="23" s="1"/>
  <c r="T578" i="23"/>
  <c r="M561" i="23"/>
  <c r="P561" i="23" s="1"/>
  <c r="O560" i="23"/>
  <c r="L557" i="23"/>
  <c r="L558" i="23"/>
  <c r="O558" i="23" s="1"/>
  <c r="M558" i="23"/>
  <c r="P558" i="23" s="1"/>
  <c r="P542" i="23"/>
  <c r="M540" i="23"/>
  <c r="P540" i="23" s="1"/>
  <c r="R333" i="23"/>
  <c r="U333" i="23" s="1"/>
  <c r="O283" i="23"/>
  <c r="N74" i="22"/>
  <c r="N72" i="22" s="1"/>
  <c r="I615" i="23"/>
  <c r="K615" i="23" s="1"/>
  <c r="N578" i="23"/>
  <c r="N576" i="23" s="1"/>
  <c r="Q496" i="23"/>
  <c r="T496" i="23" s="1"/>
  <c r="O421" i="23"/>
  <c r="L419" i="23"/>
  <c r="O419" i="23" s="1"/>
  <c r="O418" i="23"/>
  <c r="L416" i="23"/>
  <c r="O416" i="23" s="1"/>
  <c r="U394" i="23"/>
  <c r="R392" i="23"/>
  <c r="U392" i="23" s="1"/>
  <c r="U380" i="23"/>
  <c r="R378" i="23"/>
  <c r="U378" i="23" s="1"/>
  <c r="M333" i="23"/>
  <c r="O325" i="23"/>
  <c r="L323" i="23"/>
  <c r="O323" i="23" s="1"/>
  <c r="P308" i="23"/>
  <c r="M306" i="23"/>
  <c r="I302" i="23"/>
  <c r="K302" i="23" s="1"/>
  <c r="P290" i="23"/>
  <c r="M288" i="23"/>
  <c r="P288" i="23" s="1"/>
  <c r="U60" i="23"/>
  <c r="R59" i="23"/>
  <c r="U59" i="23" s="1"/>
  <c r="S19" i="23"/>
  <c r="Q555" i="23"/>
  <c r="T555" i="23" s="1"/>
  <c r="T380" i="23"/>
  <c r="Q378" i="23"/>
  <c r="T378" i="23" s="1"/>
  <c r="R377" i="23"/>
  <c r="Q375" i="23"/>
  <c r="T375" i="23" s="1"/>
  <c r="P364" i="23"/>
  <c r="M362" i="23"/>
  <c r="P362" i="23" s="1"/>
  <c r="M358" i="23"/>
  <c r="M356" i="23" s="1"/>
  <c r="P357" i="23"/>
  <c r="J351" i="23"/>
  <c r="P338" i="23"/>
  <c r="M336" i="23"/>
  <c r="U322" i="23"/>
  <c r="R320" i="23"/>
  <c r="U320" i="23" s="1"/>
  <c r="Q320" i="23"/>
  <c r="T320" i="23" s="1"/>
  <c r="P311" i="23"/>
  <c r="M309" i="23"/>
  <c r="P309" i="23" s="1"/>
  <c r="M305" i="23"/>
  <c r="M303" i="23" s="1"/>
  <c r="O304" i="23"/>
  <c r="U95" i="23"/>
  <c r="U22" i="23"/>
  <c r="R19" i="23"/>
  <c r="L536" i="23"/>
  <c r="P514" i="23"/>
  <c r="J503" i="23"/>
  <c r="J492" i="23" s="1"/>
  <c r="U418" i="23"/>
  <c r="R416" i="23"/>
  <c r="U416" i="23" s="1"/>
  <c r="O364" i="23"/>
  <c r="L362" i="23"/>
  <c r="O362" i="23" s="1"/>
  <c r="L358" i="23"/>
  <c r="O338" i="23"/>
  <c r="L336" i="23"/>
  <c r="U308" i="23"/>
  <c r="S306" i="23"/>
  <c r="S303" i="23"/>
  <c r="P274" i="23"/>
  <c r="M272" i="23"/>
  <c r="P272" i="23" s="1"/>
  <c r="O178" i="23"/>
  <c r="L176" i="23"/>
  <c r="O176" i="23" s="1"/>
  <c r="L175" i="23"/>
  <c r="O175" i="23" s="1"/>
  <c r="R173" i="23"/>
  <c r="U173" i="23" s="1"/>
  <c r="U174" i="23"/>
  <c r="N495" i="23"/>
  <c r="N493" i="23" s="1"/>
  <c r="P418" i="23"/>
  <c r="T414" i="23"/>
  <c r="T393" i="23"/>
  <c r="P380" i="23"/>
  <c r="T376" i="23"/>
  <c r="N358" i="23"/>
  <c r="N356" i="23" s="1"/>
  <c r="U334" i="23"/>
  <c r="O334" i="23"/>
  <c r="P325" i="23"/>
  <c r="T321" i="23"/>
  <c r="R305" i="23"/>
  <c r="U305" i="23" s="1"/>
  <c r="L305" i="23"/>
  <c r="P304" i="23"/>
  <c r="R282" i="23"/>
  <c r="U282" i="23" s="1"/>
  <c r="U283" i="23"/>
  <c r="O274" i="23"/>
  <c r="L272" i="23"/>
  <c r="O272" i="23" s="1"/>
  <c r="P271" i="23"/>
  <c r="M269" i="23"/>
  <c r="P269" i="23" s="1"/>
  <c r="O267" i="23"/>
  <c r="L243" i="23"/>
  <c r="U178" i="23"/>
  <c r="R176" i="23"/>
  <c r="U176" i="23" s="1"/>
  <c r="O158" i="23"/>
  <c r="O118" i="23"/>
  <c r="R97" i="23"/>
  <c r="U97" i="23" s="1"/>
  <c r="U99" i="23"/>
  <c r="P45" i="23"/>
  <c r="T271" i="23"/>
  <c r="O271" i="23"/>
  <c r="L269" i="23"/>
  <c r="O269" i="23" s="1"/>
  <c r="S268" i="23"/>
  <c r="S266" i="23" s="1"/>
  <c r="R266" i="23"/>
  <c r="U267" i="23"/>
  <c r="L235" i="23"/>
  <c r="P165" i="23"/>
  <c r="M163" i="23"/>
  <c r="P163" i="23" s="1"/>
  <c r="L160" i="23"/>
  <c r="O160" i="23" s="1"/>
  <c r="O162" i="23"/>
  <c r="R123" i="23"/>
  <c r="U123" i="23" s="1"/>
  <c r="U125" i="23"/>
  <c r="L120" i="23"/>
  <c r="O120" i="23" s="1"/>
  <c r="O122" i="23"/>
  <c r="P64" i="23"/>
  <c r="Q59" i="23"/>
  <c r="T59" i="23" s="1"/>
  <c r="T61" i="23"/>
  <c r="K385" i="23"/>
  <c r="L288" i="23"/>
  <c r="O288" i="23" s="1"/>
  <c r="Q266" i="23"/>
  <c r="T267" i="23"/>
  <c r="K209" i="23"/>
  <c r="I202" i="23"/>
  <c r="K202" i="23" s="1"/>
  <c r="Q192" i="23"/>
  <c r="T192" i="23" s="1"/>
  <c r="Q188" i="23"/>
  <c r="P181" i="23"/>
  <c r="M179" i="23"/>
  <c r="P179" i="23" s="1"/>
  <c r="R157" i="23"/>
  <c r="U157" i="23" s="1"/>
  <c r="U158" i="23"/>
  <c r="S120" i="23"/>
  <c r="T122" i="23"/>
  <c r="U118" i="23"/>
  <c r="N96" i="23"/>
  <c r="N94" i="23" s="1"/>
  <c r="R96" i="23"/>
  <c r="U96" i="23" s="1"/>
  <c r="P95" i="23"/>
  <c r="K84" i="23"/>
  <c r="I82" i="23"/>
  <c r="N26" i="23"/>
  <c r="N24" i="23" s="1"/>
  <c r="P60" i="23"/>
  <c r="U25" i="23"/>
  <c r="P283" i="23"/>
  <c r="U271" i="23"/>
  <c r="R269" i="23"/>
  <c r="U269" i="23" s="1"/>
  <c r="Q189" i="23"/>
  <c r="O181" i="23"/>
  <c r="L179" i="23"/>
  <c r="O179" i="23" s="1"/>
  <c r="P178" i="23"/>
  <c r="M176" i="23"/>
  <c r="P176" i="23" s="1"/>
  <c r="O174" i="23"/>
  <c r="R160" i="23"/>
  <c r="U160" i="23" s="1"/>
  <c r="U162" i="23"/>
  <c r="K153" i="23"/>
  <c r="I138" i="23"/>
  <c r="K138" i="23" s="1"/>
  <c r="R120" i="23"/>
  <c r="U122" i="23"/>
  <c r="K109" i="23"/>
  <c r="I93" i="23"/>
  <c r="K93" i="23" s="1"/>
  <c r="O95" i="23"/>
  <c r="R26" i="23"/>
  <c r="U26" i="23" s="1"/>
  <c r="P67" i="23"/>
  <c r="M65" i="23"/>
  <c r="P65" i="23" s="1"/>
  <c r="N62" i="23"/>
  <c r="O62" i="23" s="1"/>
  <c r="N23" i="23"/>
  <c r="N61" i="23"/>
  <c r="N59" i="23" s="1"/>
  <c r="O19" i="23"/>
  <c r="P19" i="23"/>
  <c r="K249" i="23"/>
  <c r="Q26" i="23"/>
  <c r="Q78" i="23"/>
  <c r="T78" i="23" s="1"/>
  <c r="M61" i="23"/>
  <c r="M59" i="23" s="1"/>
  <c r="K260" i="23"/>
  <c r="K229" i="23"/>
  <c r="N160" i="23"/>
  <c r="N141" i="23"/>
  <c r="N139" i="23" s="1"/>
  <c r="P125" i="23"/>
  <c r="M123" i="23"/>
  <c r="P123" i="23" s="1"/>
  <c r="N120" i="23"/>
  <c r="N97" i="23"/>
  <c r="I83" i="23"/>
  <c r="L61" i="23"/>
  <c r="P52" i="23"/>
  <c r="M26" i="23"/>
  <c r="P26" i="23" s="1"/>
  <c r="M50" i="23"/>
  <c r="P50" i="23" s="1"/>
  <c r="P25" i="23"/>
  <c r="P22" i="23"/>
  <c r="P162" i="23"/>
  <c r="M160" i="23"/>
  <c r="M159" i="23"/>
  <c r="M141" i="23"/>
  <c r="P141" i="23" s="1"/>
  <c r="P140" i="23"/>
  <c r="S123" i="23"/>
  <c r="S26" i="23"/>
  <c r="S24" i="23" s="1"/>
  <c r="P122" i="23"/>
  <c r="M120" i="23"/>
  <c r="P120" i="23" s="1"/>
  <c r="M119" i="23"/>
  <c r="P119" i="23" s="1"/>
  <c r="P99" i="23"/>
  <c r="M97" i="23"/>
  <c r="P97" i="23" s="1"/>
  <c r="M23" i="23"/>
  <c r="M21" i="23" s="1"/>
  <c r="M96" i="23"/>
  <c r="P96" i="23" s="1"/>
  <c r="Q23" i="23"/>
  <c r="Q75" i="23"/>
  <c r="T75" i="23" s="1"/>
  <c r="Q74" i="23"/>
  <c r="O52" i="23"/>
  <c r="L26" i="23"/>
  <c r="O26" i="23" s="1"/>
  <c r="L50" i="23"/>
  <c r="O50" i="23" s="1"/>
  <c r="L46" i="23"/>
  <c r="O25" i="23"/>
  <c r="O22" i="23"/>
  <c r="N46" i="23"/>
  <c r="N44" i="23" s="1"/>
  <c r="Q19" i="23"/>
  <c r="K85" i="23"/>
  <c r="M46" i="23"/>
  <c r="R23" i="23"/>
  <c r="L23" i="23"/>
  <c r="K630" i="20"/>
  <c r="K784" i="21"/>
  <c r="K779" i="21"/>
  <c r="U765" i="21"/>
  <c r="J702" i="21"/>
  <c r="P518" i="21"/>
  <c r="L378" i="21"/>
  <c r="O378" i="21" s="1"/>
  <c r="O162" i="21"/>
  <c r="P102" i="21"/>
  <c r="S74" i="21"/>
  <c r="S72" i="21" s="1"/>
  <c r="T765" i="22"/>
  <c r="P691" i="22"/>
  <c r="U647" i="22"/>
  <c r="R645" i="22"/>
  <c r="U645" i="22" s="1"/>
  <c r="I615" i="22"/>
  <c r="K615" i="22" s="1"/>
  <c r="Q601" i="22"/>
  <c r="T601" i="22" s="1"/>
  <c r="T604" i="22"/>
  <c r="Q602" i="22"/>
  <c r="T602" i="22" s="1"/>
  <c r="Q576" i="22"/>
  <c r="T576" i="22" s="1"/>
  <c r="T577" i="22"/>
  <c r="L558" i="22"/>
  <c r="O558" i="22" s="1"/>
  <c r="L557" i="22"/>
  <c r="O557" i="22" s="1"/>
  <c r="O560" i="22"/>
  <c r="L515" i="22"/>
  <c r="O515" i="22" s="1"/>
  <c r="L516" i="22"/>
  <c r="O516" i="22" s="1"/>
  <c r="O518" i="22"/>
  <c r="N601" i="22"/>
  <c r="N599" i="22" s="1"/>
  <c r="N602" i="22"/>
  <c r="T600" i="22"/>
  <c r="R534" i="22"/>
  <c r="U534" i="22" s="1"/>
  <c r="U535" i="22"/>
  <c r="Q762" i="20"/>
  <c r="Q760" i="20" s="1"/>
  <c r="T418" i="20"/>
  <c r="K778" i="21"/>
  <c r="J675" i="21"/>
  <c r="K675" i="21" s="1"/>
  <c r="Q394" i="21"/>
  <c r="T394" i="21" s="1"/>
  <c r="O311" i="21"/>
  <c r="P165" i="21"/>
  <c r="L145" i="21"/>
  <c r="O145" i="21" s="1"/>
  <c r="U99" i="21"/>
  <c r="K774" i="22"/>
  <c r="S731" i="22"/>
  <c r="S690" i="22"/>
  <c r="N690" i="22"/>
  <c r="K626" i="22"/>
  <c r="N616" i="22"/>
  <c r="T645" i="21"/>
  <c r="Q762" i="22"/>
  <c r="T762" i="22" s="1"/>
  <c r="L601" i="22"/>
  <c r="O601" i="22" s="1"/>
  <c r="O607" i="22"/>
  <c r="L602" i="22"/>
  <c r="O602" i="22" s="1"/>
  <c r="O604" i="22"/>
  <c r="T556" i="22"/>
  <c r="Q555" i="22"/>
  <c r="T555" i="22" s="1"/>
  <c r="L540" i="22"/>
  <c r="O540" i="22" s="1"/>
  <c r="O542" i="22"/>
  <c r="R188" i="20"/>
  <c r="R186" i="20" s="1"/>
  <c r="K785" i="21"/>
  <c r="K780" i="21"/>
  <c r="R762" i="21"/>
  <c r="U762" i="21" s="1"/>
  <c r="O501" i="21"/>
  <c r="Q395" i="21"/>
  <c r="T395" i="21" s="1"/>
  <c r="M272" i="21"/>
  <c r="P272" i="21" s="1"/>
  <c r="K167" i="21"/>
  <c r="N96" i="21"/>
  <c r="N94" i="21" s="1"/>
  <c r="L61" i="21"/>
  <c r="L59" i="21" s="1"/>
  <c r="K778" i="22"/>
  <c r="Q714" i="22"/>
  <c r="T714" i="22" s="1"/>
  <c r="K709" i="22"/>
  <c r="L690" i="22"/>
  <c r="O690" i="22" s="1"/>
  <c r="K630" i="22"/>
  <c r="O618" i="22"/>
  <c r="R601" i="22"/>
  <c r="R599" i="22" s="1"/>
  <c r="U599" i="22" s="1"/>
  <c r="S763" i="21"/>
  <c r="Q762" i="21"/>
  <c r="T762" i="21" s="1"/>
  <c r="L540" i="21"/>
  <c r="O540" i="21" s="1"/>
  <c r="S97" i="21"/>
  <c r="R693" i="22"/>
  <c r="P581" i="22"/>
  <c r="M579" i="22"/>
  <c r="P579" i="22" s="1"/>
  <c r="M496" i="22"/>
  <c r="P496" i="22" s="1"/>
  <c r="K371" i="22"/>
  <c r="M335" i="22"/>
  <c r="M333" i="22" s="1"/>
  <c r="T334" i="22"/>
  <c r="O325" i="22"/>
  <c r="T321" i="22"/>
  <c r="P308" i="22"/>
  <c r="L284" i="22"/>
  <c r="L282" i="22" s="1"/>
  <c r="O282" i="22" s="1"/>
  <c r="U271" i="22"/>
  <c r="P194" i="22"/>
  <c r="R188" i="22"/>
  <c r="R186" i="22" s="1"/>
  <c r="K172" i="22"/>
  <c r="U178" i="22"/>
  <c r="M175" i="22"/>
  <c r="M173" i="22" s="1"/>
  <c r="T162" i="22"/>
  <c r="M159" i="22"/>
  <c r="S160" i="22"/>
  <c r="K152" i="22"/>
  <c r="U147" i="22"/>
  <c r="N142" i="22"/>
  <c r="L120" i="22"/>
  <c r="O120" i="22" s="1"/>
  <c r="I82" i="22"/>
  <c r="K82" i="22" s="1"/>
  <c r="R74" i="22"/>
  <c r="U74" i="22" s="1"/>
  <c r="L75" i="22"/>
  <c r="O75" i="22" s="1"/>
  <c r="O65" i="22"/>
  <c r="P49" i="22"/>
  <c r="L47" i="22"/>
  <c r="O47" i="22" s="1"/>
  <c r="R19" i="22"/>
  <c r="Q303" i="22"/>
  <c r="T303" i="22" s="1"/>
  <c r="R282" i="22"/>
  <c r="U282" i="22" s="1"/>
  <c r="R44" i="22"/>
  <c r="U44" i="22" s="1"/>
  <c r="O563" i="22"/>
  <c r="T418" i="22"/>
  <c r="L415" i="22"/>
  <c r="L413" i="22" s="1"/>
  <c r="Q416" i="22"/>
  <c r="T416" i="22" s="1"/>
  <c r="R394" i="22"/>
  <c r="U394" i="22" s="1"/>
  <c r="P380" i="22"/>
  <c r="M339" i="22"/>
  <c r="P339" i="22" s="1"/>
  <c r="K314" i="22"/>
  <c r="N305" i="22"/>
  <c r="N303" i="22" s="1"/>
  <c r="Q282" i="22"/>
  <c r="T282" i="22" s="1"/>
  <c r="L268" i="22"/>
  <c r="L266" i="22" s="1"/>
  <c r="R269" i="22"/>
  <c r="L234" i="22"/>
  <c r="S188" i="22"/>
  <c r="S186" i="22" s="1"/>
  <c r="R189" i="22"/>
  <c r="U189" i="22" s="1"/>
  <c r="K169" i="22"/>
  <c r="K154" i="22"/>
  <c r="O144" i="22"/>
  <c r="T122" i="22"/>
  <c r="M119" i="22"/>
  <c r="P119" i="22" s="1"/>
  <c r="S120" i="22"/>
  <c r="T120" i="22" s="1"/>
  <c r="L97" i="22"/>
  <c r="O97" i="22" s="1"/>
  <c r="I83" i="22"/>
  <c r="I71" i="22" s="1"/>
  <c r="K71" i="22" s="1"/>
  <c r="P77" i="22"/>
  <c r="P64" i="22"/>
  <c r="N62" i="22"/>
  <c r="P62" i="22" s="1"/>
  <c r="P47" i="22"/>
  <c r="S44" i="22"/>
  <c r="Q44" i="22"/>
  <c r="T44" i="22" s="1"/>
  <c r="S415" i="22"/>
  <c r="S413" i="22" s="1"/>
  <c r="M326" i="22"/>
  <c r="P326" i="22" s="1"/>
  <c r="L203" i="22"/>
  <c r="O203" i="22" s="1"/>
  <c r="T189" i="22"/>
  <c r="L160" i="22"/>
  <c r="O160" i="22" s="1"/>
  <c r="N96" i="22"/>
  <c r="N94" i="22" s="1"/>
  <c r="N19" i="22"/>
  <c r="M582" i="22"/>
  <c r="P582" i="22" s="1"/>
  <c r="M495" i="22"/>
  <c r="S496" i="22"/>
  <c r="I456" i="22"/>
  <c r="N415" i="22"/>
  <c r="N413" i="22" s="1"/>
  <c r="M377" i="22"/>
  <c r="S378" i="22"/>
  <c r="U378" i="22" s="1"/>
  <c r="L336" i="22"/>
  <c r="O336" i="22" s="1"/>
  <c r="N335" i="22"/>
  <c r="S306" i="22"/>
  <c r="N284" i="22"/>
  <c r="N282" i="22" s="1"/>
  <c r="O274" i="22"/>
  <c r="M269" i="22"/>
  <c r="L254" i="22"/>
  <c r="O254" i="22" s="1"/>
  <c r="K249" i="22"/>
  <c r="L222" i="22"/>
  <c r="O222" i="22" s="1"/>
  <c r="I221" i="22"/>
  <c r="K221" i="22" s="1"/>
  <c r="K202" i="22"/>
  <c r="Q192" i="22"/>
  <c r="T192" i="22" s="1"/>
  <c r="Q188" i="22"/>
  <c r="Q186" i="22" s="1"/>
  <c r="O181" i="22"/>
  <c r="R175" i="22"/>
  <c r="U175" i="22" s="1"/>
  <c r="P162" i="22"/>
  <c r="K153" i="22"/>
  <c r="O147" i="22"/>
  <c r="R123" i="22"/>
  <c r="U123" i="22" s="1"/>
  <c r="U122" i="22"/>
  <c r="T99" i="22"/>
  <c r="M96" i="22"/>
  <c r="P96" i="22" s="1"/>
  <c r="S97" i="22"/>
  <c r="T77" i="22"/>
  <c r="R59" i="22"/>
  <c r="U59" i="22" s="1"/>
  <c r="U22" i="22"/>
  <c r="L536" i="22"/>
  <c r="L534" i="22" s="1"/>
  <c r="O534" i="22" s="1"/>
  <c r="N496" i="22"/>
  <c r="J457" i="22"/>
  <c r="J456" i="22" s="1"/>
  <c r="N378" i="22"/>
  <c r="P378" i="22" s="1"/>
  <c r="K365" i="22"/>
  <c r="P336" i="22"/>
  <c r="Q306" i="22"/>
  <c r="T306" i="22" s="1"/>
  <c r="P191" i="22"/>
  <c r="M189" i="22"/>
  <c r="P189" i="22" s="1"/>
  <c r="P176" i="22"/>
  <c r="S141" i="22"/>
  <c r="S139" i="22" s="1"/>
  <c r="Q142" i="22"/>
  <c r="T142" i="22" s="1"/>
  <c r="P118" i="22"/>
  <c r="P80" i="22"/>
  <c r="N75" i="22"/>
  <c r="S59" i="22"/>
  <c r="Q59" i="22"/>
  <c r="T59" i="22" s="1"/>
  <c r="L19" i="22"/>
  <c r="T80" i="20"/>
  <c r="Q78" i="20"/>
  <c r="T78" i="20" s="1"/>
  <c r="M582" i="21"/>
  <c r="P582" i="21" s="1"/>
  <c r="P584" i="21"/>
  <c r="K653" i="19"/>
  <c r="M47" i="21"/>
  <c r="P47" i="21" s="1"/>
  <c r="P49" i="21"/>
  <c r="R762" i="22"/>
  <c r="U765" i="22"/>
  <c r="I758" i="22"/>
  <c r="K758" i="22" s="1"/>
  <c r="U729" i="22"/>
  <c r="P643" i="22"/>
  <c r="M642" i="22"/>
  <c r="P642" i="22" s="1"/>
  <c r="P560" i="22"/>
  <c r="M557" i="22"/>
  <c r="M558" i="22"/>
  <c r="P558" i="22" s="1"/>
  <c r="U418" i="22"/>
  <c r="R416" i="22"/>
  <c r="U416" i="22" s="1"/>
  <c r="R415" i="22"/>
  <c r="K368" i="22"/>
  <c r="U174" i="22"/>
  <c r="L578" i="22"/>
  <c r="O581" i="22"/>
  <c r="P542" i="22"/>
  <c r="M540" i="22"/>
  <c r="P540" i="22" s="1"/>
  <c r="K220" i="18"/>
  <c r="M578" i="19"/>
  <c r="P578" i="19" s="1"/>
  <c r="U144" i="19"/>
  <c r="U77" i="19"/>
  <c r="I93" i="20"/>
  <c r="K93" i="20" s="1"/>
  <c r="K109" i="20"/>
  <c r="S692" i="21"/>
  <c r="U692" i="21" s="1"/>
  <c r="L381" i="21"/>
  <c r="O381" i="21" s="1"/>
  <c r="O383" i="21"/>
  <c r="P338" i="21"/>
  <c r="M336" i="21"/>
  <c r="P336" i="21" s="1"/>
  <c r="R731" i="22"/>
  <c r="R730" i="22"/>
  <c r="U730" i="22" s="1"/>
  <c r="U733" i="22"/>
  <c r="R714" i="22"/>
  <c r="U714" i="22" s="1"/>
  <c r="U715" i="22"/>
  <c r="Q693" i="22"/>
  <c r="T695" i="22"/>
  <c r="Q692" i="22"/>
  <c r="O643" i="22"/>
  <c r="L642" i="22"/>
  <c r="O642" i="22" s="1"/>
  <c r="U619" i="22"/>
  <c r="N516" i="22"/>
  <c r="N515" i="22"/>
  <c r="N513" i="22" s="1"/>
  <c r="O380" i="22"/>
  <c r="L378" i="22"/>
  <c r="L377" i="22"/>
  <c r="R320" i="22"/>
  <c r="U320" i="22" s="1"/>
  <c r="I265" i="21"/>
  <c r="K265" i="21" s="1"/>
  <c r="K276" i="21"/>
  <c r="T536" i="22"/>
  <c r="Q534" i="22"/>
  <c r="T534" i="22" s="1"/>
  <c r="M540" i="21"/>
  <c r="P540" i="21" s="1"/>
  <c r="P542" i="21"/>
  <c r="Q175" i="21"/>
  <c r="T175" i="21" s="1"/>
  <c r="T178" i="21"/>
  <c r="Q176" i="21"/>
  <c r="Q730" i="22"/>
  <c r="T733" i="22"/>
  <c r="I701" i="22"/>
  <c r="K703" i="22"/>
  <c r="M602" i="22"/>
  <c r="P602" i="22" s="1"/>
  <c r="M601" i="22"/>
  <c r="P601" i="22" s="1"/>
  <c r="P604" i="22"/>
  <c r="P600" i="22"/>
  <c r="P521" i="22"/>
  <c r="M519" i="22"/>
  <c r="P519" i="22" s="1"/>
  <c r="L392" i="22"/>
  <c r="O392" i="22" s="1"/>
  <c r="O393" i="22"/>
  <c r="O383" i="22"/>
  <c r="L381" i="22"/>
  <c r="O381" i="22" s="1"/>
  <c r="U380" i="22"/>
  <c r="R377" i="22"/>
  <c r="T268" i="22"/>
  <c r="Q266" i="22"/>
  <c r="S763" i="22"/>
  <c r="S762" i="22"/>
  <c r="S760" i="22" s="1"/>
  <c r="O715" i="22"/>
  <c r="L714" i="22"/>
  <c r="O714" i="22" s="1"/>
  <c r="K330" i="22"/>
  <c r="I319" i="22"/>
  <c r="K319" i="22" s="1"/>
  <c r="O325" i="19"/>
  <c r="M288" i="19"/>
  <c r="P288" i="19" s="1"/>
  <c r="K198" i="20"/>
  <c r="T77" i="20"/>
  <c r="Q75" i="20"/>
  <c r="T75" i="20" s="1"/>
  <c r="K673" i="21"/>
  <c r="L419" i="21"/>
  <c r="O419" i="21" s="1"/>
  <c r="O421" i="21"/>
  <c r="S395" i="21"/>
  <c r="S394" i="21"/>
  <c r="S392" i="21" s="1"/>
  <c r="M760" i="22"/>
  <c r="P760" i="22" s="1"/>
  <c r="P761" i="22"/>
  <c r="M728" i="22"/>
  <c r="P728" i="22" s="1"/>
  <c r="P729" i="22"/>
  <c r="N714" i="22"/>
  <c r="K705" i="22"/>
  <c r="J701" i="22"/>
  <c r="R642" i="22"/>
  <c r="U642" i="22" s="1"/>
  <c r="U643" i="22"/>
  <c r="U621" i="22"/>
  <c r="S618" i="22"/>
  <c r="M616" i="22"/>
  <c r="P616" i="22" s="1"/>
  <c r="P617" i="22"/>
  <c r="S602" i="22"/>
  <c r="S601" i="22"/>
  <c r="S599" i="22" s="1"/>
  <c r="O600" i="22"/>
  <c r="L579" i="22"/>
  <c r="O579" i="22" s="1"/>
  <c r="P577" i="22"/>
  <c r="K260" i="20"/>
  <c r="I253" i="20"/>
  <c r="K253" i="20" s="1"/>
  <c r="N557" i="22"/>
  <c r="N555" i="22" s="1"/>
  <c r="N558" i="22"/>
  <c r="K701" i="20"/>
  <c r="N305" i="20"/>
  <c r="N303" i="20" s="1"/>
  <c r="O361" i="21"/>
  <c r="L322" i="21"/>
  <c r="O322" i="21" s="1"/>
  <c r="O325" i="21"/>
  <c r="L323" i="21"/>
  <c r="O323" i="21" s="1"/>
  <c r="O308" i="21"/>
  <c r="L305" i="21"/>
  <c r="L303" i="21" s="1"/>
  <c r="I238" i="21"/>
  <c r="K238" i="21" s="1"/>
  <c r="I253" i="21"/>
  <c r="K253" i="21" s="1"/>
  <c r="Q731" i="22"/>
  <c r="L728" i="22"/>
  <c r="O728" i="22" s="1"/>
  <c r="O729" i="22"/>
  <c r="M714" i="22"/>
  <c r="P714" i="22" s="1"/>
  <c r="P715" i="22"/>
  <c r="R690" i="22"/>
  <c r="U514" i="22"/>
  <c r="R513" i="22"/>
  <c r="U513" i="22" s="1"/>
  <c r="Q375" i="22"/>
  <c r="T375" i="22" s="1"/>
  <c r="P191" i="20"/>
  <c r="T765" i="21"/>
  <c r="K705" i="21"/>
  <c r="T693" i="21"/>
  <c r="K676" i="21"/>
  <c r="M578" i="21"/>
  <c r="P578" i="21" s="1"/>
  <c r="M557" i="21"/>
  <c r="M555" i="21" s="1"/>
  <c r="P555" i="21" s="1"/>
  <c r="P560" i="21"/>
  <c r="M536" i="21"/>
  <c r="P536" i="21" s="1"/>
  <c r="O336" i="21"/>
  <c r="T271" i="21"/>
  <c r="Q269" i="21"/>
  <c r="L235" i="21"/>
  <c r="S188" i="21"/>
  <c r="S186" i="21" s="1"/>
  <c r="T159" i="21"/>
  <c r="K152" i="21"/>
  <c r="R141" i="21"/>
  <c r="U141" i="21" s="1"/>
  <c r="U122" i="21"/>
  <c r="K109" i="21"/>
  <c r="O67" i="21"/>
  <c r="U695" i="22"/>
  <c r="S693" i="22"/>
  <c r="Q645" i="22"/>
  <c r="T645" i="22" s="1"/>
  <c r="O584" i="22"/>
  <c r="U578" i="22"/>
  <c r="N537" i="22"/>
  <c r="N536" i="22"/>
  <c r="N534" i="22" s="1"/>
  <c r="L537" i="22"/>
  <c r="O537" i="22" s="1"/>
  <c r="O521" i="22"/>
  <c r="L519" i="22"/>
  <c r="O519" i="22" s="1"/>
  <c r="M515" i="22"/>
  <c r="P515" i="22" s="1"/>
  <c r="J503" i="22"/>
  <c r="J492" i="22" s="1"/>
  <c r="L499" i="22"/>
  <c r="O499" i="22" s="1"/>
  <c r="R495" i="22"/>
  <c r="P421" i="22"/>
  <c r="M419" i="22"/>
  <c r="P419" i="22" s="1"/>
  <c r="U393" i="22"/>
  <c r="K386" i="22"/>
  <c r="T380" i="22"/>
  <c r="Q378" i="22"/>
  <c r="N358" i="22"/>
  <c r="N356" i="22" s="1"/>
  <c r="N359" i="22"/>
  <c r="P359" i="22" s="1"/>
  <c r="K198" i="22"/>
  <c r="I195" i="22"/>
  <c r="K195" i="22" s="1"/>
  <c r="P64" i="20"/>
  <c r="N578" i="22"/>
  <c r="R555" i="22"/>
  <c r="U555" i="22" s="1"/>
  <c r="M536" i="22"/>
  <c r="P514" i="22"/>
  <c r="O421" i="22"/>
  <c r="L419" i="22"/>
  <c r="O419" i="22" s="1"/>
  <c r="P418" i="22"/>
  <c r="M416" i="22"/>
  <c r="P416" i="22" s="1"/>
  <c r="O414" i="22"/>
  <c r="T393" i="22"/>
  <c r="M358" i="22"/>
  <c r="M362" i="22"/>
  <c r="P362" i="22" s="1"/>
  <c r="P364" i="22"/>
  <c r="N323" i="22"/>
  <c r="N322" i="22"/>
  <c r="N320" i="22" s="1"/>
  <c r="K726" i="20"/>
  <c r="S266" i="21"/>
  <c r="T266" i="21" s="1"/>
  <c r="L222" i="21"/>
  <c r="O222" i="21" s="1"/>
  <c r="L605" i="22"/>
  <c r="O605" i="22" s="1"/>
  <c r="R496" i="22"/>
  <c r="U496" i="22" s="1"/>
  <c r="Q493" i="22"/>
  <c r="T493" i="22" s="1"/>
  <c r="O418" i="22"/>
  <c r="L416" i="22"/>
  <c r="O416" i="22" s="1"/>
  <c r="U414" i="22"/>
  <c r="I412" i="22"/>
  <c r="K412" i="22" s="1"/>
  <c r="Q395" i="22"/>
  <c r="T395" i="22" s="1"/>
  <c r="Q394" i="22"/>
  <c r="T394" i="22" s="1"/>
  <c r="T397" i="22"/>
  <c r="L362" i="22"/>
  <c r="O362" i="22" s="1"/>
  <c r="O364" i="22"/>
  <c r="J332" i="22"/>
  <c r="J343" i="22"/>
  <c r="M323" i="22"/>
  <c r="P323" i="22" s="1"/>
  <c r="M322" i="22"/>
  <c r="P322" i="22" s="1"/>
  <c r="P325" i="22"/>
  <c r="R266" i="22"/>
  <c r="U267" i="22"/>
  <c r="L243" i="22"/>
  <c r="L233" i="22"/>
  <c r="U306" i="20"/>
  <c r="P144" i="20"/>
  <c r="K782" i="21"/>
  <c r="S760" i="21"/>
  <c r="K709" i="21"/>
  <c r="J701" i="21"/>
  <c r="K678" i="21"/>
  <c r="S644" i="21"/>
  <c r="S642" i="21" s="1"/>
  <c r="R605" i="21"/>
  <c r="U605" i="21" s="1"/>
  <c r="I492" i="21"/>
  <c r="K492" i="21" s="1"/>
  <c r="N415" i="21"/>
  <c r="N413" i="21" s="1"/>
  <c r="N188" i="21"/>
  <c r="T498" i="22"/>
  <c r="Q496" i="22"/>
  <c r="T496" i="22" s="1"/>
  <c r="L495" i="22"/>
  <c r="Q413" i="22"/>
  <c r="T414" i="22"/>
  <c r="L326" i="22"/>
  <c r="O326" i="22" s="1"/>
  <c r="R303" i="22"/>
  <c r="U303" i="22" s="1"/>
  <c r="U305" i="22"/>
  <c r="L175" i="22"/>
  <c r="L173" i="22" s="1"/>
  <c r="L176" i="22"/>
  <c r="O176" i="22" s="1"/>
  <c r="O178" i="22"/>
  <c r="I280" i="22"/>
  <c r="K280" i="22" s="1"/>
  <c r="I213" i="22"/>
  <c r="K213" i="22" s="1"/>
  <c r="K220" i="22"/>
  <c r="L214" i="22"/>
  <c r="O214" i="22" s="1"/>
  <c r="O191" i="22"/>
  <c r="N163" i="22"/>
  <c r="K503" i="22"/>
  <c r="P361" i="22"/>
  <c r="R356" i="22"/>
  <c r="U356" i="22" s="1"/>
  <c r="L356" i="22"/>
  <c r="P338" i="22"/>
  <c r="L322" i="22"/>
  <c r="O322" i="22" s="1"/>
  <c r="O311" i="22"/>
  <c r="R306" i="22"/>
  <c r="U306" i="22" s="1"/>
  <c r="S303" i="22"/>
  <c r="O290" i="22"/>
  <c r="O287" i="22"/>
  <c r="N268" i="22"/>
  <c r="I238" i="22"/>
  <c r="K238" i="22" s="1"/>
  <c r="I253" i="22"/>
  <c r="K260" i="22"/>
  <c r="O187" i="22"/>
  <c r="O361" i="22"/>
  <c r="L359" i="22"/>
  <c r="Q356" i="22"/>
  <c r="T356" i="22" s="1"/>
  <c r="T357" i="22"/>
  <c r="O338" i="22"/>
  <c r="P271" i="22"/>
  <c r="N269" i="22"/>
  <c r="L189" i="22"/>
  <c r="O189" i="22" s="1"/>
  <c r="U118" i="22"/>
  <c r="L26" i="22"/>
  <c r="S19" i="22"/>
  <c r="I332" i="22"/>
  <c r="K344" i="22"/>
  <c r="O341" i="22"/>
  <c r="L339" i="22"/>
  <c r="O339" i="22" s="1"/>
  <c r="P321" i="22"/>
  <c r="L309" i="22"/>
  <c r="O309" i="22" s="1"/>
  <c r="P290" i="22"/>
  <c r="M288" i="22"/>
  <c r="P288" i="22" s="1"/>
  <c r="M284" i="22"/>
  <c r="P284" i="22" s="1"/>
  <c r="L285" i="22"/>
  <c r="O285" i="22" s="1"/>
  <c r="J231" i="22"/>
  <c r="J185" i="22" s="1"/>
  <c r="U19" i="22"/>
  <c r="K292" i="22"/>
  <c r="I281" i="22"/>
  <c r="K281" i="22" s="1"/>
  <c r="S173" i="22"/>
  <c r="U162" i="22"/>
  <c r="R159" i="22"/>
  <c r="U159" i="22" s="1"/>
  <c r="R160" i="22"/>
  <c r="U160" i="22" s="1"/>
  <c r="T308" i="22"/>
  <c r="T191" i="22"/>
  <c r="P187" i="22"/>
  <c r="N175" i="22"/>
  <c r="N173" i="22" s="1"/>
  <c r="P140" i="22"/>
  <c r="R26" i="22"/>
  <c r="N26" i="22"/>
  <c r="N24" i="22" s="1"/>
  <c r="P178" i="22"/>
  <c r="L163" i="22"/>
  <c r="O163" i="22" s="1"/>
  <c r="N119" i="22"/>
  <c r="N117" i="22" s="1"/>
  <c r="S94" i="22"/>
  <c r="O95" i="22"/>
  <c r="Q26" i="22"/>
  <c r="P52" i="22"/>
  <c r="M26" i="22"/>
  <c r="M24" i="22" s="1"/>
  <c r="M50" i="22"/>
  <c r="P50" i="22" s="1"/>
  <c r="U95" i="22"/>
  <c r="P67" i="22"/>
  <c r="M65" i="22"/>
  <c r="P65" i="22" s="1"/>
  <c r="P22" i="22"/>
  <c r="M19" i="22"/>
  <c r="O118" i="22"/>
  <c r="P25" i="22"/>
  <c r="O19" i="22"/>
  <c r="T144" i="22"/>
  <c r="I116" i="22"/>
  <c r="K116" i="22" s="1"/>
  <c r="U80" i="22"/>
  <c r="O80" i="22"/>
  <c r="Q78" i="22"/>
  <c r="T78" i="22" s="1"/>
  <c r="U77" i="22"/>
  <c r="O77" i="22"/>
  <c r="Q75" i="22"/>
  <c r="T75" i="22" s="1"/>
  <c r="O64" i="22"/>
  <c r="N50" i="22"/>
  <c r="O49" i="22"/>
  <c r="N23" i="22"/>
  <c r="N21" i="22" s="1"/>
  <c r="L159" i="22"/>
  <c r="M141" i="22"/>
  <c r="P141" i="22" s="1"/>
  <c r="R119" i="22"/>
  <c r="L119" i="22"/>
  <c r="O119" i="22" s="1"/>
  <c r="R96" i="22"/>
  <c r="U96" i="22" s="1"/>
  <c r="L96" i="22"/>
  <c r="O96" i="22" s="1"/>
  <c r="N46" i="22"/>
  <c r="N44" i="22" s="1"/>
  <c r="S26" i="22"/>
  <c r="S24" i="22" s="1"/>
  <c r="S23" i="22"/>
  <c r="S21" i="22" s="1"/>
  <c r="M23" i="22"/>
  <c r="M21" i="22" s="1"/>
  <c r="Q19" i="22"/>
  <c r="Q159" i="22"/>
  <c r="R141" i="22"/>
  <c r="L141" i="22"/>
  <c r="Q119" i="22"/>
  <c r="Q96" i="22"/>
  <c r="K85" i="22"/>
  <c r="S74" i="22"/>
  <c r="S72" i="22" s="1"/>
  <c r="M74" i="22"/>
  <c r="M61" i="22"/>
  <c r="M46" i="22"/>
  <c r="R23" i="22"/>
  <c r="L23" i="22"/>
  <c r="Q23" i="22"/>
  <c r="S601" i="21"/>
  <c r="S599" i="21" s="1"/>
  <c r="S602" i="21"/>
  <c r="N499" i="21"/>
  <c r="N495" i="21"/>
  <c r="N493" i="21" s="1"/>
  <c r="K84" i="21"/>
  <c r="I82" i="21"/>
  <c r="K82" i="21" s="1"/>
  <c r="P341" i="19"/>
  <c r="R730" i="21"/>
  <c r="R728" i="21" s="1"/>
  <c r="L728" i="21"/>
  <c r="O728" i="21" s="1"/>
  <c r="M268" i="21"/>
  <c r="M266" i="21" s="1"/>
  <c r="M269" i="21"/>
  <c r="P269" i="21" s="1"/>
  <c r="L188" i="21"/>
  <c r="L186" i="21" s="1"/>
  <c r="L189" i="21"/>
  <c r="O189" i="21" s="1"/>
  <c r="L141" i="21"/>
  <c r="O141" i="21" s="1"/>
  <c r="O144" i="21"/>
  <c r="L142" i="21"/>
  <c r="O142" i="21" s="1"/>
  <c r="M96" i="21"/>
  <c r="M97" i="21"/>
  <c r="M62" i="21"/>
  <c r="P62" i="21" s="1"/>
  <c r="P64" i="21"/>
  <c r="R19" i="21"/>
  <c r="U22" i="21"/>
  <c r="K440" i="20"/>
  <c r="K153" i="20"/>
  <c r="T147" i="20"/>
  <c r="Q119" i="20"/>
  <c r="Q117" i="20" s="1"/>
  <c r="Q730" i="21"/>
  <c r="Q728" i="21" s="1"/>
  <c r="Q714" i="21"/>
  <c r="T714" i="21" s="1"/>
  <c r="T715" i="21"/>
  <c r="O539" i="21"/>
  <c r="L536" i="21"/>
  <c r="O536" i="21" s="1"/>
  <c r="L537" i="21"/>
  <c r="O537" i="21" s="1"/>
  <c r="P189" i="18"/>
  <c r="K682" i="19"/>
  <c r="L254" i="19"/>
  <c r="O254" i="19" s="1"/>
  <c r="I253" i="19"/>
  <c r="K253" i="19" s="1"/>
  <c r="U191" i="19"/>
  <c r="R145" i="19"/>
  <c r="U145" i="19" s="1"/>
  <c r="R142" i="19"/>
  <c r="U142" i="19" s="1"/>
  <c r="L236" i="20"/>
  <c r="Q141" i="20"/>
  <c r="Q139" i="20" s="1"/>
  <c r="L97" i="20"/>
  <c r="O97" i="20" s="1"/>
  <c r="P761" i="21"/>
  <c r="R714" i="21"/>
  <c r="U714" i="21" s="1"/>
  <c r="R415" i="21"/>
  <c r="R413" i="21" s="1"/>
  <c r="R416" i="21"/>
  <c r="U416" i="21" s="1"/>
  <c r="U418" i="21"/>
  <c r="P334" i="21"/>
  <c r="K784" i="17"/>
  <c r="P122" i="17"/>
  <c r="L499" i="18"/>
  <c r="O499" i="18" s="1"/>
  <c r="S416" i="18"/>
  <c r="U416" i="18" s="1"/>
  <c r="L419" i="19"/>
  <c r="O419" i="19" s="1"/>
  <c r="Q145" i="19"/>
  <c r="T145" i="19" s="1"/>
  <c r="L335" i="20"/>
  <c r="L333" i="20" s="1"/>
  <c r="K774" i="21"/>
  <c r="O715" i="21"/>
  <c r="M714" i="21"/>
  <c r="P714" i="21" s="1"/>
  <c r="P607" i="21"/>
  <c r="M605" i="21"/>
  <c r="P605" i="21" s="1"/>
  <c r="R555" i="21"/>
  <c r="U555" i="21" s="1"/>
  <c r="L495" i="21"/>
  <c r="O495" i="21" s="1"/>
  <c r="O498" i="21"/>
  <c r="K440" i="21"/>
  <c r="I423" i="21"/>
  <c r="I412" i="21" s="1"/>
  <c r="K412" i="21" s="1"/>
  <c r="K198" i="21"/>
  <c r="I195" i="21"/>
  <c r="K195" i="21" s="1"/>
  <c r="M175" i="21"/>
  <c r="M173" i="21" s="1"/>
  <c r="P178" i="21"/>
  <c r="K707" i="20"/>
  <c r="S416" i="20"/>
  <c r="T416" i="20" s="1"/>
  <c r="I116" i="20"/>
  <c r="K116" i="20" s="1"/>
  <c r="U761" i="21"/>
  <c r="R693" i="21"/>
  <c r="U693" i="21" s="1"/>
  <c r="U695" i="21"/>
  <c r="R123" i="21"/>
  <c r="U123" i="21" s="1"/>
  <c r="U125" i="21"/>
  <c r="Q59" i="21"/>
  <c r="T59" i="21" s="1"/>
  <c r="T60" i="21"/>
  <c r="K654" i="21"/>
  <c r="R644" i="21"/>
  <c r="L602" i="21"/>
  <c r="O602" i="21" s="1"/>
  <c r="S534" i="21"/>
  <c r="N377" i="21"/>
  <c r="N375" i="21" s="1"/>
  <c r="T203" i="21"/>
  <c r="R74" i="21"/>
  <c r="R72" i="21" s="1"/>
  <c r="R44" i="21"/>
  <c r="U44" i="21" s="1"/>
  <c r="N728" i="21"/>
  <c r="N714" i="21"/>
  <c r="I701" i="21"/>
  <c r="P643" i="21"/>
  <c r="N579" i="21"/>
  <c r="O560" i="21"/>
  <c r="U556" i="21"/>
  <c r="Q534" i="21"/>
  <c r="T534" i="21" s="1"/>
  <c r="N515" i="21"/>
  <c r="N513" i="21" s="1"/>
  <c r="M419" i="21"/>
  <c r="P419" i="21" s="1"/>
  <c r="O418" i="21"/>
  <c r="U380" i="21"/>
  <c r="M377" i="21"/>
  <c r="P377" i="21" s="1"/>
  <c r="P364" i="21"/>
  <c r="M358" i="21"/>
  <c r="M356" i="21" s="1"/>
  <c r="M322" i="21"/>
  <c r="M320" i="21" s="1"/>
  <c r="P320" i="21" s="1"/>
  <c r="O290" i="21"/>
  <c r="L288" i="21"/>
  <c r="O288" i="21" s="1"/>
  <c r="L214" i="21"/>
  <c r="O214" i="21" s="1"/>
  <c r="Q188" i="21"/>
  <c r="M189" i="21"/>
  <c r="P189" i="21" s="1"/>
  <c r="U175" i="21"/>
  <c r="T162" i="21"/>
  <c r="N159" i="21"/>
  <c r="N157" i="21" s="1"/>
  <c r="S157" i="21"/>
  <c r="U147" i="21"/>
  <c r="P125" i="21"/>
  <c r="T122" i="21"/>
  <c r="N119" i="21"/>
  <c r="N117" i="21" s="1"/>
  <c r="K108" i="21"/>
  <c r="K92" i="21"/>
  <c r="Q74" i="21"/>
  <c r="P65" i="21"/>
  <c r="O52" i="21"/>
  <c r="S44" i="21"/>
  <c r="Q44" i="21"/>
  <c r="T44" i="21" s="1"/>
  <c r="O22" i="21"/>
  <c r="U647" i="21"/>
  <c r="K615" i="21"/>
  <c r="S618" i="21"/>
  <c r="S616" i="21" s="1"/>
  <c r="N616" i="21"/>
  <c r="M579" i="21"/>
  <c r="P579" i="21" s="1"/>
  <c r="P539" i="21"/>
  <c r="J503" i="21"/>
  <c r="J492" i="21" s="1"/>
  <c r="R493" i="21"/>
  <c r="U493" i="21" s="1"/>
  <c r="Q493" i="21"/>
  <c r="T493" i="21" s="1"/>
  <c r="J457" i="21"/>
  <c r="K457" i="21" s="1"/>
  <c r="L392" i="21"/>
  <c r="O392" i="21" s="1"/>
  <c r="L377" i="21"/>
  <c r="O377" i="21" s="1"/>
  <c r="R378" i="21"/>
  <c r="U378" i="21" s="1"/>
  <c r="L358" i="21"/>
  <c r="J351" i="21"/>
  <c r="K346" i="21"/>
  <c r="M335" i="21"/>
  <c r="M333" i="21" s="1"/>
  <c r="K330" i="21"/>
  <c r="L306" i="21"/>
  <c r="O306" i="21" s="1"/>
  <c r="L254" i="21"/>
  <c r="O254" i="21" s="1"/>
  <c r="L203" i="21"/>
  <c r="O203" i="21" s="1"/>
  <c r="M159" i="21"/>
  <c r="M157" i="21" s="1"/>
  <c r="R160" i="21"/>
  <c r="U160" i="21" s="1"/>
  <c r="I136" i="21"/>
  <c r="K136" i="21" s="1"/>
  <c r="S119" i="21"/>
  <c r="S117" i="21" s="1"/>
  <c r="M119" i="21"/>
  <c r="P119" i="21" s="1"/>
  <c r="L46" i="21"/>
  <c r="L44" i="21" s="1"/>
  <c r="N19" i="21"/>
  <c r="L605" i="21"/>
  <c r="O605" i="21" s="1"/>
  <c r="P602" i="21"/>
  <c r="L579" i="21"/>
  <c r="O579" i="21" s="1"/>
  <c r="M561" i="21"/>
  <c r="P561" i="21" s="1"/>
  <c r="M537" i="21"/>
  <c r="P537" i="21" s="1"/>
  <c r="K369" i="21"/>
  <c r="M339" i="21"/>
  <c r="P339" i="21" s="1"/>
  <c r="P325" i="21"/>
  <c r="N232" i="21"/>
  <c r="Q160" i="21"/>
  <c r="T160" i="21" s="1"/>
  <c r="N141" i="21"/>
  <c r="N139" i="21" s="1"/>
  <c r="T125" i="21"/>
  <c r="R75" i="21"/>
  <c r="L62" i="21"/>
  <c r="O62" i="21" s="1"/>
  <c r="J674" i="21"/>
  <c r="K674" i="21" s="1"/>
  <c r="U645" i="21"/>
  <c r="Q555" i="21"/>
  <c r="T555" i="21" s="1"/>
  <c r="U498" i="21"/>
  <c r="M496" i="21"/>
  <c r="P496" i="21" s="1"/>
  <c r="L416" i="21"/>
  <c r="U357" i="21"/>
  <c r="U321" i="21"/>
  <c r="N305" i="21"/>
  <c r="N303" i="21" s="1"/>
  <c r="L236" i="21"/>
  <c r="P181" i="21"/>
  <c r="N175" i="21"/>
  <c r="N173" i="21" s="1"/>
  <c r="S173" i="21"/>
  <c r="U144" i="21"/>
  <c r="Q119" i="21"/>
  <c r="L75" i="21"/>
  <c r="O75" i="21" s="1"/>
  <c r="R59" i="21"/>
  <c r="U59" i="21" s="1"/>
  <c r="K703" i="20"/>
  <c r="U498" i="20"/>
  <c r="K344" i="20"/>
  <c r="U271" i="20"/>
  <c r="L690" i="21"/>
  <c r="O690" i="21" s="1"/>
  <c r="U600" i="21"/>
  <c r="O600" i="21"/>
  <c r="T647" i="18"/>
  <c r="P122" i="18"/>
  <c r="K678" i="19"/>
  <c r="P271" i="19"/>
  <c r="Q97" i="19"/>
  <c r="T97" i="19" s="1"/>
  <c r="P604" i="20"/>
  <c r="R392" i="20"/>
  <c r="U392" i="20" s="1"/>
  <c r="K365" i="20"/>
  <c r="O364" i="20"/>
  <c r="M163" i="20"/>
  <c r="P163" i="20" s="1"/>
  <c r="S159" i="20"/>
  <c r="S157" i="20" s="1"/>
  <c r="P99" i="20"/>
  <c r="M97" i="20"/>
  <c r="P97" i="20" s="1"/>
  <c r="R97" i="20"/>
  <c r="U97" i="20" s="1"/>
  <c r="S731" i="21"/>
  <c r="T731" i="21" s="1"/>
  <c r="T733" i="21"/>
  <c r="U733" i="21"/>
  <c r="S730" i="21"/>
  <c r="S728" i="21" s="1"/>
  <c r="I689" i="21"/>
  <c r="K689" i="21" s="1"/>
  <c r="K707" i="21"/>
  <c r="R690" i="21"/>
  <c r="U619" i="21"/>
  <c r="O577" i="21"/>
  <c r="N558" i="21"/>
  <c r="N557" i="21"/>
  <c r="N555" i="21" s="1"/>
  <c r="J456" i="21"/>
  <c r="U377" i="21"/>
  <c r="R375" i="21"/>
  <c r="U375" i="21" s="1"/>
  <c r="M145" i="21"/>
  <c r="P145" i="21" s="1"/>
  <c r="P147" i="21"/>
  <c r="Q120" i="20"/>
  <c r="T122" i="20"/>
  <c r="L582" i="19"/>
  <c r="O582" i="19" s="1"/>
  <c r="T99" i="19"/>
  <c r="S395" i="20"/>
  <c r="J332" i="20"/>
  <c r="N268" i="20"/>
  <c r="N266" i="20" s="1"/>
  <c r="R74" i="20"/>
  <c r="R72" i="20" s="1"/>
  <c r="U72" i="20" s="1"/>
  <c r="L760" i="21"/>
  <c r="O760" i="21" s="1"/>
  <c r="K629" i="21"/>
  <c r="K626" i="21"/>
  <c r="K630" i="21"/>
  <c r="K631" i="21"/>
  <c r="K632" i="21"/>
  <c r="Q616" i="21"/>
  <c r="U604" i="21"/>
  <c r="R601" i="21"/>
  <c r="U601" i="21" s="1"/>
  <c r="R602" i="21"/>
  <c r="U602" i="21" s="1"/>
  <c r="R576" i="21"/>
  <c r="U576" i="21" s="1"/>
  <c r="U577" i="21"/>
  <c r="N536" i="21"/>
  <c r="N534" i="21" s="1"/>
  <c r="N537" i="21"/>
  <c r="P97" i="18"/>
  <c r="U607" i="19"/>
  <c r="K346" i="19"/>
  <c r="M119" i="19"/>
  <c r="P119" i="19" s="1"/>
  <c r="U80" i="19"/>
  <c r="R616" i="20"/>
  <c r="U616" i="20" s="1"/>
  <c r="T607" i="20"/>
  <c r="L536" i="20"/>
  <c r="O536" i="20" s="1"/>
  <c r="N495" i="20"/>
  <c r="N493" i="20" s="1"/>
  <c r="P383" i="20"/>
  <c r="P361" i="20"/>
  <c r="O328" i="20"/>
  <c r="P290" i="20"/>
  <c r="R269" i="20"/>
  <c r="U269" i="20" s="1"/>
  <c r="I156" i="20"/>
  <c r="K156" i="20" s="1"/>
  <c r="Q74" i="20"/>
  <c r="T74" i="20" s="1"/>
  <c r="O62" i="20"/>
  <c r="L642" i="21"/>
  <c r="O642" i="21" s="1"/>
  <c r="P617" i="21"/>
  <c r="M616" i="21"/>
  <c r="P616" i="21" s="1"/>
  <c r="N601" i="21"/>
  <c r="N599" i="21" s="1"/>
  <c r="O521" i="21"/>
  <c r="L519" i="21"/>
  <c r="O519" i="21" s="1"/>
  <c r="T515" i="21"/>
  <c r="Q513" i="21"/>
  <c r="T513" i="21" s="1"/>
  <c r="K784" i="20"/>
  <c r="K778" i="20"/>
  <c r="Q642" i="20"/>
  <c r="T642" i="20" s="1"/>
  <c r="K386" i="20"/>
  <c r="K369" i="20"/>
  <c r="O359" i="20"/>
  <c r="K346" i="20"/>
  <c r="T271" i="20"/>
  <c r="S268" i="20"/>
  <c r="S266" i="20" s="1"/>
  <c r="L203" i="20"/>
  <c r="O203" i="20" s="1"/>
  <c r="I202" i="20"/>
  <c r="K202" i="20" s="1"/>
  <c r="M176" i="20"/>
  <c r="P176" i="20" s="1"/>
  <c r="P418" i="21"/>
  <c r="M415" i="21"/>
  <c r="M416" i="21"/>
  <c r="L254" i="20"/>
  <c r="O254" i="20" s="1"/>
  <c r="N61" i="20"/>
  <c r="N59" i="20" s="1"/>
  <c r="K772" i="21"/>
  <c r="T761" i="21"/>
  <c r="T695" i="21"/>
  <c r="Q692" i="21"/>
  <c r="U691" i="21"/>
  <c r="O691" i="21"/>
  <c r="T647" i="21"/>
  <c r="Q644" i="21"/>
  <c r="U643" i="21"/>
  <c r="O643" i="21"/>
  <c r="T621" i="21"/>
  <c r="T607" i="21"/>
  <c r="M601" i="21"/>
  <c r="P581" i="21"/>
  <c r="Q576" i="21"/>
  <c r="T576" i="21" s="1"/>
  <c r="L561" i="21"/>
  <c r="O561" i="21" s="1"/>
  <c r="U535" i="21"/>
  <c r="O535" i="21"/>
  <c r="T498" i="21"/>
  <c r="M495" i="21"/>
  <c r="P495" i="21" s="1"/>
  <c r="M392" i="21"/>
  <c r="P392" i="21" s="1"/>
  <c r="P393" i="21"/>
  <c r="T376" i="21"/>
  <c r="P359" i="21"/>
  <c r="J332" i="21"/>
  <c r="J343" i="21"/>
  <c r="N335" i="21"/>
  <c r="M284" i="21"/>
  <c r="P287" i="21"/>
  <c r="M285" i="21"/>
  <c r="P285" i="21" s="1"/>
  <c r="K220" i="21"/>
  <c r="I213" i="21"/>
  <c r="K213" i="21" s="1"/>
  <c r="K703" i="21"/>
  <c r="T691" i="21"/>
  <c r="T643" i="21"/>
  <c r="Q619" i="21"/>
  <c r="T619" i="21" s="1"/>
  <c r="P604" i="21"/>
  <c r="L601" i="21"/>
  <c r="L578" i="21"/>
  <c r="O578" i="21" s="1"/>
  <c r="P563" i="21"/>
  <c r="L557" i="21"/>
  <c r="T535" i="21"/>
  <c r="P521" i="21"/>
  <c r="M515" i="21"/>
  <c r="P515" i="21" s="1"/>
  <c r="S496" i="21"/>
  <c r="U494" i="21"/>
  <c r="S377" i="21"/>
  <c r="S375" i="21" s="1"/>
  <c r="K371" i="21"/>
  <c r="I365" i="21"/>
  <c r="K365" i="21" s="1"/>
  <c r="O271" i="21"/>
  <c r="L268" i="21"/>
  <c r="O267" i="21"/>
  <c r="R618" i="21"/>
  <c r="U621" i="21"/>
  <c r="U515" i="21"/>
  <c r="L515" i="21"/>
  <c r="Q496" i="21"/>
  <c r="T496" i="21" s="1"/>
  <c r="Q416" i="21"/>
  <c r="T416" i="21" s="1"/>
  <c r="Q415" i="21"/>
  <c r="R395" i="21"/>
  <c r="U395" i="21" s="1"/>
  <c r="R394" i="21"/>
  <c r="U397" i="21"/>
  <c r="I374" i="21"/>
  <c r="K374" i="21" s="1"/>
  <c r="Q356" i="21"/>
  <c r="T356" i="21" s="1"/>
  <c r="U267" i="21"/>
  <c r="M188" i="21"/>
  <c r="P194" i="21"/>
  <c r="M141" i="21"/>
  <c r="M75" i="21"/>
  <c r="P75" i="21" s="1"/>
  <c r="P77" i="21"/>
  <c r="M74" i="21"/>
  <c r="Q601" i="21"/>
  <c r="T601" i="21" s="1"/>
  <c r="T393" i="21"/>
  <c r="P383" i="21"/>
  <c r="M381" i="21"/>
  <c r="P381" i="21" s="1"/>
  <c r="P380" i="21"/>
  <c r="M378" i="21"/>
  <c r="P378" i="21" s="1"/>
  <c r="N323" i="21"/>
  <c r="N322" i="21"/>
  <c r="N320" i="21" s="1"/>
  <c r="M305" i="21"/>
  <c r="P308" i="21"/>
  <c r="M306" i="21"/>
  <c r="P306" i="21" s="1"/>
  <c r="Q282" i="21"/>
  <c r="T282" i="21" s="1"/>
  <c r="R268" i="21"/>
  <c r="U268" i="21" s="1"/>
  <c r="U271" i="21"/>
  <c r="R269" i="21"/>
  <c r="O269" i="21"/>
  <c r="L243" i="21"/>
  <c r="L234" i="21"/>
  <c r="L179" i="21"/>
  <c r="O179" i="21" s="1"/>
  <c r="O181" i="21"/>
  <c r="P158" i="21"/>
  <c r="M499" i="21"/>
  <c r="P499" i="21" s="1"/>
  <c r="K456" i="21"/>
  <c r="U308" i="21"/>
  <c r="S305" i="21"/>
  <c r="S306" i="21"/>
  <c r="K229" i="21"/>
  <c r="I221" i="21"/>
  <c r="K221" i="21" s="1"/>
  <c r="R496" i="21"/>
  <c r="U496" i="21" s="1"/>
  <c r="L496" i="21"/>
  <c r="O496" i="21" s="1"/>
  <c r="N416" i="21"/>
  <c r="N378" i="21"/>
  <c r="P376" i="21"/>
  <c r="P361" i="21"/>
  <c r="L359" i="21"/>
  <c r="O359" i="21" s="1"/>
  <c r="T357" i="21"/>
  <c r="I332" i="21"/>
  <c r="K344" i="21"/>
  <c r="O338" i="21"/>
  <c r="L335" i="21"/>
  <c r="L326" i="21"/>
  <c r="O326" i="21" s="1"/>
  <c r="P290" i="21"/>
  <c r="N268" i="21"/>
  <c r="N266" i="21" s="1"/>
  <c r="K260" i="21"/>
  <c r="L233" i="21"/>
  <c r="K209" i="21"/>
  <c r="L192" i="21"/>
  <c r="O192" i="21" s="1"/>
  <c r="R176" i="21"/>
  <c r="P174" i="21"/>
  <c r="L159" i="21"/>
  <c r="L160" i="21"/>
  <c r="O160" i="21" s="1"/>
  <c r="S141" i="21"/>
  <c r="S139" i="21" s="1"/>
  <c r="Q377" i="21"/>
  <c r="T377" i="21" s="1"/>
  <c r="R333" i="21"/>
  <c r="U333" i="21" s="1"/>
  <c r="P328" i="21"/>
  <c r="T308" i="21"/>
  <c r="I302" i="21"/>
  <c r="K302" i="21" s="1"/>
  <c r="I281" i="21"/>
  <c r="K281" i="21" s="1"/>
  <c r="L272" i="21"/>
  <c r="O272" i="21" s="1"/>
  <c r="P271" i="21"/>
  <c r="T268" i="21"/>
  <c r="S189" i="21"/>
  <c r="U189" i="21" s="1"/>
  <c r="L175" i="21"/>
  <c r="L176" i="21"/>
  <c r="O176" i="21" s="1"/>
  <c r="R119" i="21"/>
  <c r="Q94" i="21"/>
  <c r="T94" i="21" s="1"/>
  <c r="T96" i="21"/>
  <c r="N358" i="21"/>
  <c r="N356" i="21" s="1"/>
  <c r="M309" i="21"/>
  <c r="P309" i="21" s="1"/>
  <c r="I242" i="21"/>
  <c r="K249" i="21"/>
  <c r="T194" i="21"/>
  <c r="Q192" i="21"/>
  <c r="T192" i="21" s="1"/>
  <c r="R192" i="21"/>
  <c r="U192" i="21" s="1"/>
  <c r="R188" i="21"/>
  <c r="R157" i="21"/>
  <c r="U157" i="21" s="1"/>
  <c r="M142" i="21"/>
  <c r="P142" i="21" s="1"/>
  <c r="P144" i="21"/>
  <c r="L123" i="21"/>
  <c r="O123" i="21" s="1"/>
  <c r="L119" i="21"/>
  <c r="I83" i="21"/>
  <c r="Q26" i="21"/>
  <c r="Q378" i="21"/>
  <c r="T378" i="21" s="1"/>
  <c r="L362" i="21"/>
  <c r="O362" i="21" s="1"/>
  <c r="T191" i="21"/>
  <c r="Q189" i="21"/>
  <c r="R173" i="21"/>
  <c r="Q97" i="21"/>
  <c r="T99" i="21"/>
  <c r="S19" i="21"/>
  <c r="O341" i="21"/>
  <c r="N284" i="21"/>
  <c r="N282" i="21" s="1"/>
  <c r="I280" i="21"/>
  <c r="K280" i="21" s="1"/>
  <c r="I172" i="21"/>
  <c r="K172" i="21" s="1"/>
  <c r="K183" i="21"/>
  <c r="U178" i="21"/>
  <c r="O178" i="21"/>
  <c r="P99" i="21"/>
  <c r="N97" i="21"/>
  <c r="M78" i="21"/>
  <c r="P78" i="21" s="1"/>
  <c r="P80" i="21"/>
  <c r="U19" i="21"/>
  <c r="U191" i="21"/>
  <c r="O191" i="21"/>
  <c r="S78" i="21"/>
  <c r="S26" i="21"/>
  <c r="S24" i="21" s="1"/>
  <c r="L26" i="21"/>
  <c r="T147" i="21"/>
  <c r="Q145" i="21"/>
  <c r="T145" i="21" s="1"/>
  <c r="O99" i="21"/>
  <c r="R26" i="21"/>
  <c r="P67" i="21"/>
  <c r="N26" i="21"/>
  <c r="N24" i="21" s="1"/>
  <c r="P52" i="21"/>
  <c r="M26" i="21"/>
  <c r="M24" i="21" s="1"/>
  <c r="M50" i="21"/>
  <c r="P50" i="21" s="1"/>
  <c r="S75" i="21"/>
  <c r="S23" i="21"/>
  <c r="T77" i="21"/>
  <c r="P22" i="21"/>
  <c r="M19" i="21"/>
  <c r="O47" i="21"/>
  <c r="P25" i="21"/>
  <c r="O19" i="21"/>
  <c r="S176" i="21"/>
  <c r="M176" i="21"/>
  <c r="P176" i="21" s="1"/>
  <c r="I169" i="21"/>
  <c r="K169" i="21" s="1"/>
  <c r="S160" i="21"/>
  <c r="M160" i="21"/>
  <c r="P160" i="21" s="1"/>
  <c r="N142" i="21"/>
  <c r="K127" i="21"/>
  <c r="S120" i="21"/>
  <c r="T120" i="21" s="1"/>
  <c r="M120" i="21"/>
  <c r="P120" i="21" s="1"/>
  <c r="U80" i="21"/>
  <c r="O80" i="21"/>
  <c r="Q78" i="21"/>
  <c r="T78" i="21" s="1"/>
  <c r="U77" i="21"/>
  <c r="O77" i="21"/>
  <c r="Q75" i="21"/>
  <c r="O64" i="21"/>
  <c r="N50" i="21"/>
  <c r="O49" i="21"/>
  <c r="N23" i="21"/>
  <c r="Q141" i="21"/>
  <c r="T141" i="21" s="1"/>
  <c r="R96" i="21"/>
  <c r="U96" i="21" s="1"/>
  <c r="L96" i="21"/>
  <c r="N74" i="21"/>
  <c r="N61" i="21"/>
  <c r="N46" i="21"/>
  <c r="N44" i="21" s="1"/>
  <c r="M23" i="21"/>
  <c r="M21" i="21" s="1"/>
  <c r="Q19" i="21"/>
  <c r="M61" i="21"/>
  <c r="M46" i="21"/>
  <c r="R23" i="21"/>
  <c r="L23" i="21"/>
  <c r="Q142" i="21"/>
  <c r="T142" i="21" s="1"/>
  <c r="L100" i="21"/>
  <c r="O100" i="21" s="1"/>
  <c r="R97" i="21"/>
  <c r="L97" i="21"/>
  <c r="Q23" i="21"/>
  <c r="P323" i="20"/>
  <c r="R692" i="1"/>
  <c r="S493" i="20"/>
  <c r="S734" i="1"/>
  <c r="J343" i="20"/>
  <c r="L536" i="18"/>
  <c r="O536" i="18" s="1"/>
  <c r="S495" i="19"/>
  <c r="S493" i="19" s="1"/>
  <c r="K344" i="19"/>
  <c r="U194" i="19"/>
  <c r="S175" i="19"/>
  <c r="S173" i="19" s="1"/>
  <c r="U122" i="19"/>
  <c r="K785" i="20"/>
  <c r="K779" i="20"/>
  <c r="R760" i="20"/>
  <c r="I758" i="20"/>
  <c r="K758" i="20" s="1"/>
  <c r="Q730" i="20"/>
  <c r="T730" i="20" s="1"/>
  <c r="K705" i="20"/>
  <c r="J675" i="20"/>
  <c r="N642" i="20"/>
  <c r="K629" i="20"/>
  <c r="T621" i="20"/>
  <c r="N601" i="20"/>
  <c r="N599" i="20" s="1"/>
  <c r="P584" i="20"/>
  <c r="L557" i="20"/>
  <c r="O557" i="20" s="1"/>
  <c r="R555" i="20"/>
  <c r="U555" i="20" s="1"/>
  <c r="P542" i="20"/>
  <c r="L537" i="20"/>
  <c r="O537" i="20" s="1"/>
  <c r="P518" i="20"/>
  <c r="S513" i="20"/>
  <c r="P496" i="20"/>
  <c r="L495" i="20"/>
  <c r="L493" i="20" s="1"/>
  <c r="P421" i="20"/>
  <c r="U397" i="20"/>
  <c r="R395" i="20"/>
  <c r="U395" i="20" s="1"/>
  <c r="Q394" i="20"/>
  <c r="Q392" i="20" s="1"/>
  <c r="T392" i="20" s="1"/>
  <c r="U393" i="20"/>
  <c r="P338" i="20"/>
  <c r="L336" i="20"/>
  <c r="M335" i="20"/>
  <c r="M333" i="20" s="1"/>
  <c r="I332" i="20"/>
  <c r="O325" i="20"/>
  <c r="N269" i="20"/>
  <c r="O269" i="20" s="1"/>
  <c r="L233" i="20"/>
  <c r="I241" i="20"/>
  <c r="K241" i="20" s="1"/>
  <c r="N233" i="20"/>
  <c r="K195" i="20"/>
  <c r="S188" i="20"/>
  <c r="S186" i="20" s="1"/>
  <c r="S175" i="20"/>
  <c r="S173" i="20" s="1"/>
  <c r="L74" i="20"/>
  <c r="R75" i="20"/>
  <c r="U75" i="20" s="1"/>
  <c r="N46" i="20"/>
  <c r="N44" i="20" s="1"/>
  <c r="S44" i="20"/>
  <c r="R44" i="20"/>
  <c r="U44" i="20" s="1"/>
  <c r="Q19" i="20"/>
  <c r="T19" i="20" s="1"/>
  <c r="M561" i="20"/>
  <c r="P561" i="20" s="1"/>
  <c r="O80" i="17"/>
  <c r="K782" i="19"/>
  <c r="S763" i="19"/>
  <c r="T763" i="19" s="1"/>
  <c r="O563" i="19"/>
  <c r="K198" i="19"/>
  <c r="T120" i="19"/>
  <c r="O99" i="19"/>
  <c r="M728" i="20"/>
  <c r="P728" i="20" s="1"/>
  <c r="L690" i="20"/>
  <c r="O690" i="20" s="1"/>
  <c r="O617" i="20"/>
  <c r="M605" i="20"/>
  <c r="P605" i="20" s="1"/>
  <c r="O584" i="20"/>
  <c r="R513" i="20"/>
  <c r="U513" i="20" s="1"/>
  <c r="S496" i="20"/>
  <c r="T496" i="20" s="1"/>
  <c r="K457" i="20"/>
  <c r="O421" i="20"/>
  <c r="P418" i="20"/>
  <c r="T397" i="20"/>
  <c r="L381" i="20"/>
  <c r="O381" i="20" s="1"/>
  <c r="Q378" i="20"/>
  <c r="J351" i="20"/>
  <c r="O308" i="20"/>
  <c r="I302" i="20"/>
  <c r="K302" i="20" s="1"/>
  <c r="Q142" i="20"/>
  <c r="T142" i="20" s="1"/>
  <c r="L120" i="20"/>
  <c r="O120" i="20" s="1"/>
  <c r="K632" i="19"/>
  <c r="J374" i="19"/>
  <c r="O761" i="20"/>
  <c r="S714" i="20"/>
  <c r="M714" i="20"/>
  <c r="P714" i="20" s="1"/>
  <c r="R693" i="20"/>
  <c r="U693" i="20" s="1"/>
  <c r="T643" i="20"/>
  <c r="K632" i="20"/>
  <c r="Q618" i="20"/>
  <c r="T618" i="20" s="1"/>
  <c r="U617" i="20"/>
  <c r="T604" i="20"/>
  <c r="O604" i="20"/>
  <c r="M602" i="20"/>
  <c r="Q576" i="20"/>
  <c r="T576" i="20" s="1"/>
  <c r="P560" i="20"/>
  <c r="M515" i="20"/>
  <c r="M513" i="20" s="1"/>
  <c r="P513" i="20" s="1"/>
  <c r="L499" i="20"/>
  <c r="O499" i="20" s="1"/>
  <c r="U418" i="20"/>
  <c r="M415" i="20"/>
  <c r="M413" i="20" s="1"/>
  <c r="L392" i="20"/>
  <c r="O392" i="20" s="1"/>
  <c r="L377" i="20"/>
  <c r="L375" i="20" s="1"/>
  <c r="P341" i="20"/>
  <c r="T334" i="20"/>
  <c r="Q320" i="20"/>
  <c r="T320" i="20" s="1"/>
  <c r="M309" i="20"/>
  <c r="P309" i="20" s="1"/>
  <c r="M284" i="20"/>
  <c r="P284" i="20" s="1"/>
  <c r="Q159" i="20"/>
  <c r="T159" i="20" s="1"/>
  <c r="T144" i="20"/>
  <c r="M100" i="20"/>
  <c r="P100" i="20" s="1"/>
  <c r="O64" i="20"/>
  <c r="T60" i="20"/>
  <c r="M19" i="20"/>
  <c r="P542" i="17"/>
  <c r="S496" i="18"/>
  <c r="S119" i="18"/>
  <c r="S117" i="18" s="1"/>
  <c r="O52" i="18"/>
  <c r="U693" i="19"/>
  <c r="L536" i="19"/>
  <c r="O536" i="19" s="1"/>
  <c r="L235" i="19"/>
  <c r="I169" i="19"/>
  <c r="K169" i="19" s="1"/>
  <c r="P80" i="19"/>
  <c r="P77" i="19"/>
  <c r="S762" i="20"/>
  <c r="S760" i="20" s="1"/>
  <c r="N760" i="20"/>
  <c r="U733" i="20"/>
  <c r="S601" i="20"/>
  <c r="S599" i="20" s="1"/>
  <c r="L558" i="20"/>
  <c r="O558" i="20" s="1"/>
  <c r="N536" i="20"/>
  <c r="N534" i="20" s="1"/>
  <c r="O521" i="20"/>
  <c r="M519" i="20"/>
  <c r="P519" i="20" s="1"/>
  <c r="L515" i="20"/>
  <c r="O515" i="20" s="1"/>
  <c r="L415" i="20"/>
  <c r="L413" i="20" s="1"/>
  <c r="M416" i="20"/>
  <c r="U377" i="20"/>
  <c r="K371" i="20"/>
  <c r="L339" i="20"/>
  <c r="O339" i="20" s="1"/>
  <c r="P325" i="20"/>
  <c r="L322" i="20"/>
  <c r="L320" i="20" s="1"/>
  <c r="S282" i="20"/>
  <c r="R268" i="20"/>
  <c r="L235" i="20"/>
  <c r="K229" i="20"/>
  <c r="N188" i="20"/>
  <c r="N186" i="20" s="1"/>
  <c r="K137" i="20"/>
  <c r="L100" i="20"/>
  <c r="O100" i="20" s="1"/>
  <c r="L78" i="20"/>
  <c r="O78" i="20" s="1"/>
  <c r="O77" i="20"/>
  <c r="L75" i="20"/>
  <c r="O75" i="20" s="1"/>
  <c r="U61" i="20"/>
  <c r="S59" i="20"/>
  <c r="T22" i="20"/>
  <c r="L19" i="20"/>
  <c r="R730" i="20"/>
  <c r="U730" i="20" s="1"/>
  <c r="O323" i="20"/>
  <c r="K783" i="19"/>
  <c r="K629" i="19"/>
  <c r="S601" i="19"/>
  <c r="S599" i="19" s="1"/>
  <c r="M540" i="19"/>
  <c r="P540" i="19" s="1"/>
  <c r="R763" i="20"/>
  <c r="U763" i="20" s="1"/>
  <c r="I759" i="20"/>
  <c r="K759" i="20" s="1"/>
  <c r="P729" i="20"/>
  <c r="M690" i="20"/>
  <c r="P690" i="20" s="1"/>
  <c r="J674" i="20"/>
  <c r="R645" i="20"/>
  <c r="U645" i="20" s="1"/>
  <c r="K631" i="20"/>
  <c r="K626" i="20"/>
  <c r="S619" i="20"/>
  <c r="T619" i="20" s="1"/>
  <c r="M579" i="20"/>
  <c r="P579" i="20" s="1"/>
  <c r="M557" i="20"/>
  <c r="P557" i="20" s="1"/>
  <c r="M536" i="20"/>
  <c r="P536" i="20" s="1"/>
  <c r="N537" i="20"/>
  <c r="M377" i="20"/>
  <c r="M375" i="20" s="1"/>
  <c r="K368" i="20"/>
  <c r="R333" i="20"/>
  <c r="U333" i="20" s="1"/>
  <c r="N322" i="20"/>
  <c r="N320" i="20" s="1"/>
  <c r="I319" i="20"/>
  <c r="K319" i="20" s="1"/>
  <c r="M285" i="20"/>
  <c r="P285" i="20" s="1"/>
  <c r="P274" i="20"/>
  <c r="M268" i="20"/>
  <c r="M266" i="20" s="1"/>
  <c r="K251" i="20"/>
  <c r="L234" i="20"/>
  <c r="K221" i="20"/>
  <c r="M189" i="20"/>
  <c r="T99" i="20"/>
  <c r="S97" i="20"/>
  <c r="I82" i="20"/>
  <c r="K82" i="20" s="1"/>
  <c r="U77" i="20"/>
  <c r="N74" i="20"/>
  <c r="N72" i="20" s="1"/>
  <c r="P62" i="20"/>
  <c r="P49" i="20"/>
  <c r="N47" i="20"/>
  <c r="O47" i="20" s="1"/>
  <c r="S728" i="20"/>
  <c r="R413" i="20"/>
  <c r="U415" i="20"/>
  <c r="R690" i="20"/>
  <c r="K689" i="20"/>
  <c r="R642" i="20"/>
  <c r="U642" i="20" s="1"/>
  <c r="U644" i="20"/>
  <c r="U618" i="20"/>
  <c r="K456" i="20"/>
  <c r="T763" i="20"/>
  <c r="Q690" i="20"/>
  <c r="O496" i="20"/>
  <c r="I412" i="20"/>
  <c r="K412" i="20" s="1"/>
  <c r="K423" i="20"/>
  <c r="K780" i="17"/>
  <c r="K681" i="17"/>
  <c r="O194" i="17"/>
  <c r="P518" i="18"/>
  <c r="P341" i="18"/>
  <c r="K781" i="19"/>
  <c r="K772" i="19"/>
  <c r="K727" i="19"/>
  <c r="K707" i="19"/>
  <c r="K701" i="19"/>
  <c r="S692" i="19"/>
  <c r="S690" i="19" s="1"/>
  <c r="K679" i="19"/>
  <c r="K676" i="19"/>
  <c r="T647" i="19"/>
  <c r="N415" i="19"/>
  <c r="N413" i="19" s="1"/>
  <c r="P361" i="19"/>
  <c r="J351" i="19"/>
  <c r="N269" i="19"/>
  <c r="P269" i="19" s="1"/>
  <c r="I241" i="19"/>
  <c r="K241" i="19" s="1"/>
  <c r="I168" i="19"/>
  <c r="K168" i="19" s="1"/>
  <c r="I93" i="19"/>
  <c r="K93" i="19" s="1"/>
  <c r="O64" i="19"/>
  <c r="U765" i="20"/>
  <c r="T733" i="20"/>
  <c r="S731" i="20"/>
  <c r="T731" i="20" s="1"/>
  <c r="Q693" i="20"/>
  <c r="T693" i="20" s="1"/>
  <c r="Q645" i="20"/>
  <c r="T645" i="20" s="1"/>
  <c r="R619" i="20"/>
  <c r="M601" i="20"/>
  <c r="M578" i="20"/>
  <c r="L540" i="20"/>
  <c r="O540" i="20" s="1"/>
  <c r="R534" i="20"/>
  <c r="U534" i="20" s="1"/>
  <c r="L516" i="20"/>
  <c r="O516" i="20" s="1"/>
  <c r="K503" i="20"/>
  <c r="R496" i="20"/>
  <c r="M495" i="20"/>
  <c r="L416" i="20"/>
  <c r="N415" i="20"/>
  <c r="J374" i="20"/>
  <c r="T377" i="20"/>
  <c r="O361" i="20"/>
  <c r="M359" i="20"/>
  <c r="P359" i="20" s="1"/>
  <c r="N358" i="20"/>
  <c r="N356" i="20" s="1"/>
  <c r="R282" i="20"/>
  <c r="U282" i="20" s="1"/>
  <c r="U283" i="20"/>
  <c r="S75" i="20"/>
  <c r="S23" i="20"/>
  <c r="S21" i="20" s="1"/>
  <c r="S74" i="20"/>
  <c r="S72" i="20" s="1"/>
  <c r="N578" i="20"/>
  <c r="N576" i="20" s="1"/>
  <c r="Q513" i="20"/>
  <c r="T513" i="20" s="1"/>
  <c r="R378" i="20"/>
  <c r="M362" i="20"/>
  <c r="P362" i="20" s="1"/>
  <c r="P308" i="20"/>
  <c r="M306" i="20"/>
  <c r="P306" i="20" s="1"/>
  <c r="N305" i="19"/>
  <c r="N303" i="19" s="1"/>
  <c r="L284" i="19"/>
  <c r="L282" i="19" s="1"/>
  <c r="O49" i="19"/>
  <c r="T765" i="20"/>
  <c r="M760" i="20"/>
  <c r="P760" i="20" s="1"/>
  <c r="L728" i="20"/>
  <c r="O728" i="20" s="1"/>
  <c r="R714" i="20"/>
  <c r="U714" i="20" s="1"/>
  <c r="L714" i="20"/>
  <c r="O714" i="20" s="1"/>
  <c r="N602" i="20"/>
  <c r="R601" i="20"/>
  <c r="U601" i="20" s="1"/>
  <c r="L601" i="20"/>
  <c r="L578" i="20"/>
  <c r="O578" i="20" s="1"/>
  <c r="N557" i="20"/>
  <c r="N555" i="20" s="1"/>
  <c r="M499" i="20"/>
  <c r="P499" i="20" s="1"/>
  <c r="P498" i="20"/>
  <c r="I374" i="20"/>
  <c r="L288" i="20"/>
  <c r="O288" i="20" s="1"/>
  <c r="L285" i="20"/>
  <c r="O285" i="20" s="1"/>
  <c r="L284" i="20"/>
  <c r="O284" i="20" s="1"/>
  <c r="J231" i="20"/>
  <c r="J185" i="20" s="1"/>
  <c r="Q762" i="17"/>
  <c r="T762" i="17" s="1"/>
  <c r="M499" i="18"/>
  <c r="P499" i="18" s="1"/>
  <c r="M495" i="18"/>
  <c r="P495" i="18" s="1"/>
  <c r="K703" i="19"/>
  <c r="N377" i="19"/>
  <c r="N375" i="19" s="1"/>
  <c r="P359" i="19"/>
  <c r="N306" i="19"/>
  <c r="O290" i="19"/>
  <c r="L233" i="19"/>
  <c r="T761" i="20"/>
  <c r="S692" i="20"/>
  <c r="S690" i="20" s="1"/>
  <c r="S644" i="20"/>
  <c r="S642" i="20" s="1"/>
  <c r="Q601" i="20"/>
  <c r="U600" i="20"/>
  <c r="O600" i="20"/>
  <c r="U577" i="20"/>
  <c r="O577" i="20"/>
  <c r="N515" i="20"/>
  <c r="N513" i="20" s="1"/>
  <c r="R495" i="20"/>
  <c r="U495" i="20" s="1"/>
  <c r="U494" i="20"/>
  <c r="O494" i="20"/>
  <c r="R416" i="20"/>
  <c r="N377" i="20"/>
  <c r="R375" i="20"/>
  <c r="T357" i="20"/>
  <c r="Q305" i="20"/>
  <c r="Q306" i="20"/>
  <c r="T306" i="20" s="1"/>
  <c r="P304" i="20"/>
  <c r="I213" i="20"/>
  <c r="K213" i="20" s="1"/>
  <c r="K220" i="20"/>
  <c r="N141" i="17"/>
  <c r="N139" i="17" s="1"/>
  <c r="K344" i="18"/>
  <c r="L142" i="18"/>
  <c r="O142" i="18" s="1"/>
  <c r="T644" i="19"/>
  <c r="K631" i="19"/>
  <c r="L495" i="19"/>
  <c r="O495" i="19" s="1"/>
  <c r="K371" i="19"/>
  <c r="O364" i="19"/>
  <c r="L305" i="19"/>
  <c r="K292" i="19"/>
  <c r="P191" i="19"/>
  <c r="O62" i="19"/>
  <c r="U695" i="20"/>
  <c r="U647" i="20"/>
  <c r="R605" i="20"/>
  <c r="U605" i="20" s="1"/>
  <c r="L605" i="20"/>
  <c r="O605" i="20" s="1"/>
  <c r="R602" i="20"/>
  <c r="U602" i="20" s="1"/>
  <c r="L602" i="20"/>
  <c r="L579" i="20"/>
  <c r="O579" i="20" s="1"/>
  <c r="L561" i="20"/>
  <c r="O561" i="20" s="1"/>
  <c r="Q555" i="20"/>
  <c r="T555" i="20" s="1"/>
  <c r="P539" i="20"/>
  <c r="O518" i="20"/>
  <c r="T498" i="20"/>
  <c r="Q495" i="20"/>
  <c r="T495" i="20" s="1"/>
  <c r="T494" i="20"/>
  <c r="Q415" i="20"/>
  <c r="S413" i="20"/>
  <c r="S392" i="20"/>
  <c r="M392" i="20"/>
  <c r="P392" i="20" s="1"/>
  <c r="U380" i="20"/>
  <c r="M378" i="20"/>
  <c r="P378" i="20" s="1"/>
  <c r="P380" i="20"/>
  <c r="L378" i="20"/>
  <c r="O378" i="20" s="1"/>
  <c r="Q375" i="20"/>
  <c r="M326" i="20"/>
  <c r="P326" i="20" s="1"/>
  <c r="M322" i="20"/>
  <c r="P328" i="20"/>
  <c r="N309" i="20"/>
  <c r="Q282" i="20"/>
  <c r="T282" i="20" s="1"/>
  <c r="T284" i="20"/>
  <c r="O283" i="20"/>
  <c r="Q269" i="20"/>
  <c r="T269" i="20" s="1"/>
  <c r="Q268" i="20"/>
  <c r="M358" i="20"/>
  <c r="N284" i="20"/>
  <c r="N282" i="20" s="1"/>
  <c r="N285" i="20"/>
  <c r="U765" i="18"/>
  <c r="M557" i="18"/>
  <c r="P557" i="18" s="1"/>
  <c r="L377" i="18"/>
  <c r="O377" i="18" s="1"/>
  <c r="O359" i="18"/>
  <c r="N358" i="18"/>
  <c r="N356" i="18" s="1"/>
  <c r="L46" i="18"/>
  <c r="L44" i="18" s="1"/>
  <c r="U695" i="19"/>
  <c r="K630" i="19"/>
  <c r="N578" i="19"/>
  <c r="N576" i="19" s="1"/>
  <c r="L561" i="19"/>
  <c r="O561" i="19" s="1"/>
  <c r="K276" i="19"/>
  <c r="L234" i="19"/>
  <c r="O165" i="19"/>
  <c r="T162" i="19"/>
  <c r="S159" i="19"/>
  <c r="S157" i="19" s="1"/>
  <c r="O47" i="19"/>
  <c r="T695" i="20"/>
  <c r="T647" i="20"/>
  <c r="U621" i="20"/>
  <c r="O539" i="20"/>
  <c r="P535" i="20"/>
  <c r="U514" i="20"/>
  <c r="O498" i="20"/>
  <c r="K492" i="20"/>
  <c r="O418" i="20"/>
  <c r="N416" i="20"/>
  <c r="S378" i="20"/>
  <c r="T380" i="20"/>
  <c r="M305" i="20"/>
  <c r="I280" i="20"/>
  <c r="K280" i="20" s="1"/>
  <c r="K293" i="20"/>
  <c r="O287" i="20"/>
  <c r="U191" i="20"/>
  <c r="R189" i="20"/>
  <c r="M179" i="20"/>
  <c r="P179" i="20" s="1"/>
  <c r="R142" i="20"/>
  <c r="U142" i="20" s="1"/>
  <c r="U144" i="20"/>
  <c r="R141" i="20"/>
  <c r="R139" i="20" s="1"/>
  <c r="S375" i="20"/>
  <c r="N336" i="20"/>
  <c r="N335" i="20"/>
  <c r="N333" i="20" s="1"/>
  <c r="O338" i="20"/>
  <c r="R320" i="20"/>
  <c r="U320" i="20" s="1"/>
  <c r="U322" i="20"/>
  <c r="S305" i="20"/>
  <c r="S303" i="20" s="1"/>
  <c r="U304" i="20"/>
  <c r="K276" i="20"/>
  <c r="M188" i="20"/>
  <c r="P162" i="20"/>
  <c r="M159" i="20"/>
  <c r="N145" i="20"/>
  <c r="N141" i="20"/>
  <c r="N139" i="20" s="1"/>
  <c r="O311" i="20"/>
  <c r="K265" i="20"/>
  <c r="O274" i="20"/>
  <c r="L268" i="20"/>
  <c r="L272" i="20"/>
  <c r="O272" i="20" s="1"/>
  <c r="M269" i="20"/>
  <c r="P271" i="20"/>
  <c r="U267" i="20"/>
  <c r="O267" i="20"/>
  <c r="L243" i="20"/>
  <c r="L214" i="20"/>
  <c r="O214" i="20" s="1"/>
  <c r="U194" i="20"/>
  <c r="R192" i="20"/>
  <c r="U192" i="20" s="1"/>
  <c r="M192" i="20"/>
  <c r="P192" i="20" s="1"/>
  <c r="S189" i="20"/>
  <c r="T189" i="20" s="1"/>
  <c r="I172" i="20"/>
  <c r="K172" i="20" s="1"/>
  <c r="K183" i="20"/>
  <c r="U147" i="20"/>
  <c r="N176" i="20"/>
  <c r="N175" i="20"/>
  <c r="N173" i="20" s="1"/>
  <c r="T158" i="20"/>
  <c r="N123" i="20"/>
  <c r="N26" i="20"/>
  <c r="N24" i="20" s="1"/>
  <c r="L305" i="20"/>
  <c r="O305" i="20" s="1"/>
  <c r="I242" i="20"/>
  <c r="K249" i="20"/>
  <c r="I238" i="20"/>
  <c r="K238" i="20" s="1"/>
  <c r="P125" i="20"/>
  <c r="M123" i="20"/>
  <c r="P123" i="20" s="1"/>
  <c r="L358" i="20"/>
  <c r="Q188" i="20"/>
  <c r="U178" i="20"/>
  <c r="R176" i="20"/>
  <c r="U176" i="20" s="1"/>
  <c r="R175" i="20"/>
  <c r="U175" i="20" s="1"/>
  <c r="K152" i="20"/>
  <c r="L145" i="20"/>
  <c r="O145" i="20" s="1"/>
  <c r="O147" i="20"/>
  <c r="M65" i="20"/>
  <c r="P65" i="20" s="1"/>
  <c r="P67" i="20"/>
  <c r="N232" i="20"/>
  <c r="N189" i="20"/>
  <c r="T187" i="20"/>
  <c r="Q176" i="20"/>
  <c r="T176" i="20" s="1"/>
  <c r="Q175" i="20"/>
  <c r="T175" i="20" s="1"/>
  <c r="T178" i="20"/>
  <c r="N160" i="20"/>
  <c r="P160" i="20" s="1"/>
  <c r="N159" i="20"/>
  <c r="N157" i="20" s="1"/>
  <c r="T118" i="20"/>
  <c r="P45" i="20"/>
  <c r="P19" i="20"/>
  <c r="L142" i="20"/>
  <c r="O142" i="20" s="1"/>
  <c r="O144" i="20"/>
  <c r="L141" i="20"/>
  <c r="L139" i="20" s="1"/>
  <c r="Q26" i="20"/>
  <c r="U25" i="20"/>
  <c r="O19" i="20"/>
  <c r="O334" i="20"/>
  <c r="U308" i="20"/>
  <c r="R305" i="20"/>
  <c r="R303" i="20" s="1"/>
  <c r="O271" i="20"/>
  <c r="L222" i="20"/>
  <c r="O222" i="20" s="1"/>
  <c r="T194" i="20"/>
  <c r="O194" i="20"/>
  <c r="L192" i="20"/>
  <c r="O192" i="20" s="1"/>
  <c r="T191" i="20"/>
  <c r="O191" i="20"/>
  <c r="L189" i="20"/>
  <c r="L188" i="20"/>
  <c r="L186" i="20" s="1"/>
  <c r="O181" i="20"/>
  <c r="L179" i="20"/>
  <c r="O179" i="20" s="1"/>
  <c r="M175" i="20"/>
  <c r="O174" i="20"/>
  <c r="T162" i="20"/>
  <c r="O158" i="20"/>
  <c r="Q123" i="20"/>
  <c r="T123" i="20" s="1"/>
  <c r="T125" i="20"/>
  <c r="S119" i="20"/>
  <c r="S117" i="20" s="1"/>
  <c r="S120" i="20"/>
  <c r="M75" i="20"/>
  <c r="P75" i="20" s="1"/>
  <c r="M74" i="20"/>
  <c r="P74" i="20" s="1"/>
  <c r="P77" i="20"/>
  <c r="T174" i="20"/>
  <c r="I136" i="20"/>
  <c r="K136" i="20" s="1"/>
  <c r="K154" i="20"/>
  <c r="O140" i="20"/>
  <c r="U122" i="20"/>
  <c r="N119" i="20"/>
  <c r="N117" i="20" s="1"/>
  <c r="P80" i="20"/>
  <c r="O67" i="20"/>
  <c r="L65" i="20"/>
  <c r="O65" i="20" s="1"/>
  <c r="L61" i="20"/>
  <c r="P52" i="20"/>
  <c r="M26" i="20"/>
  <c r="M24" i="20" s="1"/>
  <c r="M50" i="20"/>
  <c r="P50" i="20" s="1"/>
  <c r="U22" i="20"/>
  <c r="R19" i="20"/>
  <c r="U140" i="20"/>
  <c r="M120" i="20"/>
  <c r="P120" i="20" s="1"/>
  <c r="M119" i="20"/>
  <c r="Q96" i="20"/>
  <c r="T96" i="20" s="1"/>
  <c r="T95" i="20"/>
  <c r="O52" i="20"/>
  <c r="L26" i="20"/>
  <c r="L24" i="20" s="1"/>
  <c r="L50" i="20"/>
  <c r="O50" i="20" s="1"/>
  <c r="L46" i="20"/>
  <c r="N96" i="20"/>
  <c r="N94" i="20" s="1"/>
  <c r="P25" i="20"/>
  <c r="M96" i="20"/>
  <c r="S78" i="20"/>
  <c r="S26" i="20"/>
  <c r="S24" i="20" s="1"/>
  <c r="P73" i="20"/>
  <c r="O25" i="20"/>
  <c r="N23" i="20"/>
  <c r="P22" i="20"/>
  <c r="I83" i="20"/>
  <c r="R26" i="20"/>
  <c r="U26" i="20" s="1"/>
  <c r="P60" i="20"/>
  <c r="O22" i="20"/>
  <c r="L175" i="20"/>
  <c r="O175" i="20" s="1"/>
  <c r="R159" i="20"/>
  <c r="U159" i="20" s="1"/>
  <c r="L159" i="20"/>
  <c r="O159" i="20" s="1"/>
  <c r="S141" i="20"/>
  <c r="S139" i="20" s="1"/>
  <c r="M141" i="20"/>
  <c r="R119" i="20"/>
  <c r="R117" i="20" s="1"/>
  <c r="L119" i="20"/>
  <c r="O119" i="20" s="1"/>
  <c r="R96" i="20"/>
  <c r="U96" i="20" s="1"/>
  <c r="L96" i="20"/>
  <c r="O96" i="20" s="1"/>
  <c r="M23" i="20"/>
  <c r="M21" i="20" s="1"/>
  <c r="M61" i="20"/>
  <c r="M46" i="20"/>
  <c r="R23" i="20"/>
  <c r="R21" i="20" s="1"/>
  <c r="L23" i="20"/>
  <c r="L21" i="20" s="1"/>
  <c r="L176" i="20"/>
  <c r="O176" i="20" s="1"/>
  <c r="L163" i="20"/>
  <c r="O163" i="20" s="1"/>
  <c r="R160" i="20"/>
  <c r="U160" i="20" s="1"/>
  <c r="L160" i="20"/>
  <c r="O160" i="20" s="1"/>
  <c r="M145" i="20"/>
  <c r="P145" i="20" s="1"/>
  <c r="M142" i="20"/>
  <c r="P142" i="20" s="1"/>
  <c r="R123" i="20"/>
  <c r="U123" i="20" s="1"/>
  <c r="L123" i="20"/>
  <c r="O123" i="20" s="1"/>
  <c r="R120" i="20"/>
  <c r="Q23" i="20"/>
  <c r="S157" i="18"/>
  <c r="M123" i="18"/>
  <c r="P123" i="18" s="1"/>
  <c r="P125" i="18"/>
  <c r="M516" i="19"/>
  <c r="P516" i="19" s="1"/>
  <c r="P518" i="19"/>
  <c r="P308" i="19"/>
  <c r="M305" i="19"/>
  <c r="M303" i="19" s="1"/>
  <c r="M306" i="19"/>
  <c r="Q123" i="19"/>
  <c r="T123" i="19" s="1"/>
  <c r="T125" i="19"/>
  <c r="P607" i="17"/>
  <c r="K425" i="17"/>
  <c r="O191" i="17"/>
  <c r="P165" i="17"/>
  <c r="S157" i="17"/>
  <c r="U97" i="17"/>
  <c r="U619" i="18"/>
  <c r="P521" i="18"/>
  <c r="R496" i="18"/>
  <c r="U496" i="18" s="1"/>
  <c r="J374" i="18"/>
  <c r="S375" i="18"/>
  <c r="N284" i="18"/>
  <c r="N282" i="18" s="1"/>
  <c r="K661" i="19"/>
  <c r="M582" i="19"/>
  <c r="P582" i="19" s="1"/>
  <c r="P584" i="19"/>
  <c r="L358" i="19"/>
  <c r="L356" i="19" s="1"/>
  <c r="L359" i="19"/>
  <c r="O359" i="19" s="1"/>
  <c r="M322" i="19"/>
  <c r="P322" i="19" s="1"/>
  <c r="M323" i="19"/>
  <c r="P323" i="19" s="1"/>
  <c r="P325" i="19"/>
  <c r="I172" i="19"/>
  <c r="K172" i="19" s="1"/>
  <c r="K183" i="19"/>
  <c r="T619" i="18"/>
  <c r="I332" i="18"/>
  <c r="M616" i="19"/>
  <c r="P616" i="19" s="1"/>
  <c r="P617" i="19"/>
  <c r="Q605" i="19"/>
  <c r="T605" i="19" s="1"/>
  <c r="T607" i="19"/>
  <c r="O357" i="19"/>
  <c r="M272" i="19"/>
  <c r="P272" i="19" s="1"/>
  <c r="P274" i="19"/>
  <c r="Q44" i="19"/>
  <c r="T44" i="19" s="1"/>
  <c r="T46" i="19"/>
  <c r="P380" i="18"/>
  <c r="K346" i="18"/>
  <c r="O274" i="18"/>
  <c r="Q642" i="19"/>
  <c r="T642" i="19" s="1"/>
  <c r="M419" i="19"/>
  <c r="P419" i="19" s="1"/>
  <c r="P421" i="19"/>
  <c r="U357" i="19"/>
  <c r="R356" i="19"/>
  <c r="U356" i="19" s="1"/>
  <c r="U73" i="19"/>
  <c r="S268" i="19"/>
  <c r="S266" i="19" s="1"/>
  <c r="S269" i="19"/>
  <c r="I136" i="19"/>
  <c r="K136" i="19" s="1"/>
  <c r="K154" i="19"/>
  <c r="K778" i="17"/>
  <c r="K682" i="17"/>
  <c r="K781" i="18"/>
  <c r="K778" i="18"/>
  <c r="K709" i="18"/>
  <c r="K703" i="18"/>
  <c r="S644" i="18"/>
  <c r="S642" i="18" s="1"/>
  <c r="L561" i="18"/>
  <c r="O561" i="18" s="1"/>
  <c r="P542" i="18"/>
  <c r="L540" i="18"/>
  <c r="O540" i="18" s="1"/>
  <c r="O380" i="18"/>
  <c r="P338" i="18"/>
  <c r="L179" i="18"/>
  <c r="O179" i="18" s="1"/>
  <c r="S618" i="19"/>
  <c r="U618" i="19" s="1"/>
  <c r="U621" i="19"/>
  <c r="S619" i="19"/>
  <c r="Q496" i="19"/>
  <c r="T496" i="19" s="1"/>
  <c r="T498" i="19"/>
  <c r="K386" i="19"/>
  <c r="I374" i="19"/>
  <c r="N145" i="19"/>
  <c r="N141" i="19"/>
  <c r="N139" i="19" s="1"/>
  <c r="T140" i="19"/>
  <c r="R97" i="19"/>
  <c r="U97" i="19" s="1"/>
  <c r="U99" i="19"/>
  <c r="P563" i="18"/>
  <c r="M381" i="18"/>
  <c r="P381" i="18" s="1"/>
  <c r="N377" i="18"/>
  <c r="N375" i="18" s="1"/>
  <c r="K365" i="18"/>
  <c r="P359" i="18"/>
  <c r="J343" i="18"/>
  <c r="U308" i="18"/>
  <c r="R145" i="18"/>
  <c r="U145" i="18" s="1"/>
  <c r="M78" i="18"/>
  <c r="P78" i="18" s="1"/>
  <c r="P80" i="18"/>
  <c r="R762" i="19"/>
  <c r="U762" i="19" s="1"/>
  <c r="R763" i="19"/>
  <c r="L760" i="19"/>
  <c r="O760" i="19" s="1"/>
  <c r="R616" i="19"/>
  <c r="P561" i="19"/>
  <c r="K195" i="19"/>
  <c r="L100" i="19"/>
  <c r="O100" i="19" s="1"/>
  <c r="O102" i="19"/>
  <c r="K784" i="19"/>
  <c r="K778" i="19"/>
  <c r="Q762" i="19"/>
  <c r="T762" i="19" s="1"/>
  <c r="N728" i="19"/>
  <c r="R692" i="19"/>
  <c r="R690" i="19" s="1"/>
  <c r="J675" i="19"/>
  <c r="K675" i="19" s="1"/>
  <c r="K654" i="19"/>
  <c r="Q645" i="19"/>
  <c r="N642" i="19"/>
  <c r="O607" i="19"/>
  <c r="L540" i="19"/>
  <c r="O540" i="19" s="1"/>
  <c r="O521" i="19"/>
  <c r="S333" i="19"/>
  <c r="L322" i="19"/>
  <c r="O322" i="19" s="1"/>
  <c r="P287" i="19"/>
  <c r="K265" i="19"/>
  <c r="K252" i="19"/>
  <c r="O194" i="19"/>
  <c r="O191" i="19"/>
  <c r="T144" i="19"/>
  <c r="L141" i="19"/>
  <c r="L139" i="19" s="1"/>
  <c r="K127" i="19"/>
  <c r="Q119" i="19"/>
  <c r="Q117" i="19" s="1"/>
  <c r="N96" i="19"/>
  <c r="N94" i="19" s="1"/>
  <c r="Q59" i="19"/>
  <c r="T59" i="19" s="1"/>
  <c r="P49" i="19"/>
  <c r="Q19" i="19"/>
  <c r="T19" i="19" s="1"/>
  <c r="S714" i="19"/>
  <c r="Q320" i="19"/>
  <c r="T320" i="19" s="1"/>
  <c r="S305" i="19"/>
  <c r="S303" i="19" s="1"/>
  <c r="N188" i="19"/>
  <c r="N186" i="19" s="1"/>
  <c r="R74" i="19"/>
  <c r="U74" i="19" s="1"/>
  <c r="L74" i="19"/>
  <c r="O74" i="19" s="1"/>
  <c r="K780" i="19"/>
  <c r="K726" i="19"/>
  <c r="K673" i="19"/>
  <c r="L642" i="19"/>
  <c r="O642" i="19" s="1"/>
  <c r="K626" i="19"/>
  <c r="Q601" i="19"/>
  <c r="T601" i="19" s="1"/>
  <c r="N579" i="19"/>
  <c r="N557" i="19"/>
  <c r="N555" i="19" s="1"/>
  <c r="L557" i="19"/>
  <c r="L555" i="19" s="1"/>
  <c r="M536" i="19"/>
  <c r="P536" i="19" s="1"/>
  <c r="L203" i="19"/>
  <c r="O203" i="19" s="1"/>
  <c r="S188" i="19"/>
  <c r="S186" i="19" s="1"/>
  <c r="M188" i="19"/>
  <c r="S189" i="19"/>
  <c r="R141" i="19"/>
  <c r="R139" i="19" s="1"/>
  <c r="Q74" i="19"/>
  <c r="T74" i="19" s="1"/>
  <c r="L75" i="19"/>
  <c r="O75" i="19" s="1"/>
  <c r="O67" i="18"/>
  <c r="K785" i="19"/>
  <c r="K779" i="19"/>
  <c r="T765" i="19"/>
  <c r="M760" i="19"/>
  <c r="P760" i="19" s="1"/>
  <c r="R731" i="19"/>
  <c r="U731" i="19" s="1"/>
  <c r="L728" i="19"/>
  <c r="O728" i="19" s="1"/>
  <c r="J674" i="19"/>
  <c r="K674" i="19" s="1"/>
  <c r="R619" i="19"/>
  <c r="Q616" i="19"/>
  <c r="N601" i="19"/>
  <c r="N599" i="19" s="1"/>
  <c r="N558" i="19"/>
  <c r="N536" i="19"/>
  <c r="N534" i="19" s="1"/>
  <c r="N537" i="19"/>
  <c r="J457" i="19"/>
  <c r="J456" i="19" s="1"/>
  <c r="U418" i="19"/>
  <c r="R416" i="19"/>
  <c r="U416" i="19" s="1"/>
  <c r="N378" i="19"/>
  <c r="K369" i="19"/>
  <c r="N358" i="19"/>
  <c r="N356" i="19" s="1"/>
  <c r="L339" i="19"/>
  <c r="O339" i="19" s="1"/>
  <c r="L335" i="19"/>
  <c r="L333" i="19" s="1"/>
  <c r="I302" i="19"/>
  <c r="K302" i="19" s="1"/>
  <c r="M284" i="19"/>
  <c r="M282" i="19" s="1"/>
  <c r="N268" i="19"/>
  <c r="N266" i="19" s="1"/>
  <c r="L222" i="19"/>
  <c r="O222" i="19" s="1"/>
  <c r="T203" i="19"/>
  <c r="R188" i="19"/>
  <c r="L188" i="19"/>
  <c r="R189" i="19"/>
  <c r="T178" i="19"/>
  <c r="Q176" i="19"/>
  <c r="T176" i="19" s="1"/>
  <c r="Q160" i="19"/>
  <c r="T160" i="19" s="1"/>
  <c r="I156" i="19"/>
  <c r="K156" i="19" s="1"/>
  <c r="Q141" i="19"/>
  <c r="Q139" i="19" s="1"/>
  <c r="T122" i="19"/>
  <c r="S119" i="19"/>
  <c r="S117" i="19" s="1"/>
  <c r="L19" i="19"/>
  <c r="O19" i="19" s="1"/>
  <c r="Q731" i="19"/>
  <c r="T731" i="19" s="1"/>
  <c r="N714" i="19"/>
  <c r="T693" i="19"/>
  <c r="L690" i="19"/>
  <c r="O690" i="19" s="1"/>
  <c r="T621" i="19"/>
  <c r="Q619" i="19"/>
  <c r="Q602" i="19"/>
  <c r="T602" i="19" s="1"/>
  <c r="L558" i="19"/>
  <c r="O558" i="19" s="1"/>
  <c r="M537" i="19"/>
  <c r="P537" i="19" s="1"/>
  <c r="T418" i="19"/>
  <c r="L415" i="19"/>
  <c r="Q416" i="19"/>
  <c r="T416" i="19" s="1"/>
  <c r="K368" i="19"/>
  <c r="M358" i="19"/>
  <c r="N322" i="19"/>
  <c r="N320" i="19" s="1"/>
  <c r="O283" i="19"/>
  <c r="M268" i="19"/>
  <c r="L236" i="19"/>
  <c r="I240" i="19"/>
  <c r="K240" i="19" s="1"/>
  <c r="L214" i="19"/>
  <c r="O214" i="19" s="1"/>
  <c r="N189" i="19"/>
  <c r="P189" i="19" s="1"/>
  <c r="O147" i="19"/>
  <c r="O142" i="19"/>
  <c r="N119" i="19"/>
  <c r="N117" i="19" s="1"/>
  <c r="O80" i="19"/>
  <c r="O77" i="19"/>
  <c r="P64" i="19"/>
  <c r="R728" i="19"/>
  <c r="Q728" i="19"/>
  <c r="U515" i="19"/>
  <c r="R513" i="19"/>
  <c r="U513" i="19" s="1"/>
  <c r="O383" i="19"/>
  <c r="L381" i="19"/>
  <c r="O381" i="19" s="1"/>
  <c r="K779" i="17"/>
  <c r="P325" i="17"/>
  <c r="R644" i="18"/>
  <c r="R642" i="18" s="1"/>
  <c r="L192" i="18"/>
  <c r="O192" i="18" s="1"/>
  <c r="R714" i="19"/>
  <c r="U714" i="19" s="1"/>
  <c r="T691" i="19"/>
  <c r="R601" i="19"/>
  <c r="U601" i="19" s="1"/>
  <c r="U600" i="19"/>
  <c r="Q576" i="19"/>
  <c r="T576" i="19" s="1"/>
  <c r="T515" i="19"/>
  <c r="Q513" i="19"/>
  <c r="T513" i="19" s="1"/>
  <c r="P414" i="19"/>
  <c r="U393" i="19"/>
  <c r="U335" i="19"/>
  <c r="R333" i="19"/>
  <c r="U333" i="19" s="1"/>
  <c r="T191" i="19"/>
  <c r="Q188" i="19"/>
  <c r="Q189" i="19"/>
  <c r="P178" i="19"/>
  <c r="M176" i="19"/>
  <c r="P176" i="19" s="1"/>
  <c r="M175" i="19"/>
  <c r="O174" i="19"/>
  <c r="P418" i="17"/>
  <c r="U268" i="17"/>
  <c r="L235" i="17"/>
  <c r="O64" i="17"/>
  <c r="Q645" i="18"/>
  <c r="T645" i="18" s="1"/>
  <c r="K632" i="18"/>
  <c r="N288" i="18"/>
  <c r="K154" i="18"/>
  <c r="O62" i="18"/>
  <c r="Q714" i="19"/>
  <c r="T714" i="19" s="1"/>
  <c r="K681" i="19"/>
  <c r="O604" i="19"/>
  <c r="M558" i="19"/>
  <c r="P558" i="19" s="1"/>
  <c r="M557" i="19"/>
  <c r="Q555" i="19"/>
  <c r="T555" i="19" s="1"/>
  <c r="P521" i="19"/>
  <c r="M519" i="19"/>
  <c r="P519" i="19" s="1"/>
  <c r="N495" i="19"/>
  <c r="N493" i="19" s="1"/>
  <c r="J343" i="19"/>
  <c r="O274" i="19"/>
  <c r="L272" i="19"/>
  <c r="O272" i="19" s="1"/>
  <c r="U271" i="19"/>
  <c r="R268" i="19"/>
  <c r="R269" i="19"/>
  <c r="O140" i="19"/>
  <c r="Q377" i="18"/>
  <c r="T377" i="18" s="1"/>
  <c r="M188" i="18"/>
  <c r="M186" i="18" s="1"/>
  <c r="Q692" i="19"/>
  <c r="O600" i="19"/>
  <c r="N416" i="19"/>
  <c r="P416" i="19" s="1"/>
  <c r="O418" i="19"/>
  <c r="P418" i="19"/>
  <c r="O274" i="17"/>
  <c r="M496" i="18"/>
  <c r="P496" i="18" s="1"/>
  <c r="T397" i="18"/>
  <c r="O383" i="18"/>
  <c r="T380" i="18"/>
  <c r="S730" i="19"/>
  <c r="U730" i="19" s="1"/>
  <c r="O691" i="19"/>
  <c r="R644" i="19"/>
  <c r="U647" i="19"/>
  <c r="P607" i="19"/>
  <c r="M605" i="19"/>
  <c r="P605" i="19" s="1"/>
  <c r="N602" i="19"/>
  <c r="O602" i="19" s="1"/>
  <c r="L578" i="19"/>
  <c r="O578" i="19" s="1"/>
  <c r="R282" i="19"/>
  <c r="U282" i="19" s="1"/>
  <c r="O181" i="19"/>
  <c r="L179" i="19"/>
  <c r="O179" i="19" s="1"/>
  <c r="O380" i="17"/>
  <c r="K785" i="18"/>
  <c r="K782" i="18"/>
  <c r="S763" i="18"/>
  <c r="K653" i="18"/>
  <c r="U647" i="18"/>
  <c r="K631" i="18"/>
  <c r="L579" i="18"/>
  <c r="O579" i="18" s="1"/>
  <c r="O539" i="18"/>
  <c r="L537" i="18"/>
  <c r="O537" i="18" s="1"/>
  <c r="K503" i="18"/>
  <c r="M335" i="18"/>
  <c r="M333" i="18" s="1"/>
  <c r="P328" i="18"/>
  <c r="R269" i="18"/>
  <c r="L236" i="18"/>
  <c r="P178" i="18"/>
  <c r="K169" i="18"/>
  <c r="L163" i="18"/>
  <c r="O163" i="18" s="1"/>
  <c r="L159" i="18"/>
  <c r="O159" i="18" s="1"/>
  <c r="P49" i="18"/>
  <c r="L47" i="18"/>
  <c r="O47" i="18" s="1"/>
  <c r="I759" i="19"/>
  <c r="K759" i="19" s="1"/>
  <c r="U733" i="19"/>
  <c r="P729" i="19"/>
  <c r="M714" i="19"/>
  <c r="P714" i="19" s="1"/>
  <c r="P715" i="19"/>
  <c r="U691" i="19"/>
  <c r="P604" i="19"/>
  <c r="M602" i="19"/>
  <c r="M601" i="19"/>
  <c r="M599" i="19" s="1"/>
  <c r="S576" i="19"/>
  <c r="O577" i="19"/>
  <c r="J503" i="19"/>
  <c r="J492" i="19" s="1"/>
  <c r="O498" i="19"/>
  <c r="L496" i="19"/>
  <c r="O496" i="19" s="1"/>
  <c r="N496" i="19"/>
  <c r="R413" i="19"/>
  <c r="U414" i="19"/>
  <c r="P60" i="19"/>
  <c r="M192" i="18"/>
  <c r="P192" i="18" s="1"/>
  <c r="O518" i="19"/>
  <c r="L516" i="19"/>
  <c r="O516" i="19" s="1"/>
  <c r="L515" i="19"/>
  <c r="U380" i="19"/>
  <c r="R378" i="19"/>
  <c r="O418" i="18"/>
  <c r="L222" i="18"/>
  <c r="O222" i="18" s="1"/>
  <c r="Q123" i="18"/>
  <c r="T123" i="18" s="1"/>
  <c r="T695" i="19"/>
  <c r="I689" i="19"/>
  <c r="K689" i="19" s="1"/>
  <c r="M642" i="19"/>
  <c r="P642" i="19" s="1"/>
  <c r="U604" i="19"/>
  <c r="O581" i="19"/>
  <c r="P501" i="19"/>
  <c r="M499" i="19"/>
  <c r="P499" i="19" s="1"/>
  <c r="O494" i="19"/>
  <c r="K440" i="19"/>
  <c r="I423" i="19"/>
  <c r="P99" i="19"/>
  <c r="M97" i="19"/>
  <c r="P97" i="19" s="1"/>
  <c r="M96" i="19"/>
  <c r="P96" i="19" s="1"/>
  <c r="K492" i="17"/>
  <c r="S395" i="17"/>
  <c r="M362" i="17"/>
  <c r="P362" i="17" s="1"/>
  <c r="K772" i="18"/>
  <c r="I701" i="18"/>
  <c r="K678" i="18"/>
  <c r="K673" i="18"/>
  <c r="U645" i="18"/>
  <c r="S493" i="18"/>
  <c r="N415" i="18"/>
  <c r="N413" i="18" s="1"/>
  <c r="R377" i="18"/>
  <c r="R375" i="18" s="1"/>
  <c r="J351" i="18"/>
  <c r="L235" i="18"/>
  <c r="Q74" i="18"/>
  <c r="T74" i="18" s="1"/>
  <c r="U765" i="19"/>
  <c r="T733" i="19"/>
  <c r="L714" i="19"/>
  <c r="O714" i="19" s="1"/>
  <c r="K705" i="19"/>
  <c r="S645" i="19"/>
  <c r="L601" i="19"/>
  <c r="P581" i="19"/>
  <c r="M579" i="19"/>
  <c r="P579" i="19" s="1"/>
  <c r="R576" i="19"/>
  <c r="U576" i="19" s="1"/>
  <c r="U577" i="19"/>
  <c r="P563" i="19"/>
  <c r="T556" i="19"/>
  <c r="R555" i="19"/>
  <c r="U555" i="19" s="1"/>
  <c r="O539" i="19"/>
  <c r="L537" i="19"/>
  <c r="O537" i="19" s="1"/>
  <c r="K503" i="19"/>
  <c r="I492" i="19"/>
  <c r="K492" i="19" s="1"/>
  <c r="T494" i="19"/>
  <c r="R395" i="19"/>
  <c r="U395" i="19" s="1"/>
  <c r="R394" i="19"/>
  <c r="U394" i="19" s="1"/>
  <c r="U397" i="19"/>
  <c r="T380" i="19"/>
  <c r="S378" i="19"/>
  <c r="T378" i="19" s="1"/>
  <c r="S377" i="19"/>
  <c r="S375" i="19" s="1"/>
  <c r="R377" i="19"/>
  <c r="R375" i="19" s="1"/>
  <c r="P364" i="19"/>
  <c r="M362" i="19"/>
  <c r="P362" i="19" s="1"/>
  <c r="P321" i="19"/>
  <c r="T308" i="19"/>
  <c r="Q306" i="19"/>
  <c r="T306" i="19" s="1"/>
  <c r="Q305" i="19"/>
  <c r="O501" i="19"/>
  <c r="L499" i="19"/>
  <c r="O499" i="19" s="1"/>
  <c r="P498" i="19"/>
  <c r="M496" i="19"/>
  <c r="P496" i="19" s="1"/>
  <c r="R493" i="19"/>
  <c r="U493" i="19" s="1"/>
  <c r="U494" i="19"/>
  <c r="T376" i="19"/>
  <c r="O271" i="19"/>
  <c r="L269" i="19"/>
  <c r="L268" i="19"/>
  <c r="O178" i="19"/>
  <c r="L176" i="19"/>
  <c r="O176" i="19" s="1"/>
  <c r="L175" i="19"/>
  <c r="R173" i="19"/>
  <c r="U173" i="19" s="1"/>
  <c r="U174" i="19"/>
  <c r="S97" i="19"/>
  <c r="S96" i="19"/>
  <c r="S94" i="19" s="1"/>
  <c r="R534" i="19"/>
  <c r="U534" i="19" s="1"/>
  <c r="N515" i="19"/>
  <c r="N513" i="19" s="1"/>
  <c r="O414" i="19"/>
  <c r="Q394" i="19"/>
  <c r="T397" i="19"/>
  <c r="M392" i="19"/>
  <c r="P392" i="19" s="1"/>
  <c r="P393" i="19"/>
  <c r="P380" i="19"/>
  <c r="M378" i="19"/>
  <c r="P378" i="19" s="1"/>
  <c r="M377" i="19"/>
  <c r="I365" i="19"/>
  <c r="K365" i="19" s="1"/>
  <c r="T358" i="19"/>
  <c r="Q356" i="19"/>
  <c r="T356" i="19" s="1"/>
  <c r="O338" i="19"/>
  <c r="N335" i="19"/>
  <c r="N333" i="19" s="1"/>
  <c r="N336" i="19"/>
  <c r="O336" i="19" s="1"/>
  <c r="L326" i="19"/>
  <c r="O326" i="19" s="1"/>
  <c r="O328" i="19"/>
  <c r="Q282" i="19"/>
  <c r="T282" i="19" s="1"/>
  <c r="T283" i="19"/>
  <c r="P162" i="19"/>
  <c r="M160" i="19"/>
  <c r="P160" i="19" s="1"/>
  <c r="M159" i="19"/>
  <c r="O158" i="19"/>
  <c r="S19" i="19"/>
  <c r="Q534" i="19"/>
  <c r="T534" i="19" s="1"/>
  <c r="T535" i="19"/>
  <c r="M515" i="19"/>
  <c r="U498" i="19"/>
  <c r="R496" i="19"/>
  <c r="U496" i="19" s="1"/>
  <c r="M495" i="19"/>
  <c r="K457" i="19"/>
  <c r="I456" i="19"/>
  <c r="K456" i="19" s="1"/>
  <c r="L392" i="19"/>
  <c r="O392" i="19" s="1"/>
  <c r="O393" i="19"/>
  <c r="P383" i="19"/>
  <c r="M381" i="19"/>
  <c r="P381" i="19" s="1"/>
  <c r="O380" i="19"/>
  <c r="L378" i="19"/>
  <c r="O378" i="19" s="1"/>
  <c r="L377" i="19"/>
  <c r="O377" i="19" s="1"/>
  <c r="M335" i="19"/>
  <c r="P338" i="19"/>
  <c r="M336" i="19"/>
  <c r="Q266" i="19"/>
  <c r="I213" i="19"/>
  <c r="K213" i="19" s="1"/>
  <c r="P140" i="19"/>
  <c r="S26" i="19"/>
  <c r="S24" i="19" s="1"/>
  <c r="Q495" i="19"/>
  <c r="T495" i="19" s="1"/>
  <c r="S415" i="19"/>
  <c r="T415" i="19" s="1"/>
  <c r="M415" i="19"/>
  <c r="S394" i="19"/>
  <c r="S392" i="19" s="1"/>
  <c r="Q377" i="19"/>
  <c r="U376" i="19"/>
  <c r="O376" i="19"/>
  <c r="O361" i="19"/>
  <c r="T334" i="19"/>
  <c r="J332" i="19"/>
  <c r="K332" i="19" s="1"/>
  <c r="P328" i="19"/>
  <c r="N284" i="19"/>
  <c r="N282" i="19" s="1"/>
  <c r="T271" i="19"/>
  <c r="Q269" i="19"/>
  <c r="L243" i="19"/>
  <c r="Q173" i="19"/>
  <c r="T173" i="19" s="1"/>
  <c r="T174" i="19"/>
  <c r="L160" i="19"/>
  <c r="O160" i="19" s="1"/>
  <c r="L159" i="19"/>
  <c r="L157" i="19" s="1"/>
  <c r="O162" i="19"/>
  <c r="R157" i="19"/>
  <c r="U157" i="19" s="1"/>
  <c r="U158" i="19"/>
  <c r="O118" i="19"/>
  <c r="I92" i="19"/>
  <c r="K92" i="19" s="1"/>
  <c r="K108" i="19"/>
  <c r="K84" i="19"/>
  <c r="I82" i="19"/>
  <c r="R26" i="19"/>
  <c r="U26" i="19" s="1"/>
  <c r="U22" i="19"/>
  <c r="O311" i="19"/>
  <c r="L309" i="19"/>
  <c r="O309" i="19" s="1"/>
  <c r="M309" i="19"/>
  <c r="P309" i="19" s="1"/>
  <c r="O308" i="19"/>
  <c r="L306" i="19"/>
  <c r="R303" i="19"/>
  <c r="K242" i="19"/>
  <c r="U178" i="19"/>
  <c r="R176" i="19"/>
  <c r="U176" i="19" s="1"/>
  <c r="N175" i="19"/>
  <c r="N173" i="19" s="1"/>
  <c r="Q157" i="19"/>
  <c r="T157" i="19" s="1"/>
  <c r="T158" i="19"/>
  <c r="I137" i="19"/>
  <c r="K137" i="19" s="1"/>
  <c r="K152" i="19"/>
  <c r="K330" i="19"/>
  <c r="T304" i="19"/>
  <c r="K293" i="19"/>
  <c r="I280" i="19"/>
  <c r="K280" i="19" s="1"/>
  <c r="O287" i="19"/>
  <c r="L285" i="19"/>
  <c r="O285" i="19" s="1"/>
  <c r="M285" i="19"/>
  <c r="P285" i="19" s="1"/>
  <c r="K249" i="19"/>
  <c r="I238" i="19"/>
  <c r="K238" i="19" s="1"/>
  <c r="R160" i="19"/>
  <c r="U160" i="19" s="1"/>
  <c r="U162" i="19"/>
  <c r="P122" i="19"/>
  <c r="M120" i="19"/>
  <c r="P120" i="19" s="1"/>
  <c r="K116" i="19"/>
  <c r="P45" i="19"/>
  <c r="R19" i="19"/>
  <c r="U308" i="19"/>
  <c r="R306" i="19"/>
  <c r="U306" i="19" s="1"/>
  <c r="K209" i="19"/>
  <c r="I202" i="19"/>
  <c r="K202" i="19" s="1"/>
  <c r="Q192" i="19"/>
  <c r="T192" i="19" s="1"/>
  <c r="P181" i="19"/>
  <c r="M179" i="19"/>
  <c r="P179" i="19" s="1"/>
  <c r="O95" i="19"/>
  <c r="U25" i="19"/>
  <c r="Q26" i="19"/>
  <c r="P19" i="19"/>
  <c r="P165" i="19"/>
  <c r="M163" i="19"/>
  <c r="P163" i="19" s="1"/>
  <c r="N159" i="19"/>
  <c r="N157" i="19" s="1"/>
  <c r="U140" i="19"/>
  <c r="P125" i="19"/>
  <c r="M123" i="19"/>
  <c r="P123" i="19" s="1"/>
  <c r="U95" i="19"/>
  <c r="P67" i="19"/>
  <c r="M65" i="19"/>
  <c r="P65" i="19" s="1"/>
  <c r="P62" i="19"/>
  <c r="P52" i="19"/>
  <c r="M26" i="19"/>
  <c r="M50" i="19"/>
  <c r="P50" i="19" s="1"/>
  <c r="P47" i="19"/>
  <c r="P25" i="19"/>
  <c r="O144" i="19"/>
  <c r="U118" i="19"/>
  <c r="Q94" i="19"/>
  <c r="T94" i="19" s="1"/>
  <c r="T95" i="19"/>
  <c r="O67" i="19"/>
  <c r="L65" i="19"/>
  <c r="O65" i="19" s="1"/>
  <c r="L61" i="19"/>
  <c r="O52" i="19"/>
  <c r="L26" i="19"/>
  <c r="L24" i="19" s="1"/>
  <c r="L50" i="19"/>
  <c r="O50" i="19" s="1"/>
  <c r="L46" i="19"/>
  <c r="N26" i="19"/>
  <c r="N24" i="19" s="1"/>
  <c r="O25" i="19"/>
  <c r="N23" i="19"/>
  <c r="N21" i="19" s="1"/>
  <c r="P22" i="19"/>
  <c r="P147" i="19"/>
  <c r="M145" i="19"/>
  <c r="P145" i="19" s="1"/>
  <c r="T118" i="19"/>
  <c r="P102" i="19"/>
  <c r="M100" i="19"/>
  <c r="P100" i="19" s="1"/>
  <c r="I83" i="19"/>
  <c r="P73" i="19"/>
  <c r="O22" i="19"/>
  <c r="S141" i="19"/>
  <c r="M141" i="19"/>
  <c r="I138" i="19"/>
  <c r="K138" i="19" s="1"/>
  <c r="R119" i="19"/>
  <c r="L119" i="19"/>
  <c r="O119" i="19" s="1"/>
  <c r="P118" i="19"/>
  <c r="R96" i="19"/>
  <c r="U96" i="19" s="1"/>
  <c r="L96" i="19"/>
  <c r="O96" i="19" s="1"/>
  <c r="P95" i="19"/>
  <c r="T80" i="19"/>
  <c r="T77" i="19"/>
  <c r="N74" i="19"/>
  <c r="N72" i="19" s="1"/>
  <c r="N61" i="19"/>
  <c r="N59" i="19" s="1"/>
  <c r="N46" i="19"/>
  <c r="N44" i="19" s="1"/>
  <c r="S23" i="19"/>
  <c r="M23" i="19"/>
  <c r="S74" i="19"/>
  <c r="S72" i="19" s="1"/>
  <c r="M74" i="19"/>
  <c r="P74" i="19" s="1"/>
  <c r="M61" i="19"/>
  <c r="P61" i="19" s="1"/>
  <c r="M46" i="19"/>
  <c r="R23" i="19"/>
  <c r="L23" i="19"/>
  <c r="M142" i="19"/>
  <c r="P142" i="19" s="1"/>
  <c r="R123" i="19"/>
  <c r="U123" i="19" s="1"/>
  <c r="L123" i="19"/>
  <c r="O123" i="19" s="1"/>
  <c r="R120" i="19"/>
  <c r="U120" i="19" s="1"/>
  <c r="L120" i="19"/>
  <c r="O120" i="19" s="1"/>
  <c r="Q23" i="19"/>
  <c r="Q728" i="18"/>
  <c r="K242" i="18"/>
  <c r="J231" i="18"/>
  <c r="J185" i="18" s="1"/>
  <c r="K676" i="17"/>
  <c r="U495" i="17"/>
  <c r="M378" i="17"/>
  <c r="P378" i="17" s="1"/>
  <c r="K780" i="18"/>
  <c r="M728" i="18"/>
  <c r="P728" i="18" s="1"/>
  <c r="K707" i="18"/>
  <c r="J674" i="18"/>
  <c r="K674" i="18" s="1"/>
  <c r="L515" i="18"/>
  <c r="O515" i="18" s="1"/>
  <c r="L516" i="18"/>
  <c r="O516" i="18" s="1"/>
  <c r="L323" i="18"/>
  <c r="O323" i="18" s="1"/>
  <c r="L322" i="18"/>
  <c r="L320" i="18" s="1"/>
  <c r="O320" i="18" s="1"/>
  <c r="O325" i="18"/>
  <c r="I253" i="18"/>
  <c r="K253" i="18" s="1"/>
  <c r="K260" i="18"/>
  <c r="I92" i="18"/>
  <c r="K92" i="18" s="1"/>
  <c r="K108" i="18"/>
  <c r="M75" i="18"/>
  <c r="P75" i="18" s="1"/>
  <c r="P77" i="18"/>
  <c r="S763" i="17"/>
  <c r="T763" i="17" s="1"/>
  <c r="I701" i="17"/>
  <c r="K679" i="17"/>
  <c r="T765" i="18"/>
  <c r="R763" i="18"/>
  <c r="U763" i="18" s="1"/>
  <c r="L760" i="18"/>
  <c r="O760" i="18" s="1"/>
  <c r="R731" i="18"/>
  <c r="U731" i="18" s="1"/>
  <c r="L714" i="18"/>
  <c r="O714" i="18" s="1"/>
  <c r="R714" i="18"/>
  <c r="U714" i="18" s="1"/>
  <c r="J702" i="18"/>
  <c r="N305" i="18"/>
  <c r="N303" i="18" s="1"/>
  <c r="N306" i="18"/>
  <c r="R188" i="18"/>
  <c r="R186" i="18" s="1"/>
  <c r="R189" i="18"/>
  <c r="U189" i="18" s="1"/>
  <c r="M159" i="18"/>
  <c r="P159" i="18" s="1"/>
  <c r="M160" i="18"/>
  <c r="P160" i="18" s="1"/>
  <c r="P162" i="18"/>
  <c r="Q59" i="18"/>
  <c r="T59" i="18" s="1"/>
  <c r="T60" i="18"/>
  <c r="T607" i="17"/>
  <c r="N142" i="17"/>
  <c r="P125" i="17"/>
  <c r="Q762" i="18"/>
  <c r="T762" i="18" s="1"/>
  <c r="R760" i="18"/>
  <c r="U760" i="18" s="1"/>
  <c r="Q731" i="18"/>
  <c r="T731" i="18" s="1"/>
  <c r="N728" i="18"/>
  <c r="M714" i="18"/>
  <c r="P714" i="18" s="1"/>
  <c r="S693" i="18"/>
  <c r="U693" i="18" s="1"/>
  <c r="M605" i="18"/>
  <c r="P605" i="18" s="1"/>
  <c r="P607" i="18"/>
  <c r="R333" i="18"/>
  <c r="U333" i="18" s="1"/>
  <c r="S96" i="18"/>
  <c r="S94" i="18" s="1"/>
  <c r="S97" i="18"/>
  <c r="T97" i="18" s="1"/>
  <c r="U765" i="17"/>
  <c r="O581" i="17"/>
  <c r="L537" i="17"/>
  <c r="O537" i="17" s="1"/>
  <c r="K365" i="17"/>
  <c r="K368" i="17"/>
  <c r="L322" i="17"/>
  <c r="L320" i="17" s="1"/>
  <c r="R188" i="17"/>
  <c r="R74" i="17"/>
  <c r="U74" i="17" s="1"/>
  <c r="K784" i="18"/>
  <c r="K774" i="18"/>
  <c r="M760" i="18"/>
  <c r="P760" i="18" s="1"/>
  <c r="T715" i="18"/>
  <c r="N714" i="18"/>
  <c r="K705" i="18"/>
  <c r="T695" i="18"/>
  <c r="R692" i="18"/>
  <c r="U692" i="18" s="1"/>
  <c r="L690" i="18"/>
  <c r="O690" i="18" s="1"/>
  <c r="M601" i="18"/>
  <c r="M599" i="18" s="1"/>
  <c r="P599" i="18" s="1"/>
  <c r="M602" i="18"/>
  <c r="P602" i="18" s="1"/>
  <c r="P604" i="18"/>
  <c r="P418" i="18"/>
  <c r="M415" i="18"/>
  <c r="M416" i="18"/>
  <c r="P416" i="18" s="1"/>
  <c r="M284" i="18"/>
  <c r="P284" i="18" s="1"/>
  <c r="P287" i="18"/>
  <c r="M285" i="18"/>
  <c r="P285" i="18" s="1"/>
  <c r="M163" i="18"/>
  <c r="P163" i="18" s="1"/>
  <c r="P165" i="18"/>
  <c r="M62" i="18"/>
  <c r="P62" i="18" s="1"/>
  <c r="P64" i="18"/>
  <c r="M499" i="17"/>
  <c r="P499" i="17" s="1"/>
  <c r="P361" i="17"/>
  <c r="L236" i="17"/>
  <c r="I240" i="17"/>
  <c r="K240" i="17" s="1"/>
  <c r="P80" i="17"/>
  <c r="K726" i="18"/>
  <c r="S601" i="18"/>
  <c r="S599" i="18" s="1"/>
  <c r="R605" i="18"/>
  <c r="U605" i="18" s="1"/>
  <c r="R601" i="18"/>
  <c r="U601" i="18" s="1"/>
  <c r="L601" i="18"/>
  <c r="O601" i="18" s="1"/>
  <c r="R602" i="18"/>
  <c r="U602" i="18" s="1"/>
  <c r="M578" i="18"/>
  <c r="T577" i="18"/>
  <c r="P498" i="18"/>
  <c r="N419" i="18"/>
  <c r="U380" i="18"/>
  <c r="P361" i="18"/>
  <c r="M358" i="18"/>
  <c r="M356" i="18" s="1"/>
  <c r="R320" i="18"/>
  <c r="U320" i="18" s="1"/>
  <c r="Q320" i="18"/>
  <c r="T320" i="18" s="1"/>
  <c r="K314" i="18"/>
  <c r="M305" i="18"/>
  <c r="P305" i="18" s="1"/>
  <c r="S306" i="18"/>
  <c r="U306" i="18" s="1"/>
  <c r="S303" i="18"/>
  <c r="M288" i="18"/>
  <c r="P288" i="18" s="1"/>
  <c r="R282" i="18"/>
  <c r="U282" i="18" s="1"/>
  <c r="L268" i="18"/>
  <c r="L266" i="18" s="1"/>
  <c r="L269" i="18"/>
  <c r="K249" i="18"/>
  <c r="K229" i="18"/>
  <c r="T214" i="18"/>
  <c r="O189" i="18"/>
  <c r="P181" i="18"/>
  <c r="O178" i="18"/>
  <c r="S160" i="18"/>
  <c r="I138" i="18"/>
  <c r="K138" i="18" s="1"/>
  <c r="N119" i="18"/>
  <c r="N117" i="18" s="1"/>
  <c r="U99" i="18"/>
  <c r="L74" i="18"/>
  <c r="L72" i="18" s="1"/>
  <c r="O72" i="18" s="1"/>
  <c r="L75" i="18"/>
  <c r="O75" i="18" s="1"/>
  <c r="L61" i="18"/>
  <c r="L59" i="18" s="1"/>
  <c r="R44" i="18"/>
  <c r="U44" i="18" s="1"/>
  <c r="K652" i="18"/>
  <c r="K626" i="18"/>
  <c r="S576" i="18"/>
  <c r="N495" i="18"/>
  <c r="N493" i="18" s="1"/>
  <c r="K292" i="18"/>
  <c r="K276" i="18"/>
  <c r="I238" i="18"/>
  <c r="K238" i="18" s="1"/>
  <c r="L203" i="18"/>
  <c r="O203" i="18" s="1"/>
  <c r="R192" i="18"/>
  <c r="U192" i="18" s="1"/>
  <c r="P191" i="18"/>
  <c r="L188" i="18"/>
  <c r="L186" i="18" s="1"/>
  <c r="N175" i="18"/>
  <c r="N173" i="18" s="1"/>
  <c r="L175" i="18"/>
  <c r="Q160" i="18"/>
  <c r="T160" i="18" s="1"/>
  <c r="M119" i="18"/>
  <c r="P119" i="18" s="1"/>
  <c r="R74" i="18"/>
  <c r="U74" i="18" s="1"/>
  <c r="N557" i="18"/>
  <c r="N555" i="18" s="1"/>
  <c r="N558" i="18"/>
  <c r="M377" i="18"/>
  <c r="P377" i="18" s="1"/>
  <c r="K198" i="18"/>
  <c r="M175" i="18"/>
  <c r="M173" i="18" s="1"/>
  <c r="N141" i="18"/>
  <c r="N139" i="18" s="1"/>
  <c r="I137" i="18"/>
  <c r="K137" i="18" s="1"/>
  <c r="S120" i="18"/>
  <c r="T120" i="18" s="1"/>
  <c r="K615" i="18"/>
  <c r="O607" i="18"/>
  <c r="L602" i="18"/>
  <c r="O602" i="18" s="1"/>
  <c r="N515" i="18"/>
  <c r="N513" i="18" s="1"/>
  <c r="R394" i="18"/>
  <c r="U394" i="18" s="1"/>
  <c r="S378" i="18"/>
  <c r="U378" i="18" s="1"/>
  <c r="K369" i="18"/>
  <c r="N322" i="18"/>
  <c r="N320" i="18" s="1"/>
  <c r="U322" i="18"/>
  <c r="T321" i="18"/>
  <c r="P308" i="18"/>
  <c r="L254" i="18"/>
  <c r="O254" i="18" s="1"/>
  <c r="O176" i="18"/>
  <c r="S176" i="18"/>
  <c r="U176" i="18" s="1"/>
  <c r="M100" i="18"/>
  <c r="P100" i="18" s="1"/>
  <c r="S59" i="18"/>
  <c r="J675" i="18"/>
  <c r="K675" i="18" s="1"/>
  <c r="K661" i="18"/>
  <c r="K629" i="18"/>
  <c r="U604" i="18"/>
  <c r="N601" i="18"/>
  <c r="N599" i="18" s="1"/>
  <c r="M579" i="18"/>
  <c r="P579" i="18" s="1"/>
  <c r="L557" i="18"/>
  <c r="O557" i="18" s="1"/>
  <c r="O521" i="18"/>
  <c r="R493" i="18"/>
  <c r="U493" i="18" s="1"/>
  <c r="U397" i="18"/>
  <c r="Q394" i="18"/>
  <c r="T394" i="18" s="1"/>
  <c r="L339" i="18"/>
  <c r="O339" i="18" s="1"/>
  <c r="L335" i="18"/>
  <c r="L333" i="18" s="1"/>
  <c r="P311" i="18"/>
  <c r="K293" i="18"/>
  <c r="T284" i="18"/>
  <c r="L234" i="18"/>
  <c r="N232" i="18"/>
  <c r="K213" i="18"/>
  <c r="S188" i="18"/>
  <c r="S186" i="18" s="1"/>
  <c r="O191" i="18"/>
  <c r="T178" i="18"/>
  <c r="Q176" i="18"/>
  <c r="N159" i="18"/>
  <c r="N157" i="18" s="1"/>
  <c r="L160" i="18"/>
  <c r="O160" i="18" s="1"/>
  <c r="L145" i="18"/>
  <c r="O145" i="18" s="1"/>
  <c r="R142" i="18"/>
  <c r="U142" i="18" s="1"/>
  <c r="T122" i="18"/>
  <c r="N120" i="18"/>
  <c r="T99" i="18"/>
  <c r="O99" i="18"/>
  <c r="R59" i="18"/>
  <c r="U59" i="18" s="1"/>
  <c r="T45" i="18"/>
  <c r="T695" i="17"/>
  <c r="K630" i="17"/>
  <c r="N601" i="17"/>
  <c r="N599" i="17" s="1"/>
  <c r="P581" i="17"/>
  <c r="P561" i="17"/>
  <c r="T498" i="17"/>
  <c r="K484" i="17"/>
  <c r="S377" i="17"/>
  <c r="S375" i="17" s="1"/>
  <c r="O359" i="17"/>
  <c r="O311" i="17"/>
  <c r="M309" i="17"/>
  <c r="P309" i="17" s="1"/>
  <c r="L306" i="17"/>
  <c r="O306" i="17" s="1"/>
  <c r="K276" i="17"/>
  <c r="Q266" i="17"/>
  <c r="U194" i="17"/>
  <c r="M159" i="17"/>
  <c r="M157" i="17" s="1"/>
  <c r="S160" i="17"/>
  <c r="N119" i="17"/>
  <c r="N117" i="17" s="1"/>
  <c r="O97" i="17"/>
  <c r="K779" i="18"/>
  <c r="S730" i="18"/>
  <c r="U730" i="18" s="1"/>
  <c r="O716" i="18"/>
  <c r="J701" i="18"/>
  <c r="U695" i="18"/>
  <c r="Q692" i="18"/>
  <c r="I689" i="18"/>
  <c r="K689" i="18" s="1"/>
  <c r="P643" i="18"/>
  <c r="Q618" i="18"/>
  <c r="Q616" i="18" s="1"/>
  <c r="T621" i="18"/>
  <c r="S618" i="18"/>
  <c r="S616" i="18" s="1"/>
  <c r="M616" i="18"/>
  <c r="P616" i="18" s="1"/>
  <c r="Q605" i="18"/>
  <c r="T605" i="18" s="1"/>
  <c r="Q601" i="18"/>
  <c r="M536" i="18"/>
  <c r="P536" i="18" s="1"/>
  <c r="P539" i="18"/>
  <c r="O535" i="18"/>
  <c r="O514" i="18"/>
  <c r="K505" i="18"/>
  <c r="J503" i="18"/>
  <c r="J492" i="18" s="1"/>
  <c r="P421" i="18"/>
  <c r="M419" i="18"/>
  <c r="P419" i="18" s="1"/>
  <c r="O414" i="18"/>
  <c r="L362" i="18"/>
  <c r="O362" i="18" s="1"/>
  <c r="O364" i="18"/>
  <c r="K209" i="18"/>
  <c r="I202" i="18"/>
  <c r="K202" i="18" s="1"/>
  <c r="O560" i="18"/>
  <c r="L558" i="18"/>
  <c r="O558" i="18" s="1"/>
  <c r="P394" i="18"/>
  <c r="M392" i="18"/>
  <c r="P392" i="18" s="1"/>
  <c r="S690" i="17"/>
  <c r="Q602" i="17"/>
  <c r="T602" i="17" s="1"/>
  <c r="O561" i="17"/>
  <c r="M536" i="17"/>
  <c r="M534" i="17" s="1"/>
  <c r="P534" i="17" s="1"/>
  <c r="L515" i="17"/>
  <c r="O515" i="17" s="1"/>
  <c r="N515" i="17"/>
  <c r="N513" i="17" s="1"/>
  <c r="L233" i="17"/>
  <c r="L203" i="17"/>
  <c r="O203" i="17" s="1"/>
  <c r="M192" i="17"/>
  <c r="P192" i="17" s="1"/>
  <c r="R618" i="18"/>
  <c r="R616" i="18" s="1"/>
  <c r="L616" i="18"/>
  <c r="O616" i="18" s="1"/>
  <c r="O617" i="18"/>
  <c r="Q602" i="18"/>
  <c r="T602" i="18" s="1"/>
  <c r="S555" i="18"/>
  <c r="O556" i="18"/>
  <c r="O421" i="18"/>
  <c r="L419" i="18"/>
  <c r="O419" i="18" s="1"/>
  <c r="U414" i="18"/>
  <c r="L392" i="18"/>
  <c r="O392" i="18" s="1"/>
  <c r="O393" i="18"/>
  <c r="I374" i="18"/>
  <c r="K386" i="18"/>
  <c r="O283" i="18"/>
  <c r="K783" i="17"/>
  <c r="J702" i="17"/>
  <c r="T621" i="17"/>
  <c r="P521" i="17"/>
  <c r="N416" i="17"/>
  <c r="P416" i="17" s="1"/>
  <c r="O383" i="17"/>
  <c r="O364" i="17"/>
  <c r="K346" i="17"/>
  <c r="L284" i="17"/>
  <c r="L282" i="17" s="1"/>
  <c r="L188" i="17"/>
  <c r="L186" i="17" s="1"/>
  <c r="U80" i="17"/>
  <c r="K783" i="18"/>
  <c r="L728" i="18"/>
  <c r="O728" i="18" s="1"/>
  <c r="U643" i="18"/>
  <c r="K630" i="18"/>
  <c r="U617" i="18"/>
  <c r="P584" i="18"/>
  <c r="M582" i="18"/>
  <c r="P582" i="18" s="1"/>
  <c r="N578" i="18"/>
  <c r="N576" i="18" s="1"/>
  <c r="R555" i="18"/>
  <c r="U555" i="18" s="1"/>
  <c r="U556" i="18"/>
  <c r="U514" i="18"/>
  <c r="R513" i="18"/>
  <c r="U513" i="18" s="1"/>
  <c r="L495" i="18"/>
  <c r="I423" i="18"/>
  <c r="U418" i="18"/>
  <c r="R415" i="18"/>
  <c r="U415" i="18" s="1"/>
  <c r="O416" i="18"/>
  <c r="T414" i="18"/>
  <c r="S395" i="18"/>
  <c r="U393" i="18"/>
  <c r="N378" i="18"/>
  <c r="Q356" i="18"/>
  <c r="T356" i="18" s="1"/>
  <c r="T357" i="18"/>
  <c r="S309" i="1"/>
  <c r="P535" i="18"/>
  <c r="K782" i="17"/>
  <c r="K727" i="17"/>
  <c r="K703" i="17"/>
  <c r="J351" i="17"/>
  <c r="M268" i="17"/>
  <c r="M266" i="17" s="1"/>
  <c r="I169" i="17"/>
  <c r="K169" i="17" s="1"/>
  <c r="N62" i="17"/>
  <c r="O62" i="17" s="1"/>
  <c r="U733" i="18"/>
  <c r="M690" i="18"/>
  <c r="P690" i="18" s="1"/>
  <c r="Q644" i="18"/>
  <c r="U621" i="18"/>
  <c r="T617" i="18"/>
  <c r="O584" i="18"/>
  <c r="L582" i="18"/>
  <c r="O582" i="18" s="1"/>
  <c r="Q555" i="18"/>
  <c r="T555" i="18" s="1"/>
  <c r="T556" i="18"/>
  <c r="Q534" i="18"/>
  <c r="T534" i="18" s="1"/>
  <c r="T536" i="18"/>
  <c r="K457" i="18"/>
  <c r="Q416" i="18"/>
  <c r="Q415" i="18"/>
  <c r="T415" i="18" s="1"/>
  <c r="T418" i="18"/>
  <c r="T393" i="18"/>
  <c r="K456" i="18"/>
  <c r="J701" i="17"/>
  <c r="S693" i="17"/>
  <c r="T693" i="17" s="1"/>
  <c r="S493" i="17"/>
  <c r="J332" i="17"/>
  <c r="K332" i="17" s="1"/>
  <c r="P274" i="17"/>
  <c r="L254" i="17"/>
  <c r="O254" i="17" s="1"/>
  <c r="K109" i="17"/>
  <c r="L74" i="17"/>
  <c r="P64" i="17"/>
  <c r="O761" i="18"/>
  <c r="T733" i="18"/>
  <c r="O691" i="18"/>
  <c r="K676" i="18"/>
  <c r="L642" i="18"/>
  <c r="O642" i="18" s="1"/>
  <c r="L578" i="18"/>
  <c r="P560" i="18"/>
  <c r="M558" i="18"/>
  <c r="P558" i="18" s="1"/>
  <c r="Q495" i="18"/>
  <c r="T498" i="18"/>
  <c r="P321" i="18"/>
  <c r="Q303" i="18"/>
  <c r="T305" i="18"/>
  <c r="L288" i="18"/>
  <c r="O288" i="18" s="1"/>
  <c r="O290" i="18"/>
  <c r="U271" i="18"/>
  <c r="S269" i="18"/>
  <c r="T269" i="18" s="1"/>
  <c r="T271" i="18"/>
  <c r="S268" i="18"/>
  <c r="S266" i="18" s="1"/>
  <c r="K368" i="18"/>
  <c r="R266" i="18"/>
  <c r="U267" i="18"/>
  <c r="R119" i="17"/>
  <c r="R117" i="17" s="1"/>
  <c r="N46" i="17"/>
  <c r="N44" i="17" s="1"/>
  <c r="O518" i="18"/>
  <c r="U498" i="18"/>
  <c r="O498" i="18"/>
  <c r="U494" i="18"/>
  <c r="L415" i="18"/>
  <c r="P364" i="18"/>
  <c r="U357" i="18"/>
  <c r="J332" i="18"/>
  <c r="O338" i="18"/>
  <c r="N336" i="18"/>
  <c r="O336" i="18" s="1"/>
  <c r="N335" i="18"/>
  <c r="S320" i="18"/>
  <c r="T308" i="18"/>
  <c r="T267" i="18"/>
  <c r="I240" i="18"/>
  <c r="K240" i="18" s="1"/>
  <c r="K251" i="18"/>
  <c r="L233" i="18"/>
  <c r="L243" i="18"/>
  <c r="L214" i="18"/>
  <c r="O214" i="18" s="1"/>
  <c r="N536" i="18"/>
  <c r="N534" i="18" s="1"/>
  <c r="M515" i="18"/>
  <c r="P515" i="18" s="1"/>
  <c r="M323" i="18"/>
  <c r="P323" i="18" s="1"/>
  <c r="M322" i="18"/>
  <c r="P322" i="18" s="1"/>
  <c r="P325" i="18"/>
  <c r="R305" i="18"/>
  <c r="U305" i="18" s="1"/>
  <c r="O271" i="18"/>
  <c r="N269" i="18"/>
  <c r="N268" i="18"/>
  <c r="N266" i="18" s="1"/>
  <c r="K195" i="18"/>
  <c r="T194" i="18"/>
  <c r="Q192" i="18"/>
  <c r="T192" i="18" s="1"/>
  <c r="L381" i="18"/>
  <c r="O381" i="18" s="1"/>
  <c r="K371" i="18"/>
  <c r="L326" i="18"/>
  <c r="O326" i="18" s="1"/>
  <c r="I319" i="18"/>
  <c r="K319" i="18" s="1"/>
  <c r="O311" i="18"/>
  <c r="L306" i="18"/>
  <c r="O306" i="18" s="1"/>
  <c r="L305" i="18"/>
  <c r="O305" i="18" s="1"/>
  <c r="Q306" i="18"/>
  <c r="P271" i="18"/>
  <c r="M269" i="18"/>
  <c r="O361" i="18"/>
  <c r="L358" i="18"/>
  <c r="L285" i="18"/>
  <c r="O285" i="18" s="1"/>
  <c r="L284" i="18"/>
  <c r="O284" i="18" s="1"/>
  <c r="O287" i="18"/>
  <c r="P283" i="18"/>
  <c r="P274" i="18"/>
  <c r="M272" i="18"/>
  <c r="P272" i="18" s="1"/>
  <c r="M268" i="18"/>
  <c r="O267" i="18"/>
  <c r="Q333" i="18"/>
  <c r="T333" i="18" s="1"/>
  <c r="S19" i="18"/>
  <c r="P147" i="18"/>
  <c r="M145" i="18"/>
  <c r="P145" i="18" s="1"/>
  <c r="Q26" i="18"/>
  <c r="Q188" i="18"/>
  <c r="T191" i="18"/>
  <c r="Q189" i="18"/>
  <c r="T189" i="18" s="1"/>
  <c r="O122" i="18"/>
  <c r="L120" i="18"/>
  <c r="O120" i="18" s="1"/>
  <c r="L119" i="18"/>
  <c r="U95" i="18"/>
  <c r="T140" i="18"/>
  <c r="U122" i="18"/>
  <c r="R120" i="18"/>
  <c r="K87" i="18"/>
  <c r="I83" i="18"/>
  <c r="P47" i="18"/>
  <c r="T243" i="18"/>
  <c r="I241" i="18"/>
  <c r="K241" i="18" s="1"/>
  <c r="U191" i="18"/>
  <c r="N188" i="18"/>
  <c r="U178" i="18"/>
  <c r="P176" i="18"/>
  <c r="R159" i="18"/>
  <c r="S141" i="18"/>
  <c r="S139" i="18" s="1"/>
  <c r="O125" i="18"/>
  <c r="L123" i="18"/>
  <c r="O123" i="18" s="1"/>
  <c r="I82" i="18"/>
  <c r="N26" i="18"/>
  <c r="N24" i="18" s="1"/>
  <c r="Q268" i="18"/>
  <c r="Q266" i="18" s="1"/>
  <c r="S173" i="18"/>
  <c r="R160" i="18"/>
  <c r="U160" i="18" s="1"/>
  <c r="P144" i="18"/>
  <c r="M142" i="18"/>
  <c r="P142" i="18" s="1"/>
  <c r="M141" i="18"/>
  <c r="U125" i="18"/>
  <c r="R123" i="18"/>
  <c r="U123" i="18" s="1"/>
  <c r="N96" i="18"/>
  <c r="N94" i="18" s="1"/>
  <c r="P52" i="18"/>
  <c r="M26" i="18"/>
  <c r="P26" i="18" s="1"/>
  <c r="M50" i="18"/>
  <c r="P50" i="18" s="1"/>
  <c r="R175" i="18"/>
  <c r="R119" i="18"/>
  <c r="L26" i="18"/>
  <c r="O26" i="18" s="1"/>
  <c r="P22" i="18"/>
  <c r="M19" i="18"/>
  <c r="P99" i="18"/>
  <c r="O95" i="18"/>
  <c r="R26" i="18"/>
  <c r="U26" i="18" s="1"/>
  <c r="P67" i="18"/>
  <c r="M65" i="18"/>
  <c r="P65" i="18" s="1"/>
  <c r="P25" i="18"/>
  <c r="Q175" i="18"/>
  <c r="Q159" i="18"/>
  <c r="R141" i="18"/>
  <c r="L141" i="18"/>
  <c r="K127" i="18"/>
  <c r="Q119" i="18"/>
  <c r="M96" i="18"/>
  <c r="I93" i="18"/>
  <c r="K93" i="18" s="1"/>
  <c r="U80" i="18"/>
  <c r="O80" i="18"/>
  <c r="Q78" i="18"/>
  <c r="T78" i="18" s="1"/>
  <c r="U77" i="18"/>
  <c r="O77" i="18"/>
  <c r="Q75" i="18"/>
  <c r="T75" i="18" s="1"/>
  <c r="O64" i="18"/>
  <c r="N50" i="18"/>
  <c r="O49" i="18"/>
  <c r="N23" i="18"/>
  <c r="R19" i="18"/>
  <c r="L19" i="18"/>
  <c r="Q141" i="18"/>
  <c r="T141" i="18" s="1"/>
  <c r="R96" i="18"/>
  <c r="L96" i="18"/>
  <c r="L94" i="18" s="1"/>
  <c r="N74" i="18"/>
  <c r="N72" i="18" s="1"/>
  <c r="N61" i="18"/>
  <c r="N46" i="18"/>
  <c r="S26" i="18"/>
  <c r="S24" i="18" s="1"/>
  <c r="S23" i="18"/>
  <c r="S21" i="18" s="1"/>
  <c r="M23" i="18"/>
  <c r="M21" i="18" s="1"/>
  <c r="Q19" i="18"/>
  <c r="Q96" i="18"/>
  <c r="Q94" i="18" s="1"/>
  <c r="S74" i="18"/>
  <c r="S72" i="18" s="1"/>
  <c r="M74" i="18"/>
  <c r="P74" i="18" s="1"/>
  <c r="M61" i="18"/>
  <c r="M46" i="18"/>
  <c r="R23" i="18"/>
  <c r="R21" i="18" s="1"/>
  <c r="L23" i="18"/>
  <c r="L21" i="18" s="1"/>
  <c r="U187" i="18"/>
  <c r="O187" i="18"/>
  <c r="K183" i="18"/>
  <c r="Q145" i="18"/>
  <c r="T145" i="18" s="1"/>
  <c r="Q142" i="18"/>
  <c r="T142" i="18" s="1"/>
  <c r="L100" i="18"/>
  <c r="O100" i="18" s="1"/>
  <c r="R97" i="18"/>
  <c r="L97" i="18"/>
  <c r="O97" i="18" s="1"/>
  <c r="Q23" i="18"/>
  <c r="K440" i="17"/>
  <c r="J423" i="17"/>
  <c r="J412" i="17" s="1"/>
  <c r="K412" i="17" s="1"/>
  <c r="R642" i="17"/>
  <c r="Q644" i="17"/>
  <c r="Q642" i="17" s="1"/>
  <c r="M557" i="17"/>
  <c r="M555" i="17" s="1"/>
  <c r="O285" i="17"/>
  <c r="K785" i="17"/>
  <c r="T765" i="17"/>
  <c r="R763" i="17"/>
  <c r="I758" i="17"/>
  <c r="K758" i="17" s="1"/>
  <c r="L714" i="17"/>
  <c r="O714" i="17" s="1"/>
  <c r="K709" i="17"/>
  <c r="R645" i="17"/>
  <c r="U645" i="17" s="1"/>
  <c r="K629" i="17"/>
  <c r="S618" i="17"/>
  <c r="S616" i="17" s="1"/>
  <c r="U607" i="17"/>
  <c r="O607" i="17"/>
  <c r="U604" i="17"/>
  <c r="M601" i="17"/>
  <c r="M599" i="17" s="1"/>
  <c r="N557" i="17"/>
  <c r="N555" i="17" s="1"/>
  <c r="N558" i="17"/>
  <c r="S555" i="17"/>
  <c r="U535" i="17"/>
  <c r="L519" i="17"/>
  <c r="O519" i="17" s="1"/>
  <c r="K485" i="17"/>
  <c r="K441" i="17"/>
  <c r="K432" i="17"/>
  <c r="M392" i="17"/>
  <c r="P392" i="17" s="1"/>
  <c r="K330" i="17"/>
  <c r="N305" i="17"/>
  <c r="N303" i="17" s="1"/>
  <c r="R266" i="17"/>
  <c r="L268" i="17"/>
  <c r="L266" i="17" s="1"/>
  <c r="R269" i="17"/>
  <c r="S266" i="17"/>
  <c r="N188" i="17"/>
  <c r="N159" i="17"/>
  <c r="N157" i="17" s="1"/>
  <c r="K152" i="17"/>
  <c r="K127" i="17"/>
  <c r="L100" i="17"/>
  <c r="O100" i="17" s="1"/>
  <c r="U77" i="17"/>
  <c r="N74" i="17"/>
  <c r="N72" i="17" s="1"/>
  <c r="Q19" i="17"/>
  <c r="T19" i="17" s="1"/>
  <c r="S269" i="17"/>
  <c r="S760" i="17"/>
  <c r="P691" i="17"/>
  <c r="S619" i="17"/>
  <c r="T619" i="17" s="1"/>
  <c r="R618" i="17"/>
  <c r="Q576" i="17"/>
  <c r="T576" i="17" s="1"/>
  <c r="M305" i="17"/>
  <c r="M303" i="17" s="1"/>
  <c r="P303" i="17" s="1"/>
  <c r="S306" i="17"/>
  <c r="T268" i="17"/>
  <c r="Q269" i="17"/>
  <c r="J231" i="17"/>
  <c r="J185" i="17" s="1"/>
  <c r="S188" i="17"/>
  <c r="S186" i="17" s="1"/>
  <c r="M188" i="17"/>
  <c r="M186" i="17" s="1"/>
  <c r="S189" i="17"/>
  <c r="T144" i="17"/>
  <c r="K108" i="17"/>
  <c r="T99" i="17"/>
  <c r="O99" i="17"/>
  <c r="R75" i="17"/>
  <c r="U75" i="17" s="1"/>
  <c r="N61" i="17"/>
  <c r="N59" i="17" s="1"/>
  <c r="S59" i="17"/>
  <c r="L46" i="17"/>
  <c r="L44" i="17" s="1"/>
  <c r="Q44" i="17"/>
  <c r="T44" i="17" s="1"/>
  <c r="N78" i="1"/>
  <c r="P326" i="17"/>
  <c r="N714" i="17"/>
  <c r="K705" i="17"/>
  <c r="R692" i="17"/>
  <c r="U692" i="17" s="1"/>
  <c r="T647" i="17"/>
  <c r="U621" i="17"/>
  <c r="Q618" i="17"/>
  <c r="Q616" i="17" s="1"/>
  <c r="L616" i="17"/>
  <c r="O616" i="17" s="1"/>
  <c r="S601" i="17"/>
  <c r="S599" i="17" s="1"/>
  <c r="M582" i="17"/>
  <c r="P582" i="17" s="1"/>
  <c r="M578" i="17"/>
  <c r="P578" i="17" s="1"/>
  <c r="P563" i="17"/>
  <c r="K554" i="17"/>
  <c r="L495" i="17"/>
  <c r="L493" i="17" s="1"/>
  <c r="S413" i="17"/>
  <c r="T380" i="17"/>
  <c r="O361" i="17"/>
  <c r="Q356" i="17"/>
  <c r="T356" i="17" s="1"/>
  <c r="T334" i="17"/>
  <c r="O325" i="17"/>
  <c r="L323" i="17"/>
  <c r="O323" i="17" s="1"/>
  <c r="N322" i="17"/>
  <c r="L305" i="17"/>
  <c r="O305" i="17" s="1"/>
  <c r="R306" i="17"/>
  <c r="R282" i="17"/>
  <c r="U282" i="17" s="1"/>
  <c r="P271" i="17"/>
  <c r="M269" i="17"/>
  <c r="P269" i="17" s="1"/>
  <c r="R189" i="17"/>
  <c r="P158" i="17"/>
  <c r="M19" i="17"/>
  <c r="I138" i="17"/>
  <c r="K138" i="17" s="1"/>
  <c r="L760" i="17"/>
  <c r="O760" i="17" s="1"/>
  <c r="Q692" i="17"/>
  <c r="T692" i="17" s="1"/>
  <c r="N690" i="17"/>
  <c r="K632" i="17"/>
  <c r="O563" i="17"/>
  <c r="Q534" i="17"/>
  <c r="T534" i="17" s="1"/>
  <c r="T514" i="17"/>
  <c r="P498" i="17"/>
  <c r="P421" i="17"/>
  <c r="M415" i="17"/>
  <c r="M413" i="17" s="1"/>
  <c r="S416" i="17"/>
  <c r="U416" i="17" s="1"/>
  <c r="Q378" i="17"/>
  <c r="T378" i="17" s="1"/>
  <c r="Q375" i="17"/>
  <c r="T375" i="17" s="1"/>
  <c r="P336" i="17"/>
  <c r="S333" i="17"/>
  <c r="R333" i="17"/>
  <c r="U333" i="17" s="1"/>
  <c r="S320" i="17"/>
  <c r="Q320" i="17"/>
  <c r="T320" i="17" s="1"/>
  <c r="N306" i="17"/>
  <c r="K293" i="17"/>
  <c r="P287" i="17"/>
  <c r="O283" i="17"/>
  <c r="U271" i="17"/>
  <c r="O271" i="17"/>
  <c r="L269" i="17"/>
  <c r="O269" i="17" s="1"/>
  <c r="K220" i="17"/>
  <c r="N189" i="17"/>
  <c r="O189" i="17" s="1"/>
  <c r="L179" i="17"/>
  <c r="O179" i="17" s="1"/>
  <c r="K167" i="17"/>
  <c r="M160" i="17"/>
  <c r="P160" i="17" s="1"/>
  <c r="Q145" i="17"/>
  <c r="T145" i="17" s="1"/>
  <c r="M119" i="17"/>
  <c r="S96" i="17"/>
  <c r="S94" i="17" s="1"/>
  <c r="Q74" i="17"/>
  <c r="Q72" i="17" s="1"/>
  <c r="T72" i="17" s="1"/>
  <c r="N75" i="17"/>
  <c r="P49" i="17"/>
  <c r="N47" i="17"/>
  <c r="P47" i="17" s="1"/>
  <c r="L19" i="17"/>
  <c r="K781" i="17"/>
  <c r="K774" i="17"/>
  <c r="U695" i="17"/>
  <c r="J675" i="17"/>
  <c r="K675" i="17" s="1"/>
  <c r="Q601" i="17"/>
  <c r="P539" i="17"/>
  <c r="K503" i="17"/>
  <c r="O501" i="17"/>
  <c r="M495" i="17"/>
  <c r="M493" i="17" s="1"/>
  <c r="S496" i="17"/>
  <c r="T496" i="17" s="1"/>
  <c r="K433" i="17"/>
  <c r="K424" i="17"/>
  <c r="U418" i="17"/>
  <c r="Q416" i="17"/>
  <c r="N392" i="17"/>
  <c r="L392" i="17"/>
  <c r="O392" i="17" s="1"/>
  <c r="P328" i="17"/>
  <c r="P308" i="17"/>
  <c r="M306" i="17"/>
  <c r="P306" i="17" s="1"/>
  <c r="O287" i="17"/>
  <c r="P285" i="17"/>
  <c r="T271" i="17"/>
  <c r="K229" i="17"/>
  <c r="L222" i="17"/>
  <c r="O222" i="17" s="1"/>
  <c r="P191" i="17"/>
  <c r="M189" i="17"/>
  <c r="T178" i="17"/>
  <c r="Q142" i="17"/>
  <c r="T142" i="17" s="1"/>
  <c r="S119" i="17"/>
  <c r="S117" i="17" s="1"/>
  <c r="L119" i="17"/>
  <c r="O119" i="17" s="1"/>
  <c r="N120" i="17"/>
  <c r="T97" i="17"/>
  <c r="N96" i="17"/>
  <c r="N94" i="17" s="1"/>
  <c r="P77" i="17"/>
  <c r="L75" i="17"/>
  <c r="O75" i="17" s="1"/>
  <c r="O49" i="17"/>
  <c r="L47" i="17"/>
  <c r="R760" i="17"/>
  <c r="U762" i="17"/>
  <c r="T394" i="17"/>
  <c r="Q392" i="17"/>
  <c r="T392" i="17" s="1"/>
  <c r="M760" i="17"/>
  <c r="P760" i="17" s="1"/>
  <c r="M714" i="17"/>
  <c r="P714" i="17" s="1"/>
  <c r="P715" i="17"/>
  <c r="T645" i="17"/>
  <c r="L419" i="17"/>
  <c r="O419" i="17" s="1"/>
  <c r="O421" i="17"/>
  <c r="U414" i="17"/>
  <c r="U144" i="17"/>
  <c r="R142" i="17"/>
  <c r="U142" i="17" s="1"/>
  <c r="R141" i="17"/>
  <c r="O560" i="17"/>
  <c r="L558" i="17"/>
  <c r="O558" i="17" s="1"/>
  <c r="O542" i="17"/>
  <c r="L540" i="17"/>
  <c r="O540" i="17" s="1"/>
  <c r="O321" i="17"/>
  <c r="S731" i="17"/>
  <c r="T731" i="17" s="1"/>
  <c r="S730" i="17"/>
  <c r="S728" i="17" s="1"/>
  <c r="L690" i="17"/>
  <c r="O690" i="17" s="1"/>
  <c r="J615" i="17"/>
  <c r="K626" i="17"/>
  <c r="K615" i="17"/>
  <c r="P600" i="17"/>
  <c r="N578" i="17"/>
  <c r="N576" i="17" s="1"/>
  <c r="P577" i="17"/>
  <c r="U557" i="17"/>
  <c r="R555" i="17"/>
  <c r="U555" i="17" s="1"/>
  <c r="Q555" i="17"/>
  <c r="T555" i="17" s="1"/>
  <c r="T556" i="17"/>
  <c r="P494" i="17"/>
  <c r="Q413" i="17"/>
  <c r="T415" i="17"/>
  <c r="P147" i="17"/>
  <c r="M145" i="17"/>
  <c r="P145" i="17" s="1"/>
  <c r="M141" i="17"/>
  <c r="P52" i="17"/>
  <c r="M26" i="17"/>
  <c r="M24" i="17" s="1"/>
  <c r="M50" i="17"/>
  <c r="P50" i="17" s="1"/>
  <c r="S60" i="1"/>
  <c r="R730" i="17"/>
  <c r="U733" i="17"/>
  <c r="R714" i="17"/>
  <c r="U714" i="17" s="1"/>
  <c r="J674" i="17"/>
  <c r="K674" i="17" s="1"/>
  <c r="O600" i="17"/>
  <c r="O577" i="17"/>
  <c r="M516" i="17"/>
  <c r="P516" i="17" s="1"/>
  <c r="M515" i="17"/>
  <c r="P515" i="17" s="1"/>
  <c r="P518" i="17"/>
  <c r="P514" i="17"/>
  <c r="R496" i="17"/>
  <c r="U498" i="17"/>
  <c r="I456" i="17"/>
  <c r="O418" i="17"/>
  <c r="R395" i="17"/>
  <c r="U395" i="17" s="1"/>
  <c r="R394" i="17"/>
  <c r="U394" i="17" s="1"/>
  <c r="U397" i="17"/>
  <c r="N378" i="17"/>
  <c r="N377" i="17"/>
  <c r="N375" i="17" s="1"/>
  <c r="L335" i="17"/>
  <c r="O338" i="17"/>
  <c r="L336" i="17"/>
  <c r="O336" i="17" s="1"/>
  <c r="P604" i="17"/>
  <c r="N602" i="17"/>
  <c r="P602" i="17" s="1"/>
  <c r="Q730" i="17"/>
  <c r="T733" i="17"/>
  <c r="L728" i="17"/>
  <c r="O728" i="17" s="1"/>
  <c r="I689" i="17"/>
  <c r="K689" i="17" s="1"/>
  <c r="K707" i="17"/>
  <c r="O584" i="17"/>
  <c r="L582" i="17"/>
  <c r="O582" i="17" s="1"/>
  <c r="N537" i="17"/>
  <c r="N536" i="17"/>
  <c r="N534" i="17" s="1"/>
  <c r="O518" i="17"/>
  <c r="L516" i="17"/>
  <c r="O516" i="17" s="1"/>
  <c r="N415" i="17"/>
  <c r="N413" i="17" s="1"/>
  <c r="Q395" i="17"/>
  <c r="T395" i="17" s="1"/>
  <c r="T397" i="17"/>
  <c r="U305" i="17"/>
  <c r="R303" i="17"/>
  <c r="U303" i="17" s="1"/>
  <c r="M728" i="17"/>
  <c r="P728" i="17" s="1"/>
  <c r="P729" i="17"/>
  <c r="U647" i="17"/>
  <c r="S644" i="17"/>
  <c r="S642" i="17" s="1"/>
  <c r="O604" i="17"/>
  <c r="U600" i="17"/>
  <c r="R576" i="17"/>
  <c r="U576" i="17" s="1"/>
  <c r="U577" i="17"/>
  <c r="P560" i="17"/>
  <c r="M558" i="17"/>
  <c r="P558" i="17" s="1"/>
  <c r="L557" i="17"/>
  <c r="Q495" i="17"/>
  <c r="O414" i="17"/>
  <c r="I172" i="17"/>
  <c r="K172" i="17" s="1"/>
  <c r="K183" i="17"/>
  <c r="K631" i="17"/>
  <c r="S513" i="17"/>
  <c r="O498" i="17"/>
  <c r="N496" i="17"/>
  <c r="P496" i="17" s="1"/>
  <c r="R493" i="17"/>
  <c r="J457" i="17"/>
  <c r="J456" i="17" s="1"/>
  <c r="T418" i="17"/>
  <c r="L415" i="17"/>
  <c r="K209" i="17"/>
  <c r="I202" i="17"/>
  <c r="K202" i="17" s="1"/>
  <c r="O165" i="17"/>
  <c r="L163" i="17"/>
  <c r="O163" i="17" s="1"/>
  <c r="U162" i="17"/>
  <c r="R160" i="17"/>
  <c r="U160" i="17" s="1"/>
  <c r="R159" i="17"/>
  <c r="U159" i="17" s="1"/>
  <c r="P73" i="17"/>
  <c r="K678" i="17"/>
  <c r="R601" i="17"/>
  <c r="U601" i="17" s="1"/>
  <c r="L601" i="17"/>
  <c r="L578" i="17"/>
  <c r="O578" i="17" s="1"/>
  <c r="L536" i="17"/>
  <c r="O536" i="17" s="1"/>
  <c r="N495" i="17"/>
  <c r="N493" i="17" s="1"/>
  <c r="R378" i="17"/>
  <c r="U378" i="17" s="1"/>
  <c r="R377" i="17"/>
  <c r="U377" i="17" s="1"/>
  <c r="N284" i="17"/>
  <c r="K260" i="17"/>
  <c r="T243" i="17"/>
  <c r="Q232" i="17"/>
  <c r="Q188" i="17"/>
  <c r="Q186" i="17" s="1"/>
  <c r="T162" i="17"/>
  <c r="Q160" i="17"/>
  <c r="T160" i="17" s="1"/>
  <c r="Q159" i="17"/>
  <c r="R26" i="17"/>
  <c r="U26" i="17" s="1"/>
  <c r="P19" i="17"/>
  <c r="R415" i="17"/>
  <c r="U415" i="17" s="1"/>
  <c r="P290" i="17"/>
  <c r="M288" i="17"/>
  <c r="P288" i="17" s="1"/>
  <c r="M284" i="17"/>
  <c r="T194" i="17"/>
  <c r="Q192" i="17"/>
  <c r="T192" i="17" s="1"/>
  <c r="M175" i="17"/>
  <c r="P178" i="17"/>
  <c r="U25" i="17"/>
  <c r="O19" i="17"/>
  <c r="R513" i="17"/>
  <c r="U513" i="17" s="1"/>
  <c r="K423" i="17"/>
  <c r="M381" i="17"/>
  <c r="P381" i="17" s="1"/>
  <c r="P357" i="17"/>
  <c r="M176" i="17"/>
  <c r="K371" i="17"/>
  <c r="K369" i="17"/>
  <c r="N358" i="17"/>
  <c r="N356" i="17" s="1"/>
  <c r="R356" i="17"/>
  <c r="U356" i="17" s="1"/>
  <c r="O341" i="17"/>
  <c r="P338" i="17"/>
  <c r="N335" i="17"/>
  <c r="N333" i="17" s="1"/>
  <c r="P334" i="17"/>
  <c r="R320" i="17"/>
  <c r="U320" i="17" s="1"/>
  <c r="U321" i="17"/>
  <c r="T308" i="17"/>
  <c r="Q306" i="17"/>
  <c r="K292" i="17"/>
  <c r="K252" i="17"/>
  <c r="I241" i="17"/>
  <c r="K241" i="17" s="1"/>
  <c r="L234" i="17"/>
  <c r="L243" i="17"/>
  <c r="N232" i="17"/>
  <c r="L214" i="17"/>
  <c r="O214" i="17" s="1"/>
  <c r="I195" i="17"/>
  <c r="K195" i="17" s="1"/>
  <c r="S175" i="17"/>
  <c r="S173" i="17" s="1"/>
  <c r="S176" i="17"/>
  <c r="K154" i="17"/>
  <c r="O147" i="17"/>
  <c r="L145" i="17"/>
  <c r="O145" i="17" s="1"/>
  <c r="Q26" i="17"/>
  <c r="O52" i="17"/>
  <c r="L26" i="17"/>
  <c r="L24" i="17" s="1"/>
  <c r="L50" i="17"/>
  <c r="O50" i="17" s="1"/>
  <c r="O328" i="17"/>
  <c r="L326" i="17"/>
  <c r="O326" i="17" s="1"/>
  <c r="P267" i="17"/>
  <c r="T122" i="17"/>
  <c r="Q120" i="17"/>
  <c r="T120" i="17" s="1"/>
  <c r="Q119" i="17"/>
  <c r="P99" i="17"/>
  <c r="M97" i="17"/>
  <c r="P97" i="17" s="1"/>
  <c r="M96" i="17"/>
  <c r="U22" i="17"/>
  <c r="M359" i="17"/>
  <c r="P359" i="17" s="1"/>
  <c r="M358" i="17"/>
  <c r="M356" i="17" s="1"/>
  <c r="Q282" i="17"/>
  <c r="T282" i="17" s="1"/>
  <c r="L159" i="17"/>
  <c r="O125" i="17"/>
  <c r="L123" i="17"/>
  <c r="O123" i="17" s="1"/>
  <c r="P45" i="17"/>
  <c r="M377" i="17"/>
  <c r="P377" i="17" s="1"/>
  <c r="L358" i="17"/>
  <c r="L356" i="17" s="1"/>
  <c r="J343" i="17"/>
  <c r="M339" i="17"/>
  <c r="P339" i="17" s="1"/>
  <c r="M335" i="17"/>
  <c r="P321" i="17"/>
  <c r="T305" i="17"/>
  <c r="Q303" i="17"/>
  <c r="T303" i="17" s="1"/>
  <c r="I238" i="17"/>
  <c r="K238" i="17" s="1"/>
  <c r="I231" i="17"/>
  <c r="T191" i="17"/>
  <c r="Q189" i="17"/>
  <c r="P181" i="17"/>
  <c r="M179" i="17"/>
  <c r="P179" i="17" s="1"/>
  <c r="N176" i="17"/>
  <c r="O176" i="17" s="1"/>
  <c r="N175" i="17"/>
  <c r="N173" i="17" s="1"/>
  <c r="R19" i="17"/>
  <c r="M322" i="17"/>
  <c r="U308" i="17"/>
  <c r="N268" i="17"/>
  <c r="N266" i="17" s="1"/>
  <c r="U191" i="17"/>
  <c r="R175" i="17"/>
  <c r="U175" i="17" s="1"/>
  <c r="S141" i="17"/>
  <c r="S139" i="17" s="1"/>
  <c r="U125" i="17"/>
  <c r="R123" i="17"/>
  <c r="U123" i="17" s="1"/>
  <c r="O95" i="17"/>
  <c r="L377" i="17"/>
  <c r="O377" i="17" s="1"/>
  <c r="K344" i="17"/>
  <c r="K314" i="17"/>
  <c r="K249" i="17"/>
  <c r="Q176" i="17"/>
  <c r="T176" i="17" s="1"/>
  <c r="U147" i="17"/>
  <c r="R145" i="17"/>
  <c r="U145" i="17" s="1"/>
  <c r="P144" i="17"/>
  <c r="M142" i="17"/>
  <c r="T140" i="17"/>
  <c r="T125" i="17"/>
  <c r="Q123" i="17"/>
  <c r="T123" i="17" s="1"/>
  <c r="U99" i="17"/>
  <c r="I82" i="17"/>
  <c r="N26" i="17"/>
  <c r="N24" i="17" s="1"/>
  <c r="P25" i="17"/>
  <c r="M323" i="17"/>
  <c r="P323" i="17" s="1"/>
  <c r="L288" i="17"/>
  <c r="O288" i="17" s="1"/>
  <c r="Q173" i="17"/>
  <c r="T173" i="17" s="1"/>
  <c r="O162" i="17"/>
  <c r="L160" i="17"/>
  <c r="O160" i="17" s="1"/>
  <c r="O144" i="17"/>
  <c r="L142" i="17"/>
  <c r="O122" i="17"/>
  <c r="L120" i="17"/>
  <c r="O120" i="17" s="1"/>
  <c r="U95" i="17"/>
  <c r="I83" i="17"/>
  <c r="P67" i="17"/>
  <c r="M65" i="17"/>
  <c r="P65" i="17" s="1"/>
  <c r="P60" i="17"/>
  <c r="O25" i="17"/>
  <c r="N23" i="17"/>
  <c r="P22" i="17"/>
  <c r="U178" i="17"/>
  <c r="O178" i="17"/>
  <c r="L175" i="17"/>
  <c r="L141" i="17"/>
  <c r="U122" i="17"/>
  <c r="R120" i="17"/>
  <c r="U120" i="17" s="1"/>
  <c r="P102" i="17"/>
  <c r="M100" i="17"/>
  <c r="P100" i="17" s="1"/>
  <c r="T95" i="17"/>
  <c r="O67" i="17"/>
  <c r="L65" i="17"/>
  <c r="O65" i="17" s="1"/>
  <c r="L61" i="17"/>
  <c r="O22" i="17"/>
  <c r="P162" i="17"/>
  <c r="Q141" i="17"/>
  <c r="R96" i="17"/>
  <c r="L96" i="17"/>
  <c r="T80" i="17"/>
  <c r="T77" i="17"/>
  <c r="S26" i="17"/>
  <c r="S24" i="17" s="1"/>
  <c r="S23" i="17"/>
  <c r="M23" i="17"/>
  <c r="I168" i="17"/>
  <c r="K168" i="17" s="1"/>
  <c r="Q96" i="17"/>
  <c r="K85" i="17"/>
  <c r="S74" i="17"/>
  <c r="S72" i="17" s="1"/>
  <c r="M74" i="17"/>
  <c r="P74" i="17" s="1"/>
  <c r="M61" i="17"/>
  <c r="M46" i="17"/>
  <c r="R23" i="17"/>
  <c r="R21" i="17" s="1"/>
  <c r="L23" i="17"/>
  <c r="Q23" i="17"/>
  <c r="S189" i="1"/>
  <c r="Q762" i="1"/>
  <c r="S145" i="1"/>
  <c r="S414" i="1"/>
  <c r="N100" i="1"/>
  <c r="Q693" i="1"/>
  <c r="S537" i="1"/>
  <c r="S285" i="1"/>
  <c r="S118" i="1"/>
  <c r="S117" i="1" s="1"/>
  <c r="S540" i="1"/>
  <c r="S516" i="1"/>
  <c r="M322" i="1"/>
  <c r="M320" i="1" s="1"/>
  <c r="S335" i="1"/>
  <c r="N272" i="1"/>
  <c r="K652" i="1"/>
  <c r="K673" i="1"/>
  <c r="K681" i="1"/>
  <c r="K703" i="1"/>
  <c r="N97" i="1"/>
  <c r="M142" i="1"/>
  <c r="N192" i="1"/>
  <c r="P192" i="1" s="1"/>
  <c r="L359" i="1"/>
  <c r="S691" i="1"/>
  <c r="I185" i="1"/>
  <c r="K185" i="1" s="1"/>
  <c r="K709" i="1"/>
  <c r="K276" i="1"/>
  <c r="U730" i="1"/>
  <c r="R416" i="1"/>
  <c r="R378" i="1"/>
  <c r="K586" i="1"/>
  <c r="N763" i="1"/>
  <c r="T733" i="1"/>
  <c r="I156" i="1"/>
  <c r="K156" i="1" s="1"/>
  <c r="N499" i="1"/>
  <c r="T178" i="1"/>
  <c r="J485" i="1"/>
  <c r="K485" i="1" s="1"/>
  <c r="K752" i="1"/>
  <c r="K774" i="1"/>
  <c r="Q730" i="1"/>
  <c r="T730" i="1" s="1"/>
  <c r="T191" i="1"/>
  <c r="J682" i="1"/>
  <c r="K682" i="1" s="1"/>
  <c r="N95" i="1"/>
  <c r="N214" i="1"/>
  <c r="O380" i="1"/>
  <c r="Q582" i="1"/>
  <c r="T582" i="1" s="1"/>
  <c r="R720" i="1"/>
  <c r="U720" i="1" s="1"/>
  <c r="K129" i="1"/>
  <c r="K152" i="1"/>
  <c r="Q188" i="1"/>
  <c r="K228" i="1"/>
  <c r="N415" i="1"/>
  <c r="N419" i="1"/>
  <c r="R535" i="1"/>
  <c r="U535" i="1" s="1"/>
  <c r="R715" i="1"/>
  <c r="U715" i="1" s="1"/>
  <c r="S188" i="1"/>
  <c r="O194" i="1"/>
  <c r="T203" i="1"/>
  <c r="O287" i="1"/>
  <c r="N284" i="1"/>
  <c r="N322" i="1"/>
  <c r="R602" i="1"/>
  <c r="U602" i="1" s="1"/>
  <c r="K678" i="1"/>
  <c r="M46" i="1"/>
  <c r="M44" i="1" s="1"/>
  <c r="K116" i="1"/>
  <c r="S159" i="1"/>
  <c r="R516" i="1"/>
  <c r="U516" i="1" s="1"/>
  <c r="M339" i="1"/>
  <c r="P339" i="1" s="1"/>
  <c r="N717" i="1"/>
  <c r="L715" i="1"/>
  <c r="O715" i="1" s="1"/>
  <c r="T721" i="1"/>
  <c r="L97" i="1"/>
  <c r="T194" i="1"/>
  <c r="Q268" i="1"/>
  <c r="L393" i="1"/>
  <c r="O393" i="1" s="1"/>
  <c r="N716" i="1"/>
  <c r="K740" i="1"/>
  <c r="P67" i="1"/>
  <c r="R335" i="1"/>
  <c r="U335" i="1" s="1"/>
  <c r="J343" i="1"/>
  <c r="S419" i="1"/>
  <c r="L514" i="1"/>
  <c r="O514" i="1" s="1"/>
  <c r="S73" i="1"/>
  <c r="J82" i="1"/>
  <c r="J70" i="1" s="1"/>
  <c r="Q119" i="1"/>
  <c r="T119" i="1" s="1"/>
  <c r="K136" i="1"/>
  <c r="L175" i="1"/>
  <c r="U191" i="1"/>
  <c r="L232" i="1"/>
  <c r="R284" i="1"/>
  <c r="U284" i="1" s="1"/>
  <c r="K293" i="1"/>
  <c r="L322" i="1"/>
  <c r="O338" i="1"/>
  <c r="P341" i="1"/>
  <c r="K346" i="1"/>
  <c r="N358" i="1"/>
  <c r="O379" i="1"/>
  <c r="Q394" i="1"/>
  <c r="T394" i="1" s="1"/>
  <c r="J446" i="1"/>
  <c r="J440" i="1" s="1"/>
  <c r="J423" i="1" s="1"/>
  <c r="J412" i="1" s="1"/>
  <c r="K412" i="1" s="1"/>
  <c r="S495" i="1"/>
  <c r="M514" i="1"/>
  <c r="P514" i="1" s="1"/>
  <c r="M515" i="1"/>
  <c r="P515" i="1" s="1"/>
  <c r="S535" i="1"/>
  <c r="P578" i="1"/>
  <c r="K627" i="1"/>
  <c r="Q643" i="1"/>
  <c r="Q642" i="1" s="1"/>
  <c r="P647" i="1"/>
  <c r="K653" i="1"/>
  <c r="K746" i="1"/>
  <c r="I759" i="1"/>
  <c r="K759" i="1" s="1"/>
  <c r="S23" i="1"/>
  <c r="M60" i="1"/>
  <c r="P60" i="1" s="1"/>
  <c r="L62" i="1"/>
  <c r="U122" i="1"/>
  <c r="L163" i="1"/>
  <c r="O163" i="1" s="1"/>
  <c r="K209" i="1"/>
  <c r="P287" i="1"/>
  <c r="L288" i="1"/>
  <c r="O288" i="1" s="1"/>
  <c r="S284" i="1"/>
  <c r="N321" i="1"/>
  <c r="M335" i="1"/>
  <c r="P335" i="1" s="1"/>
  <c r="J374" i="1"/>
  <c r="K374" i="1" s="1"/>
  <c r="R398" i="1"/>
  <c r="U398" i="1" s="1"/>
  <c r="S600" i="1"/>
  <c r="N762" i="1"/>
  <c r="L65" i="1"/>
  <c r="T77" i="1"/>
  <c r="O191" i="1"/>
  <c r="N304" i="1"/>
  <c r="N334" i="1"/>
  <c r="N333" i="1" s="1"/>
  <c r="R358" i="1"/>
  <c r="U358" i="1" s="1"/>
  <c r="S514" i="1"/>
  <c r="L691" i="1"/>
  <c r="O691" i="1" s="1"/>
  <c r="S716" i="1"/>
  <c r="U733" i="1"/>
  <c r="P52" i="1"/>
  <c r="U77" i="1"/>
  <c r="K86" i="1"/>
  <c r="K89" i="1"/>
  <c r="N158" i="1"/>
  <c r="Q175" i="1"/>
  <c r="N174" i="1"/>
  <c r="M188" i="1"/>
  <c r="K238" i="1"/>
  <c r="S267" i="1"/>
  <c r="Q304" i="1"/>
  <c r="T304" i="1" s="1"/>
  <c r="Q305" i="1"/>
  <c r="K314" i="1"/>
  <c r="O361" i="1"/>
  <c r="L416" i="1"/>
  <c r="R415" i="1"/>
  <c r="R413" i="1" s="1"/>
  <c r="R419" i="1"/>
  <c r="U419" i="1" s="1"/>
  <c r="K504" i="1"/>
  <c r="L516" i="1"/>
  <c r="O516" i="1" s="1"/>
  <c r="J674" i="1"/>
  <c r="K674" i="1" s="1"/>
  <c r="K689" i="1"/>
  <c r="L717" i="1"/>
  <c r="O717" i="1" s="1"/>
  <c r="L734" i="1"/>
  <c r="O734" i="1" s="1"/>
  <c r="Q605" i="1"/>
  <c r="T605" i="1" s="1"/>
  <c r="Q46" i="1"/>
  <c r="T46" i="1" s="1"/>
  <c r="K108" i="1"/>
  <c r="K114" i="1"/>
  <c r="M141" i="1"/>
  <c r="N160" i="1"/>
  <c r="I169" i="1"/>
  <c r="K169" i="1" s="1"/>
  <c r="K168" i="1"/>
  <c r="K183" i="1"/>
  <c r="I172" i="1"/>
  <c r="K172" i="1" s="1"/>
  <c r="R187" i="1"/>
  <c r="U187" i="1" s="1"/>
  <c r="K280" i="1"/>
  <c r="M358" i="1"/>
  <c r="J477" i="1"/>
  <c r="K565" i="1"/>
  <c r="R577" i="1"/>
  <c r="U577" i="1" s="1"/>
  <c r="S96" i="1"/>
  <c r="U96" i="1" s="1"/>
  <c r="T646" i="1"/>
  <c r="Q645" i="1"/>
  <c r="R74" i="1"/>
  <c r="J83" i="1"/>
  <c r="J71" i="1" s="1"/>
  <c r="N142" i="1"/>
  <c r="P271" i="1"/>
  <c r="L283" i="1"/>
  <c r="I302" i="1"/>
  <c r="K302" i="1" s="1"/>
  <c r="P307" i="1"/>
  <c r="N357" i="1"/>
  <c r="S393" i="1"/>
  <c r="L495" i="1"/>
  <c r="L519" i="1"/>
  <c r="O519" i="1" s="1"/>
  <c r="O521" i="1"/>
  <c r="K679" i="1"/>
  <c r="N761" i="1"/>
  <c r="N766" i="1"/>
  <c r="I195" i="1"/>
  <c r="K195" i="1" s="1"/>
  <c r="K198" i="1"/>
  <c r="O603" i="1"/>
  <c r="L602" i="1"/>
  <c r="S720" i="1"/>
  <c r="S715" i="1"/>
  <c r="R46" i="1"/>
  <c r="P99" i="1"/>
  <c r="M96" i="1"/>
  <c r="P96" i="1" s="1"/>
  <c r="S65" i="1"/>
  <c r="R78" i="1"/>
  <c r="M95" i="1"/>
  <c r="P95" i="1" s="1"/>
  <c r="N26" i="1"/>
  <c r="O382" i="1"/>
  <c r="L376" i="1"/>
  <c r="O376" i="1" s="1"/>
  <c r="R47" i="1"/>
  <c r="U47" i="1" s="1"/>
  <c r="Q61" i="1"/>
  <c r="T61" i="1" s="1"/>
  <c r="L78" i="1"/>
  <c r="O78" i="1" s="1"/>
  <c r="O79" i="1"/>
  <c r="T180" i="1"/>
  <c r="Q179" i="1"/>
  <c r="T179" i="1" s="1"/>
  <c r="I202" i="1"/>
  <c r="K202" i="1" s="1"/>
  <c r="L285" i="1"/>
  <c r="R285" i="1"/>
  <c r="U285" i="1" s="1"/>
  <c r="U286" i="1"/>
  <c r="R283" i="1"/>
  <c r="U283" i="1" s="1"/>
  <c r="O290" i="1"/>
  <c r="L284" i="1"/>
  <c r="U290" i="1"/>
  <c r="S304" i="1"/>
  <c r="Q339" i="1"/>
  <c r="T339" i="1" s="1"/>
  <c r="L377" i="1"/>
  <c r="Q395" i="1"/>
  <c r="T395" i="1" s="1"/>
  <c r="T396" i="1"/>
  <c r="L414" i="1"/>
  <c r="O414" i="1" s="1"/>
  <c r="K676" i="1"/>
  <c r="J701" i="1"/>
  <c r="U764" i="1"/>
  <c r="R761" i="1"/>
  <c r="U761" i="1" s="1"/>
  <c r="S62" i="1"/>
  <c r="T49" i="1"/>
  <c r="K150" i="1"/>
  <c r="M376" i="1"/>
  <c r="P376" i="1" s="1"/>
  <c r="O420" i="1"/>
  <c r="L419" i="1"/>
  <c r="O419" i="1" s="1"/>
  <c r="T584" i="1"/>
  <c r="Q578" i="1"/>
  <c r="T578" i="1" s="1"/>
  <c r="N46" i="1"/>
  <c r="R50" i="1"/>
  <c r="U50" i="1" s="1"/>
  <c r="R61" i="1"/>
  <c r="U61" i="1" s="1"/>
  <c r="N61" i="1"/>
  <c r="P61" i="1" s="1"/>
  <c r="R73" i="1"/>
  <c r="U73" i="1" s="1"/>
  <c r="M73" i="1"/>
  <c r="P73" i="1" s="1"/>
  <c r="P79" i="1"/>
  <c r="K113" i="1"/>
  <c r="O122" i="1"/>
  <c r="L119" i="1"/>
  <c r="O119" i="1" s="1"/>
  <c r="S123" i="1"/>
  <c r="N140" i="1"/>
  <c r="L160" i="1"/>
  <c r="O196" i="1"/>
  <c r="S283" i="1"/>
  <c r="R322" i="1"/>
  <c r="U322" i="1" s="1"/>
  <c r="Q334" i="1"/>
  <c r="T334" i="1" s="1"/>
  <c r="T337" i="1"/>
  <c r="Q336" i="1"/>
  <c r="T336" i="1" s="1"/>
  <c r="L394" i="1"/>
  <c r="O394" i="1" s="1"/>
  <c r="O421" i="1"/>
  <c r="L415" i="1"/>
  <c r="P538" i="1"/>
  <c r="M537" i="1"/>
  <c r="P537" i="1" s="1"/>
  <c r="P539" i="1"/>
  <c r="M536" i="1"/>
  <c r="P536" i="1" s="1"/>
  <c r="U606" i="1"/>
  <c r="R600" i="1"/>
  <c r="U600" i="1" s="1"/>
  <c r="N730" i="1"/>
  <c r="L494" i="1"/>
  <c r="O494" i="1" s="1"/>
  <c r="S499" i="1"/>
  <c r="K587" i="1"/>
  <c r="N622" i="1"/>
  <c r="J654" i="1"/>
  <c r="K654" i="1" s="1"/>
  <c r="S692" i="1"/>
  <c r="J575" i="1"/>
  <c r="K575" i="1" s="1"/>
  <c r="R696" i="1"/>
  <c r="U696" i="1" s="1"/>
  <c r="S696" i="1"/>
  <c r="J702" i="1"/>
  <c r="Q731" i="1"/>
  <c r="S761" i="1"/>
  <c r="K758" i="1"/>
  <c r="K780" i="1"/>
  <c r="K783" i="1"/>
  <c r="S75" i="1"/>
  <c r="O99" i="1"/>
  <c r="N119" i="1"/>
  <c r="K154" i="1"/>
  <c r="N188" i="1"/>
  <c r="L203" i="1"/>
  <c r="N268" i="1"/>
  <c r="K386" i="1"/>
  <c r="N394" i="1"/>
  <c r="O418" i="1"/>
  <c r="J433" i="1"/>
  <c r="K433" i="1" s="1"/>
  <c r="J468" i="1"/>
  <c r="N494" i="1"/>
  <c r="S536" i="1"/>
  <c r="N617" i="1"/>
  <c r="N616" i="1" s="1"/>
  <c r="N734" i="1"/>
  <c r="K84" i="1"/>
  <c r="K87" i="1"/>
  <c r="K90" i="1"/>
  <c r="Q120" i="1"/>
  <c r="Q176" i="1"/>
  <c r="P194" i="1"/>
  <c r="K296" i="1"/>
  <c r="R321" i="1"/>
  <c r="Q322" i="1"/>
  <c r="T322" i="1" s="1"/>
  <c r="S381" i="1"/>
  <c r="S394" i="1"/>
  <c r="J459" i="1"/>
  <c r="J476" i="1"/>
  <c r="R515" i="1"/>
  <c r="U515" i="1" s="1"/>
  <c r="M540" i="1"/>
  <c r="P540" i="1" s="1"/>
  <c r="O563" i="1"/>
  <c r="S622" i="1"/>
  <c r="J632" i="1"/>
  <c r="J626" i="1" s="1"/>
  <c r="J615" i="1" s="1"/>
  <c r="Q648" i="1"/>
  <c r="T648" i="1" s="1"/>
  <c r="L693" i="1"/>
  <c r="O693" i="1" s="1"/>
  <c r="N692" i="1"/>
  <c r="K749" i="1"/>
  <c r="K755" i="1"/>
  <c r="K778" i="1"/>
  <c r="K781" i="1"/>
  <c r="M78" i="1"/>
  <c r="P78" i="1" s="1"/>
  <c r="M26" i="1"/>
  <c r="P80" i="1"/>
  <c r="S358" i="1"/>
  <c r="S359" i="1"/>
  <c r="Q535" i="1"/>
  <c r="T535" i="1" s="1"/>
  <c r="T538" i="1"/>
  <c r="M75" i="1"/>
  <c r="M74" i="1"/>
  <c r="P77" i="1"/>
  <c r="R120" i="1"/>
  <c r="U121" i="1"/>
  <c r="M175" i="1"/>
  <c r="P286" i="1"/>
  <c r="M283" i="1"/>
  <c r="O623" i="1"/>
  <c r="L622" i="1"/>
  <c r="O622" i="1" s="1"/>
  <c r="S47" i="1"/>
  <c r="S46" i="1"/>
  <c r="S44" i="1" s="1"/>
  <c r="U98" i="1"/>
  <c r="R95" i="1"/>
  <c r="L141" i="1"/>
  <c r="O144" i="1"/>
  <c r="N145" i="1"/>
  <c r="M163" i="1"/>
  <c r="P163" i="1" s="1"/>
  <c r="M158" i="1"/>
  <c r="P158" i="1" s="1"/>
  <c r="P164" i="1"/>
  <c r="T193" i="1"/>
  <c r="Q192" i="1"/>
  <c r="M267" i="1"/>
  <c r="P267" i="1" s="1"/>
  <c r="P270" i="1"/>
  <c r="U340" i="1"/>
  <c r="R334" i="1"/>
  <c r="M377" i="1"/>
  <c r="P380" i="1"/>
  <c r="M415" i="1"/>
  <c r="P418" i="1"/>
  <c r="R494" i="1"/>
  <c r="U494" i="1" s="1"/>
  <c r="K503" i="1"/>
  <c r="J492" i="1"/>
  <c r="K492" i="1" s="1"/>
  <c r="N515" i="1"/>
  <c r="M617" i="1"/>
  <c r="P617" i="1" s="1"/>
  <c r="P620" i="1"/>
  <c r="M619" i="1"/>
  <c r="P619" i="1" s="1"/>
  <c r="N696" i="1"/>
  <c r="N691" i="1"/>
  <c r="U397" i="1"/>
  <c r="R394" i="1"/>
  <c r="U394" i="1" s="1"/>
  <c r="O498" i="1"/>
  <c r="N496" i="1"/>
  <c r="Q78" i="1"/>
  <c r="T79" i="1"/>
  <c r="M123" i="1"/>
  <c r="P123" i="1" s="1"/>
  <c r="M119" i="1"/>
  <c r="P119" i="1" s="1"/>
  <c r="P125" i="1"/>
  <c r="T146" i="1"/>
  <c r="Q145" i="1"/>
  <c r="T145" i="1" s="1"/>
  <c r="Q321" i="1"/>
  <c r="T327" i="1"/>
  <c r="Q326" i="1"/>
  <c r="T326" i="1" s="1"/>
  <c r="Q50" i="1"/>
  <c r="T50" i="1" s="1"/>
  <c r="Q26" i="1"/>
  <c r="T52" i="1"/>
  <c r="Q62" i="1"/>
  <c r="T62" i="1" s="1"/>
  <c r="Q22" i="1"/>
  <c r="T63" i="1"/>
  <c r="P64" i="1"/>
  <c r="O49" i="1"/>
  <c r="L47" i="1"/>
  <c r="O47" i="1" s="1"/>
  <c r="L46" i="1"/>
  <c r="L44" i="1" s="1"/>
  <c r="U63" i="1"/>
  <c r="R60" i="1"/>
  <c r="Q75" i="1"/>
  <c r="T76" i="1"/>
  <c r="K93" i="1"/>
  <c r="R97" i="1"/>
  <c r="S97" i="1"/>
  <c r="S95" i="1"/>
  <c r="R100" i="1"/>
  <c r="U100" i="1" s="1"/>
  <c r="U102" i="1"/>
  <c r="R118" i="1"/>
  <c r="L120" i="1"/>
  <c r="O120" i="1" s="1"/>
  <c r="O121" i="1"/>
  <c r="L118" i="1"/>
  <c r="Q123" i="1"/>
  <c r="T123" i="1" s="1"/>
  <c r="T124" i="1"/>
  <c r="U178" i="1"/>
  <c r="S175" i="1"/>
  <c r="U175" i="1" s="1"/>
  <c r="I221" i="1"/>
  <c r="K221" i="1" s="1"/>
  <c r="K229" i="1"/>
  <c r="M284" i="1"/>
  <c r="N377" i="1"/>
  <c r="U694" i="1"/>
  <c r="R691" i="1"/>
  <c r="U380" i="1"/>
  <c r="S378" i="1"/>
  <c r="R65" i="1"/>
  <c r="U65" i="1" s="1"/>
  <c r="T147" i="1"/>
  <c r="Q141" i="1"/>
  <c r="T141" i="1" s="1"/>
  <c r="T497" i="1"/>
  <c r="Q496" i="1"/>
  <c r="I554" i="1"/>
  <c r="K554" i="1" s="1"/>
  <c r="M47" i="1"/>
  <c r="P47" i="1" s="1"/>
  <c r="P49" i="1"/>
  <c r="M120" i="1"/>
  <c r="P120" i="1" s="1"/>
  <c r="P121" i="1"/>
  <c r="M118" i="1"/>
  <c r="R123" i="1"/>
  <c r="U123" i="1" s="1"/>
  <c r="T162" i="1"/>
  <c r="Q159" i="1"/>
  <c r="T159" i="1" s="1"/>
  <c r="M285" i="1"/>
  <c r="Q378" i="1"/>
  <c r="T379" i="1"/>
  <c r="Q416" i="1"/>
  <c r="Q414" i="1"/>
  <c r="T414" i="1" s="1"/>
  <c r="T417" i="1"/>
  <c r="P420" i="1"/>
  <c r="M419" i="1"/>
  <c r="P419" i="1" s="1"/>
  <c r="R381" i="1"/>
  <c r="U381" i="1" s="1"/>
  <c r="U382" i="1"/>
  <c r="U418" i="1"/>
  <c r="S415" i="1"/>
  <c r="S416" i="1"/>
  <c r="S26" i="1"/>
  <c r="I213" i="1"/>
  <c r="K213" i="1" s="1"/>
  <c r="K220" i="1"/>
  <c r="M395" i="1"/>
  <c r="P395" i="1" s="1"/>
  <c r="M393" i="1"/>
  <c r="P393" i="1" s="1"/>
  <c r="P396" i="1"/>
  <c r="R75" i="1"/>
  <c r="S78" i="1"/>
  <c r="S74" i="1"/>
  <c r="M23" i="1"/>
  <c r="Q65" i="1"/>
  <c r="T65" i="1" s="1"/>
  <c r="T66" i="1"/>
  <c r="Q25" i="1"/>
  <c r="T25" i="1" s="1"/>
  <c r="L75" i="1"/>
  <c r="O76" i="1"/>
  <c r="L73" i="1"/>
  <c r="O80" i="1"/>
  <c r="L74" i="1"/>
  <c r="O74" i="1" s="1"/>
  <c r="O101" i="1"/>
  <c r="L95" i="1"/>
  <c r="L100" i="1"/>
  <c r="O100" i="1" s="1"/>
  <c r="L96" i="1"/>
  <c r="O102" i="1"/>
  <c r="L123" i="1"/>
  <c r="O123" i="1" s="1"/>
  <c r="O124" i="1"/>
  <c r="N189" i="1"/>
  <c r="P189" i="1" s="1"/>
  <c r="N187" i="1"/>
  <c r="Q283" i="1"/>
  <c r="T283" i="1" s="1"/>
  <c r="Q288" i="1"/>
  <c r="T288" i="1" s="1"/>
  <c r="L358" i="1"/>
  <c r="U414" i="1"/>
  <c r="J425" i="1"/>
  <c r="K425" i="1" s="1"/>
  <c r="M556" i="1"/>
  <c r="P556" i="1" s="1"/>
  <c r="R519" i="1"/>
  <c r="U519" i="1" s="1"/>
  <c r="L535" i="1"/>
  <c r="O535" i="1" s="1"/>
  <c r="N25" i="1"/>
  <c r="L50" i="1"/>
  <c r="O50" i="1" s="1"/>
  <c r="Q74" i="1"/>
  <c r="Q95" i="1"/>
  <c r="T95" i="1" s="1"/>
  <c r="U99" i="1"/>
  <c r="R119" i="1"/>
  <c r="U119" i="1" s="1"/>
  <c r="N120" i="1"/>
  <c r="T121" i="1"/>
  <c r="T122" i="1"/>
  <c r="N141" i="1"/>
  <c r="L158" i="1"/>
  <c r="O158" i="1" s="1"/>
  <c r="S158" i="1"/>
  <c r="P178" i="1"/>
  <c r="L179" i="1"/>
  <c r="O179" i="1" s="1"/>
  <c r="S192" i="1"/>
  <c r="U194" i="1"/>
  <c r="N203" i="1"/>
  <c r="L214" i="1"/>
  <c r="N222" i="1"/>
  <c r="K265" i="1"/>
  <c r="R272" i="1"/>
  <c r="U272" i="1" s="1"/>
  <c r="S288" i="1"/>
  <c r="K292" i="1"/>
  <c r="M304" i="1"/>
  <c r="P304" i="1" s="1"/>
  <c r="R304" i="1"/>
  <c r="U304" i="1" s="1"/>
  <c r="R305" i="1"/>
  <c r="S326" i="1"/>
  <c r="N359" i="1"/>
  <c r="M362" i="1"/>
  <c r="P362" i="1" s="1"/>
  <c r="K368" i="1"/>
  <c r="M381" i="1"/>
  <c r="P381" i="1" s="1"/>
  <c r="M394" i="1"/>
  <c r="P394" i="1" s="1"/>
  <c r="M414" i="1"/>
  <c r="J467" i="1"/>
  <c r="J484" i="1"/>
  <c r="K484" i="1" s="1"/>
  <c r="S496" i="1"/>
  <c r="K507" i="1"/>
  <c r="M535" i="1"/>
  <c r="R557" i="1"/>
  <c r="U557" i="1" s="1"/>
  <c r="S582" i="1"/>
  <c r="R617" i="1"/>
  <c r="U617" i="1" s="1"/>
  <c r="Q618" i="1"/>
  <c r="U695" i="1"/>
  <c r="P719" i="1"/>
  <c r="M716" i="1"/>
  <c r="P716" i="1" s="1"/>
  <c r="N729" i="1"/>
  <c r="U732" i="1"/>
  <c r="R729" i="1"/>
  <c r="T736" i="1"/>
  <c r="Q734" i="1"/>
  <c r="T734" i="1" s="1"/>
  <c r="S762" i="1"/>
  <c r="N309" i="1"/>
  <c r="L381" i="1"/>
  <c r="O381" i="1" s="1"/>
  <c r="O178" i="1"/>
  <c r="N232" i="1"/>
  <c r="L334" i="1"/>
  <c r="O334" i="1" s="1"/>
  <c r="J332" i="1"/>
  <c r="R376" i="1"/>
  <c r="Q419" i="1"/>
  <c r="T419" i="1" s="1"/>
  <c r="U497" i="1"/>
  <c r="R514" i="1"/>
  <c r="N540" i="1"/>
  <c r="N556" i="1"/>
  <c r="N555" i="1" s="1"/>
  <c r="S558" i="1"/>
  <c r="P695" i="1"/>
  <c r="M692" i="1"/>
  <c r="P692" i="1" s="1"/>
  <c r="T718" i="1"/>
  <c r="Q715" i="1"/>
  <c r="O721" i="1"/>
  <c r="L720" i="1"/>
  <c r="O720" i="1" s="1"/>
  <c r="S731" i="1"/>
  <c r="U731" i="1" s="1"/>
  <c r="S729" i="1"/>
  <c r="S728" i="1" s="1"/>
  <c r="U736" i="1"/>
  <c r="R734" i="1"/>
  <c r="U734" i="1" s="1"/>
  <c r="S766" i="1"/>
  <c r="Q23" i="1"/>
  <c r="R288" i="1"/>
  <c r="U288" i="1" s="1"/>
  <c r="Q557" i="1"/>
  <c r="T557" i="1" s="1"/>
  <c r="O719" i="1"/>
  <c r="L716" i="1"/>
  <c r="O716" i="1" s="1"/>
  <c r="N75" i="1"/>
  <c r="N123" i="1"/>
  <c r="N22" i="1"/>
  <c r="N62" i="1"/>
  <c r="O64" i="1"/>
  <c r="N65" i="1"/>
  <c r="O67" i="1"/>
  <c r="T80" i="1"/>
  <c r="S120" i="1"/>
  <c r="O162" i="1"/>
  <c r="N159" i="1"/>
  <c r="K167" i="1"/>
  <c r="S179" i="1"/>
  <c r="L188" i="1"/>
  <c r="R268" i="1"/>
  <c r="N288" i="1"/>
  <c r="Q323" i="1"/>
  <c r="T323" i="1" s="1"/>
  <c r="T341" i="1"/>
  <c r="K371" i="1"/>
  <c r="S376" i="1"/>
  <c r="N378" i="1"/>
  <c r="O378" i="1" s="1"/>
  <c r="R393" i="1"/>
  <c r="L395" i="1"/>
  <c r="O395" i="1" s="1"/>
  <c r="N416" i="1"/>
  <c r="U417" i="1"/>
  <c r="T418" i="1"/>
  <c r="N495" i="1"/>
  <c r="K505" i="1"/>
  <c r="N516" i="1"/>
  <c r="N519" i="1"/>
  <c r="O539" i="1"/>
  <c r="L536" i="1"/>
  <c r="O536" i="1" s="1"/>
  <c r="Q717" i="1"/>
  <c r="T717" i="1" s="1"/>
  <c r="L729" i="1"/>
  <c r="O732" i="1"/>
  <c r="L731" i="1"/>
  <c r="O731" i="1" s="1"/>
  <c r="M763" i="1"/>
  <c r="P763" i="1" s="1"/>
  <c r="M762" i="1"/>
  <c r="P762" i="1" s="1"/>
  <c r="O767" i="1"/>
  <c r="L761" i="1"/>
  <c r="O761" i="1" s="1"/>
  <c r="Q285" i="1"/>
  <c r="T285" i="1" s="1"/>
  <c r="K330" i="1"/>
  <c r="Q537" i="1"/>
  <c r="T537" i="1" s="1"/>
  <c r="M62" i="1"/>
  <c r="M65" i="1"/>
  <c r="O77" i="1"/>
  <c r="U80" i="1"/>
  <c r="K85" i="1"/>
  <c r="K88" i="1"/>
  <c r="I92" i="1"/>
  <c r="K92" i="1" s="1"/>
  <c r="K109" i="1"/>
  <c r="U144" i="1"/>
  <c r="K137" i="1"/>
  <c r="P162" i="1"/>
  <c r="S174" i="1"/>
  <c r="R176" i="1"/>
  <c r="L222" i="1"/>
  <c r="Q267" i="1"/>
  <c r="K281" i="1"/>
  <c r="J319" i="1"/>
  <c r="K319" i="1" s="1"/>
  <c r="Q335" i="1"/>
  <c r="T335" i="1" s="1"/>
  <c r="K344" i="1"/>
  <c r="N362" i="1"/>
  <c r="K369" i="1"/>
  <c r="M378" i="1"/>
  <c r="M416" i="1"/>
  <c r="J447" i="1"/>
  <c r="J441" i="1" s="1"/>
  <c r="K441" i="1" s="1"/>
  <c r="J460" i="1"/>
  <c r="P498" i="1"/>
  <c r="M499" i="1"/>
  <c r="P499" i="1" s="1"/>
  <c r="K506" i="1"/>
  <c r="L515" i="1"/>
  <c r="O515" i="1" s="1"/>
  <c r="L557" i="1"/>
  <c r="O557" i="1" s="1"/>
  <c r="Q601" i="1"/>
  <c r="T601" i="1" s="1"/>
  <c r="O620" i="1"/>
  <c r="L617" i="1"/>
  <c r="O617" i="1" s="1"/>
  <c r="Q622" i="1"/>
  <c r="T622" i="1" s="1"/>
  <c r="S644" i="1"/>
  <c r="T644" i="1" s="1"/>
  <c r="T694" i="1"/>
  <c r="Q691" i="1"/>
  <c r="T691" i="1" s="1"/>
  <c r="T698" i="1"/>
  <c r="Q696" i="1"/>
  <c r="T696" i="1" s="1"/>
  <c r="R716" i="1"/>
  <c r="U719" i="1"/>
  <c r="R717" i="1"/>
  <c r="U717" i="1" s="1"/>
  <c r="L730" i="1"/>
  <c r="O730" i="1" s="1"/>
  <c r="M761" i="1"/>
  <c r="P761" i="1" s="1"/>
  <c r="P767" i="1"/>
  <c r="L600" i="1"/>
  <c r="O600" i="1" s="1"/>
  <c r="S618" i="1"/>
  <c r="R622" i="1"/>
  <c r="U622" i="1" s="1"/>
  <c r="J636" i="1"/>
  <c r="J635" i="1" s="1"/>
  <c r="T647" i="1"/>
  <c r="L692" i="1"/>
  <c r="O692" i="1" s="1"/>
  <c r="S693" i="1"/>
  <c r="L696" i="1"/>
  <c r="O696" i="1" s="1"/>
  <c r="K705" i="1"/>
  <c r="N715" i="1"/>
  <c r="Q716" i="1"/>
  <c r="T716" i="1" s="1"/>
  <c r="N720" i="1"/>
  <c r="Q729" i="1"/>
  <c r="M730" i="1"/>
  <c r="P730" i="1" s="1"/>
  <c r="M729" i="1"/>
  <c r="Q761" i="1"/>
  <c r="T761" i="1" s="1"/>
  <c r="M766" i="1"/>
  <c r="P766" i="1" s="1"/>
  <c r="S579" i="1"/>
  <c r="S601" i="1"/>
  <c r="K628" i="1"/>
  <c r="J675" i="1"/>
  <c r="K675" i="1" s="1"/>
  <c r="S717" i="1"/>
  <c r="N731" i="1"/>
  <c r="K744" i="1"/>
  <c r="U765" i="1"/>
  <c r="K784" i="1"/>
  <c r="M600" i="1"/>
  <c r="O604" i="1"/>
  <c r="J661" i="1"/>
  <c r="K661" i="1" s="1"/>
  <c r="N693" i="1"/>
  <c r="T695" i="1"/>
  <c r="M715" i="1"/>
  <c r="P715" i="1" s="1"/>
  <c r="S763" i="1"/>
  <c r="N602" i="1"/>
  <c r="S605" i="1"/>
  <c r="S645" i="1"/>
  <c r="K700" i="1"/>
  <c r="K779" i="1"/>
  <c r="K782" i="1"/>
  <c r="K785" i="1"/>
  <c r="K138" i="1"/>
  <c r="O60" i="1"/>
  <c r="L59" i="1"/>
  <c r="N118" i="1"/>
  <c r="O146" i="1"/>
  <c r="L145" i="1"/>
  <c r="O145" i="1" s="1"/>
  <c r="U270" i="1"/>
  <c r="R267" i="1"/>
  <c r="R269" i="1"/>
  <c r="N305" i="1"/>
  <c r="N306" i="1"/>
  <c r="P306" i="1" s="1"/>
  <c r="S323" i="1"/>
  <c r="S321" i="1"/>
  <c r="S320" i="1" s="1"/>
  <c r="O341" i="1"/>
  <c r="L335" i="1"/>
  <c r="O335" i="1" s="1"/>
  <c r="L339" i="1"/>
  <c r="O339" i="1" s="1"/>
  <c r="O63" i="1"/>
  <c r="T99" i="1"/>
  <c r="U143" i="1"/>
  <c r="R142" i="1"/>
  <c r="M145" i="1"/>
  <c r="P145" i="1" s="1"/>
  <c r="K153" i="1"/>
  <c r="M159" i="1"/>
  <c r="M160" i="1"/>
  <c r="T161" i="1"/>
  <c r="Q160" i="1"/>
  <c r="T160" i="1" s="1"/>
  <c r="N163" i="1"/>
  <c r="R163" i="1"/>
  <c r="U163" i="1" s="1"/>
  <c r="L174" i="1"/>
  <c r="P177" i="1"/>
  <c r="M176" i="1"/>
  <c r="N179" i="1"/>
  <c r="U190" i="1"/>
  <c r="R189" i="1"/>
  <c r="P193" i="1"/>
  <c r="P334" i="1"/>
  <c r="S336" i="1"/>
  <c r="S334" i="1"/>
  <c r="Q516" i="1"/>
  <c r="T516" i="1" s="1"/>
  <c r="T517" i="1"/>
  <c r="Q514" i="1"/>
  <c r="N60" i="1"/>
  <c r="N73" i="1"/>
  <c r="N72" i="1" s="1"/>
  <c r="I82" i="1"/>
  <c r="T164" i="1"/>
  <c r="Q163" i="1"/>
  <c r="T163" i="1" s="1"/>
  <c r="L176" i="1"/>
  <c r="P180" i="1"/>
  <c r="M179" i="1"/>
  <c r="P179" i="1" s="1"/>
  <c r="O273" i="1"/>
  <c r="L272" i="1"/>
  <c r="O272" i="1" s="1"/>
  <c r="L23" i="1"/>
  <c r="R23" i="1"/>
  <c r="L26" i="1"/>
  <c r="R26" i="1"/>
  <c r="Q97" i="1"/>
  <c r="Q100" i="1"/>
  <c r="T100" i="1" s="1"/>
  <c r="K127" i="1"/>
  <c r="Q140" i="1"/>
  <c r="O143" i="1"/>
  <c r="L142" i="1"/>
  <c r="S142" i="1"/>
  <c r="K151" i="1"/>
  <c r="Q158" i="1"/>
  <c r="R160" i="1"/>
  <c r="U160" i="1" s="1"/>
  <c r="M174" i="1"/>
  <c r="N176" i="1"/>
  <c r="Q187" i="1"/>
  <c r="O190" i="1"/>
  <c r="L189" i="1"/>
  <c r="T214" i="1"/>
  <c r="O271" i="1"/>
  <c r="L268" i="1"/>
  <c r="T271" i="1"/>
  <c r="S268" i="1"/>
  <c r="P274" i="1"/>
  <c r="M268" i="1"/>
  <c r="P311" i="1"/>
  <c r="M305" i="1"/>
  <c r="T360" i="1"/>
  <c r="Q359" i="1"/>
  <c r="T359" i="1" s="1"/>
  <c r="S362" i="1"/>
  <c r="S357" i="1"/>
  <c r="Q398" i="1"/>
  <c r="T398" i="1" s="1"/>
  <c r="T399" i="1"/>
  <c r="Q118" i="1"/>
  <c r="N285" i="1"/>
  <c r="N283" i="1"/>
  <c r="O307" i="1"/>
  <c r="L306" i="1"/>
  <c r="L304" i="1"/>
  <c r="S306" i="1"/>
  <c r="T393" i="1"/>
  <c r="N23" i="1"/>
  <c r="L25" i="1"/>
  <c r="M97" i="1"/>
  <c r="M100" i="1"/>
  <c r="P100" i="1" s="1"/>
  <c r="L140" i="1"/>
  <c r="S140" i="1"/>
  <c r="S139" i="1" s="1"/>
  <c r="R141" i="1"/>
  <c r="U141" i="1" s="1"/>
  <c r="P144" i="1"/>
  <c r="T144" i="1"/>
  <c r="R159" i="1"/>
  <c r="U159" i="1" s="1"/>
  <c r="U161" i="1"/>
  <c r="S163" i="1"/>
  <c r="O164" i="1"/>
  <c r="Q174" i="1"/>
  <c r="N175" i="1"/>
  <c r="L187" i="1"/>
  <c r="S187" i="1"/>
  <c r="R188" i="1"/>
  <c r="P191" i="1"/>
  <c r="O193" i="1"/>
  <c r="L192" i="1"/>
  <c r="L269" i="1"/>
  <c r="P321" i="1"/>
  <c r="Q357" i="1"/>
  <c r="T559" i="1"/>
  <c r="Q558" i="1"/>
  <c r="T558" i="1" s="1"/>
  <c r="Q556" i="1"/>
  <c r="Q60" i="1"/>
  <c r="Q73" i="1"/>
  <c r="I83" i="1"/>
  <c r="U140" i="1"/>
  <c r="R179" i="1"/>
  <c r="U179" i="1" s="1"/>
  <c r="U193" i="1"/>
  <c r="R192" i="1"/>
  <c r="N269" i="1"/>
  <c r="N267" i="1"/>
  <c r="T287" i="1"/>
  <c r="Q284" i="1"/>
  <c r="T284" i="1" s="1"/>
  <c r="T308" i="1"/>
  <c r="S305" i="1"/>
  <c r="L22" i="1"/>
  <c r="R22" i="1"/>
  <c r="R25" i="1"/>
  <c r="M22" i="1"/>
  <c r="S22" i="1"/>
  <c r="M25" i="1"/>
  <c r="S25" i="1"/>
  <c r="M140" i="1"/>
  <c r="Q142" i="1"/>
  <c r="P143" i="1"/>
  <c r="U146" i="1"/>
  <c r="R145" i="1"/>
  <c r="U145" i="1" s="1"/>
  <c r="U158" i="1"/>
  <c r="O161" i="1"/>
  <c r="R174" i="1"/>
  <c r="S176" i="1"/>
  <c r="M187" i="1"/>
  <c r="Q189" i="1"/>
  <c r="P190" i="1"/>
  <c r="J199" i="1"/>
  <c r="U310" i="1"/>
  <c r="R309" i="1"/>
  <c r="U309" i="1" s="1"/>
  <c r="T307" i="1"/>
  <c r="Q306" i="1"/>
  <c r="O327" i="1"/>
  <c r="L326" i="1"/>
  <c r="N336" i="1"/>
  <c r="P338" i="1"/>
  <c r="N395" i="1"/>
  <c r="N393" i="1"/>
  <c r="P497" i="1"/>
  <c r="M496" i="1"/>
  <c r="M494" i="1"/>
  <c r="S515" i="1"/>
  <c r="S519" i="1"/>
  <c r="K295" i="1"/>
  <c r="U307" i="1"/>
  <c r="R306" i="1"/>
  <c r="U308" i="1"/>
  <c r="T310" i="1"/>
  <c r="Q309" i="1"/>
  <c r="T309" i="1" s="1"/>
  <c r="P324" i="1"/>
  <c r="M323" i="1"/>
  <c r="P327" i="1"/>
  <c r="M326" i="1"/>
  <c r="U337" i="1"/>
  <c r="R336" i="1"/>
  <c r="U336" i="1" s="1"/>
  <c r="J351" i="1"/>
  <c r="R362" i="1"/>
  <c r="U362" i="1" s="1"/>
  <c r="U363" i="1"/>
  <c r="T364" i="1"/>
  <c r="Q362" i="1"/>
  <c r="T362" i="1" s="1"/>
  <c r="Q358" i="1"/>
  <c r="T358" i="1" s="1"/>
  <c r="P518" i="1"/>
  <c r="M516" i="1"/>
  <c r="P516" i="1" s="1"/>
  <c r="P521" i="1"/>
  <c r="M519" i="1"/>
  <c r="P519" i="1" s="1"/>
  <c r="S269" i="1"/>
  <c r="T269" i="1" s="1"/>
  <c r="M272" i="1"/>
  <c r="P272" i="1" s="1"/>
  <c r="T273" i="1"/>
  <c r="O308" i="1"/>
  <c r="O310" i="1"/>
  <c r="L309" i="1"/>
  <c r="O309" i="1" s="1"/>
  <c r="L323" i="1"/>
  <c r="N323" i="1"/>
  <c r="P325" i="1"/>
  <c r="N326" i="1"/>
  <c r="P328" i="1"/>
  <c r="O337" i="1"/>
  <c r="L336" i="1"/>
  <c r="R359" i="1"/>
  <c r="U359" i="1" s="1"/>
  <c r="U360" i="1"/>
  <c r="R357" i="1"/>
  <c r="L362" i="1"/>
  <c r="O362" i="1" s="1"/>
  <c r="O363" i="1"/>
  <c r="L357" i="1"/>
  <c r="Q540" i="1"/>
  <c r="T540" i="1" s="1"/>
  <c r="T542" i="1"/>
  <c r="Q536" i="1"/>
  <c r="U559" i="1"/>
  <c r="R558" i="1"/>
  <c r="U558" i="1" s="1"/>
  <c r="R556" i="1"/>
  <c r="K219" i="1"/>
  <c r="L267" i="1"/>
  <c r="M269" i="1"/>
  <c r="T270" i="1"/>
  <c r="U271" i="1"/>
  <c r="M288" i="1"/>
  <c r="P288" i="1" s="1"/>
  <c r="P308" i="1"/>
  <c r="M309" i="1"/>
  <c r="P309" i="1" s="1"/>
  <c r="L321" i="1"/>
  <c r="U324" i="1"/>
  <c r="R323" i="1"/>
  <c r="U323" i="1" s="1"/>
  <c r="O325" i="1"/>
  <c r="U327" i="1"/>
  <c r="R326" i="1"/>
  <c r="U326" i="1" s="1"/>
  <c r="O328" i="1"/>
  <c r="P337" i="1"/>
  <c r="M336" i="1"/>
  <c r="N381" i="1"/>
  <c r="N376" i="1"/>
  <c r="T383" i="1"/>
  <c r="Q377" i="1"/>
  <c r="N537" i="1"/>
  <c r="N536" i="1"/>
  <c r="N534" i="1" s="1"/>
  <c r="M359" i="1"/>
  <c r="T380" i="1"/>
  <c r="S398" i="1"/>
  <c r="J424" i="1"/>
  <c r="K424" i="1" s="1"/>
  <c r="S494" i="1"/>
  <c r="Q519" i="1"/>
  <c r="T519" i="1" s="1"/>
  <c r="T520" i="1"/>
  <c r="R537" i="1"/>
  <c r="U537" i="1" s="1"/>
  <c r="U538" i="1"/>
  <c r="R619" i="1"/>
  <c r="U619" i="1" s="1"/>
  <c r="U621" i="1"/>
  <c r="R618" i="1"/>
  <c r="O649" i="1"/>
  <c r="L648" i="1"/>
  <c r="O648" i="1" s="1"/>
  <c r="L643" i="1"/>
  <c r="S648" i="1"/>
  <c r="S643" i="1"/>
  <c r="Q381" i="1"/>
  <c r="T381" i="1" s="1"/>
  <c r="R395" i="1"/>
  <c r="U395" i="1" s="1"/>
  <c r="L398" i="1"/>
  <c r="O398" i="1" s="1"/>
  <c r="M398" i="1"/>
  <c r="P398" i="1" s="1"/>
  <c r="N414" i="1"/>
  <c r="Q415" i="1"/>
  <c r="T500" i="1"/>
  <c r="Q494" i="1"/>
  <c r="Q499" i="1"/>
  <c r="T499" i="1" s="1"/>
  <c r="L537" i="1"/>
  <c r="O537" i="1" s="1"/>
  <c r="O538" i="1"/>
  <c r="R578" i="1"/>
  <c r="U578" i="1" s="1"/>
  <c r="U584" i="1"/>
  <c r="M601" i="1"/>
  <c r="P601" i="1" s="1"/>
  <c r="P604" i="1"/>
  <c r="P623" i="1"/>
  <c r="M622" i="1"/>
  <c r="P622" i="1" s="1"/>
  <c r="M357" i="1"/>
  <c r="N398" i="1"/>
  <c r="T498" i="1"/>
  <c r="Q495" i="1"/>
  <c r="R499" i="1"/>
  <c r="U499" i="1" s="1"/>
  <c r="U500" i="1"/>
  <c r="U562" i="1"/>
  <c r="R561" i="1"/>
  <c r="U561" i="1" s="1"/>
  <c r="T580" i="1"/>
  <c r="Q579" i="1"/>
  <c r="T579" i="1" s="1"/>
  <c r="Q577" i="1"/>
  <c r="M645" i="1"/>
  <c r="P645" i="1" s="1"/>
  <c r="M643" i="1"/>
  <c r="P646" i="1"/>
  <c r="L644" i="1"/>
  <c r="O644" i="1" s="1"/>
  <c r="O647" i="1"/>
  <c r="L645" i="1"/>
  <c r="O645" i="1" s="1"/>
  <c r="I332" i="1"/>
  <c r="R339" i="1"/>
  <c r="U339" i="1" s="1"/>
  <c r="O360" i="1"/>
  <c r="P361" i="1"/>
  <c r="K365" i="1"/>
  <c r="Q376" i="1"/>
  <c r="S377" i="1"/>
  <c r="K385" i="1"/>
  <c r="S395" i="1"/>
  <c r="J432" i="1"/>
  <c r="K432" i="1" s="1"/>
  <c r="U498" i="1"/>
  <c r="R495" i="1"/>
  <c r="L499" i="1"/>
  <c r="O499" i="1" s="1"/>
  <c r="O500" i="1"/>
  <c r="O562" i="1"/>
  <c r="L561" i="1"/>
  <c r="O561" i="1" s="1"/>
  <c r="L556" i="1"/>
  <c r="S561" i="1"/>
  <c r="S557" i="1"/>
  <c r="S555" i="1" s="1"/>
  <c r="N643" i="1"/>
  <c r="N642" i="1" s="1"/>
  <c r="N645" i="1"/>
  <c r="L496" i="1"/>
  <c r="O559" i="1"/>
  <c r="L558" i="1"/>
  <c r="O558" i="1" s="1"/>
  <c r="U580" i="1"/>
  <c r="R579" i="1"/>
  <c r="U579" i="1" s="1"/>
  <c r="M582" i="1"/>
  <c r="P582" i="1" s="1"/>
  <c r="P583" i="1"/>
  <c r="M577" i="1"/>
  <c r="L578" i="1"/>
  <c r="O578" i="1" s="1"/>
  <c r="O584" i="1"/>
  <c r="L582" i="1"/>
  <c r="O582" i="1" s="1"/>
  <c r="L619" i="1"/>
  <c r="O619" i="1" s="1"/>
  <c r="O621" i="1"/>
  <c r="L618" i="1"/>
  <c r="O765" i="1"/>
  <c r="L762" i="1"/>
  <c r="O762" i="1" s="1"/>
  <c r="M561" i="1"/>
  <c r="P561" i="1" s="1"/>
  <c r="P563" i="1"/>
  <c r="O580" i="1"/>
  <c r="L579" i="1"/>
  <c r="N582" i="1"/>
  <c r="N577" i="1"/>
  <c r="N576" i="1" s="1"/>
  <c r="Q602" i="1"/>
  <c r="T602" i="1" s="1"/>
  <c r="Q600" i="1"/>
  <c r="T603" i="1"/>
  <c r="U607" i="1"/>
  <c r="R601" i="1"/>
  <c r="U601" i="1" s="1"/>
  <c r="P621" i="1"/>
  <c r="M618" i="1"/>
  <c r="P618" i="1" s="1"/>
  <c r="N514" i="1"/>
  <c r="Q515" i="1"/>
  <c r="T515" i="1" s="1"/>
  <c r="R536" i="1"/>
  <c r="U536" i="1" s="1"/>
  <c r="L540" i="1"/>
  <c r="O540" i="1" s="1"/>
  <c r="R540" i="1"/>
  <c r="U540" i="1" s="1"/>
  <c r="N558" i="1"/>
  <c r="M558" i="1"/>
  <c r="P558" i="1" s="1"/>
  <c r="P560" i="1"/>
  <c r="L577" i="1"/>
  <c r="S578" i="1"/>
  <c r="O581" i="1"/>
  <c r="M605" i="1"/>
  <c r="P605" i="1" s="1"/>
  <c r="P606" i="1"/>
  <c r="O607" i="1"/>
  <c r="L605" i="1"/>
  <c r="O605" i="1" s="1"/>
  <c r="L601" i="1"/>
  <c r="O601" i="1" s="1"/>
  <c r="T620" i="1"/>
  <c r="Q619" i="1"/>
  <c r="T619" i="1" s="1"/>
  <c r="Q617" i="1"/>
  <c r="K629" i="1"/>
  <c r="I615" i="1"/>
  <c r="K631" i="1"/>
  <c r="P694" i="1"/>
  <c r="M693" i="1"/>
  <c r="P693" i="1" s="1"/>
  <c r="M691" i="1"/>
  <c r="M495" i="1"/>
  <c r="R496" i="1"/>
  <c r="M557" i="1"/>
  <c r="T562" i="1"/>
  <c r="Q561" i="1"/>
  <c r="T561" i="1" s="1"/>
  <c r="N579" i="1"/>
  <c r="M579" i="1"/>
  <c r="P581" i="1"/>
  <c r="N605" i="1"/>
  <c r="N600" i="1"/>
  <c r="N599" i="1" s="1"/>
  <c r="R644" i="1"/>
  <c r="U647" i="1"/>
  <c r="U649" i="1"/>
  <c r="R648" i="1"/>
  <c r="U648" i="1" s="1"/>
  <c r="S577" i="1"/>
  <c r="R582" i="1"/>
  <c r="U582" i="1" s="1"/>
  <c r="R605" i="1"/>
  <c r="U605" i="1" s="1"/>
  <c r="R643" i="1"/>
  <c r="R645" i="1"/>
  <c r="M648" i="1"/>
  <c r="P648" i="1" s="1"/>
  <c r="P721" i="1"/>
  <c r="M720" i="1"/>
  <c r="P720" i="1" s="1"/>
  <c r="P735" i="1"/>
  <c r="M734" i="1"/>
  <c r="P734" i="1" s="1"/>
  <c r="R762" i="1"/>
  <c r="S602" i="1"/>
  <c r="M602" i="1"/>
  <c r="P697" i="1"/>
  <c r="M696" i="1"/>
  <c r="P696" i="1" s="1"/>
  <c r="J727" i="1"/>
  <c r="K727" i="1" s="1"/>
  <c r="S617" i="1"/>
  <c r="T621" i="1"/>
  <c r="P718" i="1"/>
  <c r="M717" i="1"/>
  <c r="P717" i="1" s="1"/>
  <c r="P732" i="1"/>
  <c r="M731" i="1"/>
  <c r="P731" i="1" s="1"/>
  <c r="K742" i="1"/>
  <c r="J726" i="1"/>
  <c r="K726" i="1" s="1"/>
  <c r="T765" i="1"/>
  <c r="K707" i="1"/>
  <c r="Q763" i="1"/>
  <c r="Q766" i="1"/>
  <c r="T766" i="1" s="1"/>
  <c r="K772" i="1"/>
  <c r="I701" i="1"/>
  <c r="L763" i="1"/>
  <c r="O763" i="1" s="1"/>
  <c r="R763" i="1"/>
  <c r="P765" i="1"/>
  <c r="L766" i="1"/>
  <c r="O766" i="1" s="1"/>
  <c r="R766" i="1"/>
  <c r="U766" i="1" s="1"/>
  <c r="P768" i="1"/>
  <c r="O96" i="1" l="1"/>
  <c r="N94" i="1"/>
  <c r="M555" i="35"/>
  <c r="P555" i="35" s="1"/>
  <c r="T413" i="25"/>
  <c r="Q760" i="35"/>
  <c r="T760" i="35" s="1"/>
  <c r="L513" i="36"/>
  <c r="O513" i="36" s="1"/>
  <c r="P159" i="37"/>
  <c r="U176" i="36"/>
  <c r="O46" i="33"/>
  <c r="O578" i="36"/>
  <c r="O268" i="33"/>
  <c r="M282" i="35"/>
  <c r="P282" i="35" s="1"/>
  <c r="O335" i="37"/>
  <c r="T616" i="30"/>
  <c r="M157" i="35"/>
  <c r="P157" i="35" s="1"/>
  <c r="R760" i="35"/>
  <c r="U760" i="35" s="1"/>
  <c r="P413" i="34"/>
  <c r="P602" i="28"/>
  <c r="O284" i="33"/>
  <c r="R303" i="37"/>
  <c r="U303" i="37" s="1"/>
  <c r="T188" i="37"/>
  <c r="K332" i="37"/>
  <c r="T141" i="37"/>
  <c r="P160" i="31"/>
  <c r="O269" i="35"/>
  <c r="T303" i="34"/>
  <c r="K332" i="35"/>
  <c r="T305" i="34"/>
  <c r="U303" i="34"/>
  <c r="O46" i="35"/>
  <c r="U268" i="37"/>
  <c r="O578" i="37"/>
  <c r="M513" i="33"/>
  <c r="P513" i="33" s="1"/>
  <c r="M413" i="35"/>
  <c r="P413" i="35" s="1"/>
  <c r="Q599" i="37"/>
  <c r="T599" i="37" s="1"/>
  <c r="M320" i="37"/>
  <c r="P320" i="37" s="1"/>
  <c r="L413" i="34"/>
  <c r="M555" i="37"/>
  <c r="P555" i="37" s="1"/>
  <c r="Q599" i="28"/>
  <c r="T599" i="28" s="1"/>
  <c r="P159" i="36"/>
  <c r="P359" i="36"/>
  <c r="O47" i="37"/>
  <c r="T730" i="34"/>
  <c r="L555" i="36"/>
  <c r="O555" i="36" s="1"/>
  <c r="Q303" i="37"/>
  <c r="T303" i="37" s="1"/>
  <c r="T618" i="37"/>
  <c r="U618" i="37"/>
  <c r="P306" i="34"/>
  <c r="M94" i="36"/>
  <c r="P94" i="36" s="1"/>
  <c r="U730" i="37"/>
  <c r="O61" i="35"/>
  <c r="O176" i="36"/>
  <c r="U645" i="36"/>
  <c r="L320" i="37"/>
  <c r="O320" i="37" s="1"/>
  <c r="M94" i="37"/>
  <c r="P94" i="37" s="1"/>
  <c r="M375" i="37"/>
  <c r="P375" i="37" s="1"/>
  <c r="O416" i="29"/>
  <c r="P601" i="37"/>
  <c r="T762" i="37"/>
  <c r="U762" i="37"/>
  <c r="T760" i="37"/>
  <c r="O305" i="36"/>
  <c r="P305" i="36"/>
  <c r="O335" i="31"/>
  <c r="U176" i="32"/>
  <c r="U728" i="34"/>
  <c r="O416" i="36"/>
  <c r="P358" i="37"/>
  <c r="U189" i="36"/>
  <c r="M117" i="31"/>
  <c r="P117" i="31" s="1"/>
  <c r="T176" i="32"/>
  <c r="O268" i="36"/>
  <c r="U731" i="33"/>
  <c r="K83" i="34"/>
  <c r="O335" i="35"/>
  <c r="P188" i="37"/>
  <c r="L555" i="37"/>
  <c r="O555" i="37" s="1"/>
  <c r="K701" i="33"/>
  <c r="T306" i="36"/>
  <c r="Q72" i="37"/>
  <c r="T72" i="37" s="1"/>
  <c r="O284" i="36"/>
  <c r="R24" i="29"/>
  <c r="U24" i="29" s="1"/>
  <c r="R392" i="33"/>
  <c r="U392" i="33" s="1"/>
  <c r="O175" i="35"/>
  <c r="P189" i="36"/>
  <c r="R392" i="37"/>
  <c r="U392" i="37" s="1"/>
  <c r="T644" i="37"/>
  <c r="P333" i="35"/>
  <c r="R72" i="27"/>
  <c r="U72" i="27" s="1"/>
  <c r="M576" i="30"/>
  <c r="P576" i="30" s="1"/>
  <c r="R493" i="34"/>
  <c r="U493" i="34" s="1"/>
  <c r="I70" i="35"/>
  <c r="K70" i="35" s="1"/>
  <c r="L555" i="35"/>
  <c r="O555" i="35" s="1"/>
  <c r="L232" i="36"/>
  <c r="O175" i="36"/>
  <c r="M375" i="36"/>
  <c r="P375" i="36" s="1"/>
  <c r="P46" i="37"/>
  <c r="T269" i="32"/>
  <c r="O335" i="33"/>
  <c r="O74" i="36"/>
  <c r="K374" i="36"/>
  <c r="L320" i="36"/>
  <c r="O320" i="36" s="1"/>
  <c r="O46" i="37"/>
  <c r="P175" i="35"/>
  <c r="L44" i="37"/>
  <c r="U495" i="37"/>
  <c r="L534" i="34"/>
  <c r="O534" i="34" s="1"/>
  <c r="U173" i="36"/>
  <c r="L375" i="36"/>
  <c r="O375" i="36" s="1"/>
  <c r="L303" i="37"/>
  <c r="O303" i="37" s="1"/>
  <c r="P62" i="37"/>
  <c r="L303" i="35"/>
  <c r="O303" i="35" s="1"/>
  <c r="M375" i="35"/>
  <c r="P375" i="35" s="1"/>
  <c r="R24" i="37"/>
  <c r="U24" i="37" s="1"/>
  <c r="U644" i="37"/>
  <c r="P159" i="31"/>
  <c r="M375" i="33"/>
  <c r="P375" i="33" s="1"/>
  <c r="M94" i="35"/>
  <c r="P94" i="35" s="1"/>
  <c r="U644" i="35"/>
  <c r="O139" i="34"/>
  <c r="K242" i="34"/>
  <c r="P268" i="34"/>
  <c r="U117" i="35"/>
  <c r="P176" i="35"/>
  <c r="L303" i="36"/>
  <c r="O303" i="36" s="1"/>
  <c r="T616" i="37"/>
  <c r="R690" i="37"/>
  <c r="U690" i="37" s="1"/>
  <c r="K701" i="36"/>
  <c r="K374" i="34"/>
  <c r="M493" i="34"/>
  <c r="P493" i="34" s="1"/>
  <c r="T188" i="34"/>
  <c r="P269" i="35"/>
  <c r="P336" i="35"/>
  <c r="L320" i="35"/>
  <c r="O320" i="35" s="1"/>
  <c r="O269" i="36"/>
  <c r="O495" i="36"/>
  <c r="R303" i="36"/>
  <c r="U303" i="36" s="1"/>
  <c r="U642" i="37"/>
  <c r="U644" i="34"/>
  <c r="R413" i="37"/>
  <c r="U413" i="37" s="1"/>
  <c r="U644" i="31"/>
  <c r="P415" i="34"/>
  <c r="L117" i="35"/>
  <c r="O117" i="35" s="1"/>
  <c r="T416" i="36"/>
  <c r="Q616" i="36"/>
  <c r="T616" i="36" s="1"/>
  <c r="T375" i="36"/>
  <c r="T266" i="37"/>
  <c r="R72" i="37"/>
  <c r="U72" i="37" s="1"/>
  <c r="T619" i="36"/>
  <c r="U416" i="36"/>
  <c r="O189" i="36"/>
  <c r="P61" i="37"/>
  <c r="N599" i="37"/>
  <c r="P599" i="37" s="1"/>
  <c r="T413" i="29"/>
  <c r="Q72" i="31"/>
  <c r="T72" i="31" s="1"/>
  <c r="M139" i="33"/>
  <c r="P139" i="33" s="1"/>
  <c r="P305" i="33"/>
  <c r="L555" i="33"/>
  <c r="O555" i="33" s="1"/>
  <c r="K423" i="36"/>
  <c r="U269" i="36"/>
  <c r="U266" i="37"/>
  <c r="T730" i="37"/>
  <c r="Q728" i="37"/>
  <c r="T728" i="37" s="1"/>
  <c r="L232" i="35"/>
  <c r="R303" i="35"/>
  <c r="U303" i="35" s="1"/>
  <c r="I231" i="36"/>
  <c r="K231" i="36" s="1"/>
  <c r="O356" i="36"/>
  <c r="U188" i="36"/>
  <c r="P175" i="36"/>
  <c r="M493" i="37"/>
  <c r="P493" i="37" s="1"/>
  <c r="P413" i="33"/>
  <c r="P160" i="34"/>
  <c r="T119" i="34"/>
  <c r="Q392" i="37"/>
  <c r="T392" i="37" s="1"/>
  <c r="R72" i="35"/>
  <c r="U72" i="35" s="1"/>
  <c r="T119" i="36"/>
  <c r="O359" i="36"/>
  <c r="P268" i="36"/>
  <c r="P266" i="36"/>
  <c r="U375" i="36"/>
  <c r="L157" i="37"/>
  <c r="O157" i="37" s="1"/>
  <c r="R616" i="37"/>
  <c r="U616" i="37" s="1"/>
  <c r="L534" i="37"/>
  <c r="O534" i="37" s="1"/>
  <c r="O536" i="37"/>
  <c r="M320" i="30"/>
  <c r="P320" i="30" s="1"/>
  <c r="M94" i="33"/>
  <c r="P94" i="33" s="1"/>
  <c r="O254" i="33"/>
  <c r="P335" i="35"/>
  <c r="U120" i="36"/>
  <c r="L282" i="36"/>
  <c r="O282" i="36" s="1"/>
  <c r="Q392" i="36"/>
  <c r="T392" i="36" s="1"/>
  <c r="R413" i="36"/>
  <c r="U413" i="36" s="1"/>
  <c r="L94" i="37"/>
  <c r="O94" i="37" s="1"/>
  <c r="P268" i="37"/>
  <c r="Q642" i="37"/>
  <c r="T642" i="37" s="1"/>
  <c r="T268" i="37"/>
  <c r="U119" i="33"/>
  <c r="L72" i="35"/>
  <c r="O72" i="35" s="1"/>
  <c r="L534" i="36"/>
  <c r="O534" i="36" s="1"/>
  <c r="M303" i="37"/>
  <c r="P303" i="37" s="1"/>
  <c r="M320" i="32"/>
  <c r="P320" i="32" s="1"/>
  <c r="P176" i="33"/>
  <c r="O186" i="33"/>
  <c r="U74" i="36"/>
  <c r="T176" i="36"/>
  <c r="R173" i="37"/>
  <c r="U173" i="37" s="1"/>
  <c r="O359" i="37"/>
  <c r="O268" i="37"/>
  <c r="L72" i="37"/>
  <c r="O72" i="37" s="1"/>
  <c r="O74" i="37"/>
  <c r="L375" i="33"/>
  <c r="O375" i="33" s="1"/>
  <c r="M599" i="35"/>
  <c r="P599" i="35" s="1"/>
  <c r="S20" i="37"/>
  <c r="S18" i="37" s="1"/>
  <c r="O173" i="37"/>
  <c r="Q173" i="37"/>
  <c r="T173" i="37" s="1"/>
  <c r="M413" i="37"/>
  <c r="P413" i="37" s="1"/>
  <c r="L356" i="37"/>
  <c r="O356" i="37" s="1"/>
  <c r="O358" i="37"/>
  <c r="O358" i="30"/>
  <c r="T189" i="33"/>
  <c r="T616" i="33"/>
  <c r="Q186" i="34"/>
  <c r="T186" i="34" s="1"/>
  <c r="T763" i="34"/>
  <c r="M493" i="35"/>
  <c r="P493" i="35" s="1"/>
  <c r="M303" i="36"/>
  <c r="P303" i="36" s="1"/>
  <c r="L173" i="36"/>
  <c r="O173" i="36" s="1"/>
  <c r="U378" i="36"/>
  <c r="N186" i="37"/>
  <c r="N40" i="37" s="1"/>
  <c r="O24" i="37"/>
  <c r="L139" i="37"/>
  <c r="O139" i="37" s="1"/>
  <c r="K82" i="37"/>
  <c r="I70" i="37"/>
  <c r="K70" i="37" s="1"/>
  <c r="Q117" i="37"/>
  <c r="T117" i="37" s="1"/>
  <c r="P119" i="37"/>
  <c r="M117" i="37"/>
  <c r="P117" i="37" s="1"/>
  <c r="M266" i="37"/>
  <c r="P266" i="37" s="1"/>
  <c r="M356" i="37"/>
  <c r="P356" i="37" s="1"/>
  <c r="M333" i="37"/>
  <c r="P333" i="37" s="1"/>
  <c r="L266" i="37"/>
  <c r="O266" i="37" s="1"/>
  <c r="P189" i="37"/>
  <c r="R186" i="37"/>
  <c r="U186" i="37" s="1"/>
  <c r="M513" i="37"/>
  <c r="P513" i="37" s="1"/>
  <c r="O44" i="37"/>
  <c r="L599" i="37"/>
  <c r="O601" i="37"/>
  <c r="O74" i="33"/>
  <c r="K83" i="33"/>
  <c r="M117" i="35"/>
  <c r="P117" i="35" s="1"/>
  <c r="O358" i="36"/>
  <c r="L20" i="37"/>
  <c r="O23" i="37"/>
  <c r="P23" i="37"/>
  <c r="M20" i="37"/>
  <c r="Q24" i="37"/>
  <c r="T24" i="37" s="1"/>
  <c r="T26" i="37"/>
  <c r="S21" i="37"/>
  <c r="U21" i="37" s="1"/>
  <c r="L413" i="37"/>
  <c r="O413" i="37" s="1"/>
  <c r="O254" i="37"/>
  <c r="L232" i="37"/>
  <c r="L513" i="37"/>
  <c r="O513" i="37" s="1"/>
  <c r="O515" i="37"/>
  <c r="Q690" i="37"/>
  <c r="T690" i="37" s="1"/>
  <c r="U601" i="37"/>
  <c r="R599" i="37"/>
  <c r="U599" i="37" s="1"/>
  <c r="Q186" i="35"/>
  <c r="T186" i="35" s="1"/>
  <c r="O266" i="35"/>
  <c r="P268" i="35"/>
  <c r="T618" i="35"/>
  <c r="T378" i="36"/>
  <c r="U762" i="36"/>
  <c r="R20" i="37"/>
  <c r="U23" i="37"/>
  <c r="O175" i="37"/>
  <c r="L59" i="37"/>
  <c r="O59" i="37" s="1"/>
  <c r="O61" i="37"/>
  <c r="M59" i="37"/>
  <c r="P59" i="37" s="1"/>
  <c r="Q94" i="37"/>
  <c r="T94" i="37" s="1"/>
  <c r="M139" i="37"/>
  <c r="P139" i="37" s="1"/>
  <c r="R157" i="37"/>
  <c r="U157" i="37" s="1"/>
  <c r="U19" i="37"/>
  <c r="R139" i="37"/>
  <c r="U139" i="37" s="1"/>
  <c r="M44" i="37"/>
  <c r="I71" i="37"/>
  <c r="K71" i="37" s="1"/>
  <c r="K83" i="37"/>
  <c r="M576" i="37"/>
  <c r="P576" i="37" s="1"/>
  <c r="L375" i="37"/>
  <c r="O375" i="37" s="1"/>
  <c r="M534" i="37"/>
  <c r="P534" i="37" s="1"/>
  <c r="O495" i="37"/>
  <c r="L493" i="37"/>
  <c r="O493" i="37" s="1"/>
  <c r="P26" i="37"/>
  <c r="O188" i="35"/>
  <c r="P61" i="36"/>
  <c r="O26" i="36"/>
  <c r="O268" i="35"/>
  <c r="Q20" i="37"/>
  <c r="T23" i="37"/>
  <c r="Q21" i="37"/>
  <c r="M21" i="37"/>
  <c r="P24" i="37"/>
  <c r="R94" i="37"/>
  <c r="U94" i="37" s="1"/>
  <c r="L282" i="37"/>
  <c r="O282" i="37" s="1"/>
  <c r="L333" i="37"/>
  <c r="O333" i="37" s="1"/>
  <c r="I185" i="37"/>
  <c r="K185" i="37" s="1"/>
  <c r="R117" i="37"/>
  <c r="U117" i="37" s="1"/>
  <c r="L117" i="37"/>
  <c r="O117" i="37" s="1"/>
  <c r="R375" i="37"/>
  <c r="U375" i="37" s="1"/>
  <c r="M72" i="37"/>
  <c r="P72" i="37" s="1"/>
  <c r="O26" i="37"/>
  <c r="K374" i="26"/>
  <c r="P61" i="34"/>
  <c r="R72" i="34"/>
  <c r="U72" i="34" s="1"/>
  <c r="K701" i="34"/>
  <c r="Q72" i="35"/>
  <c r="T72" i="35" s="1"/>
  <c r="P189" i="35"/>
  <c r="R599" i="36"/>
  <c r="U599" i="36" s="1"/>
  <c r="P416" i="36"/>
  <c r="P188" i="36"/>
  <c r="P415" i="36"/>
  <c r="N21" i="37"/>
  <c r="O21" i="37" s="1"/>
  <c r="N20" i="37"/>
  <c r="N18" i="37" s="1"/>
  <c r="Q157" i="37"/>
  <c r="T157" i="37" s="1"/>
  <c r="O188" i="37"/>
  <c r="M282" i="37"/>
  <c r="P282" i="37" s="1"/>
  <c r="T141" i="36"/>
  <c r="Q139" i="36"/>
  <c r="T139" i="36" s="1"/>
  <c r="P175" i="37"/>
  <c r="M173" i="37"/>
  <c r="P173" i="37" s="1"/>
  <c r="M493" i="36"/>
  <c r="P493" i="36" s="1"/>
  <c r="P557" i="36"/>
  <c r="M555" i="36"/>
  <c r="P555" i="36" s="1"/>
  <c r="Q493" i="35"/>
  <c r="T493" i="35" s="1"/>
  <c r="M320" i="35"/>
  <c r="P320" i="35" s="1"/>
  <c r="P24" i="36"/>
  <c r="M186" i="36"/>
  <c r="P186" i="36" s="1"/>
  <c r="R186" i="36"/>
  <c r="U186" i="36" s="1"/>
  <c r="T728" i="36"/>
  <c r="P26" i="36"/>
  <c r="P335" i="36"/>
  <c r="U763" i="36"/>
  <c r="Q173" i="35"/>
  <c r="T173" i="35" s="1"/>
  <c r="M303" i="35"/>
  <c r="P303" i="35" s="1"/>
  <c r="M266" i="35"/>
  <c r="P266" i="35" s="1"/>
  <c r="O159" i="36"/>
  <c r="U730" i="36"/>
  <c r="M513" i="36"/>
  <c r="P513" i="36" s="1"/>
  <c r="U693" i="36"/>
  <c r="P413" i="36"/>
  <c r="U306" i="36"/>
  <c r="K701" i="28"/>
  <c r="P159" i="32"/>
  <c r="O336" i="33"/>
  <c r="T176" i="34"/>
  <c r="R186" i="35"/>
  <c r="U186" i="35" s="1"/>
  <c r="L117" i="36"/>
  <c r="O117" i="36" s="1"/>
  <c r="R139" i="36"/>
  <c r="U139" i="36" s="1"/>
  <c r="N20" i="36"/>
  <c r="N18" i="36" s="1"/>
  <c r="T730" i="36"/>
  <c r="U728" i="36"/>
  <c r="P284" i="36"/>
  <c r="M282" i="36"/>
  <c r="P282" i="36" s="1"/>
  <c r="T96" i="32"/>
  <c r="L333" i="35"/>
  <c r="O333" i="35" s="1"/>
  <c r="U119" i="36"/>
  <c r="T266" i="36"/>
  <c r="M320" i="36"/>
  <c r="P320" i="36" s="1"/>
  <c r="O306" i="36"/>
  <c r="P333" i="36"/>
  <c r="P356" i="36"/>
  <c r="P578" i="36"/>
  <c r="N576" i="36"/>
  <c r="O576" i="36" s="1"/>
  <c r="R760" i="36"/>
  <c r="U760" i="36" s="1"/>
  <c r="P358" i="36"/>
  <c r="Q303" i="36"/>
  <c r="T303" i="36" s="1"/>
  <c r="T305" i="36"/>
  <c r="O266" i="36"/>
  <c r="Q186" i="36"/>
  <c r="T186" i="36" s="1"/>
  <c r="T188" i="36"/>
  <c r="P44" i="36"/>
  <c r="P21" i="36"/>
  <c r="I71" i="36"/>
  <c r="K71" i="36" s="1"/>
  <c r="K83" i="36"/>
  <c r="K82" i="36"/>
  <c r="I70" i="36"/>
  <c r="K70" i="36" s="1"/>
  <c r="Q157" i="36"/>
  <c r="T157" i="36" s="1"/>
  <c r="P173" i="36"/>
  <c r="U644" i="36"/>
  <c r="R642" i="36"/>
  <c r="U642" i="36" s="1"/>
  <c r="L513" i="35"/>
  <c r="O513" i="35" s="1"/>
  <c r="L20" i="36"/>
  <c r="O23" i="36"/>
  <c r="P23" i="36"/>
  <c r="M20" i="36"/>
  <c r="L21" i="36"/>
  <c r="O21" i="36" s="1"/>
  <c r="T74" i="36"/>
  <c r="M139" i="36"/>
  <c r="P139" i="36" s="1"/>
  <c r="L139" i="36"/>
  <c r="O139" i="36" s="1"/>
  <c r="O186" i="36"/>
  <c r="N72" i="36"/>
  <c r="O72" i="36" s="1"/>
  <c r="O188" i="36"/>
  <c r="M576" i="36"/>
  <c r="L599" i="36"/>
  <c r="O599" i="36" s="1"/>
  <c r="P601" i="36"/>
  <c r="M599" i="36"/>
  <c r="P599" i="36" s="1"/>
  <c r="U618" i="36"/>
  <c r="R616" i="36"/>
  <c r="U616" i="36" s="1"/>
  <c r="U619" i="36"/>
  <c r="U176" i="34"/>
  <c r="Q728" i="35"/>
  <c r="T728" i="35" s="1"/>
  <c r="R20" i="36"/>
  <c r="R18" i="36" s="1"/>
  <c r="U23" i="36"/>
  <c r="S20" i="36"/>
  <c r="S18" i="36" s="1"/>
  <c r="N157" i="36"/>
  <c r="P157" i="36" s="1"/>
  <c r="L24" i="36"/>
  <c r="O24" i="36" s="1"/>
  <c r="Q94" i="36"/>
  <c r="T94" i="36" s="1"/>
  <c r="R94" i="36"/>
  <c r="U94" i="36" s="1"/>
  <c r="Q173" i="36"/>
  <c r="T173" i="36" s="1"/>
  <c r="R157" i="36"/>
  <c r="U157" i="36" s="1"/>
  <c r="L59" i="36"/>
  <c r="O59" i="36" s="1"/>
  <c r="O61" i="36"/>
  <c r="O285" i="36"/>
  <c r="O335" i="36"/>
  <c r="L333" i="36"/>
  <c r="O333" i="36" s="1"/>
  <c r="U26" i="36"/>
  <c r="M534" i="36"/>
  <c r="P534" i="36" s="1"/>
  <c r="Q599" i="36"/>
  <c r="T599" i="36" s="1"/>
  <c r="R690" i="35"/>
  <c r="U690" i="35" s="1"/>
  <c r="P46" i="36"/>
  <c r="M117" i="36"/>
  <c r="P117" i="36" s="1"/>
  <c r="U19" i="36"/>
  <c r="T269" i="36"/>
  <c r="Q642" i="36"/>
  <c r="T642" i="36" s="1"/>
  <c r="T644" i="36"/>
  <c r="Q117" i="36"/>
  <c r="T117" i="36" s="1"/>
  <c r="Q690" i="36"/>
  <c r="T690" i="36" s="1"/>
  <c r="T692" i="36"/>
  <c r="T762" i="36"/>
  <c r="Q760" i="36"/>
  <c r="T760" i="36" s="1"/>
  <c r="L157" i="36"/>
  <c r="T618" i="34"/>
  <c r="L44" i="36"/>
  <c r="O46" i="36"/>
  <c r="U21" i="36"/>
  <c r="O415" i="36"/>
  <c r="L413" i="36"/>
  <c r="O413" i="36" s="1"/>
  <c r="Q20" i="36"/>
  <c r="T23" i="36"/>
  <c r="Q21" i="36"/>
  <c r="T21" i="36" s="1"/>
  <c r="P74" i="36"/>
  <c r="M59" i="36"/>
  <c r="P59" i="36" s="1"/>
  <c r="S72" i="36"/>
  <c r="U72" i="36" s="1"/>
  <c r="L94" i="36"/>
  <c r="O94" i="36" s="1"/>
  <c r="R117" i="36"/>
  <c r="U117" i="36" s="1"/>
  <c r="P269" i="36"/>
  <c r="U266" i="36"/>
  <c r="Q24" i="36"/>
  <c r="T24" i="36" s="1"/>
  <c r="T26" i="36"/>
  <c r="U24" i="36"/>
  <c r="R690" i="36"/>
  <c r="U690" i="36" s="1"/>
  <c r="U692" i="36"/>
  <c r="U415" i="33"/>
  <c r="L94" i="35"/>
  <c r="O94" i="35" s="1"/>
  <c r="L282" i="35"/>
  <c r="O282" i="35" s="1"/>
  <c r="P188" i="35"/>
  <c r="U119" i="35"/>
  <c r="U416" i="33"/>
  <c r="P377" i="34"/>
  <c r="L555" i="34"/>
  <c r="O555" i="34" s="1"/>
  <c r="Q139" i="33"/>
  <c r="T139" i="33" s="1"/>
  <c r="P141" i="34"/>
  <c r="Q375" i="34"/>
  <c r="T375" i="34" s="1"/>
  <c r="N44" i="35"/>
  <c r="O44" i="35" s="1"/>
  <c r="N186" i="35"/>
  <c r="O186" i="35" s="1"/>
  <c r="M186" i="35"/>
  <c r="Q599" i="35"/>
  <c r="T599" i="35" s="1"/>
  <c r="Q266" i="33"/>
  <c r="T266" i="33" s="1"/>
  <c r="P495" i="33"/>
  <c r="M24" i="34"/>
  <c r="P24" i="34" s="1"/>
  <c r="N59" i="35"/>
  <c r="O59" i="35" s="1"/>
  <c r="P173" i="35"/>
  <c r="P26" i="31"/>
  <c r="L24" i="34"/>
  <c r="O24" i="34" s="1"/>
  <c r="O358" i="35"/>
  <c r="M72" i="35"/>
  <c r="P72" i="35" s="1"/>
  <c r="P74" i="35"/>
  <c r="N21" i="35"/>
  <c r="N20" i="35"/>
  <c r="N18" i="35" s="1"/>
  <c r="Q157" i="35"/>
  <c r="T157" i="35" s="1"/>
  <c r="T159" i="35"/>
  <c r="O159" i="35"/>
  <c r="L157" i="35"/>
  <c r="O157" i="35" s="1"/>
  <c r="I231" i="35"/>
  <c r="K242" i="35"/>
  <c r="U601" i="35"/>
  <c r="R599" i="35"/>
  <c r="U599" i="35" s="1"/>
  <c r="T692" i="35"/>
  <c r="Q690" i="35"/>
  <c r="T690" i="35" s="1"/>
  <c r="Q392" i="35"/>
  <c r="T392" i="35" s="1"/>
  <c r="T394" i="35"/>
  <c r="U693" i="30"/>
  <c r="R72" i="31"/>
  <c r="U72" i="31" s="1"/>
  <c r="O62" i="31"/>
  <c r="U141" i="34"/>
  <c r="P74" i="34"/>
  <c r="M513" i="34"/>
  <c r="P513" i="34" s="1"/>
  <c r="U378" i="34"/>
  <c r="T141" i="34"/>
  <c r="R24" i="35"/>
  <c r="U24" i="35" s="1"/>
  <c r="U26" i="35"/>
  <c r="U159" i="35"/>
  <c r="R157" i="35"/>
  <c r="U157" i="35" s="1"/>
  <c r="I71" i="35"/>
  <c r="K71" i="35" s="1"/>
  <c r="K83" i="35"/>
  <c r="T26" i="35"/>
  <c r="Q24" i="35"/>
  <c r="T24" i="35" s="1"/>
  <c r="O495" i="35"/>
  <c r="L493" i="35"/>
  <c r="O493" i="35" s="1"/>
  <c r="O176" i="35"/>
  <c r="O536" i="35"/>
  <c r="L534" i="35"/>
  <c r="O534" i="35" s="1"/>
  <c r="M576" i="35"/>
  <c r="P576" i="35" s="1"/>
  <c r="O378" i="30"/>
  <c r="P578" i="32"/>
  <c r="T94" i="32"/>
  <c r="O415" i="33"/>
  <c r="Q139" i="34"/>
  <c r="U305" i="34"/>
  <c r="S690" i="34"/>
  <c r="U690" i="34" s="1"/>
  <c r="U642" i="34"/>
  <c r="L21" i="35"/>
  <c r="L20" i="35"/>
  <c r="O23" i="35"/>
  <c r="Q94" i="35"/>
  <c r="T94" i="35" s="1"/>
  <c r="T96" i="35"/>
  <c r="M24" i="35"/>
  <c r="P24" i="35" s="1"/>
  <c r="S266" i="35"/>
  <c r="U266" i="35" s="1"/>
  <c r="R375" i="35"/>
  <c r="U375" i="35" s="1"/>
  <c r="Q117" i="35"/>
  <c r="T117" i="35" s="1"/>
  <c r="T119" i="35"/>
  <c r="L356" i="35"/>
  <c r="O356" i="35" s="1"/>
  <c r="O578" i="35"/>
  <c r="L576" i="35"/>
  <c r="O576" i="35" s="1"/>
  <c r="T616" i="35"/>
  <c r="O578" i="32"/>
  <c r="M157" i="33"/>
  <c r="P157" i="33" s="1"/>
  <c r="T415" i="33"/>
  <c r="T415" i="34"/>
  <c r="U731" i="34"/>
  <c r="T19" i="35"/>
  <c r="R493" i="35"/>
  <c r="U493" i="35" s="1"/>
  <c r="O601" i="35"/>
  <c r="L599" i="35"/>
  <c r="O599" i="35" s="1"/>
  <c r="L375" i="18"/>
  <c r="O375" i="18" s="1"/>
  <c r="O157" i="29"/>
  <c r="T693" i="31"/>
  <c r="P305" i="32"/>
  <c r="O413" i="33"/>
  <c r="M493" i="33"/>
  <c r="P493" i="33" s="1"/>
  <c r="T413" i="34"/>
  <c r="Q728" i="34"/>
  <c r="T728" i="34" s="1"/>
  <c r="P333" i="33"/>
  <c r="U690" i="33"/>
  <c r="Q20" i="35"/>
  <c r="Q18" i="35" s="1"/>
  <c r="T23" i="35"/>
  <c r="Q21" i="35"/>
  <c r="T21" i="35" s="1"/>
  <c r="M44" i="35"/>
  <c r="P46" i="35"/>
  <c r="P23" i="35"/>
  <c r="M20" i="35"/>
  <c r="L139" i="35"/>
  <c r="O139" i="35" s="1"/>
  <c r="O141" i="35"/>
  <c r="U175" i="35"/>
  <c r="R173" i="35"/>
  <c r="U173" i="35" s="1"/>
  <c r="M513" i="35"/>
  <c r="P513" i="35" s="1"/>
  <c r="P515" i="35"/>
  <c r="P358" i="35"/>
  <c r="M356" i="35"/>
  <c r="P356" i="35" s="1"/>
  <c r="U268" i="35"/>
  <c r="L413" i="35"/>
  <c r="O413" i="35" s="1"/>
  <c r="Q642" i="35"/>
  <c r="T644" i="35"/>
  <c r="P157" i="29"/>
  <c r="O358" i="31"/>
  <c r="R760" i="34"/>
  <c r="U760" i="34" s="1"/>
  <c r="R21" i="35"/>
  <c r="U21" i="35" s="1"/>
  <c r="R20" i="35"/>
  <c r="U23" i="35"/>
  <c r="P19" i="35"/>
  <c r="L24" i="35"/>
  <c r="O24" i="35" s="1"/>
  <c r="O26" i="35"/>
  <c r="R139" i="35"/>
  <c r="U139" i="35" s="1"/>
  <c r="U141" i="35"/>
  <c r="R413" i="35"/>
  <c r="U413" i="35" s="1"/>
  <c r="R392" i="35"/>
  <c r="U392" i="35" s="1"/>
  <c r="U618" i="35"/>
  <c r="R616" i="35"/>
  <c r="U616" i="35" s="1"/>
  <c r="L173" i="35"/>
  <c r="O173" i="35" s="1"/>
  <c r="U306" i="27"/>
  <c r="U730" i="29"/>
  <c r="P336" i="30"/>
  <c r="T377" i="30"/>
  <c r="O159" i="32"/>
  <c r="U120" i="33"/>
  <c r="S413" i="33"/>
  <c r="T413" i="33" s="1"/>
  <c r="P599" i="33"/>
  <c r="P46" i="34"/>
  <c r="U119" i="34"/>
  <c r="Q266" i="34"/>
  <c r="T266" i="34" s="1"/>
  <c r="M282" i="34"/>
  <c r="P282" i="34" s="1"/>
  <c r="P375" i="34"/>
  <c r="R266" i="34"/>
  <c r="U266" i="34" s="1"/>
  <c r="T760" i="34"/>
  <c r="P188" i="33"/>
  <c r="M59" i="35"/>
  <c r="P61" i="35"/>
  <c r="S20" i="35"/>
  <c r="S18" i="35" s="1"/>
  <c r="M21" i="35"/>
  <c r="R94" i="35"/>
  <c r="U94" i="35" s="1"/>
  <c r="T141" i="35"/>
  <c r="Q139" i="35"/>
  <c r="T139" i="35" s="1"/>
  <c r="M139" i="35"/>
  <c r="P139" i="35" s="1"/>
  <c r="L375" i="35"/>
  <c r="O375" i="35" s="1"/>
  <c r="M534" i="35"/>
  <c r="P534" i="35" s="1"/>
  <c r="S642" i="35"/>
  <c r="U642" i="35" s="1"/>
  <c r="U188" i="31"/>
  <c r="P157" i="34"/>
  <c r="T175" i="34"/>
  <c r="O188" i="34"/>
  <c r="L282" i="34"/>
  <c r="O282" i="34" s="1"/>
  <c r="Q599" i="34"/>
  <c r="T599" i="34" s="1"/>
  <c r="O377" i="34"/>
  <c r="O186" i="28"/>
  <c r="M117" i="29"/>
  <c r="P117" i="29" s="1"/>
  <c r="P306" i="30"/>
  <c r="P378" i="30"/>
  <c r="P335" i="30"/>
  <c r="O46" i="31"/>
  <c r="P515" i="31"/>
  <c r="O74" i="32"/>
  <c r="T75" i="32"/>
  <c r="U692" i="32"/>
  <c r="P336" i="32"/>
  <c r="N72" i="33"/>
  <c r="P72" i="33" s="1"/>
  <c r="L266" i="33"/>
  <c r="O266" i="33" s="1"/>
  <c r="O416" i="33"/>
  <c r="P335" i="33"/>
  <c r="P175" i="34"/>
  <c r="P305" i="34"/>
  <c r="I185" i="34"/>
  <c r="K185" i="34" s="1"/>
  <c r="R392" i="34"/>
  <c r="U392" i="34" s="1"/>
  <c r="O74" i="34"/>
  <c r="L72" i="34"/>
  <c r="O72" i="34" s="1"/>
  <c r="T119" i="33"/>
  <c r="P175" i="33"/>
  <c r="Q493" i="33"/>
  <c r="T493" i="33" s="1"/>
  <c r="O413" i="34"/>
  <c r="P578" i="34"/>
  <c r="P305" i="29"/>
  <c r="L333" i="31"/>
  <c r="O333" i="31" s="1"/>
  <c r="P599" i="31"/>
  <c r="U618" i="31"/>
  <c r="R117" i="33"/>
  <c r="U117" i="33" s="1"/>
  <c r="T74" i="33"/>
  <c r="O159" i="34"/>
  <c r="P159" i="34"/>
  <c r="L117" i="34"/>
  <c r="O117" i="34" s="1"/>
  <c r="R157" i="34"/>
  <c r="U157" i="34" s="1"/>
  <c r="O141" i="34"/>
  <c r="O175" i="34"/>
  <c r="P188" i="34"/>
  <c r="Q616" i="34"/>
  <c r="T616" i="34" s="1"/>
  <c r="R375" i="34"/>
  <c r="U375" i="34" s="1"/>
  <c r="U176" i="27"/>
  <c r="P74" i="33"/>
  <c r="O358" i="33"/>
  <c r="S20" i="34"/>
  <c r="S18" i="34" s="1"/>
  <c r="N59" i="34"/>
  <c r="P59" i="34" s="1"/>
  <c r="U175" i="34"/>
  <c r="U730" i="34"/>
  <c r="U72" i="33"/>
  <c r="T619" i="30"/>
  <c r="M117" i="33"/>
  <c r="P117" i="33" s="1"/>
  <c r="L117" i="33"/>
  <c r="O117" i="33" s="1"/>
  <c r="R139" i="33"/>
  <c r="U139" i="33" s="1"/>
  <c r="O356" i="33"/>
  <c r="T72" i="33"/>
  <c r="T188" i="33"/>
  <c r="P23" i="34"/>
  <c r="M20" i="34"/>
  <c r="M18" i="34" s="1"/>
  <c r="M139" i="34"/>
  <c r="P139" i="34" s="1"/>
  <c r="M94" i="34"/>
  <c r="P94" i="34" s="1"/>
  <c r="R24" i="34"/>
  <c r="U24" i="34" s="1"/>
  <c r="O358" i="34"/>
  <c r="L356" i="34"/>
  <c r="O356" i="34" s="1"/>
  <c r="U269" i="34"/>
  <c r="O333" i="34"/>
  <c r="P375" i="30"/>
  <c r="U189" i="32"/>
  <c r="Q375" i="32"/>
  <c r="T375" i="32" s="1"/>
  <c r="U415" i="32"/>
  <c r="O61" i="33"/>
  <c r="Q157" i="33"/>
  <c r="T157" i="33" s="1"/>
  <c r="P282" i="33"/>
  <c r="P601" i="33"/>
  <c r="U496" i="33"/>
  <c r="O61" i="34"/>
  <c r="R117" i="34"/>
  <c r="O46" i="34"/>
  <c r="T26" i="34"/>
  <c r="Q24" i="34"/>
  <c r="T24" i="34" s="1"/>
  <c r="Q20" i="34"/>
  <c r="T23" i="34"/>
  <c r="Q21" i="34"/>
  <c r="R173" i="34"/>
  <c r="U173" i="34" s="1"/>
  <c r="M173" i="34"/>
  <c r="P173" i="34" s="1"/>
  <c r="P189" i="34"/>
  <c r="Q392" i="34"/>
  <c r="T392" i="34" s="1"/>
  <c r="P303" i="34"/>
  <c r="M333" i="34"/>
  <c r="P333" i="34" s="1"/>
  <c r="P335" i="34"/>
  <c r="L513" i="34"/>
  <c r="O513" i="34" s="1"/>
  <c r="O515" i="34"/>
  <c r="O359" i="34"/>
  <c r="P358" i="34"/>
  <c r="R599" i="34"/>
  <c r="U599" i="34" s="1"/>
  <c r="O335" i="34"/>
  <c r="L21" i="34"/>
  <c r="L20" i="34"/>
  <c r="O23" i="34"/>
  <c r="U19" i="34"/>
  <c r="N44" i="34"/>
  <c r="P557" i="34"/>
  <c r="M555" i="34"/>
  <c r="P555" i="34" s="1"/>
  <c r="O268" i="34"/>
  <c r="L266" i="34"/>
  <c r="U188" i="34"/>
  <c r="R186" i="34"/>
  <c r="U186" i="34" s="1"/>
  <c r="M534" i="34"/>
  <c r="P534" i="34" s="1"/>
  <c r="P536" i="34"/>
  <c r="M493" i="18"/>
  <c r="P493" i="18" s="1"/>
  <c r="K701" i="29"/>
  <c r="K701" i="30"/>
  <c r="P284" i="32"/>
  <c r="M186" i="33"/>
  <c r="P186" i="33" s="1"/>
  <c r="M303" i="33"/>
  <c r="P303" i="33" s="1"/>
  <c r="Q392" i="33"/>
  <c r="T392" i="33" s="1"/>
  <c r="U618" i="33"/>
  <c r="R20" i="34"/>
  <c r="U23" i="34"/>
  <c r="N21" i="34"/>
  <c r="N20" i="34"/>
  <c r="N18" i="34" s="1"/>
  <c r="R94" i="34"/>
  <c r="U94" i="34" s="1"/>
  <c r="P19" i="34"/>
  <c r="S117" i="34"/>
  <c r="T117" i="34" s="1"/>
  <c r="M117" i="34"/>
  <c r="P117" i="34" s="1"/>
  <c r="L173" i="34"/>
  <c r="O173" i="34" s="1"/>
  <c r="L303" i="34"/>
  <c r="O303" i="34" s="1"/>
  <c r="L232" i="34"/>
  <c r="O243" i="34"/>
  <c r="R616" i="34"/>
  <c r="U616" i="34" s="1"/>
  <c r="U618" i="34"/>
  <c r="M599" i="34"/>
  <c r="P599" i="34" s="1"/>
  <c r="P601" i="34"/>
  <c r="T189" i="34"/>
  <c r="T644" i="34"/>
  <c r="Q642" i="34"/>
  <c r="T642" i="34" s="1"/>
  <c r="U120" i="30"/>
  <c r="T730" i="32"/>
  <c r="U616" i="32"/>
  <c r="L282" i="33"/>
  <c r="O282" i="33" s="1"/>
  <c r="O188" i="33"/>
  <c r="O601" i="33"/>
  <c r="T618" i="33"/>
  <c r="S21" i="34"/>
  <c r="T173" i="34"/>
  <c r="S139" i="34"/>
  <c r="U139" i="34" s="1"/>
  <c r="T74" i="34"/>
  <c r="Q72" i="34"/>
  <c r="T72" i="34" s="1"/>
  <c r="L186" i="34"/>
  <c r="O186" i="34" s="1"/>
  <c r="O375" i="34"/>
  <c r="U416" i="34"/>
  <c r="N266" i="34"/>
  <c r="P266" i="34" s="1"/>
  <c r="L320" i="34"/>
  <c r="O320" i="34" s="1"/>
  <c r="O322" i="34"/>
  <c r="P322" i="34"/>
  <c r="M320" i="34"/>
  <c r="P320" i="34" s="1"/>
  <c r="T495" i="34"/>
  <c r="Q493" i="34"/>
  <c r="T493" i="34" s="1"/>
  <c r="L576" i="34"/>
  <c r="O576" i="34" s="1"/>
  <c r="L599" i="34"/>
  <c r="O599" i="34" s="1"/>
  <c r="O188" i="27"/>
  <c r="L534" i="30"/>
  <c r="O534" i="30" s="1"/>
  <c r="T120" i="31"/>
  <c r="O176" i="32"/>
  <c r="T415" i="32"/>
  <c r="O336" i="32"/>
  <c r="K423" i="32"/>
  <c r="K701" i="32"/>
  <c r="P61" i="33"/>
  <c r="I231" i="33"/>
  <c r="K231" i="33" s="1"/>
  <c r="P415" i="33"/>
  <c r="L534" i="33"/>
  <c r="O534" i="33" s="1"/>
  <c r="T19" i="34"/>
  <c r="M21" i="34"/>
  <c r="L94" i="34"/>
  <c r="O94" i="34" s="1"/>
  <c r="R21" i="34"/>
  <c r="K82" i="34"/>
  <c r="I70" i="34"/>
  <c r="K70" i="34" s="1"/>
  <c r="M186" i="34"/>
  <c r="P186" i="34" s="1"/>
  <c r="L157" i="34"/>
  <c r="O157" i="34" s="1"/>
  <c r="K332" i="34"/>
  <c r="U413" i="34"/>
  <c r="U415" i="34"/>
  <c r="T692" i="34"/>
  <c r="P284" i="33"/>
  <c r="P356" i="34"/>
  <c r="L493" i="34"/>
  <c r="O493" i="34" s="1"/>
  <c r="U189" i="33"/>
  <c r="O336" i="23"/>
  <c r="M493" i="30"/>
  <c r="P493" i="30" s="1"/>
  <c r="O284" i="31"/>
  <c r="S20" i="32"/>
  <c r="S18" i="32" s="1"/>
  <c r="N72" i="32"/>
  <c r="O72" i="32" s="1"/>
  <c r="T730" i="31"/>
  <c r="O186" i="32"/>
  <c r="P24" i="33"/>
  <c r="S186" i="33"/>
  <c r="T186" i="33" s="1"/>
  <c r="U176" i="33"/>
  <c r="O157" i="32"/>
  <c r="P358" i="33"/>
  <c r="R616" i="33"/>
  <c r="U616" i="33" s="1"/>
  <c r="Q375" i="33"/>
  <c r="T375" i="33" s="1"/>
  <c r="P336" i="33"/>
  <c r="Q642" i="33"/>
  <c r="T642" i="33" s="1"/>
  <c r="P557" i="33"/>
  <c r="M555" i="33"/>
  <c r="P555" i="33" s="1"/>
  <c r="T266" i="27"/>
  <c r="U618" i="29"/>
  <c r="M320" i="31"/>
  <c r="P320" i="31" s="1"/>
  <c r="P61" i="32"/>
  <c r="U186" i="32"/>
  <c r="T188" i="32"/>
  <c r="Q392" i="32"/>
  <c r="T392" i="32" s="1"/>
  <c r="U416" i="32"/>
  <c r="U730" i="31"/>
  <c r="P176" i="32"/>
  <c r="Q173" i="33"/>
  <c r="T173" i="33" s="1"/>
  <c r="L157" i="33"/>
  <c r="O157" i="33" s="1"/>
  <c r="P285" i="33"/>
  <c r="U495" i="33"/>
  <c r="R493" i="33"/>
  <c r="U493" i="33" s="1"/>
  <c r="L320" i="30"/>
  <c r="O320" i="30" s="1"/>
  <c r="P61" i="31"/>
  <c r="M282" i="32"/>
  <c r="P282" i="32" s="1"/>
  <c r="M534" i="33"/>
  <c r="P534" i="33" s="1"/>
  <c r="L303" i="33"/>
  <c r="O303" i="33" s="1"/>
  <c r="U74" i="28"/>
  <c r="U74" i="32"/>
  <c r="S690" i="32"/>
  <c r="T690" i="32" s="1"/>
  <c r="O576" i="32"/>
  <c r="S20" i="33"/>
  <c r="S18" i="33" s="1"/>
  <c r="R375" i="33"/>
  <c r="U375" i="33" s="1"/>
  <c r="M576" i="33"/>
  <c r="P576" i="33" s="1"/>
  <c r="R599" i="33"/>
  <c r="U599" i="33" s="1"/>
  <c r="Q599" i="33"/>
  <c r="T599" i="33" s="1"/>
  <c r="T601" i="33"/>
  <c r="T496" i="33"/>
  <c r="P173" i="30"/>
  <c r="S303" i="32"/>
  <c r="T303" i="32" s="1"/>
  <c r="L599" i="32"/>
  <c r="O599" i="32" s="1"/>
  <c r="U188" i="33"/>
  <c r="L333" i="33"/>
  <c r="O333" i="33" s="1"/>
  <c r="T120" i="33"/>
  <c r="L21" i="33"/>
  <c r="L20" i="33"/>
  <c r="O23" i="33"/>
  <c r="P322" i="33"/>
  <c r="M320" i="33"/>
  <c r="P320" i="33" s="1"/>
  <c r="P142" i="29"/>
  <c r="P557" i="29"/>
  <c r="M117" i="30"/>
  <c r="P117" i="30" s="1"/>
  <c r="T763" i="30"/>
  <c r="P94" i="31"/>
  <c r="L282" i="31"/>
  <c r="O282" i="31" s="1"/>
  <c r="S642" i="31"/>
  <c r="T642" i="31" s="1"/>
  <c r="P377" i="32"/>
  <c r="T378" i="32"/>
  <c r="S21" i="33"/>
  <c r="K82" i="33"/>
  <c r="I70" i="33"/>
  <c r="K70" i="33" s="1"/>
  <c r="T269" i="33"/>
  <c r="L576" i="33"/>
  <c r="O576" i="33" s="1"/>
  <c r="O602" i="33"/>
  <c r="R24" i="33"/>
  <c r="U24" i="33" s="1"/>
  <c r="U26" i="33"/>
  <c r="L493" i="33"/>
  <c r="O493" i="33" s="1"/>
  <c r="O495" i="33"/>
  <c r="M493" i="28"/>
  <c r="P493" i="28" s="1"/>
  <c r="O159" i="29"/>
  <c r="L303" i="29"/>
  <c r="O303" i="29" s="1"/>
  <c r="O377" i="30"/>
  <c r="P96" i="31"/>
  <c r="Q94" i="31"/>
  <c r="T94" i="31" s="1"/>
  <c r="L139" i="32"/>
  <c r="O139" i="32" s="1"/>
  <c r="T97" i="32"/>
  <c r="N44" i="33"/>
  <c r="O175" i="33"/>
  <c r="N173" i="33"/>
  <c r="T26" i="33"/>
  <c r="Q24" i="33"/>
  <c r="T24" i="33" s="1"/>
  <c r="P356" i="33"/>
  <c r="U692" i="33"/>
  <c r="P23" i="33"/>
  <c r="M20" i="33"/>
  <c r="M18" i="33" s="1"/>
  <c r="U175" i="33"/>
  <c r="R173" i="33"/>
  <c r="U173" i="33" s="1"/>
  <c r="S59" i="1"/>
  <c r="U760" i="30"/>
  <c r="T730" i="30"/>
  <c r="R493" i="31"/>
  <c r="U493" i="31" s="1"/>
  <c r="N356" i="31"/>
  <c r="O356" i="31" s="1"/>
  <c r="P268" i="30"/>
  <c r="O336" i="31"/>
  <c r="M24" i="32"/>
  <c r="P24" i="32" s="1"/>
  <c r="U619" i="32"/>
  <c r="M493" i="32"/>
  <c r="P493" i="32" s="1"/>
  <c r="R599" i="32"/>
  <c r="U599" i="32" s="1"/>
  <c r="P359" i="32"/>
  <c r="U188" i="32"/>
  <c r="P415" i="32"/>
  <c r="Q760" i="32"/>
  <c r="T760" i="32" s="1"/>
  <c r="T19" i="33"/>
  <c r="O59" i="33"/>
  <c r="Q117" i="33"/>
  <c r="T117" i="33" s="1"/>
  <c r="O176" i="33"/>
  <c r="U74" i="33"/>
  <c r="U269" i="33"/>
  <c r="L139" i="33"/>
  <c r="O139" i="33" s="1"/>
  <c r="L232" i="33"/>
  <c r="O243" i="33"/>
  <c r="R413" i="33"/>
  <c r="O322" i="33"/>
  <c r="L320" i="33"/>
  <c r="O320" i="33" s="1"/>
  <c r="L599" i="33"/>
  <c r="O599" i="33" s="1"/>
  <c r="N232" i="33"/>
  <c r="U416" i="26"/>
  <c r="T74" i="29"/>
  <c r="T186" i="30"/>
  <c r="P186" i="32"/>
  <c r="O188" i="32"/>
  <c r="P335" i="32"/>
  <c r="S266" i="32"/>
  <c r="T266" i="32" s="1"/>
  <c r="Q599" i="32"/>
  <c r="T599" i="32" s="1"/>
  <c r="P188" i="32"/>
  <c r="P160" i="32"/>
  <c r="R21" i="33"/>
  <c r="R20" i="33"/>
  <c r="U23" i="33"/>
  <c r="Q94" i="33"/>
  <c r="T94" i="33" s="1"/>
  <c r="T96" i="33"/>
  <c r="P19" i="33"/>
  <c r="R94" i="33"/>
  <c r="U94" i="33" s="1"/>
  <c r="P268" i="33"/>
  <c r="M266" i="33"/>
  <c r="P266" i="33" s="1"/>
  <c r="Q728" i="33"/>
  <c r="T728" i="33" s="1"/>
  <c r="T730" i="33"/>
  <c r="U394" i="32"/>
  <c r="R392" i="32"/>
  <c r="U392" i="32" s="1"/>
  <c r="L513" i="33"/>
  <c r="O513" i="33" s="1"/>
  <c r="R392" i="22"/>
  <c r="U392" i="22" s="1"/>
  <c r="U269" i="27"/>
  <c r="P119" i="28"/>
  <c r="P413" i="29"/>
  <c r="O61" i="30"/>
  <c r="S266" i="30"/>
  <c r="U266" i="30" s="1"/>
  <c r="K374" i="30"/>
  <c r="M303" i="31"/>
  <c r="P303" i="31" s="1"/>
  <c r="P335" i="31"/>
  <c r="O96" i="31"/>
  <c r="M157" i="32"/>
  <c r="P157" i="32" s="1"/>
  <c r="O189" i="32"/>
  <c r="L555" i="32"/>
  <c r="O555" i="32" s="1"/>
  <c r="P576" i="32"/>
  <c r="M534" i="32"/>
  <c r="P534" i="32" s="1"/>
  <c r="Q20" i="33"/>
  <c r="T23" i="33"/>
  <c r="Q21" i="33"/>
  <c r="M44" i="33"/>
  <c r="P46" i="33"/>
  <c r="N21" i="33"/>
  <c r="P21" i="33" s="1"/>
  <c r="N20" i="33"/>
  <c r="N18" i="33" s="1"/>
  <c r="L94" i="33"/>
  <c r="O94" i="33" s="1"/>
  <c r="L24" i="33"/>
  <c r="O24" i="33" s="1"/>
  <c r="O26" i="33"/>
  <c r="P26" i="33"/>
  <c r="M59" i="33"/>
  <c r="P59" i="33" s="1"/>
  <c r="R303" i="33"/>
  <c r="U303" i="33" s="1"/>
  <c r="R266" i="33"/>
  <c r="U266" i="33" s="1"/>
  <c r="R186" i="33"/>
  <c r="T690" i="33"/>
  <c r="R728" i="33"/>
  <c r="U728" i="33" s="1"/>
  <c r="T692" i="33"/>
  <c r="T645" i="31"/>
  <c r="P266" i="32"/>
  <c r="O266" i="32"/>
  <c r="T644" i="32"/>
  <c r="O61" i="31"/>
  <c r="T305" i="32"/>
  <c r="L493" i="32"/>
  <c r="O493" i="32" s="1"/>
  <c r="K82" i="32"/>
  <c r="I70" i="32"/>
  <c r="K70" i="32" s="1"/>
  <c r="P173" i="32"/>
  <c r="Q157" i="32"/>
  <c r="T157" i="32" s="1"/>
  <c r="T269" i="30"/>
  <c r="O26" i="29"/>
  <c r="O46" i="29"/>
  <c r="O268" i="31"/>
  <c r="O305" i="32"/>
  <c r="M117" i="32"/>
  <c r="P117" i="32" s="1"/>
  <c r="K701" i="31"/>
  <c r="P74" i="32"/>
  <c r="P97" i="32"/>
  <c r="R24" i="32"/>
  <c r="U24" i="32" s="1"/>
  <c r="S642" i="32"/>
  <c r="U642" i="32" s="1"/>
  <c r="O268" i="32"/>
  <c r="M413" i="32"/>
  <c r="P413" i="32" s="1"/>
  <c r="M513" i="32"/>
  <c r="P513" i="32" s="1"/>
  <c r="L534" i="32"/>
  <c r="O534" i="32" s="1"/>
  <c r="P175" i="32"/>
  <c r="O415" i="32"/>
  <c r="M513" i="30"/>
  <c r="P513" i="30" s="1"/>
  <c r="U763" i="30"/>
  <c r="Q690" i="31"/>
  <c r="T690" i="31" s="1"/>
  <c r="T618" i="31"/>
  <c r="U173" i="32"/>
  <c r="P268" i="32"/>
  <c r="U728" i="32"/>
  <c r="Q728" i="32"/>
  <c r="T728" i="32" s="1"/>
  <c r="P601" i="32"/>
  <c r="M599" i="32"/>
  <c r="P599" i="32" s="1"/>
  <c r="T619" i="32"/>
  <c r="T763" i="32"/>
  <c r="O46" i="32"/>
  <c r="L44" i="32"/>
  <c r="R117" i="32"/>
  <c r="U117" i="32" s="1"/>
  <c r="U119" i="32"/>
  <c r="T26" i="32"/>
  <c r="Q24" i="32"/>
  <c r="T24" i="32" s="1"/>
  <c r="L173" i="32"/>
  <c r="O173" i="32" s="1"/>
  <c r="O175" i="32"/>
  <c r="N375" i="32"/>
  <c r="P375" i="32" s="1"/>
  <c r="M266" i="30"/>
  <c r="P266" i="30" s="1"/>
  <c r="U730" i="30"/>
  <c r="T306" i="31"/>
  <c r="O94" i="32"/>
  <c r="U141" i="32"/>
  <c r="R139" i="32"/>
  <c r="U139" i="32" s="1"/>
  <c r="Q413" i="32"/>
  <c r="T413" i="32" s="1"/>
  <c r="P47" i="26"/>
  <c r="T175" i="28"/>
  <c r="M375" i="29"/>
  <c r="P375" i="29" s="1"/>
  <c r="L44" i="29"/>
  <c r="O44" i="29" s="1"/>
  <c r="O268" i="30"/>
  <c r="L493" i="30"/>
  <c r="O493" i="30" s="1"/>
  <c r="R599" i="30"/>
  <c r="U599" i="30" s="1"/>
  <c r="U306" i="30"/>
  <c r="T139" i="31"/>
  <c r="P62" i="31"/>
  <c r="P176" i="31"/>
  <c r="O176" i="31"/>
  <c r="U176" i="31"/>
  <c r="P602" i="31"/>
  <c r="O557" i="31"/>
  <c r="T728" i="31"/>
  <c r="S72" i="32"/>
  <c r="R20" i="32"/>
  <c r="U23" i="32"/>
  <c r="T189" i="32"/>
  <c r="P189" i="32"/>
  <c r="P358" i="32"/>
  <c r="P94" i="32"/>
  <c r="Q493" i="32"/>
  <c r="T493" i="32" s="1"/>
  <c r="Q616" i="32"/>
  <c r="T616" i="32" s="1"/>
  <c r="L513" i="32"/>
  <c r="O513" i="32" s="1"/>
  <c r="T268" i="30"/>
  <c r="P416" i="31"/>
  <c r="N21" i="32"/>
  <c r="P21" i="32" s="1"/>
  <c r="N20" i="32"/>
  <c r="N18" i="32" s="1"/>
  <c r="Q186" i="32"/>
  <c r="T186" i="32" s="1"/>
  <c r="M375" i="27"/>
  <c r="P375" i="27" s="1"/>
  <c r="O74" i="28"/>
  <c r="P188" i="29"/>
  <c r="O266" i="30"/>
  <c r="O175" i="31"/>
  <c r="L59" i="31"/>
  <c r="O59" i="31" s="1"/>
  <c r="U119" i="31"/>
  <c r="T416" i="31"/>
  <c r="U728" i="31"/>
  <c r="P142" i="31"/>
  <c r="K374" i="31"/>
  <c r="Q599" i="31"/>
  <c r="T599" i="31" s="1"/>
  <c r="L72" i="31"/>
  <c r="O72" i="31" s="1"/>
  <c r="Q20" i="32"/>
  <c r="Q21" i="32"/>
  <c r="T23" i="32"/>
  <c r="T19" i="32"/>
  <c r="L117" i="32"/>
  <c r="O117" i="32" s="1"/>
  <c r="O119" i="32"/>
  <c r="M139" i="32"/>
  <c r="P139" i="32" s="1"/>
  <c r="P141" i="32"/>
  <c r="R94" i="32"/>
  <c r="U94" i="32" s="1"/>
  <c r="T175" i="32"/>
  <c r="Q173" i="32"/>
  <c r="T173" i="32" s="1"/>
  <c r="O377" i="32"/>
  <c r="L232" i="32"/>
  <c r="O243" i="32"/>
  <c r="P96" i="32"/>
  <c r="T119" i="32"/>
  <c r="Q117" i="32"/>
  <c r="T117" i="32" s="1"/>
  <c r="L375" i="32"/>
  <c r="N333" i="32"/>
  <c r="P333" i="32" s="1"/>
  <c r="M555" i="32"/>
  <c r="P555" i="32" s="1"/>
  <c r="Q616" i="20"/>
  <c r="T616" i="20" s="1"/>
  <c r="P173" i="31"/>
  <c r="T188" i="31"/>
  <c r="M59" i="32"/>
  <c r="P59" i="32" s="1"/>
  <c r="M72" i="32"/>
  <c r="M413" i="27"/>
  <c r="P413" i="27" s="1"/>
  <c r="T176" i="27"/>
  <c r="P335" i="29"/>
  <c r="T415" i="30"/>
  <c r="O188" i="30"/>
  <c r="O186" i="31"/>
  <c r="M59" i="31"/>
  <c r="P59" i="31" s="1"/>
  <c r="T303" i="31"/>
  <c r="P359" i="31"/>
  <c r="R642" i="31"/>
  <c r="O97" i="32"/>
  <c r="P23" i="32"/>
  <c r="M20" i="32"/>
  <c r="M18" i="32" s="1"/>
  <c r="O96" i="32"/>
  <c r="L24" i="32"/>
  <c r="O24" i="32" s="1"/>
  <c r="O61" i="32"/>
  <c r="L59" i="32"/>
  <c r="O59" i="32" s="1"/>
  <c r="O284" i="32"/>
  <c r="L282" i="32"/>
  <c r="O282" i="32" s="1"/>
  <c r="U268" i="32"/>
  <c r="P356" i="32"/>
  <c r="K332" i="32"/>
  <c r="O335" i="32"/>
  <c r="L333" i="32"/>
  <c r="I231" i="32"/>
  <c r="K242" i="32"/>
  <c r="R375" i="32"/>
  <c r="U375" i="32" s="1"/>
  <c r="R760" i="32"/>
  <c r="U760" i="32" s="1"/>
  <c r="Q139" i="32"/>
  <c r="T139" i="32" s="1"/>
  <c r="P19" i="32"/>
  <c r="O46" i="30"/>
  <c r="U119" i="30"/>
  <c r="O602" i="31"/>
  <c r="T305" i="31"/>
  <c r="P188" i="31"/>
  <c r="O359" i="31"/>
  <c r="U120" i="31"/>
  <c r="U97" i="32"/>
  <c r="P46" i="32"/>
  <c r="M44" i="32"/>
  <c r="L20" i="32"/>
  <c r="O23" i="32"/>
  <c r="S21" i="32"/>
  <c r="U21" i="32" s="1"/>
  <c r="T74" i="32"/>
  <c r="I71" i="32"/>
  <c r="K71" i="32" s="1"/>
  <c r="K83" i="32"/>
  <c r="N303" i="32"/>
  <c r="P303" i="32" s="1"/>
  <c r="L320" i="32"/>
  <c r="O320" i="32" s="1"/>
  <c r="O356" i="32"/>
  <c r="U269" i="32"/>
  <c r="O358" i="32"/>
  <c r="U413" i="32"/>
  <c r="O413" i="32"/>
  <c r="T416" i="32"/>
  <c r="U730" i="32"/>
  <c r="Q117" i="31"/>
  <c r="T117" i="31" s="1"/>
  <c r="T119" i="31"/>
  <c r="U119" i="28"/>
  <c r="O142" i="29"/>
  <c r="M94" i="30"/>
  <c r="P94" i="30" s="1"/>
  <c r="L356" i="30"/>
  <c r="O356" i="30" s="1"/>
  <c r="U377" i="30"/>
  <c r="T413" i="30"/>
  <c r="O415" i="30"/>
  <c r="R157" i="31"/>
  <c r="U157" i="31" s="1"/>
  <c r="N157" i="31"/>
  <c r="U117" i="31"/>
  <c r="U306" i="31"/>
  <c r="O97" i="31"/>
  <c r="Q760" i="31"/>
  <c r="T760" i="31" s="1"/>
  <c r="P175" i="31"/>
  <c r="O141" i="31"/>
  <c r="T175" i="22"/>
  <c r="Q139" i="26"/>
  <c r="T139" i="26" s="1"/>
  <c r="O139" i="31"/>
  <c r="U139" i="31"/>
  <c r="P282" i="31"/>
  <c r="O358" i="27"/>
  <c r="P74" i="28"/>
  <c r="P358" i="27"/>
  <c r="O74" i="29"/>
  <c r="N44" i="31"/>
  <c r="O44" i="31" s="1"/>
  <c r="Q139" i="30"/>
  <c r="T139" i="30" s="1"/>
  <c r="L173" i="31"/>
  <c r="O173" i="31" s="1"/>
  <c r="O24" i="31"/>
  <c r="U377" i="31"/>
  <c r="M576" i="31"/>
  <c r="P576" i="31" s="1"/>
  <c r="P284" i="31"/>
  <c r="U269" i="30"/>
  <c r="P377" i="30"/>
  <c r="O305" i="30"/>
  <c r="T97" i="31"/>
  <c r="U97" i="31"/>
  <c r="Q186" i="31"/>
  <c r="T186" i="31" s="1"/>
  <c r="T616" i="31"/>
  <c r="P601" i="31"/>
  <c r="L493" i="31"/>
  <c r="O493" i="31" s="1"/>
  <c r="M157" i="30"/>
  <c r="P157" i="30" s="1"/>
  <c r="N21" i="31"/>
  <c r="N20" i="31"/>
  <c r="N18" i="31" s="1"/>
  <c r="K82" i="31"/>
  <c r="I70" i="31"/>
  <c r="K70" i="31" s="1"/>
  <c r="O189" i="31"/>
  <c r="T268" i="31"/>
  <c r="Q266" i="31"/>
  <c r="T266" i="31" s="1"/>
  <c r="I71" i="31"/>
  <c r="K71" i="31" s="1"/>
  <c r="K83" i="31"/>
  <c r="R392" i="31"/>
  <c r="U392" i="31" s="1"/>
  <c r="U394" i="31"/>
  <c r="T375" i="31"/>
  <c r="O601" i="31"/>
  <c r="L599" i="31"/>
  <c r="O599" i="31" s="1"/>
  <c r="U616" i="31"/>
  <c r="P599" i="30"/>
  <c r="J456" i="31"/>
  <c r="K456" i="31" s="1"/>
  <c r="K457" i="31"/>
  <c r="U268" i="31"/>
  <c r="L413" i="31"/>
  <c r="O413" i="31" s="1"/>
  <c r="O415" i="31"/>
  <c r="P359" i="26"/>
  <c r="O415" i="26"/>
  <c r="M555" i="29"/>
  <c r="P555" i="29" s="1"/>
  <c r="O269" i="30"/>
  <c r="U186" i="30"/>
  <c r="O74" i="30"/>
  <c r="R493" i="30"/>
  <c r="U493" i="30" s="1"/>
  <c r="O359" i="30"/>
  <c r="Q599" i="30"/>
  <c r="T599" i="30" s="1"/>
  <c r="Q72" i="30"/>
  <c r="T72" i="30" s="1"/>
  <c r="O189" i="30"/>
  <c r="L20" i="31"/>
  <c r="O23" i="31"/>
  <c r="P23" i="31"/>
  <c r="M20" i="31"/>
  <c r="L21" i="31"/>
  <c r="O26" i="31"/>
  <c r="R24" i="31"/>
  <c r="U24" i="31" s="1"/>
  <c r="M375" i="31"/>
  <c r="P375" i="31" s="1"/>
  <c r="I231" i="31"/>
  <c r="L266" i="31"/>
  <c r="O266" i="31" s="1"/>
  <c r="T26" i="31"/>
  <c r="Q24" i="31"/>
  <c r="T24" i="31" s="1"/>
  <c r="U305" i="31"/>
  <c r="R303" i="31"/>
  <c r="U303" i="31" s="1"/>
  <c r="T377" i="31"/>
  <c r="L375" i="31"/>
  <c r="O375" i="31" s="1"/>
  <c r="L513" i="31"/>
  <c r="O513" i="31" s="1"/>
  <c r="T19" i="31"/>
  <c r="U601" i="31"/>
  <c r="R599" i="31"/>
  <c r="U599" i="31" s="1"/>
  <c r="P335" i="26"/>
  <c r="U269" i="28"/>
  <c r="R139" i="30"/>
  <c r="U139" i="30" s="1"/>
  <c r="P176" i="30"/>
  <c r="L282" i="30"/>
  <c r="O282" i="30" s="1"/>
  <c r="L576" i="30"/>
  <c r="O576" i="30" s="1"/>
  <c r="R20" i="31"/>
  <c r="U23" i="31"/>
  <c r="P19" i="31"/>
  <c r="U141" i="31"/>
  <c r="R186" i="31"/>
  <c r="U186" i="31" s="1"/>
  <c r="L117" i="31"/>
  <c r="O117" i="31" s="1"/>
  <c r="O119" i="31"/>
  <c r="L232" i="31"/>
  <c r="O243" i="31"/>
  <c r="M356" i="31"/>
  <c r="P356" i="31" s="1"/>
  <c r="P358" i="31"/>
  <c r="U269" i="31"/>
  <c r="P495" i="31"/>
  <c r="M493" i="31"/>
  <c r="P493" i="31" s="1"/>
  <c r="R375" i="31"/>
  <c r="U375" i="31" s="1"/>
  <c r="O188" i="31"/>
  <c r="Q375" i="30"/>
  <c r="T375" i="30" s="1"/>
  <c r="I185" i="28"/>
  <c r="K185" i="28" s="1"/>
  <c r="M24" i="31"/>
  <c r="P24" i="31" s="1"/>
  <c r="L117" i="23"/>
  <c r="O117" i="23" s="1"/>
  <c r="P46" i="28"/>
  <c r="T175" i="29"/>
  <c r="T690" i="29"/>
  <c r="T728" i="29"/>
  <c r="T601" i="29"/>
  <c r="K83" i="30"/>
  <c r="P139" i="29"/>
  <c r="P601" i="30"/>
  <c r="P46" i="31"/>
  <c r="O19" i="31"/>
  <c r="S20" i="31"/>
  <c r="S18" i="31" s="1"/>
  <c r="R21" i="31"/>
  <c r="U21" i="31" s="1"/>
  <c r="M44" i="31"/>
  <c r="L303" i="31"/>
  <c r="O303" i="31" s="1"/>
  <c r="L94" i="31"/>
  <c r="O94" i="31" s="1"/>
  <c r="Q173" i="31"/>
  <c r="T173" i="31" s="1"/>
  <c r="T175" i="31"/>
  <c r="P268" i="31"/>
  <c r="M266" i="31"/>
  <c r="P266" i="31" s="1"/>
  <c r="O322" i="31"/>
  <c r="L320" i="31"/>
  <c r="O320" i="31" s="1"/>
  <c r="T141" i="31"/>
  <c r="R173" i="31"/>
  <c r="U173" i="31" s="1"/>
  <c r="O536" i="31"/>
  <c r="L534" i="31"/>
  <c r="O534" i="31" s="1"/>
  <c r="M534" i="31"/>
  <c r="P534" i="31" s="1"/>
  <c r="R690" i="31"/>
  <c r="U690" i="31" s="1"/>
  <c r="O186" i="30"/>
  <c r="P305" i="30"/>
  <c r="N59" i="30"/>
  <c r="O59" i="30" s="1"/>
  <c r="R413" i="31"/>
  <c r="U413" i="31" s="1"/>
  <c r="U415" i="31"/>
  <c r="Q375" i="25"/>
  <c r="T375" i="25" s="1"/>
  <c r="P415" i="26"/>
  <c r="L24" i="29"/>
  <c r="O24" i="29" s="1"/>
  <c r="N333" i="30"/>
  <c r="P333" i="30" s="1"/>
  <c r="P175" i="30"/>
  <c r="U19" i="31"/>
  <c r="M21" i="31"/>
  <c r="M72" i="31"/>
  <c r="P72" i="31" s="1"/>
  <c r="Q20" i="31"/>
  <c r="Q18" i="31" s="1"/>
  <c r="T23" i="31"/>
  <c r="Q21" i="31"/>
  <c r="T21" i="31" s="1"/>
  <c r="O159" i="31"/>
  <c r="L157" i="31"/>
  <c r="P186" i="31"/>
  <c r="R266" i="31"/>
  <c r="U266" i="31" s="1"/>
  <c r="O269" i="31"/>
  <c r="M333" i="31"/>
  <c r="P333" i="31" s="1"/>
  <c r="Q413" i="31"/>
  <c r="T413" i="31" s="1"/>
  <c r="P141" i="31"/>
  <c r="M139" i="31"/>
  <c r="P139" i="31" s="1"/>
  <c r="P415" i="31"/>
  <c r="M413" i="31"/>
  <c r="P413" i="31" s="1"/>
  <c r="O578" i="31"/>
  <c r="L576" i="31"/>
  <c r="O576" i="31" s="1"/>
  <c r="M555" i="31"/>
  <c r="P555" i="31" s="1"/>
  <c r="T96" i="26"/>
  <c r="L139" i="26"/>
  <c r="O139" i="26" s="1"/>
  <c r="R599" i="27"/>
  <c r="U599" i="27" s="1"/>
  <c r="L117" i="28"/>
  <c r="O117" i="28" s="1"/>
  <c r="R157" i="28"/>
  <c r="U157" i="28" s="1"/>
  <c r="M513" i="28"/>
  <c r="P513" i="28" s="1"/>
  <c r="T731" i="29"/>
  <c r="R186" i="25"/>
  <c r="U186" i="25" s="1"/>
  <c r="L303" i="26"/>
  <c r="O303" i="26" s="1"/>
  <c r="T728" i="30"/>
  <c r="T495" i="29"/>
  <c r="Q493" i="29"/>
  <c r="T493" i="29" s="1"/>
  <c r="U72" i="21"/>
  <c r="U97" i="26"/>
  <c r="T303" i="27"/>
  <c r="P159" i="29"/>
  <c r="P416" i="29"/>
  <c r="T141" i="29"/>
  <c r="Q173" i="30"/>
  <c r="T173" i="30" s="1"/>
  <c r="U619" i="30"/>
  <c r="R72" i="30"/>
  <c r="U72" i="30" s="1"/>
  <c r="T416" i="30"/>
  <c r="M534" i="30"/>
  <c r="P534" i="30" s="1"/>
  <c r="O160" i="29"/>
  <c r="R157" i="30"/>
  <c r="U157" i="30" s="1"/>
  <c r="U645" i="29"/>
  <c r="L375" i="30"/>
  <c r="O375" i="30" s="1"/>
  <c r="O47" i="29"/>
  <c r="O306" i="30"/>
  <c r="O266" i="23"/>
  <c r="L493" i="26"/>
  <c r="O493" i="26" s="1"/>
  <c r="L534" i="28"/>
  <c r="O534" i="28" s="1"/>
  <c r="U644" i="28"/>
  <c r="T730" i="29"/>
  <c r="T692" i="29"/>
  <c r="U644" i="29"/>
  <c r="T731" i="30"/>
  <c r="U692" i="26"/>
  <c r="O61" i="29"/>
  <c r="M139" i="30"/>
  <c r="P139" i="30" s="1"/>
  <c r="R94" i="30"/>
  <c r="U94" i="30" s="1"/>
  <c r="U375" i="30"/>
  <c r="O515" i="30"/>
  <c r="L513" i="30"/>
  <c r="O513" i="30" s="1"/>
  <c r="U415" i="30"/>
  <c r="M44" i="30"/>
  <c r="P46" i="30"/>
  <c r="Q117" i="30"/>
  <c r="T117" i="30" s="1"/>
  <c r="T119" i="30"/>
  <c r="M356" i="30"/>
  <c r="P356" i="30" s="1"/>
  <c r="P358" i="30"/>
  <c r="T618" i="30"/>
  <c r="R157" i="22"/>
  <c r="U157" i="22" s="1"/>
  <c r="R72" i="26"/>
  <c r="U72" i="26" s="1"/>
  <c r="J456" i="30"/>
  <c r="K456" i="30" s="1"/>
  <c r="K457" i="30"/>
  <c r="R616" i="30"/>
  <c r="U616" i="30" s="1"/>
  <c r="U618" i="30"/>
  <c r="T74" i="21"/>
  <c r="O46" i="27"/>
  <c r="L413" i="27"/>
  <c r="O413" i="27" s="1"/>
  <c r="P47" i="28"/>
  <c r="P46" i="29"/>
  <c r="P141" i="29"/>
  <c r="O96" i="29"/>
  <c r="O97" i="29"/>
  <c r="U690" i="29"/>
  <c r="T619" i="29"/>
  <c r="T19" i="30"/>
  <c r="R24" i="30"/>
  <c r="U24" i="30" s="1"/>
  <c r="U26" i="30"/>
  <c r="R117" i="30"/>
  <c r="U117" i="30" s="1"/>
  <c r="N44" i="30"/>
  <c r="O44" i="30" s="1"/>
  <c r="K242" i="30"/>
  <c r="I231" i="30"/>
  <c r="L333" i="30"/>
  <c r="O335" i="30"/>
  <c r="P415" i="30"/>
  <c r="M413" i="30"/>
  <c r="P413" i="30" s="1"/>
  <c r="R690" i="30"/>
  <c r="U690" i="30" s="1"/>
  <c r="O601" i="30"/>
  <c r="L599" i="30"/>
  <c r="O599" i="30" s="1"/>
  <c r="Q642" i="30"/>
  <c r="T642" i="30" s="1"/>
  <c r="T644" i="30"/>
  <c r="P19" i="30"/>
  <c r="M282" i="30"/>
  <c r="P282" i="30" s="1"/>
  <c r="P284" i="30"/>
  <c r="T266" i="25"/>
  <c r="P188" i="26"/>
  <c r="M555" i="26"/>
  <c r="P555" i="26" s="1"/>
  <c r="T692" i="26"/>
  <c r="O416" i="26"/>
  <c r="O268" i="28"/>
  <c r="O601" i="28"/>
  <c r="O75" i="28"/>
  <c r="U186" i="28"/>
  <c r="R157" i="29"/>
  <c r="U157" i="29" s="1"/>
  <c r="U74" i="29"/>
  <c r="O359" i="29"/>
  <c r="L21" i="30"/>
  <c r="L20" i="30"/>
  <c r="O23" i="30"/>
  <c r="P23" i="30"/>
  <c r="M20" i="30"/>
  <c r="L117" i="30"/>
  <c r="O117" i="30" s="1"/>
  <c r="L139" i="30"/>
  <c r="O139" i="30" s="1"/>
  <c r="M186" i="30"/>
  <c r="P186" i="30" s="1"/>
  <c r="P188" i="30"/>
  <c r="K82" i="30"/>
  <c r="I70" i="30"/>
  <c r="K70" i="30" s="1"/>
  <c r="T188" i="30"/>
  <c r="N303" i="30"/>
  <c r="P303" i="30" s="1"/>
  <c r="L157" i="30"/>
  <c r="O157" i="30" s="1"/>
  <c r="U188" i="30"/>
  <c r="T26" i="30"/>
  <c r="Q24" i="30"/>
  <c r="T24" i="30" s="1"/>
  <c r="O175" i="30"/>
  <c r="L173" i="30"/>
  <c r="O173" i="30" s="1"/>
  <c r="P269" i="30"/>
  <c r="I412" i="30"/>
  <c r="K412" i="30" s="1"/>
  <c r="K423" i="30"/>
  <c r="R642" i="30"/>
  <c r="U642" i="30" s="1"/>
  <c r="M555" i="30"/>
  <c r="P555" i="30" s="1"/>
  <c r="M59" i="30"/>
  <c r="P61" i="30"/>
  <c r="M493" i="26"/>
  <c r="P493" i="26" s="1"/>
  <c r="L72" i="27"/>
  <c r="O72" i="27" s="1"/>
  <c r="P59" i="28"/>
  <c r="T186" i="28"/>
  <c r="P61" i="29"/>
  <c r="U97" i="29"/>
  <c r="P268" i="29"/>
  <c r="Q139" i="29"/>
  <c r="P359" i="29"/>
  <c r="L493" i="29"/>
  <c r="O493" i="29" s="1"/>
  <c r="T268" i="27"/>
  <c r="P47" i="29"/>
  <c r="R21" i="30"/>
  <c r="U21" i="30" s="1"/>
  <c r="R20" i="30"/>
  <c r="U23" i="30"/>
  <c r="Q94" i="30"/>
  <c r="T94" i="30" s="1"/>
  <c r="T96" i="30"/>
  <c r="S20" i="30"/>
  <c r="S18" i="30" s="1"/>
  <c r="M24" i="30"/>
  <c r="P24" i="30" s="1"/>
  <c r="L94" i="30"/>
  <c r="O94" i="30" s="1"/>
  <c r="Q157" i="30"/>
  <c r="T157" i="30" s="1"/>
  <c r="L232" i="30"/>
  <c r="O243" i="30"/>
  <c r="Q303" i="30"/>
  <c r="T303" i="30" s="1"/>
  <c r="T305" i="30"/>
  <c r="T495" i="30"/>
  <c r="Q493" i="30"/>
  <c r="T493" i="30" s="1"/>
  <c r="R392" i="30"/>
  <c r="U392" i="30" s="1"/>
  <c r="O413" i="30"/>
  <c r="L555" i="30"/>
  <c r="O555" i="30" s="1"/>
  <c r="Q760" i="30"/>
  <c r="T760" i="30" s="1"/>
  <c r="U378" i="30"/>
  <c r="L24" i="30"/>
  <c r="O24" i="30" s="1"/>
  <c r="O26" i="30"/>
  <c r="Q690" i="30"/>
  <c r="T690" i="30" s="1"/>
  <c r="T692" i="30"/>
  <c r="R72" i="22"/>
  <c r="U72" i="22" s="1"/>
  <c r="M413" i="26"/>
  <c r="P413" i="26" s="1"/>
  <c r="O141" i="27"/>
  <c r="T730" i="27"/>
  <c r="O335" i="28"/>
  <c r="O192" i="28"/>
  <c r="O269" i="28"/>
  <c r="U306" i="28"/>
  <c r="T616" i="28"/>
  <c r="P61" i="28"/>
  <c r="R728" i="28"/>
  <c r="U728" i="28" s="1"/>
  <c r="O175" i="29"/>
  <c r="L375" i="29"/>
  <c r="O375" i="29" s="1"/>
  <c r="M320" i="29"/>
  <c r="P320" i="29" s="1"/>
  <c r="R173" i="29"/>
  <c r="U173" i="29" s="1"/>
  <c r="P415" i="29"/>
  <c r="P358" i="29"/>
  <c r="R186" i="29"/>
  <c r="U186" i="29" s="1"/>
  <c r="Q20" i="30"/>
  <c r="T23" i="30"/>
  <c r="Q21" i="30"/>
  <c r="T21" i="30" s="1"/>
  <c r="M72" i="30"/>
  <c r="P72" i="30" s="1"/>
  <c r="P74" i="30"/>
  <c r="N21" i="30"/>
  <c r="P21" i="30" s="1"/>
  <c r="N20" i="30"/>
  <c r="N18" i="30" s="1"/>
  <c r="R173" i="30"/>
  <c r="U173" i="30" s="1"/>
  <c r="U728" i="30"/>
  <c r="L157" i="23"/>
  <c r="O157" i="23" s="1"/>
  <c r="U97" i="27"/>
  <c r="U173" i="28"/>
  <c r="M139" i="28"/>
  <c r="P139" i="28" s="1"/>
  <c r="Q493" i="28"/>
  <c r="T493" i="28" s="1"/>
  <c r="P599" i="28"/>
  <c r="P176" i="29"/>
  <c r="M356" i="29"/>
  <c r="P356" i="29" s="1"/>
  <c r="U117" i="29"/>
  <c r="T416" i="29"/>
  <c r="S266" i="29"/>
  <c r="T266" i="29" s="1"/>
  <c r="T268" i="29"/>
  <c r="N186" i="29"/>
  <c r="O186" i="29" s="1"/>
  <c r="M513" i="29"/>
  <c r="P513" i="29" s="1"/>
  <c r="U141" i="29"/>
  <c r="T642" i="29"/>
  <c r="T644" i="29"/>
  <c r="U616" i="29"/>
  <c r="I71" i="29"/>
  <c r="K71" i="29" s="1"/>
  <c r="K83" i="29"/>
  <c r="P269" i="29"/>
  <c r="L534" i="19"/>
  <c r="O534" i="19" s="1"/>
  <c r="M320" i="25"/>
  <c r="P320" i="25" s="1"/>
  <c r="P268" i="26"/>
  <c r="R760" i="26"/>
  <c r="U760" i="26" s="1"/>
  <c r="M356" i="27"/>
  <c r="P356" i="27" s="1"/>
  <c r="P159" i="28"/>
  <c r="L282" i="28"/>
  <c r="O282" i="28" s="1"/>
  <c r="I71" i="28"/>
  <c r="K71" i="28" s="1"/>
  <c r="U692" i="28"/>
  <c r="O189" i="28"/>
  <c r="P26" i="29"/>
  <c r="R392" i="29"/>
  <c r="U392" i="29" s="1"/>
  <c r="U119" i="29"/>
  <c r="O415" i="29"/>
  <c r="Q375" i="29"/>
  <c r="T375" i="29" s="1"/>
  <c r="K456" i="29"/>
  <c r="U731" i="26"/>
  <c r="O189" i="27"/>
  <c r="P189" i="27"/>
  <c r="O188" i="28"/>
  <c r="T266" i="28"/>
  <c r="O602" i="28"/>
  <c r="U94" i="29"/>
  <c r="N59" i="29"/>
  <c r="O59" i="29" s="1"/>
  <c r="M282" i="29"/>
  <c r="P282" i="29" s="1"/>
  <c r="P284" i="29"/>
  <c r="O268" i="29"/>
  <c r="L266" i="29"/>
  <c r="O266" i="29" s="1"/>
  <c r="Q493" i="25"/>
  <c r="T493" i="25" s="1"/>
  <c r="M320" i="26"/>
  <c r="P320" i="26" s="1"/>
  <c r="O268" i="26"/>
  <c r="Q413" i="27"/>
  <c r="T413" i="27" s="1"/>
  <c r="Q599" i="27"/>
  <c r="T599" i="27" s="1"/>
  <c r="K701" i="27"/>
  <c r="M320" i="28"/>
  <c r="P320" i="28" s="1"/>
  <c r="O62" i="28"/>
  <c r="T96" i="29"/>
  <c r="T97" i="29"/>
  <c r="U96" i="29"/>
  <c r="O601" i="29"/>
  <c r="U306" i="26"/>
  <c r="U266" i="28"/>
  <c r="O377" i="28"/>
  <c r="M59" i="29"/>
  <c r="T188" i="29"/>
  <c r="T616" i="29"/>
  <c r="P336" i="29"/>
  <c r="L282" i="29"/>
  <c r="O282" i="29" s="1"/>
  <c r="Q392" i="29"/>
  <c r="T392" i="29" s="1"/>
  <c r="O175" i="24"/>
  <c r="Q72" i="20"/>
  <c r="T72" i="20" s="1"/>
  <c r="M72" i="23"/>
  <c r="P72" i="23" s="1"/>
  <c r="T119" i="25"/>
  <c r="R139" i="26"/>
  <c r="U139" i="26" s="1"/>
  <c r="L232" i="26"/>
  <c r="Q72" i="27"/>
  <c r="T72" i="27" s="1"/>
  <c r="O266" i="27"/>
  <c r="O21" i="28"/>
  <c r="P186" i="28"/>
  <c r="L20" i="29"/>
  <c r="O23" i="29"/>
  <c r="U19" i="29"/>
  <c r="P19" i="29"/>
  <c r="Q186" i="29"/>
  <c r="T186" i="29" s="1"/>
  <c r="L232" i="29"/>
  <c r="O243" i="29"/>
  <c r="N303" i="29"/>
  <c r="P303" i="29" s="1"/>
  <c r="U266" i="29"/>
  <c r="L555" i="29"/>
  <c r="O555" i="29" s="1"/>
  <c r="O557" i="29"/>
  <c r="K83" i="22"/>
  <c r="Q139" i="22"/>
  <c r="T139" i="22" s="1"/>
  <c r="P160" i="25"/>
  <c r="R139" i="25"/>
  <c r="U139" i="25" s="1"/>
  <c r="P94" i="25"/>
  <c r="U94" i="27"/>
  <c r="T305" i="27"/>
  <c r="P188" i="27"/>
  <c r="P21" i="28"/>
  <c r="R20" i="29"/>
  <c r="U23" i="29"/>
  <c r="L117" i="29"/>
  <c r="O117" i="29" s="1"/>
  <c r="P601" i="29"/>
  <c r="M599" i="29"/>
  <c r="P599" i="29" s="1"/>
  <c r="U495" i="29"/>
  <c r="R493" i="29"/>
  <c r="U493" i="29" s="1"/>
  <c r="L173" i="29"/>
  <c r="O173" i="29" s="1"/>
  <c r="O358" i="29"/>
  <c r="L356" i="29"/>
  <c r="O356" i="29" s="1"/>
  <c r="M117" i="19"/>
  <c r="P117" i="19" s="1"/>
  <c r="U266" i="25"/>
  <c r="P61" i="26"/>
  <c r="T303" i="26"/>
  <c r="L266" i="26"/>
  <c r="O266" i="26" s="1"/>
  <c r="U618" i="26"/>
  <c r="T731" i="26"/>
  <c r="T96" i="27"/>
  <c r="U141" i="27"/>
  <c r="T120" i="27"/>
  <c r="M186" i="27"/>
  <c r="P186" i="27" s="1"/>
  <c r="T117" i="28"/>
  <c r="N157" i="28"/>
  <c r="P157" i="28" s="1"/>
  <c r="U188" i="28"/>
  <c r="P601" i="28"/>
  <c r="Q20" i="29"/>
  <c r="T23" i="29"/>
  <c r="Q21" i="29"/>
  <c r="O94" i="29"/>
  <c r="T26" i="29"/>
  <c r="Q24" i="29"/>
  <c r="T24" i="29" s="1"/>
  <c r="R21" i="29"/>
  <c r="L333" i="29"/>
  <c r="O333" i="29" s="1"/>
  <c r="O335" i="29"/>
  <c r="K82" i="29"/>
  <c r="I70" i="29"/>
  <c r="K70" i="29" s="1"/>
  <c r="M266" i="29"/>
  <c r="P266" i="29" s="1"/>
  <c r="O188" i="29"/>
  <c r="I231" i="29"/>
  <c r="R375" i="29"/>
  <c r="U375" i="29" s="1"/>
  <c r="M576" i="29"/>
  <c r="P576" i="29" s="1"/>
  <c r="L513" i="29"/>
  <c r="O513" i="29" s="1"/>
  <c r="U692" i="29"/>
  <c r="P176" i="26"/>
  <c r="Q760" i="21"/>
  <c r="T760" i="21" s="1"/>
  <c r="T645" i="25"/>
  <c r="T94" i="27"/>
  <c r="L157" i="27"/>
  <c r="O157" i="27" s="1"/>
  <c r="P335" i="27"/>
  <c r="R375" i="27"/>
  <c r="U375" i="27" s="1"/>
  <c r="M576" i="27"/>
  <c r="P576" i="27" s="1"/>
  <c r="L413" i="28"/>
  <c r="O413" i="28" s="1"/>
  <c r="T306" i="28"/>
  <c r="S139" i="29"/>
  <c r="O141" i="29"/>
  <c r="L139" i="29"/>
  <c r="O139" i="29" s="1"/>
  <c r="P175" i="29"/>
  <c r="M173" i="29"/>
  <c r="P173" i="29" s="1"/>
  <c r="L320" i="29"/>
  <c r="O320" i="29" s="1"/>
  <c r="R599" i="29"/>
  <c r="U599" i="29" s="1"/>
  <c r="L576" i="29"/>
  <c r="O576" i="29" s="1"/>
  <c r="U642" i="29"/>
  <c r="U377" i="28"/>
  <c r="P23" i="29"/>
  <c r="M20" i="29"/>
  <c r="M72" i="29"/>
  <c r="P72" i="29" s="1"/>
  <c r="Q94" i="29"/>
  <c r="T94" i="29" s="1"/>
  <c r="P96" i="29"/>
  <c r="M94" i="29"/>
  <c r="P94" i="29" s="1"/>
  <c r="M44" i="29"/>
  <c r="M493" i="29"/>
  <c r="P493" i="29" s="1"/>
  <c r="L413" i="29"/>
  <c r="O413" i="29" s="1"/>
  <c r="M534" i="29"/>
  <c r="P534" i="29" s="1"/>
  <c r="R139" i="28"/>
  <c r="U139" i="28" s="1"/>
  <c r="P303" i="28"/>
  <c r="P415" i="28"/>
  <c r="L576" i="28"/>
  <c r="O576" i="28" s="1"/>
  <c r="L232" i="28"/>
  <c r="T692" i="28"/>
  <c r="K332" i="28"/>
  <c r="S20" i="29"/>
  <c r="S18" i="29" s="1"/>
  <c r="O19" i="29"/>
  <c r="S21" i="29"/>
  <c r="M333" i="29"/>
  <c r="P333" i="29" s="1"/>
  <c r="P97" i="29"/>
  <c r="N21" i="29"/>
  <c r="P21" i="29" s="1"/>
  <c r="N20" i="29"/>
  <c r="N18" i="29" s="1"/>
  <c r="T119" i="29"/>
  <c r="Q117" i="29"/>
  <c r="T117" i="29" s="1"/>
  <c r="M24" i="29"/>
  <c r="P24" i="29" s="1"/>
  <c r="L599" i="29"/>
  <c r="O599" i="29" s="1"/>
  <c r="R413" i="29"/>
  <c r="U413" i="29" s="1"/>
  <c r="O536" i="29"/>
  <c r="L534" i="29"/>
  <c r="O534" i="29" s="1"/>
  <c r="R728" i="29"/>
  <c r="U728" i="29" s="1"/>
  <c r="O268" i="23"/>
  <c r="L117" i="27"/>
  <c r="O117" i="27" s="1"/>
  <c r="O358" i="28"/>
  <c r="L599" i="28"/>
  <c r="O599" i="28" s="1"/>
  <c r="Q139" i="28"/>
  <c r="T139" i="28" s="1"/>
  <c r="T141" i="28"/>
  <c r="U94" i="26"/>
  <c r="P175" i="27"/>
  <c r="P602" i="27"/>
  <c r="U26" i="28"/>
  <c r="O24" i="28"/>
  <c r="P189" i="28"/>
  <c r="P305" i="28"/>
  <c r="U188" i="27"/>
  <c r="T119" i="27"/>
  <c r="P141" i="27"/>
  <c r="P142" i="27"/>
  <c r="O46" i="26"/>
  <c r="U731" i="27"/>
  <c r="U175" i="28"/>
  <c r="R117" i="28"/>
  <c r="U117" i="28" s="1"/>
  <c r="M282" i="28"/>
  <c r="P282" i="28" s="1"/>
  <c r="N266" i="28"/>
  <c r="O266" i="28" s="1"/>
  <c r="O305" i="28"/>
  <c r="P336" i="28"/>
  <c r="T618" i="28"/>
  <c r="P97" i="26"/>
  <c r="O176" i="26"/>
  <c r="U120" i="27"/>
  <c r="O356" i="27"/>
  <c r="S642" i="28"/>
  <c r="T642" i="28" s="1"/>
  <c r="Q728" i="28"/>
  <c r="T728" i="28" s="1"/>
  <c r="L320" i="27"/>
  <c r="O320" i="27" s="1"/>
  <c r="U303" i="28"/>
  <c r="R599" i="28"/>
  <c r="U599" i="28" s="1"/>
  <c r="N72" i="28"/>
  <c r="O72" i="28" s="1"/>
  <c r="Q303" i="28"/>
  <c r="T303" i="28" s="1"/>
  <c r="T305" i="28"/>
  <c r="P19" i="28"/>
  <c r="Q24" i="28"/>
  <c r="T24" i="28" s="1"/>
  <c r="T26" i="28"/>
  <c r="T415" i="28"/>
  <c r="Q413" i="28"/>
  <c r="T413" i="28" s="1"/>
  <c r="M555" i="27"/>
  <c r="P555" i="27" s="1"/>
  <c r="P557" i="27"/>
  <c r="P24" i="28"/>
  <c r="U616" i="28"/>
  <c r="U693" i="25"/>
  <c r="P159" i="25"/>
  <c r="T306" i="26"/>
  <c r="M24" i="27"/>
  <c r="P24" i="27" s="1"/>
  <c r="P23" i="28"/>
  <c r="M20" i="28"/>
  <c r="M18" i="28" s="1"/>
  <c r="O159" i="28"/>
  <c r="K82" i="28"/>
  <c r="I70" i="28"/>
  <c r="K70" i="28" s="1"/>
  <c r="P173" i="28"/>
  <c r="R24" i="28"/>
  <c r="U24" i="28" s="1"/>
  <c r="L44" i="28"/>
  <c r="O46" i="28"/>
  <c r="S72" i="28"/>
  <c r="P268" i="28"/>
  <c r="M266" i="28"/>
  <c r="O322" i="28"/>
  <c r="L320" i="28"/>
  <c r="O320" i="28" s="1"/>
  <c r="R94" i="28"/>
  <c r="U94" i="28" s="1"/>
  <c r="L493" i="28"/>
  <c r="O493" i="28" s="1"/>
  <c r="T269" i="28"/>
  <c r="Q94" i="28"/>
  <c r="T94" i="28" s="1"/>
  <c r="O359" i="28"/>
  <c r="M44" i="28"/>
  <c r="P557" i="28"/>
  <c r="M555" i="28"/>
  <c r="P555" i="28" s="1"/>
  <c r="U618" i="28"/>
  <c r="K83" i="25"/>
  <c r="O601" i="25"/>
  <c r="O599" i="25"/>
  <c r="P189" i="26"/>
  <c r="T375" i="26"/>
  <c r="M534" i="27"/>
  <c r="P534" i="27" s="1"/>
  <c r="Q728" i="27"/>
  <c r="T728" i="27" s="1"/>
  <c r="L20" i="28"/>
  <c r="O23" i="28"/>
  <c r="T119" i="28"/>
  <c r="S20" i="28"/>
  <c r="S18" i="28" s="1"/>
  <c r="L94" i="28"/>
  <c r="O94" i="28" s="1"/>
  <c r="L157" i="28"/>
  <c r="T377" i="28"/>
  <c r="Q375" i="28"/>
  <c r="T375" i="28" s="1"/>
  <c r="P175" i="28"/>
  <c r="N20" i="28"/>
  <c r="N18" i="28" s="1"/>
  <c r="L139" i="28"/>
  <c r="O139" i="28" s="1"/>
  <c r="P269" i="28"/>
  <c r="I412" i="28"/>
  <c r="K412" i="28" s="1"/>
  <c r="K423" i="28"/>
  <c r="L303" i="28"/>
  <c r="O303" i="28" s="1"/>
  <c r="O356" i="28"/>
  <c r="T188" i="28"/>
  <c r="P188" i="28"/>
  <c r="R493" i="28"/>
  <c r="U493" i="28" s="1"/>
  <c r="M576" i="28"/>
  <c r="P576" i="28" s="1"/>
  <c r="P578" i="28"/>
  <c r="Q117" i="25"/>
  <c r="T117" i="25" s="1"/>
  <c r="T618" i="25"/>
  <c r="O358" i="25"/>
  <c r="R24" i="26"/>
  <c r="U24" i="26" s="1"/>
  <c r="T616" i="27"/>
  <c r="P601" i="27"/>
  <c r="Q20" i="28"/>
  <c r="T23" i="28"/>
  <c r="Q21" i="28"/>
  <c r="R20" i="28"/>
  <c r="R18" i="28" s="1"/>
  <c r="U23" i="28"/>
  <c r="O175" i="28"/>
  <c r="O26" i="28"/>
  <c r="Q157" i="28"/>
  <c r="T157" i="28" s="1"/>
  <c r="P26" i="28"/>
  <c r="U19" i="28"/>
  <c r="L333" i="28"/>
  <c r="O333" i="28" s="1"/>
  <c r="M375" i="28"/>
  <c r="P375" i="28" s="1"/>
  <c r="U268" i="28"/>
  <c r="R760" i="28"/>
  <c r="U760" i="28" s="1"/>
  <c r="R642" i="28"/>
  <c r="O413" i="21"/>
  <c r="Q173" i="25"/>
  <c r="T173" i="25" s="1"/>
  <c r="T693" i="25"/>
  <c r="U175" i="27"/>
  <c r="T645" i="27"/>
  <c r="T378" i="27"/>
  <c r="M72" i="28"/>
  <c r="L173" i="28"/>
  <c r="O173" i="28" s="1"/>
  <c r="P96" i="28"/>
  <c r="M94" i="28"/>
  <c r="P94" i="28" s="1"/>
  <c r="M356" i="28"/>
  <c r="P356" i="28" s="1"/>
  <c r="P358" i="28"/>
  <c r="S21" i="28"/>
  <c r="N413" i="28"/>
  <c r="P413" i="28" s="1"/>
  <c r="Q760" i="28"/>
  <c r="T760" i="28" s="1"/>
  <c r="R690" i="28"/>
  <c r="U690" i="28" s="1"/>
  <c r="T269" i="22"/>
  <c r="L72" i="25"/>
  <c r="O72" i="25" s="1"/>
  <c r="K701" i="26"/>
  <c r="U728" i="26"/>
  <c r="T119" i="26"/>
  <c r="R266" i="27"/>
  <c r="U266" i="27" s="1"/>
  <c r="L375" i="27"/>
  <c r="O375" i="27" s="1"/>
  <c r="T74" i="28"/>
  <c r="L59" i="28"/>
  <c r="O59" i="28" s="1"/>
  <c r="O61" i="28"/>
  <c r="Q173" i="28"/>
  <c r="T173" i="28" s="1"/>
  <c r="R21" i="28"/>
  <c r="P335" i="28"/>
  <c r="M333" i="28"/>
  <c r="P333" i="28" s="1"/>
  <c r="P536" i="28"/>
  <c r="M534" i="28"/>
  <c r="P534" i="28" s="1"/>
  <c r="T268" i="28"/>
  <c r="O557" i="28"/>
  <c r="L555" i="28"/>
  <c r="O555" i="28" s="1"/>
  <c r="R392" i="28"/>
  <c r="U392" i="28" s="1"/>
  <c r="U394" i="28"/>
  <c r="T690" i="28"/>
  <c r="O303" i="27"/>
  <c r="U728" i="27"/>
  <c r="Q375" i="27"/>
  <c r="T375" i="27" s="1"/>
  <c r="T377" i="27"/>
  <c r="P268" i="22"/>
  <c r="L413" i="24"/>
  <c r="O413" i="24" s="1"/>
  <c r="R760" i="24"/>
  <c r="U760" i="24" s="1"/>
  <c r="T618" i="24"/>
  <c r="L72" i="26"/>
  <c r="O72" i="26" s="1"/>
  <c r="T377" i="26"/>
  <c r="P175" i="26"/>
  <c r="Q760" i="26"/>
  <c r="T760" i="26" s="1"/>
  <c r="N44" i="27"/>
  <c r="O44" i="27" s="1"/>
  <c r="U119" i="27"/>
  <c r="O305" i="27"/>
  <c r="U644" i="27"/>
  <c r="U762" i="27"/>
  <c r="U693" i="27"/>
  <c r="Q690" i="27"/>
  <c r="T690" i="27" s="1"/>
  <c r="S20" i="25"/>
  <c r="S18" i="25" s="1"/>
  <c r="T120" i="25"/>
  <c r="U269" i="25"/>
  <c r="L413" i="26"/>
  <c r="O413" i="26" s="1"/>
  <c r="U378" i="26"/>
  <c r="S20" i="27"/>
  <c r="S18" i="27" s="1"/>
  <c r="U303" i="27"/>
  <c r="S139" i="27"/>
  <c r="U139" i="27" s="1"/>
  <c r="O359" i="27"/>
  <c r="O268" i="27"/>
  <c r="T175" i="27"/>
  <c r="T644" i="27"/>
  <c r="R690" i="27"/>
  <c r="U690" i="27" s="1"/>
  <c r="U730" i="27"/>
  <c r="U96" i="27"/>
  <c r="O322" i="18"/>
  <c r="T644" i="22"/>
  <c r="U618" i="24"/>
  <c r="O97" i="26"/>
  <c r="O94" i="27"/>
  <c r="O336" i="27"/>
  <c r="M282" i="23"/>
  <c r="P282" i="23" s="1"/>
  <c r="M534" i="23"/>
  <c r="P534" i="23" s="1"/>
  <c r="T269" i="25"/>
  <c r="U377" i="26"/>
  <c r="P576" i="26"/>
  <c r="T306" i="27"/>
  <c r="S117" i="27"/>
  <c r="T117" i="27" s="1"/>
  <c r="T141" i="27"/>
  <c r="P359" i="27"/>
  <c r="R493" i="27"/>
  <c r="U493" i="27" s="1"/>
  <c r="M320" i="27"/>
  <c r="P320" i="27" s="1"/>
  <c r="O601" i="27"/>
  <c r="T762" i="27"/>
  <c r="P495" i="27"/>
  <c r="M493" i="27"/>
  <c r="P493" i="27" s="1"/>
  <c r="P46" i="19"/>
  <c r="P26" i="25"/>
  <c r="P578" i="25"/>
  <c r="K374" i="27"/>
  <c r="R186" i="27"/>
  <c r="U186" i="27" s="1"/>
  <c r="L576" i="27"/>
  <c r="O576" i="27" s="1"/>
  <c r="T760" i="27"/>
  <c r="U375" i="26"/>
  <c r="T19" i="27"/>
  <c r="P19" i="27"/>
  <c r="K83" i="27"/>
  <c r="I71" i="27"/>
  <c r="K71" i="27" s="1"/>
  <c r="L232" i="27"/>
  <c r="O243" i="27"/>
  <c r="M303" i="22"/>
  <c r="P303" i="22" s="1"/>
  <c r="L117" i="25"/>
  <c r="O117" i="25" s="1"/>
  <c r="O599" i="24"/>
  <c r="T762" i="25"/>
  <c r="M157" i="25"/>
  <c r="P157" i="25" s="1"/>
  <c r="T268" i="26"/>
  <c r="M303" i="26"/>
  <c r="P303" i="26" s="1"/>
  <c r="T416" i="26"/>
  <c r="Q20" i="27"/>
  <c r="T23" i="27"/>
  <c r="Q21" i="27"/>
  <c r="P23" i="27"/>
  <c r="M20" i="27"/>
  <c r="T142" i="27"/>
  <c r="R157" i="27"/>
  <c r="U157" i="27" s="1"/>
  <c r="K82" i="27"/>
  <c r="I70" i="27"/>
  <c r="K70" i="27" s="1"/>
  <c r="M303" i="27"/>
  <c r="P303" i="27" s="1"/>
  <c r="P305" i="27"/>
  <c r="T173" i="27"/>
  <c r="I412" i="27"/>
  <c r="K412" i="27" s="1"/>
  <c r="K423" i="27"/>
  <c r="O284" i="27"/>
  <c r="L282" i="27"/>
  <c r="O282" i="27" s="1"/>
  <c r="N599" i="27"/>
  <c r="O599" i="27" s="1"/>
  <c r="M333" i="27"/>
  <c r="P333" i="27" s="1"/>
  <c r="O96" i="27"/>
  <c r="Q186" i="27"/>
  <c r="T186" i="27" s="1"/>
  <c r="T188" i="27"/>
  <c r="P159" i="27"/>
  <c r="U618" i="27"/>
  <c r="P268" i="27"/>
  <c r="Q303" i="23"/>
  <c r="T303" i="23" s="1"/>
  <c r="M94" i="24"/>
  <c r="P94" i="24" s="1"/>
  <c r="O46" i="25"/>
  <c r="S20" i="26"/>
  <c r="S18" i="26" s="1"/>
  <c r="L282" i="26"/>
  <c r="O282" i="26" s="1"/>
  <c r="L21" i="27"/>
  <c r="L20" i="27"/>
  <c r="O23" i="27"/>
  <c r="M21" i="27"/>
  <c r="M72" i="27"/>
  <c r="P72" i="27" s="1"/>
  <c r="P74" i="27"/>
  <c r="O61" i="27"/>
  <c r="N173" i="27"/>
  <c r="O173" i="27" s="1"/>
  <c r="O175" i="27"/>
  <c r="Q392" i="27"/>
  <c r="T392" i="27" s="1"/>
  <c r="U173" i="27"/>
  <c r="U305" i="27"/>
  <c r="P266" i="27"/>
  <c r="M282" i="27"/>
  <c r="P282" i="27" s="1"/>
  <c r="P284" i="27"/>
  <c r="L555" i="27"/>
  <c r="O555" i="27" s="1"/>
  <c r="Q642" i="27"/>
  <c r="T642" i="27" s="1"/>
  <c r="L513" i="23"/>
  <c r="O513" i="23" s="1"/>
  <c r="P266" i="24"/>
  <c r="L139" i="25"/>
  <c r="O139" i="25" s="1"/>
  <c r="R21" i="27"/>
  <c r="R20" i="27"/>
  <c r="U23" i="27"/>
  <c r="N21" i="27"/>
  <c r="N20" i="27"/>
  <c r="N18" i="27" s="1"/>
  <c r="S21" i="27"/>
  <c r="M117" i="27"/>
  <c r="P117" i="27" s="1"/>
  <c r="R24" i="27"/>
  <c r="U24" i="27" s="1"/>
  <c r="U26" i="27"/>
  <c r="M139" i="27"/>
  <c r="L186" i="27"/>
  <c r="O186" i="27" s="1"/>
  <c r="O536" i="27"/>
  <c r="L534" i="27"/>
  <c r="O534" i="27" s="1"/>
  <c r="P94" i="27"/>
  <c r="L493" i="27"/>
  <c r="O493" i="27" s="1"/>
  <c r="O515" i="27"/>
  <c r="L513" i="27"/>
  <c r="O513" i="27" s="1"/>
  <c r="L303" i="25"/>
  <c r="O303" i="25" s="1"/>
  <c r="R642" i="25"/>
  <c r="U642" i="25" s="1"/>
  <c r="U120" i="26"/>
  <c r="R616" i="26"/>
  <c r="U616" i="26" s="1"/>
  <c r="R642" i="26"/>
  <c r="U642" i="26" s="1"/>
  <c r="M44" i="27"/>
  <c r="P46" i="27"/>
  <c r="N139" i="27"/>
  <c r="O139" i="27" s="1"/>
  <c r="M173" i="27"/>
  <c r="M513" i="27"/>
  <c r="P513" i="27" s="1"/>
  <c r="I231" i="27"/>
  <c r="K242" i="27"/>
  <c r="L333" i="27"/>
  <c r="O333" i="27" s="1"/>
  <c r="O335" i="27"/>
  <c r="O59" i="27"/>
  <c r="T189" i="27"/>
  <c r="U189" i="27"/>
  <c r="R642" i="27"/>
  <c r="U642" i="27" s="1"/>
  <c r="P96" i="27"/>
  <c r="M599" i="27"/>
  <c r="T618" i="27"/>
  <c r="U616" i="27"/>
  <c r="Q493" i="24"/>
  <c r="T493" i="24" s="1"/>
  <c r="P141" i="25"/>
  <c r="M59" i="27"/>
  <c r="P59" i="27" s="1"/>
  <c r="P61" i="27"/>
  <c r="T26" i="27"/>
  <c r="Q24" i="27"/>
  <c r="T24" i="27" s="1"/>
  <c r="P157" i="27"/>
  <c r="L24" i="27"/>
  <c r="O24" i="27" s="1"/>
  <c r="O26" i="27"/>
  <c r="R760" i="27"/>
  <c r="U760" i="27" s="1"/>
  <c r="L576" i="23"/>
  <c r="O576" i="23" s="1"/>
  <c r="M513" i="24"/>
  <c r="P513" i="24" s="1"/>
  <c r="T619" i="24"/>
  <c r="U96" i="25"/>
  <c r="P97" i="25"/>
  <c r="T690" i="25"/>
  <c r="M72" i="26"/>
  <c r="P72" i="26" s="1"/>
  <c r="L555" i="26"/>
  <c r="O555" i="26" s="1"/>
  <c r="R493" i="26"/>
  <c r="U493" i="26" s="1"/>
  <c r="U644" i="24"/>
  <c r="Q392" i="24"/>
  <c r="T392" i="24" s="1"/>
  <c r="R72" i="24"/>
  <c r="U72" i="24" s="1"/>
  <c r="O333" i="25"/>
  <c r="T117" i="26"/>
  <c r="Q72" i="26"/>
  <c r="T72" i="26" s="1"/>
  <c r="P358" i="26"/>
  <c r="P159" i="26"/>
  <c r="N157" i="26"/>
  <c r="P157" i="26" s="1"/>
  <c r="M117" i="26"/>
  <c r="P117" i="26" s="1"/>
  <c r="L513" i="26"/>
  <c r="O513" i="26" s="1"/>
  <c r="T692" i="21"/>
  <c r="P333" i="25"/>
  <c r="P536" i="25"/>
  <c r="O96" i="26"/>
  <c r="O61" i="26"/>
  <c r="M266" i="26"/>
  <c r="P266" i="26" s="1"/>
  <c r="M139" i="26"/>
  <c r="P139" i="26" s="1"/>
  <c r="O335" i="25"/>
  <c r="U413" i="26"/>
  <c r="R392" i="26"/>
  <c r="U392" i="26" s="1"/>
  <c r="O305" i="22"/>
  <c r="U644" i="23"/>
  <c r="O495" i="23"/>
  <c r="U690" i="25"/>
  <c r="P415" i="25"/>
  <c r="M333" i="26"/>
  <c r="P333" i="26" s="1"/>
  <c r="Q642" i="26"/>
  <c r="T642" i="26" s="1"/>
  <c r="R690" i="26"/>
  <c r="U690" i="26" s="1"/>
  <c r="L282" i="23"/>
  <c r="O282" i="23" s="1"/>
  <c r="T763" i="23"/>
  <c r="P266" i="23"/>
  <c r="L282" i="24"/>
  <c r="O282" i="24" s="1"/>
  <c r="P175" i="25"/>
  <c r="M555" i="25"/>
  <c r="P555" i="25" s="1"/>
  <c r="R72" i="25"/>
  <c r="U72" i="25" s="1"/>
  <c r="U188" i="26"/>
  <c r="Q94" i="26"/>
  <c r="T94" i="26" s="1"/>
  <c r="O59" i="26"/>
  <c r="P578" i="26"/>
  <c r="M599" i="26"/>
  <c r="P599" i="26" s="1"/>
  <c r="M534" i="26"/>
  <c r="P534" i="26" s="1"/>
  <c r="U96" i="26"/>
  <c r="N173" i="26"/>
  <c r="P173" i="26" s="1"/>
  <c r="L534" i="26"/>
  <c r="O534" i="26" s="1"/>
  <c r="R20" i="26"/>
  <c r="U23" i="26"/>
  <c r="U19" i="26"/>
  <c r="T26" i="26"/>
  <c r="Q24" i="26"/>
  <c r="T24" i="26" s="1"/>
  <c r="U119" i="26"/>
  <c r="R117" i="26"/>
  <c r="U117" i="26" s="1"/>
  <c r="M513" i="26"/>
  <c r="P513" i="26" s="1"/>
  <c r="P515" i="26"/>
  <c r="P284" i="26"/>
  <c r="M282" i="26"/>
  <c r="P282" i="26" s="1"/>
  <c r="L356" i="26"/>
  <c r="O356" i="26" s="1"/>
  <c r="O358" i="26"/>
  <c r="O377" i="26"/>
  <c r="O61" i="24"/>
  <c r="M576" i="24"/>
  <c r="P576" i="24" s="1"/>
  <c r="T186" i="26"/>
  <c r="Q72" i="22"/>
  <c r="T72" i="22" s="1"/>
  <c r="M24" i="26"/>
  <c r="P24" i="26" s="1"/>
  <c r="R599" i="25"/>
  <c r="U599" i="25" s="1"/>
  <c r="N413" i="25"/>
  <c r="P413" i="25" s="1"/>
  <c r="L534" i="25"/>
  <c r="O534" i="25" s="1"/>
  <c r="M44" i="26"/>
  <c r="P46" i="26"/>
  <c r="M186" i="26"/>
  <c r="P186" i="26" s="1"/>
  <c r="L24" i="26"/>
  <c r="O24" i="26" s="1"/>
  <c r="O26" i="26"/>
  <c r="K82" i="26"/>
  <c r="I70" i="26"/>
  <c r="K70" i="26" s="1"/>
  <c r="T619" i="25"/>
  <c r="R616" i="25"/>
  <c r="U616" i="25" s="1"/>
  <c r="O175" i="26"/>
  <c r="L173" i="26"/>
  <c r="T188" i="20"/>
  <c r="U119" i="22"/>
  <c r="K423" i="23"/>
  <c r="T266" i="24"/>
  <c r="K374" i="22"/>
  <c r="L375" i="24"/>
  <c r="O375" i="24" s="1"/>
  <c r="I231" i="24"/>
  <c r="I185" i="24" s="1"/>
  <c r="K185" i="24" s="1"/>
  <c r="P96" i="25"/>
  <c r="P335" i="25"/>
  <c r="L375" i="25"/>
  <c r="O375" i="25" s="1"/>
  <c r="L576" i="25"/>
  <c r="O576" i="25" s="1"/>
  <c r="O416" i="25"/>
  <c r="Q20" i="26"/>
  <c r="T23" i="26"/>
  <c r="Q21" i="26"/>
  <c r="P23" i="26"/>
  <c r="M20" i="26"/>
  <c r="P94" i="26"/>
  <c r="P377" i="26"/>
  <c r="U175" i="26"/>
  <c r="R173" i="26"/>
  <c r="U173" i="26" s="1"/>
  <c r="M356" i="26"/>
  <c r="P356" i="26" s="1"/>
  <c r="L599" i="26"/>
  <c r="O599" i="26" s="1"/>
  <c r="O601" i="26"/>
  <c r="T188" i="26"/>
  <c r="K423" i="26"/>
  <c r="I412" i="26"/>
  <c r="K412" i="26" s="1"/>
  <c r="U268" i="26"/>
  <c r="T601" i="26"/>
  <c r="Q599" i="26"/>
  <c r="T599" i="26" s="1"/>
  <c r="I185" i="26"/>
  <c r="K185" i="26" s="1"/>
  <c r="Q392" i="26"/>
  <c r="T392" i="26" s="1"/>
  <c r="T394" i="26"/>
  <c r="O119" i="26"/>
  <c r="L117" i="26"/>
  <c r="O117" i="26" s="1"/>
  <c r="U159" i="26"/>
  <c r="R157" i="26"/>
  <c r="U157" i="26" s="1"/>
  <c r="L333" i="26"/>
  <c r="O333" i="26" s="1"/>
  <c r="O335" i="26"/>
  <c r="L534" i="18"/>
  <c r="O534" i="18" s="1"/>
  <c r="R139" i="21"/>
  <c r="U139" i="21" s="1"/>
  <c r="U306" i="21"/>
  <c r="U269" i="21"/>
  <c r="U266" i="22"/>
  <c r="O284" i="22"/>
  <c r="O335" i="22"/>
  <c r="P333" i="23"/>
  <c r="T119" i="23"/>
  <c r="L413" i="23"/>
  <c r="O413" i="23" s="1"/>
  <c r="Q493" i="23"/>
  <c r="T493" i="23" s="1"/>
  <c r="P188" i="24"/>
  <c r="Q186" i="24"/>
  <c r="T186" i="24" s="1"/>
  <c r="M413" i="24"/>
  <c r="P413" i="24" s="1"/>
  <c r="T306" i="25"/>
  <c r="M282" i="25"/>
  <c r="P282" i="25" s="1"/>
  <c r="Q599" i="25"/>
  <c r="T599" i="25" s="1"/>
  <c r="T416" i="25"/>
  <c r="T763" i="25"/>
  <c r="S21" i="26"/>
  <c r="I71" i="26"/>
  <c r="K71" i="26" s="1"/>
  <c r="K83" i="26"/>
  <c r="P19" i="26"/>
  <c r="Q173" i="26"/>
  <c r="T173" i="26" s="1"/>
  <c r="P96" i="26"/>
  <c r="R21" i="26"/>
  <c r="R599" i="26"/>
  <c r="U599" i="26" s="1"/>
  <c r="U601" i="26"/>
  <c r="R186" i="26"/>
  <c r="U186" i="26" s="1"/>
  <c r="U266" i="26"/>
  <c r="Q690" i="26"/>
  <c r="T690" i="26" s="1"/>
  <c r="L375" i="26"/>
  <c r="O375" i="26" s="1"/>
  <c r="N21" i="26"/>
  <c r="P21" i="26" s="1"/>
  <c r="N20" i="26"/>
  <c r="N18" i="26" s="1"/>
  <c r="T159" i="26"/>
  <c r="Q157" i="26"/>
  <c r="T157" i="26" s="1"/>
  <c r="U413" i="21"/>
  <c r="T266" i="22"/>
  <c r="O61" i="22"/>
  <c r="O188" i="26"/>
  <c r="T305" i="21"/>
  <c r="P578" i="22"/>
  <c r="T269" i="21"/>
  <c r="P336" i="24"/>
  <c r="U97" i="25"/>
  <c r="O96" i="25"/>
  <c r="N44" i="25"/>
  <c r="O44" i="25" s="1"/>
  <c r="P336" i="25"/>
  <c r="Q760" i="25"/>
  <c r="T760" i="25" s="1"/>
  <c r="U763" i="25"/>
  <c r="L21" i="26"/>
  <c r="L20" i="26"/>
  <c r="O23" i="26"/>
  <c r="M59" i="26"/>
  <c r="P59" i="26" s="1"/>
  <c r="O159" i="26"/>
  <c r="L157" i="26"/>
  <c r="L94" i="26"/>
  <c r="L320" i="26"/>
  <c r="O320" i="26" s="1"/>
  <c r="Q413" i="26"/>
  <c r="T413" i="26" s="1"/>
  <c r="T415" i="26"/>
  <c r="O44" i="26"/>
  <c r="L186" i="26"/>
  <c r="O186" i="26" s="1"/>
  <c r="M375" i="26"/>
  <c r="P375" i="26" s="1"/>
  <c r="Q616" i="26"/>
  <c r="T616" i="26" s="1"/>
  <c r="T618" i="26"/>
  <c r="O576" i="26"/>
  <c r="O578" i="26"/>
  <c r="I231" i="19"/>
  <c r="K231" i="19" s="1"/>
  <c r="U186" i="20"/>
  <c r="R375" i="25"/>
  <c r="U375" i="25" s="1"/>
  <c r="U377" i="25"/>
  <c r="M493" i="25"/>
  <c r="P493" i="25" s="1"/>
  <c r="P305" i="20"/>
  <c r="O377" i="20"/>
  <c r="P268" i="24"/>
  <c r="O59" i="25"/>
  <c r="U120" i="25"/>
  <c r="Q413" i="24"/>
  <c r="T413" i="24" s="1"/>
  <c r="T616" i="25"/>
  <c r="Q72" i="25"/>
  <c r="T72" i="25" s="1"/>
  <c r="M117" i="25"/>
  <c r="P117" i="25" s="1"/>
  <c r="M303" i="25"/>
  <c r="P303" i="25" s="1"/>
  <c r="T644" i="25"/>
  <c r="Q642" i="25"/>
  <c r="T642" i="25" s="1"/>
  <c r="O303" i="21"/>
  <c r="O62" i="22"/>
  <c r="R760" i="23"/>
  <c r="U760" i="23" s="1"/>
  <c r="P189" i="24"/>
  <c r="O602" i="24"/>
  <c r="U645" i="24"/>
  <c r="Q728" i="24"/>
  <c r="T728" i="24" s="1"/>
  <c r="O61" i="25"/>
  <c r="Q139" i="25"/>
  <c r="T139" i="25" s="1"/>
  <c r="P266" i="25"/>
  <c r="O266" i="25"/>
  <c r="U306" i="25"/>
  <c r="U645" i="25"/>
  <c r="O515" i="25"/>
  <c r="L513" i="25"/>
  <c r="O513" i="25" s="1"/>
  <c r="O356" i="22"/>
  <c r="O601" i="24"/>
  <c r="M24" i="25"/>
  <c r="P24" i="25" s="1"/>
  <c r="P268" i="25"/>
  <c r="P188" i="22"/>
  <c r="T268" i="24"/>
  <c r="O97" i="25"/>
  <c r="N173" i="25"/>
  <c r="O173" i="25" s="1"/>
  <c r="N356" i="25"/>
  <c r="O74" i="21"/>
  <c r="O59" i="22"/>
  <c r="O602" i="23"/>
  <c r="Q392" i="23"/>
  <c r="T392" i="23" s="1"/>
  <c r="M139" i="24"/>
  <c r="P139" i="24" s="1"/>
  <c r="M59" i="25"/>
  <c r="P59" i="25" s="1"/>
  <c r="P61" i="25"/>
  <c r="P23" i="25"/>
  <c r="M20" i="25"/>
  <c r="M18" i="25" s="1"/>
  <c r="L94" i="25"/>
  <c r="O94" i="25" s="1"/>
  <c r="Q186" i="25"/>
  <c r="T186" i="25" s="1"/>
  <c r="T188" i="25"/>
  <c r="P599" i="25"/>
  <c r="U97" i="21"/>
  <c r="O96" i="21"/>
  <c r="T97" i="21"/>
  <c r="L534" i="21"/>
  <c r="O534" i="21" s="1"/>
  <c r="U269" i="22"/>
  <c r="T306" i="23"/>
  <c r="O188" i="24"/>
  <c r="P602" i="23"/>
  <c r="Q72" i="24"/>
  <c r="T72" i="24" s="1"/>
  <c r="M72" i="25"/>
  <c r="P72" i="25" s="1"/>
  <c r="P74" i="25"/>
  <c r="U159" i="25"/>
  <c r="R157" i="25"/>
  <c r="U157" i="25" s="1"/>
  <c r="O415" i="25"/>
  <c r="L413" i="25"/>
  <c r="K423" i="25"/>
  <c r="I412" i="25"/>
  <c r="K412" i="25" s="1"/>
  <c r="S690" i="21"/>
  <c r="U690" i="21" s="1"/>
  <c r="O536" i="22"/>
  <c r="O333" i="24"/>
  <c r="P19" i="25"/>
  <c r="P188" i="25"/>
  <c r="O336" i="25"/>
  <c r="T26" i="25"/>
  <c r="Q24" i="25"/>
  <c r="T24" i="25" s="1"/>
  <c r="R303" i="25"/>
  <c r="U303" i="25" s="1"/>
  <c r="M356" i="25"/>
  <c r="P358" i="25"/>
  <c r="Q392" i="25"/>
  <c r="T392" i="25" s="1"/>
  <c r="U416" i="25"/>
  <c r="O359" i="25"/>
  <c r="U762" i="25"/>
  <c r="R760" i="25"/>
  <c r="U760" i="25" s="1"/>
  <c r="P141" i="19"/>
  <c r="M576" i="19"/>
  <c r="P576" i="19" s="1"/>
  <c r="O284" i="21"/>
  <c r="U728" i="21"/>
  <c r="M534" i="21"/>
  <c r="P534" i="21" s="1"/>
  <c r="K701" i="21"/>
  <c r="L72" i="22"/>
  <c r="O72" i="22" s="1"/>
  <c r="O415" i="21"/>
  <c r="L320" i="23"/>
  <c r="O320" i="23" s="1"/>
  <c r="O335" i="24"/>
  <c r="R493" i="24"/>
  <c r="U493" i="24" s="1"/>
  <c r="L21" i="25"/>
  <c r="L20" i="25"/>
  <c r="O23" i="25"/>
  <c r="N21" i="25"/>
  <c r="N20" i="25"/>
  <c r="N18" i="25" s="1"/>
  <c r="U119" i="25"/>
  <c r="R117" i="25"/>
  <c r="U117" i="25" s="1"/>
  <c r="L232" i="25"/>
  <c r="O243" i="25"/>
  <c r="K82" i="25"/>
  <c r="I70" i="25"/>
  <c r="K70" i="25" s="1"/>
  <c r="U175" i="25"/>
  <c r="R173" i="25"/>
  <c r="U173" i="25" s="1"/>
  <c r="P186" i="25"/>
  <c r="O268" i="25"/>
  <c r="L24" i="25"/>
  <c r="O24" i="25" s="1"/>
  <c r="O26" i="25"/>
  <c r="O557" i="25"/>
  <c r="L555" i="25"/>
  <c r="O555" i="25" s="1"/>
  <c r="P601" i="25"/>
  <c r="O188" i="25"/>
  <c r="Q728" i="25"/>
  <c r="T728" i="25" s="1"/>
  <c r="K701" i="25"/>
  <c r="O602" i="25"/>
  <c r="Q728" i="23"/>
  <c r="T728" i="23" s="1"/>
  <c r="S20" i="24"/>
  <c r="S18" i="24" s="1"/>
  <c r="P358" i="24"/>
  <c r="U619" i="24"/>
  <c r="O495" i="24"/>
  <c r="Q20" i="25"/>
  <c r="T23" i="25"/>
  <c r="Q21" i="25"/>
  <c r="R21" i="25"/>
  <c r="R20" i="25"/>
  <c r="U23" i="25"/>
  <c r="Q94" i="25"/>
  <c r="T94" i="25" s="1"/>
  <c r="T96" i="25"/>
  <c r="S21" i="25"/>
  <c r="R24" i="25"/>
  <c r="U24" i="25" s="1"/>
  <c r="U26" i="25"/>
  <c r="O159" i="25"/>
  <c r="L157" i="25"/>
  <c r="O157" i="25" s="1"/>
  <c r="M21" i="25"/>
  <c r="L282" i="25"/>
  <c r="O282" i="25" s="1"/>
  <c r="O175" i="25"/>
  <c r="R413" i="25"/>
  <c r="U413" i="25" s="1"/>
  <c r="I185" i="25"/>
  <c r="K185" i="25" s="1"/>
  <c r="O186" i="25"/>
  <c r="O358" i="24"/>
  <c r="R186" i="24"/>
  <c r="U186" i="24" s="1"/>
  <c r="Q139" i="24"/>
  <c r="T139" i="24" s="1"/>
  <c r="M44" i="25"/>
  <c r="P46" i="25"/>
  <c r="T19" i="25"/>
  <c r="R94" i="25"/>
  <c r="U94" i="25" s="1"/>
  <c r="O189" i="25"/>
  <c r="O322" i="25"/>
  <c r="L320" i="25"/>
  <c r="O320" i="25" s="1"/>
  <c r="M375" i="25"/>
  <c r="P375" i="25" s="1"/>
  <c r="M513" i="25"/>
  <c r="P513" i="25" s="1"/>
  <c r="L493" i="25"/>
  <c r="O493" i="25" s="1"/>
  <c r="R94" i="23"/>
  <c r="U94" i="23" s="1"/>
  <c r="R157" i="24"/>
  <c r="U157" i="24" s="1"/>
  <c r="O46" i="24"/>
  <c r="L94" i="24"/>
  <c r="O94" i="24" s="1"/>
  <c r="L117" i="24"/>
  <c r="O117" i="24" s="1"/>
  <c r="Q157" i="24"/>
  <c r="T157" i="24" s="1"/>
  <c r="M186" i="24"/>
  <c r="P186" i="24" s="1"/>
  <c r="U642" i="24"/>
  <c r="M599" i="24"/>
  <c r="P599" i="24" s="1"/>
  <c r="M320" i="24"/>
  <c r="P320" i="24" s="1"/>
  <c r="R728" i="24"/>
  <c r="U728" i="24" s="1"/>
  <c r="T616" i="24"/>
  <c r="L72" i="24"/>
  <c r="O72" i="24" s="1"/>
  <c r="U601" i="22"/>
  <c r="N20" i="23"/>
  <c r="N18" i="23" s="1"/>
  <c r="N20" i="24"/>
  <c r="N18" i="24" s="1"/>
  <c r="T645" i="24"/>
  <c r="P269" i="22"/>
  <c r="L555" i="22"/>
  <c r="O555" i="22" s="1"/>
  <c r="U690" i="22"/>
  <c r="M493" i="23"/>
  <c r="P493" i="23" s="1"/>
  <c r="L576" i="24"/>
  <c r="O576" i="24" s="1"/>
  <c r="U119" i="23"/>
  <c r="M493" i="24"/>
  <c r="P493" i="24" s="1"/>
  <c r="P322" i="21"/>
  <c r="O413" i="22"/>
  <c r="O305" i="23"/>
  <c r="P335" i="23"/>
  <c r="L534" i="24"/>
  <c r="O534" i="24" s="1"/>
  <c r="R599" i="24"/>
  <c r="U599" i="24" s="1"/>
  <c r="P173" i="23"/>
  <c r="M117" i="24"/>
  <c r="P117" i="24" s="1"/>
  <c r="O44" i="24"/>
  <c r="O359" i="22"/>
  <c r="Q20" i="24"/>
  <c r="Q18" i="24" s="1"/>
  <c r="T23" i="24"/>
  <c r="Q21" i="24"/>
  <c r="L21" i="24"/>
  <c r="L20" i="24"/>
  <c r="L18" i="24" s="1"/>
  <c r="O23" i="24"/>
  <c r="O243" i="24"/>
  <c r="L232" i="24"/>
  <c r="O268" i="24"/>
  <c r="L266" i="24"/>
  <c r="O266" i="24" s="1"/>
  <c r="U268" i="24"/>
  <c r="R266" i="24"/>
  <c r="U266" i="24" s="1"/>
  <c r="M333" i="24"/>
  <c r="P333" i="24" s="1"/>
  <c r="P335" i="24"/>
  <c r="P557" i="24"/>
  <c r="M555" i="24"/>
  <c r="P555" i="24" s="1"/>
  <c r="O306" i="19"/>
  <c r="O601" i="19"/>
  <c r="U763" i="19"/>
  <c r="R117" i="23"/>
  <c r="U117" i="23" s="1"/>
  <c r="O333" i="23"/>
  <c r="P599" i="23"/>
  <c r="M320" i="23"/>
  <c r="P320" i="23" s="1"/>
  <c r="O335" i="23"/>
  <c r="R21" i="24"/>
  <c r="R20" i="24"/>
  <c r="U23" i="24"/>
  <c r="Q94" i="24"/>
  <c r="T94" i="24" s="1"/>
  <c r="T96" i="24"/>
  <c r="T19" i="24"/>
  <c r="O19" i="24"/>
  <c r="P19" i="24"/>
  <c r="R94" i="24"/>
  <c r="U94" i="24" s="1"/>
  <c r="P356" i="24"/>
  <c r="R24" i="24"/>
  <c r="U24" i="24" s="1"/>
  <c r="U26" i="24"/>
  <c r="N59" i="24"/>
  <c r="N40" i="24" s="1"/>
  <c r="Q599" i="24"/>
  <c r="T599" i="24" s="1"/>
  <c r="T601" i="24"/>
  <c r="Q642" i="24"/>
  <c r="T642" i="24" s="1"/>
  <c r="L24" i="24"/>
  <c r="O24" i="24" s="1"/>
  <c r="O26" i="24"/>
  <c r="Q117" i="24"/>
  <c r="T117" i="24" s="1"/>
  <c r="T119" i="24"/>
  <c r="P23" i="24"/>
  <c r="M20" i="24"/>
  <c r="U19" i="24"/>
  <c r="L157" i="24"/>
  <c r="O157" i="24" s="1"/>
  <c r="Q173" i="24"/>
  <c r="T173" i="24" s="1"/>
  <c r="M24" i="24"/>
  <c r="P24" i="24" s="1"/>
  <c r="K82" i="24"/>
  <c r="I70" i="24"/>
  <c r="K70" i="24" s="1"/>
  <c r="L173" i="24"/>
  <c r="O173" i="24" s="1"/>
  <c r="L356" i="24"/>
  <c r="O356" i="24" s="1"/>
  <c r="M534" i="24"/>
  <c r="P534" i="24" s="1"/>
  <c r="R375" i="24"/>
  <c r="U375" i="24" s="1"/>
  <c r="U377" i="24"/>
  <c r="P284" i="24"/>
  <c r="M282" i="24"/>
  <c r="P282" i="24" s="1"/>
  <c r="L555" i="24"/>
  <c r="O555" i="24" s="1"/>
  <c r="P97" i="21"/>
  <c r="P173" i="21"/>
  <c r="T120" i="23"/>
  <c r="M44" i="24"/>
  <c r="P46" i="24"/>
  <c r="U117" i="24"/>
  <c r="O515" i="24"/>
  <c r="L513" i="24"/>
  <c r="O513" i="24" s="1"/>
  <c r="T377" i="24"/>
  <c r="Q375" i="24"/>
  <c r="T375" i="24" s="1"/>
  <c r="R392" i="24"/>
  <c r="U392" i="24" s="1"/>
  <c r="U74" i="21"/>
  <c r="K423" i="21"/>
  <c r="O186" i="22"/>
  <c r="T415" i="22"/>
  <c r="U693" i="22"/>
  <c r="N21" i="23"/>
  <c r="P21" i="23" s="1"/>
  <c r="U619" i="23"/>
  <c r="M375" i="23"/>
  <c r="P375" i="23" s="1"/>
  <c r="M59" i="24"/>
  <c r="P61" i="24"/>
  <c r="P159" i="24"/>
  <c r="M157" i="24"/>
  <c r="P157" i="24" s="1"/>
  <c r="S21" i="24"/>
  <c r="Q303" i="24"/>
  <c r="T303" i="24" s="1"/>
  <c r="O186" i="24"/>
  <c r="L303" i="24"/>
  <c r="O303" i="24" s="1"/>
  <c r="R139" i="24"/>
  <c r="U139" i="24" s="1"/>
  <c r="L320" i="24"/>
  <c r="O320" i="24" s="1"/>
  <c r="O322" i="24"/>
  <c r="R413" i="24"/>
  <c r="U413" i="24" s="1"/>
  <c r="P336" i="23"/>
  <c r="O188" i="22"/>
  <c r="Q139" i="23"/>
  <c r="T139" i="23" s="1"/>
  <c r="N21" i="24"/>
  <c r="P21" i="24" s="1"/>
  <c r="M72" i="24"/>
  <c r="P72" i="24" s="1"/>
  <c r="P74" i="24"/>
  <c r="U119" i="24"/>
  <c r="P175" i="24"/>
  <c r="M173" i="24"/>
  <c r="P173" i="24" s="1"/>
  <c r="L139" i="24"/>
  <c r="O139" i="24" s="1"/>
  <c r="I71" i="24"/>
  <c r="K71" i="24" s="1"/>
  <c r="K83" i="24"/>
  <c r="T26" i="24"/>
  <c r="Q24" i="24"/>
  <c r="T24" i="24" s="1"/>
  <c r="R173" i="24"/>
  <c r="U173" i="24" s="1"/>
  <c r="P305" i="24"/>
  <c r="M303" i="24"/>
  <c r="P303" i="24" s="1"/>
  <c r="M375" i="24"/>
  <c r="P375" i="24" s="1"/>
  <c r="O359" i="24"/>
  <c r="P359" i="24"/>
  <c r="P268" i="23"/>
  <c r="R616" i="24"/>
  <c r="U616" i="24" s="1"/>
  <c r="N40" i="23"/>
  <c r="T378" i="22"/>
  <c r="U186" i="22"/>
  <c r="P306" i="23"/>
  <c r="O599" i="23"/>
  <c r="Q760" i="23"/>
  <c r="T760" i="23" s="1"/>
  <c r="M186" i="23"/>
  <c r="P186" i="23" s="1"/>
  <c r="P188" i="23"/>
  <c r="M117" i="18"/>
  <c r="P117" i="18" s="1"/>
  <c r="M513" i="22"/>
  <c r="P513" i="22" s="1"/>
  <c r="R599" i="23"/>
  <c r="U599" i="23" s="1"/>
  <c r="T117" i="23"/>
  <c r="U692" i="23"/>
  <c r="L72" i="23"/>
  <c r="O72" i="23" s="1"/>
  <c r="O601" i="23"/>
  <c r="M94" i="22"/>
  <c r="P94" i="22" s="1"/>
  <c r="P159" i="23"/>
  <c r="P189" i="23"/>
  <c r="U189" i="23"/>
  <c r="O46" i="18"/>
  <c r="O186" i="20"/>
  <c r="Q157" i="20"/>
  <c r="T157" i="20" s="1"/>
  <c r="M117" i="21"/>
  <c r="P117" i="21" s="1"/>
  <c r="K332" i="21"/>
  <c r="O416" i="21"/>
  <c r="M320" i="22"/>
  <c r="P320" i="22" s="1"/>
  <c r="N333" i="22"/>
  <c r="P333" i="22" s="1"/>
  <c r="L599" i="22"/>
  <c r="O599" i="22" s="1"/>
  <c r="U618" i="22"/>
  <c r="T188" i="22"/>
  <c r="P160" i="23"/>
  <c r="M24" i="23"/>
  <c r="P24" i="23" s="1"/>
  <c r="R139" i="23"/>
  <c r="U139" i="23" s="1"/>
  <c r="L173" i="23"/>
  <c r="O173" i="23" s="1"/>
  <c r="T189" i="23"/>
  <c r="R24" i="23"/>
  <c r="U24" i="23" s="1"/>
  <c r="R72" i="23"/>
  <c r="U72" i="23" s="1"/>
  <c r="U306" i="23"/>
  <c r="M117" i="23"/>
  <c r="P117" i="23" s="1"/>
  <c r="R303" i="23"/>
  <c r="U303" i="23" s="1"/>
  <c r="L139" i="23"/>
  <c r="O139" i="23" s="1"/>
  <c r="L186" i="23"/>
  <c r="O186" i="23" s="1"/>
  <c r="O188" i="23"/>
  <c r="P601" i="23"/>
  <c r="P175" i="23"/>
  <c r="Q599" i="23"/>
  <c r="T599" i="23" s="1"/>
  <c r="P186" i="22"/>
  <c r="U188" i="23"/>
  <c r="R186" i="23"/>
  <c r="U186" i="23" s="1"/>
  <c r="O415" i="19"/>
  <c r="L534" i="20"/>
  <c r="O534" i="20" s="1"/>
  <c r="O159" i="21"/>
  <c r="Q20" i="23"/>
  <c r="Q18" i="23" s="1"/>
  <c r="T23" i="23"/>
  <c r="Q21" i="23"/>
  <c r="T21" i="23" s="1"/>
  <c r="O61" i="23"/>
  <c r="L59" i="23"/>
  <c r="O59" i="23" s="1"/>
  <c r="T266" i="23"/>
  <c r="O536" i="23"/>
  <c r="L534" i="23"/>
  <c r="O534" i="23" s="1"/>
  <c r="Q642" i="23"/>
  <c r="T642" i="23" s="1"/>
  <c r="T644" i="23"/>
  <c r="T268" i="23"/>
  <c r="M576" i="23"/>
  <c r="P576" i="23" s="1"/>
  <c r="P578" i="23"/>
  <c r="L20" i="23"/>
  <c r="O23" i="23"/>
  <c r="L94" i="23"/>
  <c r="O94" i="23" s="1"/>
  <c r="P59" i="23"/>
  <c r="M94" i="23"/>
  <c r="P94" i="23" s="1"/>
  <c r="T188" i="23"/>
  <c r="Q186" i="23"/>
  <c r="T186" i="23" s="1"/>
  <c r="P303" i="23"/>
  <c r="O377" i="23"/>
  <c r="L375" i="23"/>
  <c r="O375" i="23" s="1"/>
  <c r="Q616" i="23"/>
  <c r="T616" i="23" s="1"/>
  <c r="T618" i="23"/>
  <c r="L493" i="21"/>
  <c r="O493" i="21" s="1"/>
  <c r="Q173" i="21"/>
  <c r="T173" i="21" s="1"/>
  <c r="T618" i="22"/>
  <c r="P415" i="22"/>
  <c r="U120" i="22"/>
  <c r="R20" i="23"/>
  <c r="U23" i="23"/>
  <c r="L21" i="23"/>
  <c r="P23" i="23"/>
  <c r="M20" i="23"/>
  <c r="I71" i="23"/>
  <c r="K71" i="23" s="1"/>
  <c r="K83" i="23"/>
  <c r="P61" i="23"/>
  <c r="I185" i="23"/>
  <c r="K185" i="23" s="1"/>
  <c r="L232" i="23"/>
  <c r="O243" i="23"/>
  <c r="U19" i="23"/>
  <c r="L303" i="23"/>
  <c r="O303" i="23" s="1"/>
  <c r="U377" i="23"/>
  <c r="R375" i="23"/>
  <c r="U375" i="23" s="1"/>
  <c r="O557" i="23"/>
  <c r="L555" i="23"/>
  <c r="O555" i="23" s="1"/>
  <c r="M555" i="23"/>
  <c r="P555" i="23" s="1"/>
  <c r="P557" i="23"/>
  <c r="U268" i="23"/>
  <c r="Q413" i="23"/>
  <c r="T413" i="23" s="1"/>
  <c r="P415" i="19"/>
  <c r="P268" i="20"/>
  <c r="L320" i="21"/>
  <c r="O320" i="21" s="1"/>
  <c r="L139" i="21"/>
  <c r="O139" i="21" s="1"/>
  <c r="P335" i="21"/>
  <c r="R760" i="21"/>
  <c r="U760" i="21" s="1"/>
  <c r="R728" i="22"/>
  <c r="U728" i="22" s="1"/>
  <c r="K456" i="22"/>
  <c r="P335" i="22"/>
  <c r="P46" i="23"/>
  <c r="P305" i="23"/>
  <c r="P356" i="23"/>
  <c r="R642" i="23"/>
  <c r="U642" i="23" s="1"/>
  <c r="S20" i="23"/>
  <c r="S18" i="23" s="1"/>
  <c r="P415" i="23"/>
  <c r="M413" i="23"/>
  <c r="P413" i="23" s="1"/>
  <c r="T692" i="23"/>
  <c r="Q690" i="23"/>
  <c r="T690" i="23" s="1"/>
  <c r="R690" i="23"/>
  <c r="U690" i="23" s="1"/>
  <c r="P61" i="20"/>
  <c r="I70" i="20"/>
  <c r="K70" i="20" s="1"/>
  <c r="M555" i="20"/>
  <c r="P555" i="20" s="1"/>
  <c r="P24" i="21"/>
  <c r="O305" i="21"/>
  <c r="Q392" i="21"/>
  <c r="T392" i="21" s="1"/>
  <c r="T644" i="21"/>
  <c r="P96" i="21"/>
  <c r="I70" i="22"/>
  <c r="K70" i="22" s="1"/>
  <c r="L320" i="22"/>
  <c r="O320" i="22" s="1"/>
  <c r="P173" i="22"/>
  <c r="T413" i="22"/>
  <c r="U731" i="22"/>
  <c r="U415" i="22"/>
  <c r="L24" i="23"/>
  <c r="O24" i="23" s="1"/>
  <c r="T74" i="23"/>
  <c r="Q72" i="23"/>
  <c r="T72" i="23" s="1"/>
  <c r="K82" i="23"/>
  <c r="I70" i="23"/>
  <c r="K70" i="23" s="1"/>
  <c r="L356" i="23"/>
  <c r="O356" i="23" s="1"/>
  <c r="O358" i="23"/>
  <c r="R21" i="23"/>
  <c r="U21" i="23" s="1"/>
  <c r="P358" i="23"/>
  <c r="P62" i="23"/>
  <c r="M157" i="23"/>
  <c r="P157" i="23" s="1"/>
  <c r="K701" i="23"/>
  <c r="R72" i="18"/>
  <c r="U72" i="18" s="1"/>
  <c r="T644" i="18"/>
  <c r="K374" i="18"/>
  <c r="O61" i="21"/>
  <c r="T188" i="21"/>
  <c r="U644" i="21"/>
  <c r="P413" i="22"/>
  <c r="L513" i="22"/>
  <c r="O513" i="22" s="1"/>
  <c r="S616" i="22"/>
  <c r="T616" i="22" s="1"/>
  <c r="T731" i="22"/>
  <c r="O378" i="22"/>
  <c r="T19" i="23"/>
  <c r="O46" i="23"/>
  <c r="L44" i="23"/>
  <c r="M139" i="23"/>
  <c r="P139" i="23" s="1"/>
  <c r="T26" i="23"/>
  <c r="Q24" i="23"/>
  <c r="T24" i="23" s="1"/>
  <c r="U120" i="23"/>
  <c r="U266" i="23"/>
  <c r="M44" i="23"/>
  <c r="M513" i="23"/>
  <c r="P513" i="23" s="1"/>
  <c r="U618" i="23"/>
  <c r="R616" i="23"/>
  <c r="U616" i="23" s="1"/>
  <c r="U268" i="20"/>
  <c r="T618" i="21"/>
  <c r="P21" i="22"/>
  <c r="O46" i="22"/>
  <c r="O173" i="22"/>
  <c r="O415" i="22"/>
  <c r="O358" i="22"/>
  <c r="Q599" i="22"/>
  <c r="T599" i="22" s="1"/>
  <c r="Q760" i="22"/>
  <c r="T760" i="22" s="1"/>
  <c r="M282" i="22"/>
  <c r="P282" i="22" s="1"/>
  <c r="T119" i="19"/>
  <c r="Q173" i="20"/>
  <c r="T173" i="20" s="1"/>
  <c r="O493" i="20"/>
  <c r="Q392" i="22"/>
  <c r="T392" i="22" s="1"/>
  <c r="N576" i="22"/>
  <c r="P576" i="22" s="1"/>
  <c r="R173" i="22"/>
  <c r="U173" i="22" s="1"/>
  <c r="M493" i="22"/>
  <c r="P493" i="22" s="1"/>
  <c r="P495" i="22"/>
  <c r="O358" i="20"/>
  <c r="R94" i="22"/>
  <c r="U94" i="22" s="1"/>
  <c r="T186" i="22"/>
  <c r="K457" i="22"/>
  <c r="U188" i="22"/>
  <c r="U117" i="20"/>
  <c r="O188" i="21"/>
  <c r="M375" i="22"/>
  <c r="P375" i="22" s="1"/>
  <c r="P377" i="22"/>
  <c r="M117" i="22"/>
  <c r="P117" i="22" s="1"/>
  <c r="M157" i="22"/>
  <c r="P157" i="22" s="1"/>
  <c r="P159" i="22"/>
  <c r="L555" i="18"/>
  <c r="O555" i="18" s="1"/>
  <c r="P141" i="20"/>
  <c r="T693" i="22"/>
  <c r="M59" i="22"/>
  <c r="P59" i="22" s="1"/>
  <c r="P61" i="22"/>
  <c r="P358" i="22"/>
  <c r="M356" i="22"/>
  <c r="P356" i="22" s="1"/>
  <c r="M534" i="22"/>
  <c r="P534" i="22" s="1"/>
  <c r="P536" i="22"/>
  <c r="S20" i="21"/>
  <c r="S18" i="21" s="1"/>
  <c r="R139" i="22"/>
  <c r="U139" i="22" s="1"/>
  <c r="U141" i="22"/>
  <c r="T26" i="22"/>
  <c r="Q24" i="22"/>
  <c r="T24" i="22" s="1"/>
  <c r="O268" i="22"/>
  <c r="Q760" i="17"/>
  <c r="T760" i="17" s="1"/>
  <c r="T305" i="19"/>
  <c r="U690" i="19"/>
  <c r="U74" i="20"/>
  <c r="P189" i="20"/>
  <c r="M94" i="21"/>
  <c r="P94" i="21" s="1"/>
  <c r="N186" i="21"/>
  <c r="O186" i="21" s="1"/>
  <c r="R642" i="21"/>
  <c r="U642" i="21" s="1"/>
  <c r="Q157" i="22"/>
  <c r="T157" i="22" s="1"/>
  <c r="T159" i="22"/>
  <c r="N20" i="22"/>
  <c r="N18" i="22" s="1"/>
  <c r="R24" i="22"/>
  <c r="U24" i="22" s="1"/>
  <c r="U26" i="22"/>
  <c r="N266" i="22"/>
  <c r="O495" i="22"/>
  <c r="L493" i="22"/>
  <c r="O493" i="22" s="1"/>
  <c r="R413" i="22"/>
  <c r="U413" i="22" s="1"/>
  <c r="L139" i="22"/>
  <c r="O139" i="22" s="1"/>
  <c r="O141" i="22"/>
  <c r="U495" i="22"/>
  <c r="R493" i="22"/>
  <c r="U493" i="22" s="1"/>
  <c r="O268" i="21"/>
  <c r="Q20" i="22"/>
  <c r="T23" i="22"/>
  <c r="Q21" i="22"/>
  <c r="T21" i="22" s="1"/>
  <c r="O159" i="22"/>
  <c r="L157" i="22"/>
  <c r="O157" i="22" s="1"/>
  <c r="O175" i="22"/>
  <c r="P175" i="22"/>
  <c r="T416" i="18"/>
  <c r="P602" i="19"/>
  <c r="O336" i="20"/>
  <c r="T176" i="21"/>
  <c r="L157" i="21"/>
  <c r="O157" i="21" s="1"/>
  <c r="I70" i="21"/>
  <c r="K70" i="21" s="1"/>
  <c r="Q186" i="21"/>
  <c r="T186" i="21" s="1"/>
  <c r="L375" i="21"/>
  <c r="O375" i="21" s="1"/>
  <c r="R266" i="21"/>
  <c r="U266" i="21" s="1"/>
  <c r="O601" i="21"/>
  <c r="U415" i="21"/>
  <c r="P557" i="21"/>
  <c r="L21" i="22"/>
  <c r="O21" i="22" s="1"/>
  <c r="L20" i="22"/>
  <c r="O23" i="22"/>
  <c r="T19" i="22"/>
  <c r="P26" i="22"/>
  <c r="L94" i="22"/>
  <c r="O94" i="22" s="1"/>
  <c r="K332" i="22"/>
  <c r="R117" i="22"/>
  <c r="U117" i="22" s="1"/>
  <c r="O269" i="22"/>
  <c r="L232" i="22"/>
  <c r="O243" i="22"/>
  <c r="K701" i="22"/>
  <c r="L576" i="22"/>
  <c r="O578" i="22"/>
  <c r="R760" i="22"/>
  <c r="U760" i="22" s="1"/>
  <c r="U762" i="22"/>
  <c r="P24" i="22"/>
  <c r="U377" i="22"/>
  <c r="R375" i="22"/>
  <c r="U375" i="22" s="1"/>
  <c r="P266" i="21"/>
  <c r="M72" i="22"/>
  <c r="P72" i="22" s="1"/>
  <c r="P74" i="22"/>
  <c r="P19" i="22"/>
  <c r="T266" i="19"/>
  <c r="U305" i="19"/>
  <c r="U21" i="20"/>
  <c r="T120" i="20"/>
  <c r="O268" i="20"/>
  <c r="U416" i="20"/>
  <c r="Q72" i="21"/>
  <c r="T72" i="21" s="1"/>
  <c r="T189" i="21"/>
  <c r="M576" i="21"/>
  <c r="P576" i="21" s="1"/>
  <c r="R21" i="22"/>
  <c r="U21" i="22" s="1"/>
  <c r="R20" i="22"/>
  <c r="U23" i="22"/>
  <c r="Q94" i="22"/>
  <c r="T94" i="22" s="1"/>
  <c r="T96" i="22"/>
  <c r="P23" i="22"/>
  <c r="M20" i="22"/>
  <c r="M18" i="22" s="1"/>
  <c r="L117" i="22"/>
  <c r="O117" i="22" s="1"/>
  <c r="M599" i="22"/>
  <c r="P599" i="22" s="1"/>
  <c r="T139" i="20"/>
  <c r="U496" i="20"/>
  <c r="P141" i="17"/>
  <c r="O139" i="20"/>
  <c r="P416" i="20"/>
  <c r="O175" i="21"/>
  <c r="T616" i="21"/>
  <c r="O358" i="21"/>
  <c r="M44" i="22"/>
  <c r="P46" i="22"/>
  <c r="Q117" i="22"/>
  <c r="T117" i="22" s="1"/>
  <c r="T119" i="22"/>
  <c r="S20" i="22"/>
  <c r="S18" i="22" s="1"/>
  <c r="O44" i="22"/>
  <c r="M139" i="22"/>
  <c r="P139" i="22" s="1"/>
  <c r="L24" i="22"/>
  <c r="O24" i="22" s="1"/>
  <c r="O26" i="22"/>
  <c r="K253" i="22"/>
  <c r="I231" i="22"/>
  <c r="T730" i="22"/>
  <c r="Q728" i="22"/>
  <c r="T728" i="22" s="1"/>
  <c r="O377" i="22"/>
  <c r="L375" i="22"/>
  <c r="O375" i="22" s="1"/>
  <c r="T692" i="22"/>
  <c r="Q690" i="22"/>
  <c r="T690" i="22" s="1"/>
  <c r="P557" i="22"/>
  <c r="M555" i="22"/>
  <c r="P555" i="22" s="1"/>
  <c r="T189" i="19"/>
  <c r="O189" i="20"/>
  <c r="O602" i="20"/>
  <c r="P266" i="20"/>
  <c r="L94" i="21"/>
  <c r="O94" i="21" s="1"/>
  <c r="U173" i="21"/>
  <c r="P157" i="21"/>
  <c r="M375" i="21"/>
  <c r="P375" i="21" s="1"/>
  <c r="T728" i="21"/>
  <c r="K701" i="17"/>
  <c r="U189" i="20"/>
  <c r="U760" i="20"/>
  <c r="O97" i="21"/>
  <c r="S21" i="21"/>
  <c r="N72" i="21"/>
  <c r="O72" i="21" s="1"/>
  <c r="M493" i="21"/>
  <c r="P493" i="21" s="1"/>
  <c r="T306" i="21"/>
  <c r="T119" i="21"/>
  <c r="Q117" i="21"/>
  <c r="T117" i="21" s="1"/>
  <c r="U96" i="18"/>
  <c r="P336" i="19"/>
  <c r="M320" i="19"/>
  <c r="P320" i="19" s="1"/>
  <c r="U120" i="20"/>
  <c r="N59" i="21"/>
  <c r="O59" i="21" s="1"/>
  <c r="P268" i="21"/>
  <c r="P159" i="21"/>
  <c r="M59" i="19"/>
  <c r="P59" i="19" s="1"/>
  <c r="O557" i="19"/>
  <c r="O333" i="20"/>
  <c r="P356" i="21"/>
  <c r="Q599" i="21"/>
  <c r="T599" i="21" s="1"/>
  <c r="K332" i="20"/>
  <c r="R599" i="21"/>
  <c r="U599" i="21" s="1"/>
  <c r="P175" i="21"/>
  <c r="T141" i="19"/>
  <c r="U75" i="21"/>
  <c r="L356" i="21"/>
  <c r="O356" i="21" s="1"/>
  <c r="Q375" i="21"/>
  <c r="T375" i="21" s="1"/>
  <c r="L21" i="21"/>
  <c r="L20" i="21"/>
  <c r="O23" i="21"/>
  <c r="N21" i="21"/>
  <c r="P21" i="21" s="1"/>
  <c r="N20" i="21"/>
  <c r="N18" i="21" s="1"/>
  <c r="L117" i="21"/>
  <c r="O117" i="21" s="1"/>
  <c r="O119" i="21"/>
  <c r="U188" i="21"/>
  <c r="R186" i="21"/>
  <c r="U186" i="21" s="1"/>
  <c r="R117" i="21"/>
  <c r="U117" i="21" s="1"/>
  <c r="U119" i="21"/>
  <c r="M139" i="21"/>
  <c r="P139" i="21" s="1"/>
  <c r="P141" i="21"/>
  <c r="L513" i="21"/>
  <c r="O513" i="21" s="1"/>
  <c r="O515" i="21"/>
  <c r="L555" i="21"/>
  <c r="O555" i="21" s="1"/>
  <c r="O557" i="21"/>
  <c r="P601" i="21"/>
  <c r="M599" i="21"/>
  <c r="P599" i="21" s="1"/>
  <c r="O74" i="18"/>
  <c r="L513" i="18"/>
  <c r="O513" i="18" s="1"/>
  <c r="M555" i="18"/>
  <c r="P555" i="18" s="1"/>
  <c r="Q72" i="18"/>
  <c r="T72" i="18" s="1"/>
  <c r="Q72" i="19"/>
  <c r="T72" i="19" s="1"/>
  <c r="T268" i="19"/>
  <c r="L413" i="19"/>
  <c r="O413" i="19" s="1"/>
  <c r="Q20" i="21"/>
  <c r="T23" i="21"/>
  <c r="Q21" i="21"/>
  <c r="R21" i="21"/>
  <c r="U21" i="21" s="1"/>
  <c r="R20" i="21"/>
  <c r="U23" i="21"/>
  <c r="R94" i="21"/>
  <c r="U94" i="21" s="1"/>
  <c r="P26" i="21"/>
  <c r="R24" i="21"/>
  <c r="U24" i="21" s="1"/>
  <c r="U26" i="21"/>
  <c r="P358" i="21"/>
  <c r="T415" i="21"/>
  <c r="Q413" i="21"/>
  <c r="T413" i="21" s="1"/>
  <c r="Q690" i="21"/>
  <c r="K374" i="19"/>
  <c r="T268" i="20"/>
  <c r="M303" i="20"/>
  <c r="P303" i="20" s="1"/>
  <c r="M44" i="21"/>
  <c r="P46" i="21"/>
  <c r="P19" i="21"/>
  <c r="Q139" i="21"/>
  <c r="T139" i="21" s="1"/>
  <c r="U176" i="21"/>
  <c r="S303" i="21"/>
  <c r="U303" i="21" s="1"/>
  <c r="U305" i="21"/>
  <c r="M303" i="21"/>
  <c r="P303" i="21" s="1"/>
  <c r="P305" i="21"/>
  <c r="P188" i="21"/>
  <c r="M186" i="21"/>
  <c r="N333" i="21"/>
  <c r="P333" i="21" s="1"/>
  <c r="U730" i="21"/>
  <c r="L576" i="21"/>
  <c r="O576" i="21" s="1"/>
  <c r="O305" i="19"/>
  <c r="M59" i="21"/>
  <c r="P61" i="21"/>
  <c r="O44" i="21"/>
  <c r="L24" i="21"/>
  <c r="O24" i="21" s="1"/>
  <c r="O26" i="21"/>
  <c r="L232" i="21"/>
  <c r="O243" i="21"/>
  <c r="M72" i="21"/>
  <c r="P74" i="21"/>
  <c r="R616" i="21"/>
  <c r="U616" i="21" s="1"/>
  <c r="U618" i="21"/>
  <c r="O159" i="17"/>
  <c r="O322" i="17"/>
  <c r="T266" i="17"/>
  <c r="U97" i="18"/>
  <c r="P601" i="18"/>
  <c r="P305" i="19"/>
  <c r="O24" i="20"/>
  <c r="P269" i="20"/>
  <c r="L555" i="20"/>
  <c r="O555" i="20" s="1"/>
  <c r="R266" i="20"/>
  <c r="U266" i="20" s="1"/>
  <c r="T19" i="21"/>
  <c r="Q18" i="21"/>
  <c r="T75" i="21"/>
  <c r="L173" i="21"/>
  <c r="O173" i="21" s="1"/>
  <c r="O46" i="21"/>
  <c r="U120" i="21"/>
  <c r="T26" i="21"/>
  <c r="Q24" i="21"/>
  <c r="T24" i="21" s="1"/>
  <c r="L266" i="21"/>
  <c r="O266" i="21" s="1"/>
  <c r="M282" i="21"/>
  <c r="P282" i="21" s="1"/>
  <c r="P284" i="21"/>
  <c r="P416" i="21"/>
  <c r="T730" i="21"/>
  <c r="L599" i="21"/>
  <c r="O599" i="21" s="1"/>
  <c r="T416" i="17"/>
  <c r="P335" i="18"/>
  <c r="U644" i="18"/>
  <c r="O555" i="19"/>
  <c r="O284" i="19"/>
  <c r="O495" i="20"/>
  <c r="P23" i="21"/>
  <c r="M20" i="21"/>
  <c r="M18" i="21" s="1"/>
  <c r="P18" i="21" s="1"/>
  <c r="K83" i="21"/>
  <c r="I71" i="21"/>
  <c r="K71" i="21" s="1"/>
  <c r="I231" i="21"/>
  <c r="K242" i="21"/>
  <c r="O335" i="21"/>
  <c r="L333" i="21"/>
  <c r="R392" i="21"/>
  <c r="U392" i="21" s="1"/>
  <c r="U394" i="21"/>
  <c r="M513" i="21"/>
  <c r="P513" i="21" s="1"/>
  <c r="P415" i="21"/>
  <c r="M413" i="21"/>
  <c r="P413" i="21" s="1"/>
  <c r="U731" i="21"/>
  <c r="Q642" i="21"/>
  <c r="T642" i="21" s="1"/>
  <c r="T375" i="20"/>
  <c r="P377" i="20"/>
  <c r="O61" i="18"/>
  <c r="U117" i="17"/>
  <c r="R392" i="18"/>
  <c r="U392" i="18" s="1"/>
  <c r="P356" i="18"/>
  <c r="O358" i="19"/>
  <c r="M534" i="19"/>
  <c r="P534" i="19" s="1"/>
  <c r="R760" i="19"/>
  <c r="U760" i="19" s="1"/>
  <c r="P306" i="19"/>
  <c r="M72" i="20"/>
  <c r="P72" i="20" s="1"/>
  <c r="Q186" i="20"/>
  <c r="T186" i="20" s="1"/>
  <c r="T141" i="20"/>
  <c r="U141" i="20"/>
  <c r="T378" i="20"/>
  <c r="N375" i="20"/>
  <c r="O375" i="20" s="1"/>
  <c r="L266" i="20"/>
  <c r="O266" i="20" s="1"/>
  <c r="O601" i="20"/>
  <c r="T394" i="20"/>
  <c r="P515" i="20"/>
  <c r="U619" i="20"/>
  <c r="U413" i="20"/>
  <c r="U188" i="20"/>
  <c r="M534" i="20"/>
  <c r="P534" i="20" s="1"/>
  <c r="T692" i="19"/>
  <c r="U139" i="20"/>
  <c r="T119" i="20"/>
  <c r="O188" i="20"/>
  <c r="L303" i="20"/>
  <c r="O303" i="20" s="1"/>
  <c r="R728" i="20"/>
  <c r="U728" i="20" s="1"/>
  <c r="T762" i="20"/>
  <c r="P47" i="20"/>
  <c r="O74" i="20"/>
  <c r="L72" i="20"/>
  <c r="O72" i="20" s="1"/>
  <c r="T760" i="20"/>
  <c r="Q728" i="20"/>
  <c r="T728" i="20" s="1"/>
  <c r="O94" i="18"/>
  <c r="S20" i="19"/>
  <c r="S18" i="19" s="1"/>
  <c r="L303" i="19"/>
  <c r="O303" i="19" s="1"/>
  <c r="U642" i="18"/>
  <c r="P46" i="20"/>
  <c r="P322" i="20"/>
  <c r="L513" i="20"/>
  <c r="O513" i="20" s="1"/>
  <c r="T305" i="20"/>
  <c r="P602" i="20"/>
  <c r="R493" i="20"/>
  <c r="U493" i="20" s="1"/>
  <c r="U762" i="20"/>
  <c r="P46" i="17"/>
  <c r="U692" i="19"/>
  <c r="R599" i="19"/>
  <c r="U599" i="19" s="1"/>
  <c r="O189" i="19"/>
  <c r="K332" i="18"/>
  <c r="L117" i="20"/>
  <c r="O117" i="20" s="1"/>
  <c r="M44" i="20"/>
  <c r="P44" i="20" s="1"/>
  <c r="P333" i="20"/>
  <c r="L576" i="20"/>
  <c r="O576" i="20" s="1"/>
  <c r="U692" i="20"/>
  <c r="M282" i="20"/>
  <c r="P282" i="20" s="1"/>
  <c r="L72" i="19"/>
  <c r="O72" i="19" s="1"/>
  <c r="U375" i="20"/>
  <c r="O322" i="20"/>
  <c r="T690" i="20"/>
  <c r="U690" i="20"/>
  <c r="O320" i="20"/>
  <c r="K83" i="20"/>
  <c r="I71" i="20"/>
  <c r="K71" i="20" s="1"/>
  <c r="N21" i="20"/>
  <c r="P21" i="20" s="1"/>
  <c r="N20" i="20"/>
  <c r="N18" i="20" s="1"/>
  <c r="Q24" i="20"/>
  <c r="T24" i="20" s="1"/>
  <c r="T26" i="20"/>
  <c r="K242" i="20"/>
  <c r="I231" i="20"/>
  <c r="P578" i="20"/>
  <c r="M576" i="20"/>
  <c r="P576" i="20" s="1"/>
  <c r="L513" i="17"/>
  <c r="O513" i="17" s="1"/>
  <c r="U763" i="17"/>
  <c r="R94" i="19"/>
  <c r="U94" i="19" s="1"/>
  <c r="O157" i="19"/>
  <c r="S413" i="19"/>
  <c r="T413" i="19" s="1"/>
  <c r="T645" i="19"/>
  <c r="P23" i="20"/>
  <c r="M20" i="20"/>
  <c r="P26" i="20"/>
  <c r="L157" i="20"/>
  <c r="O157" i="20" s="1"/>
  <c r="M139" i="20"/>
  <c r="P139" i="20" s="1"/>
  <c r="O243" i="20"/>
  <c r="L232" i="20"/>
  <c r="S20" i="20"/>
  <c r="S18" i="20" s="1"/>
  <c r="O335" i="20"/>
  <c r="P601" i="20"/>
  <c r="M599" i="20"/>
  <c r="P599" i="20" s="1"/>
  <c r="L356" i="20"/>
  <c r="O356" i="20" s="1"/>
  <c r="U731" i="20"/>
  <c r="T413" i="17"/>
  <c r="U120" i="18"/>
  <c r="L117" i="19"/>
  <c r="O117" i="19" s="1"/>
  <c r="O282" i="19"/>
  <c r="L320" i="19"/>
  <c r="O320" i="19" s="1"/>
  <c r="O356" i="19"/>
  <c r="N40" i="20"/>
  <c r="P96" i="20"/>
  <c r="M94" i="20"/>
  <c r="P94" i="20" s="1"/>
  <c r="Q94" i="20"/>
  <c r="T94" i="20" s="1"/>
  <c r="L94" i="20"/>
  <c r="O94" i="20" s="1"/>
  <c r="O141" i="20"/>
  <c r="R157" i="20"/>
  <c r="U157" i="20" s="1"/>
  <c r="P159" i="20"/>
  <c r="M157" i="20"/>
  <c r="P157" i="20" s="1"/>
  <c r="U303" i="20"/>
  <c r="M356" i="20"/>
  <c r="P356" i="20" s="1"/>
  <c r="P358" i="20"/>
  <c r="T415" i="20"/>
  <c r="Q413" i="20"/>
  <c r="T413" i="20" s="1"/>
  <c r="Q599" i="20"/>
  <c r="T599" i="20" s="1"/>
  <c r="T601" i="20"/>
  <c r="P415" i="20"/>
  <c r="N413" i="20"/>
  <c r="O413" i="20" s="1"/>
  <c r="O415" i="20"/>
  <c r="P336" i="20"/>
  <c r="P62" i="17"/>
  <c r="U266" i="17"/>
  <c r="M24" i="18"/>
  <c r="P24" i="18" s="1"/>
  <c r="T117" i="19"/>
  <c r="T377" i="19"/>
  <c r="O269" i="19"/>
  <c r="Q599" i="19"/>
  <c r="T599" i="19" s="1"/>
  <c r="U415" i="19"/>
  <c r="L20" i="20"/>
  <c r="O23" i="20"/>
  <c r="L44" i="20"/>
  <c r="O46" i="20"/>
  <c r="U19" i="20"/>
  <c r="O61" i="20"/>
  <c r="L59" i="20"/>
  <c r="O59" i="20" s="1"/>
  <c r="R94" i="20"/>
  <c r="U94" i="20" s="1"/>
  <c r="M320" i="20"/>
  <c r="P320" i="20" s="1"/>
  <c r="U378" i="20"/>
  <c r="O416" i="20"/>
  <c r="R599" i="20"/>
  <c r="U599" i="20" s="1"/>
  <c r="T74" i="17"/>
  <c r="R690" i="17"/>
  <c r="U690" i="17" s="1"/>
  <c r="U119" i="19"/>
  <c r="U375" i="18"/>
  <c r="U619" i="19"/>
  <c r="P303" i="19"/>
  <c r="R20" i="20"/>
  <c r="R18" i="20" s="1"/>
  <c r="U23" i="20"/>
  <c r="M59" i="20"/>
  <c r="P59" i="20" s="1"/>
  <c r="P119" i="20"/>
  <c r="M117" i="20"/>
  <c r="P117" i="20" s="1"/>
  <c r="P175" i="20"/>
  <c r="M173" i="20"/>
  <c r="P173" i="20" s="1"/>
  <c r="Q303" i="20"/>
  <c r="T303" i="20" s="1"/>
  <c r="T117" i="20"/>
  <c r="L173" i="20"/>
  <c r="O173" i="20" s="1"/>
  <c r="P188" i="20"/>
  <c r="M186" i="20"/>
  <c r="P186" i="20" s="1"/>
  <c r="P335" i="20"/>
  <c r="Q266" i="20"/>
  <c r="T266" i="20" s="1"/>
  <c r="K374" i="20"/>
  <c r="L282" i="20"/>
  <c r="O282" i="20" s="1"/>
  <c r="Q493" i="20"/>
  <c r="T493" i="20" s="1"/>
  <c r="L599" i="20"/>
  <c r="O599" i="20" s="1"/>
  <c r="T692" i="20"/>
  <c r="S20" i="17"/>
  <c r="S18" i="17" s="1"/>
  <c r="U186" i="18"/>
  <c r="L493" i="19"/>
  <c r="O493" i="19" s="1"/>
  <c r="O139" i="19"/>
  <c r="Q20" i="20"/>
  <c r="T23" i="20"/>
  <c r="Q21" i="20"/>
  <c r="T21" i="20" s="1"/>
  <c r="U119" i="20"/>
  <c r="P24" i="20"/>
  <c r="O26" i="20"/>
  <c r="U305" i="20"/>
  <c r="R24" i="20"/>
  <c r="U24" i="20" s="1"/>
  <c r="R173" i="20"/>
  <c r="U173" i="20" s="1"/>
  <c r="P495" i="20"/>
  <c r="M493" i="20"/>
  <c r="P493" i="20" s="1"/>
  <c r="P173" i="18"/>
  <c r="L186" i="19"/>
  <c r="O186" i="19" s="1"/>
  <c r="O188" i="19"/>
  <c r="T189" i="1"/>
  <c r="L303" i="17"/>
  <c r="O303" i="17" s="1"/>
  <c r="T188" i="18"/>
  <c r="N59" i="18"/>
  <c r="O59" i="18" s="1"/>
  <c r="U269" i="18"/>
  <c r="R599" i="18"/>
  <c r="U599" i="18" s="1"/>
  <c r="M139" i="19"/>
  <c r="P139" i="19" s="1"/>
  <c r="P282" i="19"/>
  <c r="Q493" i="19"/>
  <c r="T493" i="19" s="1"/>
  <c r="P599" i="19"/>
  <c r="U378" i="19"/>
  <c r="P601" i="19"/>
  <c r="T618" i="19"/>
  <c r="Q690" i="19"/>
  <c r="T690" i="19" s="1"/>
  <c r="U188" i="19"/>
  <c r="R186" i="19"/>
  <c r="U186" i="19" s="1"/>
  <c r="T306" i="17"/>
  <c r="M320" i="18"/>
  <c r="P320" i="18" s="1"/>
  <c r="T693" i="18"/>
  <c r="M94" i="19"/>
  <c r="P94" i="19" s="1"/>
  <c r="T269" i="19"/>
  <c r="R392" i="19"/>
  <c r="U392" i="19" s="1"/>
  <c r="T619" i="19"/>
  <c r="R72" i="19"/>
  <c r="U72" i="19" s="1"/>
  <c r="S616" i="19"/>
  <c r="U616" i="19" s="1"/>
  <c r="U303" i="19"/>
  <c r="P358" i="19"/>
  <c r="M356" i="19"/>
  <c r="P356" i="19" s="1"/>
  <c r="U693" i="17"/>
  <c r="U188" i="17"/>
  <c r="U269" i="19"/>
  <c r="M266" i="19"/>
  <c r="P266" i="19" s="1"/>
  <c r="P268" i="19"/>
  <c r="N40" i="19"/>
  <c r="Q760" i="19"/>
  <c r="T760" i="19" s="1"/>
  <c r="S728" i="19"/>
  <c r="U728" i="19" s="1"/>
  <c r="O141" i="19"/>
  <c r="P61" i="17"/>
  <c r="T642" i="17"/>
  <c r="U377" i="18"/>
  <c r="O175" i="18"/>
  <c r="Q303" i="19"/>
  <c r="T303" i="19" s="1"/>
  <c r="U189" i="19"/>
  <c r="M186" i="19"/>
  <c r="P186" i="19" s="1"/>
  <c r="P188" i="19"/>
  <c r="P23" i="19"/>
  <c r="M20" i="19"/>
  <c r="M513" i="19"/>
  <c r="P513" i="19" s="1"/>
  <c r="P515" i="19"/>
  <c r="O24" i="17"/>
  <c r="O415" i="18"/>
  <c r="N333" i="18"/>
  <c r="P333" i="18" s="1"/>
  <c r="K701" i="18"/>
  <c r="R20" i="19"/>
  <c r="U23" i="19"/>
  <c r="P26" i="19"/>
  <c r="T141" i="17"/>
  <c r="O284" i="17"/>
  <c r="U642" i="17"/>
  <c r="U618" i="17"/>
  <c r="R24" i="18"/>
  <c r="U24" i="18" s="1"/>
  <c r="R303" i="18"/>
  <c r="U303" i="18" s="1"/>
  <c r="T266" i="18"/>
  <c r="T303" i="18"/>
  <c r="Q760" i="18"/>
  <c r="T760" i="18" s="1"/>
  <c r="R690" i="18"/>
  <c r="U690" i="18" s="1"/>
  <c r="P157" i="17"/>
  <c r="M72" i="19"/>
  <c r="P72" i="19" s="1"/>
  <c r="M21" i="19"/>
  <c r="P21" i="19" s="1"/>
  <c r="Q24" i="19"/>
  <c r="T24" i="19" s="1"/>
  <c r="T26" i="19"/>
  <c r="L94" i="19"/>
  <c r="O94" i="19" s="1"/>
  <c r="M44" i="19"/>
  <c r="P377" i="19"/>
  <c r="M375" i="19"/>
  <c r="P375" i="19" s="1"/>
  <c r="T394" i="19"/>
  <c r="Q392" i="19"/>
  <c r="T392" i="19" s="1"/>
  <c r="U377" i="19"/>
  <c r="L375" i="19"/>
  <c r="O375" i="19" s="1"/>
  <c r="U645" i="19"/>
  <c r="R642" i="19"/>
  <c r="U642" i="19" s="1"/>
  <c r="U644" i="19"/>
  <c r="M413" i="19"/>
  <c r="P413" i="19" s="1"/>
  <c r="L20" i="19"/>
  <c r="O23" i="19"/>
  <c r="U19" i="19"/>
  <c r="L232" i="19"/>
  <c r="O243" i="19"/>
  <c r="Q375" i="18"/>
  <c r="T375" i="18" s="1"/>
  <c r="L44" i="19"/>
  <c r="O46" i="19"/>
  <c r="K82" i="19"/>
  <c r="I70" i="19"/>
  <c r="K70" i="19" s="1"/>
  <c r="O159" i="19"/>
  <c r="P159" i="19"/>
  <c r="O175" i="19"/>
  <c r="R186" i="17"/>
  <c r="U186" i="17" s="1"/>
  <c r="T618" i="17"/>
  <c r="P188" i="17"/>
  <c r="P555" i="17"/>
  <c r="Q186" i="18"/>
  <c r="T186" i="18" s="1"/>
  <c r="M282" i="18"/>
  <c r="P282" i="18" s="1"/>
  <c r="M513" i="18"/>
  <c r="P513" i="18" s="1"/>
  <c r="T306" i="18"/>
  <c r="O335" i="18"/>
  <c r="I231" i="18"/>
  <c r="K231" i="18" s="1"/>
  <c r="Q392" i="18"/>
  <c r="T392" i="18" s="1"/>
  <c r="R72" i="17"/>
  <c r="U72" i="17" s="1"/>
  <c r="P415" i="18"/>
  <c r="I71" i="19"/>
  <c r="K71" i="19" s="1"/>
  <c r="K83" i="19"/>
  <c r="N20" i="19"/>
  <c r="N18" i="19" s="1"/>
  <c r="O26" i="19"/>
  <c r="U141" i="19"/>
  <c r="R21" i="19"/>
  <c r="S139" i="19"/>
  <c r="T139" i="19" s="1"/>
  <c r="P284" i="19"/>
  <c r="P495" i="19"/>
  <c r="M493" i="19"/>
  <c r="P493" i="19" s="1"/>
  <c r="O333" i="19"/>
  <c r="L599" i="19"/>
  <c r="O599" i="19" s="1"/>
  <c r="T188" i="19"/>
  <c r="Q186" i="19"/>
  <c r="T186" i="19" s="1"/>
  <c r="U375" i="19"/>
  <c r="R117" i="19"/>
  <c r="U117" i="19" s="1"/>
  <c r="K615" i="1"/>
  <c r="L157" i="18"/>
  <c r="O157" i="18" s="1"/>
  <c r="L173" i="18"/>
  <c r="O173" i="18" s="1"/>
  <c r="O269" i="18"/>
  <c r="M303" i="18"/>
  <c r="P303" i="18" s="1"/>
  <c r="M24" i="19"/>
  <c r="P24" i="19" s="1"/>
  <c r="R24" i="19"/>
  <c r="U24" i="19" s="1"/>
  <c r="P335" i="19"/>
  <c r="M333" i="19"/>
  <c r="P333" i="19" s="1"/>
  <c r="S21" i="19"/>
  <c r="O268" i="19"/>
  <c r="L266" i="19"/>
  <c r="O266" i="19" s="1"/>
  <c r="Q375" i="19"/>
  <c r="T375" i="19" s="1"/>
  <c r="O335" i="19"/>
  <c r="L576" i="19"/>
  <c r="O576" i="19" s="1"/>
  <c r="L173" i="19"/>
  <c r="O173" i="19" s="1"/>
  <c r="T730" i="19"/>
  <c r="M534" i="18"/>
  <c r="P534" i="18" s="1"/>
  <c r="Q20" i="19"/>
  <c r="T23" i="19"/>
  <c r="Q21" i="19"/>
  <c r="L21" i="19"/>
  <c r="O21" i="19" s="1"/>
  <c r="M157" i="19"/>
  <c r="P157" i="19" s="1"/>
  <c r="O24" i="19"/>
  <c r="L59" i="19"/>
  <c r="O59" i="19" s="1"/>
  <c r="O61" i="19"/>
  <c r="O416" i="19"/>
  <c r="I412" i="19"/>
  <c r="K412" i="19" s="1"/>
  <c r="K423" i="19"/>
  <c r="O515" i="19"/>
  <c r="L513" i="19"/>
  <c r="O513" i="19" s="1"/>
  <c r="U268" i="19"/>
  <c r="R266" i="19"/>
  <c r="U266" i="19" s="1"/>
  <c r="M555" i="19"/>
  <c r="P555" i="19" s="1"/>
  <c r="P557" i="19"/>
  <c r="P175" i="19"/>
  <c r="M173" i="19"/>
  <c r="P173" i="19" s="1"/>
  <c r="M576" i="18"/>
  <c r="P576" i="18" s="1"/>
  <c r="P578" i="18"/>
  <c r="U96" i="17"/>
  <c r="P159" i="17"/>
  <c r="P536" i="17"/>
  <c r="T616" i="17"/>
  <c r="L413" i="18"/>
  <c r="O413" i="18" s="1"/>
  <c r="T378" i="18"/>
  <c r="L282" i="18"/>
  <c r="O282" i="18" s="1"/>
  <c r="L117" i="17"/>
  <c r="O117" i="17" s="1"/>
  <c r="O268" i="18"/>
  <c r="P358" i="18"/>
  <c r="M375" i="18"/>
  <c r="P375" i="18" s="1"/>
  <c r="M157" i="18"/>
  <c r="P157" i="18" s="1"/>
  <c r="L599" i="18"/>
  <c r="O599" i="18" s="1"/>
  <c r="U188" i="18"/>
  <c r="P142" i="17"/>
  <c r="M139" i="17"/>
  <c r="P139" i="17" s="1"/>
  <c r="P413" i="17"/>
  <c r="R616" i="17"/>
  <c r="U616" i="17" s="1"/>
  <c r="O266" i="17"/>
  <c r="T96" i="18"/>
  <c r="U266" i="18"/>
  <c r="P175" i="18"/>
  <c r="T644" i="17"/>
  <c r="U21" i="18"/>
  <c r="R94" i="18"/>
  <c r="U94" i="18" s="1"/>
  <c r="M413" i="18"/>
  <c r="P413" i="18" s="1"/>
  <c r="T176" i="18"/>
  <c r="T96" i="17"/>
  <c r="O142" i="17"/>
  <c r="T269" i="17"/>
  <c r="P46" i="18"/>
  <c r="T94" i="18"/>
  <c r="O266" i="18"/>
  <c r="M72" i="18"/>
  <c r="P72" i="18" s="1"/>
  <c r="O495" i="18"/>
  <c r="L493" i="18"/>
  <c r="O493" i="18" s="1"/>
  <c r="R413" i="18"/>
  <c r="U413" i="18" s="1"/>
  <c r="O268" i="17"/>
  <c r="P495" i="17"/>
  <c r="M375" i="17"/>
  <c r="P375" i="17" s="1"/>
  <c r="P599" i="17"/>
  <c r="O19" i="18"/>
  <c r="T159" i="18"/>
  <c r="Q157" i="18"/>
  <c r="T157" i="18" s="1"/>
  <c r="M44" i="18"/>
  <c r="U119" i="18"/>
  <c r="R117" i="18"/>
  <c r="U117" i="18" s="1"/>
  <c r="K82" i="18"/>
  <c r="I70" i="18"/>
  <c r="K70" i="18" s="1"/>
  <c r="U159" i="18"/>
  <c r="R157" i="18"/>
  <c r="U157" i="18" s="1"/>
  <c r="I71" i="18"/>
  <c r="K71" i="18" s="1"/>
  <c r="K83" i="18"/>
  <c r="Q139" i="18"/>
  <c r="T139" i="18" s="1"/>
  <c r="T26" i="18"/>
  <c r="Q24" i="18"/>
  <c r="T24" i="18" s="1"/>
  <c r="U268" i="18"/>
  <c r="O74" i="17"/>
  <c r="L72" i="17"/>
  <c r="O72" i="17" s="1"/>
  <c r="Q413" i="18"/>
  <c r="T413" i="18" s="1"/>
  <c r="P268" i="17"/>
  <c r="U141" i="18"/>
  <c r="R139" i="18"/>
  <c r="U139" i="18" s="1"/>
  <c r="P141" i="18"/>
  <c r="M139" i="18"/>
  <c r="P139" i="18" s="1"/>
  <c r="L24" i="18"/>
  <c r="O24" i="18" s="1"/>
  <c r="L576" i="18"/>
  <c r="O576" i="18" s="1"/>
  <c r="O578" i="18"/>
  <c r="P322" i="17"/>
  <c r="N320" i="17"/>
  <c r="O320" i="17" s="1"/>
  <c r="T188" i="17"/>
  <c r="O601" i="17"/>
  <c r="L576" i="17"/>
  <c r="O576" i="17" s="1"/>
  <c r="N186" i="17"/>
  <c r="P186" i="17" s="1"/>
  <c r="L20" i="18"/>
  <c r="O23" i="18"/>
  <c r="U19" i="18"/>
  <c r="P96" i="18"/>
  <c r="M94" i="18"/>
  <c r="P94" i="18" s="1"/>
  <c r="T175" i="18"/>
  <c r="Q173" i="18"/>
  <c r="T173" i="18" s="1"/>
  <c r="N44" i="18"/>
  <c r="O44" i="18" s="1"/>
  <c r="U175" i="18"/>
  <c r="R173" i="18"/>
  <c r="U173" i="18" s="1"/>
  <c r="T268" i="18"/>
  <c r="P268" i="18"/>
  <c r="M266" i="18"/>
  <c r="P266" i="18" s="1"/>
  <c r="T730" i="18"/>
  <c r="T618" i="18"/>
  <c r="S728" i="18"/>
  <c r="P557" i="17"/>
  <c r="N21" i="18"/>
  <c r="O21" i="18" s="1"/>
  <c r="N20" i="18"/>
  <c r="N18" i="18" s="1"/>
  <c r="T119" i="18"/>
  <c r="Q117" i="18"/>
  <c r="T117" i="18" s="1"/>
  <c r="Q493" i="18"/>
  <c r="T493" i="18" s="1"/>
  <c r="T495" i="18"/>
  <c r="T616" i="18"/>
  <c r="T601" i="18"/>
  <c r="Q599" i="18"/>
  <c r="T599" i="18" s="1"/>
  <c r="O416" i="17"/>
  <c r="P23" i="18"/>
  <c r="M20" i="18"/>
  <c r="M18" i="18" s="1"/>
  <c r="O96" i="18"/>
  <c r="P269" i="18"/>
  <c r="L232" i="18"/>
  <c r="O243" i="18"/>
  <c r="R20" i="18"/>
  <c r="U23" i="18"/>
  <c r="T19" i="18"/>
  <c r="P336" i="18"/>
  <c r="U616" i="18"/>
  <c r="R173" i="17"/>
  <c r="U173" i="17" s="1"/>
  <c r="U493" i="17"/>
  <c r="O493" i="17"/>
  <c r="U269" i="17"/>
  <c r="Q20" i="18"/>
  <c r="T23" i="18"/>
  <c r="Q21" i="18"/>
  <c r="T21" i="18" s="1"/>
  <c r="P61" i="18"/>
  <c r="S20" i="18"/>
  <c r="S18" i="18" s="1"/>
  <c r="O141" i="18"/>
  <c r="L139" i="18"/>
  <c r="O139" i="18" s="1"/>
  <c r="P19" i="18"/>
  <c r="N186" i="18"/>
  <c r="P186" i="18" s="1"/>
  <c r="O188" i="18"/>
  <c r="P188" i="18"/>
  <c r="M59" i="18"/>
  <c r="O119" i="18"/>
  <c r="L117" i="18"/>
  <c r="O117" i="18" s="1"/>
  <c r="O358" i="18"/>
  <c r="L356" i="18"/>
  <c r="O356" i="18" s="1"/>
  <c r="L303" i="18"/>
  <c r="O303" i="18" s="1"/>
  <c r="K423" i="18"/>
  <c r="I412" i="18"/>
  <c r="K412" i="18" s="1"/>
  <c r="Q642" i="18"/>
  <c r="T642" i="18" s="1"/>
  <c r="U618" i="18"/>
  <c r="T692" i="18"/>
  <c r="Q690" i="18"/>
  <c r="T690" i="18" s="1"/>
  <c r="Q599" i="17"/>
  <c r="T599" i="17" s="1"/>
  <c r="T601" i="17"/>
  <c r="P493" i="17"/>
  <c r="K632" i="1"/>
  <c r="P24" i="17"/>
  <c r="T189" i="17"/>
  <c r="T186" i="17"/>
  <c r="P176" i="17"/>
  <c r="O496" i="17"/>
  <c r="N282" i="17"/>
  <c r="O282" i="17" s="1"/>
  <c r="U496" i="17"/>
  <c r="Q690" i="17"/>
  <c r="T690" i="17" s="1"/>
  <c r="O46" i="17"/>
  <c r="M576" i="17"/>
  <c r="P576" i="17" s="1"/>
  <c r="U644" i="17"/>
  <c r="O47" i="17"/>
  <c r="P189" i="17"/>
  <c r="U189" i="17"/>
  <c r="U306" i="17"/>
  <c r="U119" i="17"/>
  <c r="Q94" i="17"/>
  <c r="T94" i="17" s="1"/>
  <c r="M320" i="17"/>
  <c r="L157" i="17"/>
  <c r="O157" i="17" s="1"/>
  <c r="O188" i="17"/>
  <c r="P266" i="17"/>
  <c r="O96" i="17"/>
  <c r="L94" i="17"/>
  <c r="O94" i="17" s="1"/>
  <c r="P335" i="17"/>
  <c r="R392" i="17"/>
  <c r="U392" i="17" s="1"/>
  <c r="O415" i="17"/>
  <c r="P305" i="17"/>
  <c r="M513" i="17"/>
  <c r="P513" i="17" s="1"/>
  <c r="P601" i="17"/>
  <c r="P415" i="17"/>
  <c r="U619" i="17"/>
  <c r="P26" i="17"/>
  <c r="L534" i="17"/>
  <c r="O534" i="17" s="1"/>
  <c r="U760" i="17"/>
  <c r="P119" i="17"/>
  <c r="M117" i="17"/>
  <c r="P117" i="17" s="1"/>
  <c r="K231" i="17"/>
  <c r="I185" i="17"/>
  <c r="K185" i="17" s="1"/>
  <c r="L232" i="17"/>
  <c r="O243" i="17"/>
  <c r="M333" i="17"/>
  <c r="P333" i="17" s="1"/>
  <c r="O557" i="17"/>
  <c r="L555" i="17"/>
  <c r="O555" i="17" s="1"/>
  <c r="R599" i="17"/>
  <c r="U599" i="17" s="1"/>
  <c r="Q728" i="17"/>
  <c r="T728" i="17" s="1"/>
  <c r="T730" i="17"/>
  <c r="O44" i="17"/>
  <c r="Q20" i="17"/>
  <c r="T23" i="17"/>
  <c r="Q21" i="17"/>
  <c r="R94" i="17"/>
  <c r="U94" i="17" s="1"/>
  <c r="M44" i="17"/>
  <c r="R157" i="17"/>
  <c r="U157" i="17" s="1"/>
  <c r="S21" i="17"/>
  <c r="U21" i="17" s="1"/>
  <c r="P175" i="17"/>
  <c r="M173" i="17"/>
  <c r="P173" i="17" s="1"/>
  <c r="T159" i="17"/>
  <c r="Q157" i="17"/>
  <c r="T157" i="17" s="1"/>
  <c r="O495" i="17"/>
  <c r="K456" i="17"/>
  <c r="L599" i="17"/>
  <c r="O599" i="17" s="1"/>
  <c r="I71" i="17"/>
  <c r="K71" i="17" s="1"/>
  <c r="K83" i="17"/>
  <c r="M282" i="17"/>
  <c r="P284" i="17"/>
  <c r="P142" i="1"/>
  <c r="L20" i="17"/>
  <c r="O23" i="17"/>
  <c r="M59" i="17"/>
  <c r="P59" i="17" s="1"/>
  <c r="P358" i="17"/>
  <c r="K457" i="17"/>
  <c r="U730" i="17"/>
  <c r="R728" i="17"/>
  <c r="U728" i="17" s="1"/>
  <c r="P23" i="17"/>
  <c r="M20" i="17"/>
  <c r="O335" i="17"/>
  <c r="L333" i="17"/>
  <c r="O333" i="17" s="1"/>
  <c r="U189" i="1"/>
  <c r="R20" i="17"/>
  <c r="U23" i="17"/>
  <c r="L21" i="17"/>
  <c r="O141" i="17"/>
  <c r="L139" i="17"/>
  <c r="O139" i="17" s="1"/>
  <c r="M21" i="17"/>
  <c r="O358" i="17"/>
  <c r="T119" i="17"/>
  <c r="Q117" i="17"/>
  <c r="T117" i="17" s="1"/>
  <c r="O26" i="17"/>
  <c r="R375" i="17"/>
  <c r="U375" i="17" s="1"/>
  <c r="R24" i="17"/>
  <c r="U24" i="17" s="1"/>
  <c r="M72" i="17"/>
  <c r="P72" i="17" s="1"/>
  <c r="L413" i="17"/>
  <c r="O413" i="17" s="1"/>
  <c r="U731" i="17"/>
  <c r="R413" i="17"/>
  <c r="U413" i="17" s="1"/>
  <c r="K82" i="17"/>
  <c r="I70" i="17"/>
  <c r="K70" i="17" s="1"/>
  <c r="Q24" i="17"/>
  <c r="T24" i="17" s="1"/>
  <c r="T26" i="17"/>
  <c r="L59" i="17"/>
  <c r="O59" i="17" s="1"/>
  <c r="O61" i="17"/>
  <c r="P96" i="17"/>
  <c r="M94" i="17"/>
  <c r="P94" i="17" s="1"/>
  <c r="P356" i="17"/>
  <c r="O175" i="17"/>
  <c r="N21" i="17"/>
  <c r="N20" i="17"/>
  <c r="N18" i="17" s="1"/>
  <c r="Q139" i="17"/>
  <c r="T139" i="17" s="1"/>
  <c r="L173" i="17"/>
  <c r="O173" i="17" s="1"/>
  <c r="U19" i="17"/>
  <c r="O356" i="17"/>
  <c r="L375" i="17"/>
  <c r="O375" i="17" s="1"/>
  <c r="Q493" i="17"/>
  <c r="T493" i="17" s="1"/>
  <c r="T495" i="17"/>
  <c r="O602" i="17"/>
  <c r="U141" i="17"/>
  <c r="R139" i="17"/>
  <c r="U139" i="17" s="1"/>
  <c r="T693" i="1"/>
  <c r="S333" i="1"/>
  <c r="P97" i="1"/>
  <c r="P322" i="1"/>
  <c r="J457" i="1"/>
  <c r="J456" i="1" s="1"/>
  <c r="K456" i="1" s="1"/>
  <c r="O359" i="1"/>
  <c r="O97" i="1"/>
  <c r="O192" i="1"/>
  <c r="S690" i="1"/>
  <c r="S599" i="1"/>
  <c r="K626" i="1"/>
  <c r="S513" i="1"/>
  <c r="M59" i="1"/>
  <c r="P358" i="1"/>
  <c r="N157" i="1"/>
  <c r="O495" i="1"/>
  <c r="O358" i="1"/>
  <c r="O415" i="1"/>
  <c r="S94" i="1"/>
  <c r="L493" i="1"/>
  <c r="S760" i="1"/>
  <c r="Q392" i="1"/>
  <c r="T392" i="1" s="1"/>
  <c r="T268" i="1"/>
  <c r="U120" i="1"/>
  <c r="J475" i="1"/>
  <c r="K475" i="1" s="1"/>
  <c r="M728" i="1"/>
  <c r="P728" i="1" s="1"/>
  <c r="N690" i="1"/>
  <c r="M375" i="1"/>
  <c r="K332" i="1"/>
  <c r="T692" i="1"/>
  <c r="N760" i="1"/>
  <c r="N356" i="1"/>
  <c r="U378" i="1"/>
  <c r="U644" i="1"/>
  <c r="N20" i="1"/>
  <c r="T120" i="1"/>
  <c r="S356" i="1"/>
  <c r="S642" i="1"/>
  <c r="T642" i="1" s="1"/>
  <c r="O65" i="1"/>
  <c r="O62" i="1"/>
  <c r="U75" i="1"/>
  <c r="S282" i="1"/>
  <c r="N392" i="1"/>
  <c r="N493" i="1"/>
  <c r="U188" i="1"/>
  <c r="L413" i="1"/>
  <c r="T495" i="1"/>
  <c r="L392" i="1"/>
  <c r="O392" i="1" s="1"/>
  <c r="S186" i="1"/>
  <c r="O26" i="1"/>
  <c r="N59" i="1"/>
  <c r="P160" i="1"/>
  <c r="T23" i="1"/>
  <c r="U416" i="1"/>
  <c r="R320" i="1"/>
  <c r="U320" i="1" s="1"/>
  <c r="L375" i="1"/>
  <c r="Q303" i="1"/>
  <c r="N320" i="1"/>
  <c r="P320" i="1" s="1"/>
  <c r="O322" i="1"/>
  <c r="P188" i="1"/>
  <c r="N139" i="1"/>
  <c r="S20" i="1"/>
  <c r="T643" i="1"/>
  <c r="O285" i="1"/>
  <c r="P268" i="1"/>
  <c r="T96" i="1"/>
  <c r="O61" i="1"/>
  <c r="N24" i="1"/>
  <c r="P415" i="1"/>
  <c r="N413" i="1"/>
  <c r="P496" i="1"/>
  <c r="T175" i="1"/>
  <c r="S157" i="1"/>
  <c r="O416" i="1"/>
  <c r="N513" i="1"/>
  <c r="O496" i="1"/>
  <c r="U97" i="1"/>
  <c r="R333" i="1"/>
  <c r="U333" i="1" s="1"/>
  <c r="S534" i="1"/>
  <c r="T188" i="1"/>
  <c r="T415" i="1"/>
  <c r="P359" i="1"/>
  <c r="S24" i="1"/>
  <c r="N173" i="1"/>
  <c r="M333" i="1"/>
  <c r="P333" i="1" s="1"/>
  <c r="U305" i="1"/>
  <c r="O377" i="1"/>
  <c r="O46" i="1"/>
  <c r="S303" i="1"/>
  <c r="R282" i="1"/>
  <c r="U282" i="1" s="1"/>
  <c r="K701" i="1"/>
  <c r="Q690" i="1"/>
  <c r="P495" i="1"/>
  <c r="S493" i="1"/>
  <c r="T305" i="1"/>
  <c r="T97" i="1"/>
  <c r="O188" i="1"/>
  <c r="N19" i="1"/>
  <c r="N186" i="1"/>
  <c r="M20" i="1"/>
  <c r="P284" i="1"/>
  <c r="P729" i="1"/>
  <c r="U495" i="1"/>
  <c r="U26" i="1"/>
  <c r="P378" i="1"/>
  <c r="S72" i="1"/>
  <c r="O284" i="1"/>
  <c r="O159" i="1"/>
  <c r="U762" i="1"/>
  <c r="U176" i="1"/>
  <c r="N282" i="1"/>
  <c r="N714" i="1"/>
  <c r="O214" i="1"/>
  <c r="U78" i="1"/>
  <c r="Q44" i="1"/>
  <c r="T44" i="1" s="1"/>
  <c r="U192" i="1"/>
  <c r="P65" i="1"/>
  <c r="L760" i="1"/>
  <c r="O760" i="1" s="1"/>
  <c r="M513" i="1"/>
  <c r="P513" i="1" s="1"/>
  <c r="P46" i="1"/>
  <c r="N728" i="1"/>
  <c r="U415" i="1"/>
  <c r="S576" i="1"/>
  <c r="M392" i="1"/>
  <c r="P392" i="1" s="1"/>
  <c r="N303" i="1"/>
  <c r="N117" i="1"/>
  <c r="N44" i="1"/>
  <c r="P44" i="1" s="1"/>
  <c r="O602" i="1"/>
  <c r="O232" i="1"/>
  <c r="T78" i="1"/>
  <c r="T731" i="1"/>
  <c r="U321" i="1"/>
  <c r="J458" i="1"/>
  <c r="S714" i="1"/>
  <c r="S392" i="1"/>
  <c r="L513" i="1"/>
  <c r="O513" i="1" s="1"/>
  <c r="Q19" i="1"/>
  <c r="T19" i="1" s="1"/>
  <c r="U496" i="1"/>
  <c r="Q413" i="1"/>
  <c r="O579" i="1"/>
  <c r="O336" i="1"/>
  <c r="R157" i="1"/>
  <c r="U157" i="1" s="1"/>
  <c r="R303" i="1"/>
  <c r="M599" i="1"/>
  <c r="P599" i="1" s="1"/>
  <c r="P602" i="1"/>
  <c r="P62" i="1"/>
  <c r="O203" i="1"/>
  <c r="T378" i="1"/>
  <c r="P26" i="1"/>
  <c r="T22" i="1"/>
  <c r="R72" i="1"/>
  <c r="P600" i="1"/>
  <c r="O305" i="1"/>
  <c r="O268" i="1"/>
  <c r="O142" i="1"/>
  <c r="U693" i="1"/>
  <c r="R599" i="1"/>
  <c r="U599" i="1" s="1"/>
  <c r="T645" i="1"/>
  <c r="O222" i="1"/>
  <c r="P75" i="1"/>
  <c r="R139" i="1"/>
  <c r="U139" i="1" s="1"/>
  <c r="N266" i="1"/>
  <c r="S173" i="1"/>
  <c r="T75" i="1"/>
  <c r="O141" i="1"/>
  <c r="O283" i="1"/>
  <c r="L282" i="1"/>
  <c r="R760" i="1"/>
  <c r="Q760" i="1"/>
  <c r="M94" i="1"/>
  <c r="P94" i="1" s="1"/>
  <c r="M303" i="1"/>
  <c r="O176" i="1"/>
  <c r="P416" i="1"/>
  <c r="L714" i="1"/>
  <c r="O714" i="1" s="1"/>
  <c r="T496" i="1"/>
  <c r="U692" i="1"/>
  <c r="U46" i="1"/>
  <c r="R44" i="1"/>
  <c r="U44" i="1" s="1"/>
  <c r="O160" i="1"/>
  <c r="Q266" i="1"/>
  <c r="T267" i="1"/>
  <c r="Q714" i="1"/>
  <c r="T714" i="1" s="1"/>
  <c r="T715" i="1"/>
  <c r="L690" i="1"/>
  <c r="O690" i="1" s="1"/>
  <c r="U74" i="1"/>
  <c r="T74" i="1"/>
  <c r="O75" i="1"/>
  <c r="Q320" i="1"/>
  <c r="T320" i="1" s="1"/>
  <c r="T321" i="1"/>
  <c r="M117" i="1"/>
  <c r="P117" i="1" s="1"/>
  <c r="P118" i="1"/>
  <c r="M714" i="1"/>
  <c r="P714" i="1" s="1"/>
  <c r="U306" i="1"/>
  <c r="U334" i="1"/>
  <c r="T176" i="1"/>
  <c r="L728" i="1"/>
  <c r="O728" i="1" s="1"/>
  <c r="O729" i="1"/>
  <c r="U376" i="1"/>
  <c r="R375" i="1"/>
  <c r="R728" i="1"/>
  <c r="U728" i="1" s="1"/>
  <c r="U729" i="1"/>
  <c r="T618" i="1"/>
  <c r="Q24" i="1"/>
  <c r="R690" i="1"/>
  <c r="U691" i="1"/>
  <c r="O118" i="1"/>
  <c r="L117" i="1"/>
  <c r="O117" i="1" s="1"/>
  <c r="U60" i="1"/>
  <c r="R59" i="1"/>
  <c r="U59" i="1" s="1"/>
  <c r="S413" i="1"/>
  <c r="U413" i="1" s="1"/>
  <c r="U716" i="1"/>
  <c r="R714" i="1"/>
  <c r="U714" i="1" s="1"/>
  <c r="U514" i="1"/>
  <c r="R513" i="1"/>
  <c r="U513" i="1" s="1"/>
  <c r="P414" i="1"/>
  <c r="M413" i="1"/>
  <c r="O73" i="1"/>
  <c r="L72" i="1"/>
  <c r="O72" i="1" s="1"/>
  <c r="U118" i="1"/>
  <c r="R117" i="1"/>
  <c r="U117" i="1" s="1"/>
  <c r="U645" i="1"/>
  <c r="L333" i="1"/>
  <c r="O333" i="1" s="1"/>
  <c r="O323" i="1"/>
  <c r="M534" i="1"/>
  <c r="P534" i="1" s="1"/>
  <c r="P535" i="1"/>
  <c r="U95" i="1"/>
  <c r="R94" i="1"/>
  <c r="S616" i="1"/>
  <c r="N375" i="1"/>
  <c r="Q94" i="1"/>
  <c r="Q21" i="1"/>
  <c r="U763" i="1"/>
  <c r="T762" i="1"/>
  <c r="R576" i="1"/>
  <c r="U576" i="1" s="1"/>
  <c r="U268" i="1"/>
  <c r="K440" i="1"/>
  <c r="S266" i="1"/>
  <c r="P323" i="1"/>
  <c r="R493" i="1"/>
  <c r="L157" i="1"/>
  <c r="P305" i="1"/>
  <c r="Q20" i="1"/>
  <c r="Q333" i="1"/>
  <c r="T333" i="1" s="1"/>
  <c r="P283" i="1"/>
  <c r="M282" i="1"/>
  <c r="T729" i="1"/>
  <c r="Q728" i="1"/>
  <c r="T728" i="1" s="1"/>
  <c r="U393" i="1"/>
  <c r="R392" i="1"/>
  <c r="U392" i="1" s="1"/>
  <c r="O95" i="1"/>
  <c r="L94" i="1"/>
  <c r="O94" i="1" s="1"/>
  <c r="T416" i="1"/>
  <c r="T763" i="1"/>
  <c r="L534" i="1"/>
  <c r="O534" i="1" s="1"/>
  <c r="P336" i="1"/>
  <c r="P285" i="1"/>
  <c r="P377" i="1"/>
  <c r="O189" i="1"/>
  <c r="P141" i="1"/>
  <c r="M760" i="1"/>
  <c r="P760" i="1" s="1"/>
  <c r="T26" i="1"/>
  <c r="T192" i="1"/>
  <c r="M72" i="1"/>
  <c r="P72" i="1" s="1"/>
  <c r="P74" i="1"/>
  <c r="R356" i="1"/>
  <c r="U356" i="1" s="1"/>
  <c r="U357" i="1"/>
  <c r="Q599" i="1"/>
  <c r="T599" i="1" s="1"/>
  <c r="T600" i="1"/>
  <c r="P577" i="1"/>
  <c r="M576" i="1"/>
  <c r="P576" i="1" s="1"/>
  <c r="P25" i="1"/>
  <c r="M24" i="1"/>
  <c r="T556" i="1"/>
  <c r="Q555" i="1"/>
  <c r="T555" i="1" s="1"/>
  <c r="L24" i="1"/>
  <c r="O25" i="1"/>
  <c r="O306" i="1"/>
  <c r="O23" i="1"/>
  <c r="L20" i="1"/>
  <c r="P23" i="1"/>
  <c r="M139" i="1"/>
  <c r="P140" i="1"/>
  <c r="Q72" i="1"/>
  <c r="T73" i="1"/>
  <c r="L599" i="1"/>
  <c r="O599" i="1" s="1"/>
  <c r="K82" i="1"/>
  <c r="I70" i="1"/>
  <c r="K70" i="1" s="1"/>
  <c r="M555" i="1"/>
  <c r="P555" i="1" s="1"/>
  <c r="P557" i="1"/>
  <c r="O643" i="1"/>
  <c r="L642" i="1"/>
  <c r="O642" i="1" s="1"/>
  <c r="M616" i="1"/>
  <c r="P616" i="1" s="1"/>
  <c r="U556" i="1"/>
  <c r="R555" i="1"/>
  <c r="U555" i="1" s="1"/>
  <c r="L356" i="1"/>
  <c r="O357" i="1"/>
  <c r="M186" i="1"/>
  <c r="P187" i="1"/>
  <c r="S19" i="1"/>
  <c r="S21" i="1"/>
  <c r="M266" i="1"/>
  <c r="T187" i="1"/>
  <c r="Q186" i="1"/>
  <c r="U142" i="1"/>
  <c r="U269" i="1"/>
  <c r="N21" i="1"/>
  <c r="O618" i="1"/>
  <c r="L616" i="1"/>
  <c r="O616" i="1" s="1"/>
  <c r="U377" i="1"/>
  <c r="S375" i="1"/>
  <c r="U618" i="1"/>
  <c r="R616" i="1"/>
  <c r="Q534" i="1"/>
  <c r="T534" i="1" s="1"/>
  <c r="T536" i="1"/>
  <c r="P159" i="1"/>
  <c r="M157" i="1"/>
  <c r="T494" i="1"/>
  <c r="Q493" i="1"/>
  <c r="O267" i="1"/>
  <c r="L266" i="1"/>
  <c r="L19" i="1"/>
  <c r="O22" i="1"/>
  <c r="L21" i="1"/>
  <c r="Q59" i="1"/>
  <c r="T59" i="1" s="1"/>
  <c r="T60" i="1"/>
  <c r="Q173" i="1"/>
  <c r="T174" i="1"/>
  <c r="O304" i="1"/>
  <c r="L303" i="1"/>
  <c r="Q117" i="1"/>
  <c r="T117" i="1" s="1"/>
  <c r="T118" i="1"/>
  <c r="T158" i="1"/>
  <c r="Q157" i="1"/>
  <c r="T157" i="1" s="1"/>
  <c r="U643" i="1"/>
  <c r="R642" i="1"/>
  <c r="Q616" i="1"/>
  <c r="T617" i="1"/>
  <c r="P579" i="1"/>
  <c r="K423" i="1"/>
  <c r="P494" i="1"/>
  <c r="M493" i="1"/>
  <c r="T306" i="1"/>
  <c r="M19" i="1"/>
  <c r="P22" i="1"/>
  <c r="M21" i="1"/>
  <c r="O269" i="1"/>
  <c r="O187" i="1"/>
  <c r="L186" i="1"/>
  <c r="O140" i="1"/>
  <c r="L139" i="1"/>
  <c r="R186" i="1"/>
  <c r="Q282" i="1"/>
  <c r="T282" i="1" s="1"/>
  <c r="P176" i="1"/>
  <c r="U267" i="1"/>
  <c r="R266" i="1"/>
  <c r="R19" i="1"/>
  <c r="U22" i="1"/>
  <c r="R21" i="1"/>
  <c r="O175" i="1"/>
  <c r="P175" i="1"/>
  <c r="T140" i="1"/>
  <c r="Q139" i="1"/>
  <c r="T139" i="1" s="1"/>
  <c r="Q513" i="1"/>
  <c r="T513" i="1" s="1"/>
  <c r="T514" i="1"/>
  <c r="O174" i="1"/>
  <c r="L173" i="1"/>
  <c r="P691" i="1"/>
  <c r="M690" i="1"/>
  <c r="P690" i="1" s="1"/>
  <c r="O577" i="1"/>
  <c r="L576" i="1"/>
  <c r="O576" i="1" s="1"/>
  <c r="Q375" i="1"/>
  <c r="T376" i="1"/>
  <c r="T577" i="1"/>
  <c r="Q576" i="1"/>
  <c r="T576" i="1" s="1"/>
  <c r="P357" i="1"/>
  <c r="M356" i="1"/>
  <c r="T377" i="1"/>
  <c r="O326" i="1"/>
  <c r="U23" i="1"/>
  <c r="R20" i="1"/>
  <c r="O556" i="1"/>
  <c r="L555" i="1"/>
  <c r="O555" i="1" s="1"/>
  <c r="M642" i="1"/>
  <c r="P642" i="1" s="1"/>
  <c r="P643" i="1"/>
  <c r="R534" i="1"/>
  <c r="U534" i="1" s="1"/>
  <c r="O321" i="1"/>
  <c r="L320" i="1"/>
  <c r="P269" i="1"/>
  <c r="P326" i="1"/>
  <c r="U174" i="1"/>
  <c r="R173" i="1"/>
  <c r="T142" i="1"/>
  <c r="R24" i="1"/>
  <c r="U25" i="1"/>
  <c r="K83" i="1"/>
  <c r="I71" i="1"/>
  <c r="K71" i="1" s="1"/>
  <c r="T357" i="1"/>
  <c r="Q356" i="1"/>
  <c r="T356" i="1" s="1"/>
  <c r="P174" i="1"/>
  <c r="M173" i="1"/>
  <c r="T266" i="35" l="1"/>
  <c r="T690" i="34"/>
  <c r="P21" i="35"/>
  <c r="P20" i="35"/>
  <c r="U20" i="37"/>
  <c r="T642" i="32"/>
  <c r="U20" i="34"/>
  <c r="I185" i="36"/>
  <c r="K185" i="36" s="1"/>
  <c r="R18" i="37"/>
  <c r="U18" i="37" s="1"/>
  <c r="O599" i="37"/>
  <c r="P186" i="37"/>
  <c r="T21" i="37"/>
  <c r="O186" i="37"/>
  <c r="P21" i="37"/>
  <c r="P20" i="37"/>
  <c r="M18" i="37"/>
  <c r="P18" i="37" s="1"/>
  <c r="U690" i="32"/>
  <c r="P576" i="36"/>
  <c r="T20" i="37"/>
  <c r="Q18" i="37"/>
  <c r="T18" i="37" s="1"/>
  <c r="O20" i="37"/>
  <c r="L18" i="37"/>
  <c r="O18" i="37" s="1"/>
  <c r="M40" i="37"/>
  <c r="P40" i="37" s="1"/>
  <c r="P44" i="37"/>
  <c r="L40" i="37"/>
  <c r="O40" i="37" s="1"/>
  <c r="U20" i="36"/>
  <c r="P186" i="35"/>
  <c r="U18" i="36"/>
  <c r="M40" i="36"/>
  <c r="Q18" i="36"/>
  <c r="T18" i="36" s="1"/>
  <c r="T20" i="36"/>
  <c r="O72" i="33"/>
  <c r="L40" i="36"/>
  <c r="O44" i="36"/>
  <c r="T72" i="36"/>
  <c r="P59" i="35"/>
  <c r="O20" i="36"/>
  <c r="L18" i="36"/>
  <c r="O18" i="36" s="1"/>
  <c r="P72" i="36"/>
  <c r="O157" i="36"/>
  <c r="N40" i="36"/>
  <c r="P40" i="36" s="1"/>
  <c r="U413" i="33"/>
  <c r="T20" i="34"/>
  <c r="P20" i="36"/>
  <c r="M18" i="36"/>
  <c r="P18" i="36" s="1"/>
  <c r="N40" i="35"/>
  <c r="P18" i="34"/>
  <c r="Q18" i="34"/>
  <c r="T18" i="34" s="1"/>
  <c r="M18" i="35"/>
  <c r="P18" i="35" s="1"/>
  <c r="T20" i="33"/>
  <c r="L40" i="35"/>
  <c r="M40" i="35"/>
  <c r="P40" i="35" s="1"/>
  <c r="P44" i="35"/>
  <c r="T18" i="35"/>
  <c r="K231" i="35"/>
  <c r="I185" i="35"/>
  <c r="K185" i="35" s="1"/>
  <c r="P21" i="34"/>
  <c r="O20" i="35"/>
  <c r="L18" i="35"/>
  <c r="O18" i="35" s="1"/>
  <c r="R18" i="34"/>
  <c r="U18" i="34" s="1"/>
  <c r="O59" i="34"/>
  <c r="U20" i="35"/>
  <c r="R18" i="35"/>
  <c r="U18" i="35" s="1"/>
  <c r="T642" i="35"/>
  <c r="T20" i="35"/>
  <c r="O21" i="35"/>
  <c r="U303" i="32"/>
  <c r="U186" i="33"/>
  <c r="U117" i="34"/>
  <c r="P20" i="34"/>
  <c r="T20" i="32"/>
  <c r="U21" i="34"/>
  <c r="U642" i="31"/>
  <c r="I185" i="33"/>
  <c r="K185" i="33" s="1"/>
  <c r="N40" i="34"/>
  <c r="T20" i="25"/>
  <c r="O266" i="34"/>
  <c r="U21" i="33"/>
  <c r="P44" i="34"/>
  <c r="O20" i="31"/>
  <c r="M40" i="34"/>
  <c r="O20" i="34"/>
  <c r="L18" i="34"/>
  <c r="O18" i="34" s="1"/>
  <c r="O21" i="34"/>
  <c r="L40" i="34"/>
  <c r="O44" i="34"/>
  <c r="T139" i="34"/>
  <c r="T21" i="33"/>
  <c r="T21" i="34"/>
  <c r="P18" i="32"/>
  <c r="P20" i="32"/>
  <c r="L40" i="33"/>
  <c r="P72" i="32"/>
  <c r="P20" i="31"/>
  <c r="U20" i="33"/>
  <c r="R18" i="33"/>
  <c r="U18" i="33" s="1"/>
  <c r="U266" i="32"/>
  <c r="Q18" i="33"/>
  <c r="T18" i="33" s="1"/>
  <c r="N40" i="33"/>
  <c r="T266" i="30"/>
  <c r="P59" i="30"/>
  <c r="P18" i="33"/>
  <c r="P20" i="33"/>
  <c r="P173" i="33"/>
  <c r="O173" i="33"/>
  <c r="O20" i="33"/>
  <c r="L18" i="33"/>
  <c r="O18" i="33" s="1"/>
  <c r="O375" i="32"/>
  <c r="O21" i="33"/>
  <c r="M40" i="33"/>
  <c r="P44" i="33"/>
  <c r="O44" i="33"/>
  <c r="O333" i="30"/>
  <c r="T21" i="32"/>
  <c r="O333" i="32"/>
  <c r="Q18" i="32"/>
  <c r="T18" i="32" s="1"/>
  <c r="O20" i="32"/>
  <c r="L18" i="32"/>
  <c r="O18" i="32" s="1"/>
  <c r="K231" i="32"/>
  <c r="I185" i="32"/>
  <c r="K185" i="32" s="1"/>
  <c r="U72" i="32"/>
  <c r="T72" i="32"/>
  <c r="M40" i="32"/>
  <c r="P44" i="32"/>
  <c r="O21" i="32"/>
  <c r="L40" i="32"/>
  <c r="O44" i="32"/>
  <c r="N40" i="31"/>
  <c r="O303" i="32"/>
  <c r="U20" i="32"/>
  <c r="R18" i="32"/>
  <c r="U18" i="32" s="1"/>
  <c r="N40" i="32"/>
  <c r="T20" i="31"/>
  <c r="P157" i="31"/>
  <c r="O157" i="31"/>
  <c r="M18" i="31"/>
  <c r="P18" i="31" s="1"/>
  <c r="P21" i="31"/>
  <c r="U20" i="31"/>
  <c r="T20" i="30"/>
  <c r="R18" i="31"/>
  <c r="U18" i="31" s="1"/>
  <c r="T18" i="31"/>
  <c r="P20" i="30"/>
  <c r="M40" i="31"/>
  <c r="P44" i="31"/>
  <c r="O157" i="28"/>
  <c r="O21" i="31"/>
  <c r="L18" i="31"/>
  <c r="O18" i="31" s="1"/>
  <c r="L40" i="31"/>
  <c r="I185" i="31"/>
  <c r="K185" i="31" s="1"/>
  <c r="K231" i="31"/>
  <c r="P59" i="29"/>
  <c r="M18" i="30"/>
  <c r="P18" i="30" s="1"/>
  <c r="T139" i="29"/>
  <c r="O21" i="30"/>
  <c r="L40" i="30"/>
  <c r="U20" i="30"/>
  <c r="R18" i="30"/>
  <c r="U18" i="30" s="1"/>
  <c r="O20" i="30"/>
  <c r="L18" i="30"/>
  <c r="O18" i="30" s="1"/>
  <c r="N40" i="30"/>
  <c r="O303" i="30"/>
  <c r="U21" i="28"/>
  <c r="K231" i="30"/>
  <c r="I185" i="30"/>
  <c r="K185" i="30" s="1"/>
  <c r="Q18" i="30"/>
  <c r="T18" i="30" s="1"/>
  <c r="M40" i="30"/>
  <c r="P44" i="30"/>
  <c r="O20" i="29"/>
  <c r="O21" i="26"/>
  <c r="P186" i="29"/>
  <c r="O21" i="29"/>
  <c r="U642" i="28"/>
  <c r="P20" i="29"/>
  <c r="U20" i="29"/>
  <c r="M18" i="29"/>
  <c r="P18" i="29" s="1"/>
  <c r="U20" i="26"/>
  <c r="N40" i="29"/>
  <c r="U139" i="29"/>
  <c r="T20" i="29"/>
  <c r="Q18" i="29"/>
  <c r="T18" i="29" s="1"/>
  <c r="K231" i="24"/>
  <c r="P173" i="27"/>
  <c r="P266" i="28"/>
  <c r="K231" i="29"/>
  <c r="I185" i="29"/>
  <c r="K185" i="29" s="1"/>
  <c r="N40" i="28"/>
  <c r="L18" i="29"/>
  <c r="O18" i="29" s="1"/>
  <c r="M40" i="29"/>
  <c r="P44" i="29"/>
  <c r="L40" i="29"/>
  <c r="T21" i="29"/>
  <c r="R18" i="29"/>
  <c r="U18" i="29" s="1"/>
  <c r="U21" i="29"/>
  <c r="U21" i="25"/>
  <c r="P72" i="28"/>
  <c r="N40" i="27"/>
  <c r="U72" i="28"/>
  <c r="T72" i="28"/>
  <c r="U18" i="28"/>
  <c r="U20" i="28"/>
  <c r="O173" i="26"/>
  <c r="U117" i="27"/>
  <c r="T21" i="28"/>
  <c r="M40" i="28"/>
  <c r="P44" i="28"/>
  <c r="L40" i="28"/>
  <c r="O44" i="28"/>
  <c r="P20" i="28"/>
  <c r="O20" i="28"/>
  <c r="L18" i="28"/>
  <c r="O18" i="28" s="1"/>
  <c r="Q18" i="28"/>
  <c r="T18" i="28" s="1"/>
  <c r="T20" i="28"/>
  <c r="P18" i="28"/>
  <c r="T21" i="21"/>
  <c r="P139" i="27"/>
  <c r="U21" i="27"/>
  <c r="P59" i="24"/>
  <c r="U20" i="19"/>
  <c r="T20" i="27"/>
  <c r="O21" i="27"/>
  <c r="T20" i="24"/>
  <c r="L40" i="27"/>
  <c r="P20" i="27"/>
  <c r="T139" i="27"/>
  <c r="M18" i="27"/>
  <c r="P18" i="27" s="1"/>
  <c r="M40" i="27"/>
  <c r="P40" i="27" s="1"/>
  <c r="P44" i="27"/>
  <c r="P21" i="27"/>
  <c r="T21" i="27"/>
  <c r="Q18" i="27"/>
  <c r="T18" i="27" s="1"/>
  <c r="N40" i="25"/>
  <c r="O157" i="26"/>
  <c r="P599" i="27"/>
  <c r="K231" i="27"/>
  <c r="I185" i="27"/>
  <c r="K185" i="27" s="1"/>
  <c r="U20" i="27"/>
  <c r="R18" i="27"/>
  <c r="U18" i="27" s="1"/>
  <c r="O20" i="27"/>
  <c r="L18" i="27"/>
  <c r="O18" i="27" s="1"/>
  <c r="P20" i="26"/>
  <c r="P173" i="25"/>
  <c r="O356" i="25"/>
  <c r="N40" i="26"/>
  <c r="O20" i="26"/>
  <c r="L18" i="26"/>
  <c r="O18" i="26" s="1"/>
  <c r="P20" i="24"/>
  <c r="T21" i="26"/>
  <c r="P356" i="25"/>
  <c r="O413" i="25"/>
  <c r="M18" i="26"/>
  <c r="P18" i="26" s="1"/>
  <c r="R18" i="26"/>
  <c r="U18" i="26" s="1"/>
  <c r="I185" i="19"/>
  <c r="K185" i="19" s="1"/>
  <c r="U21" i="26"/>
  <c r="T20" i="26"/>
  <c r="Q18" i="26"/>
  <c r="T18" i="26" s="1"/>
  <c r="M40" i="26"/>
  <c r="P44" i="26"/>
  <c r="O94" i="26"/>
  <c r="L40" i="26"/>
  <c r="P18" i="22"/>
  <c r="P72" i="21"/>
  <c r="P59" i="21"/>
  <c r="O59" i="24"/>
  <c r="O21" i="25"/>
  <c r="P18" i="25"/>
  <c r="T690" i="21"/>
  <c r="T21" i="25"/>
  <c r="O20" i="24"/>
  <c r="Q18" i="25"/>
  <c r="T18" i="25" s="1"/>
  <c r="P21" i="25"/>
  <c r="P20" i="25"/>
  <c r="O21" i="23"/>
  <c r="O20" i="25"/>
  <c r="L18" i="25"/>
  <c r="O18" i="25" s="1"/>
  <c r="O18" i="24"/>
  <c r="U20" i="24"/>
  <c r="M40" i="25"/>
  <c r="P44" i="25"/>
  <c r="U20" i="25"/>
  <c r="R18" i="25"/>
  <c r="U18" i="25" s="1"/>
  <c r="L40" i="25"/>
  <c r="T18" i="23"/>
  <c r="R18" i="24"/>
  <c r="U18" i="24" s="1"/>
  <c r="T21" i="19"/>
  <c r="T21" i="24"/>
  <c r="O333" i="22"/>
  <c r="P186" i="21"/>
  <c r="L40" i="24"/>
  <c r="O40" i="24" s="1"/>
  <c r="T18" i="24"/>
  <c r="U21" i="24"/>
  <c r="T20" i="21"/>
  <c r="U20" i="23"/>
  <c r="M40" i="24"/>
  <c r="P40" i="24" s="1"/>
  <c r="P44" i="24"/>
  <c r="M18" i="24"/>
  <c r="P18" i="24" s="1"/>
  <c r="O21" i="24"/>
  <c r="N40" i="22"/>
  <c r="O333" i="21"/>
  <c r="O20" i="23"/>
  <c r="L18" i="23"/>
  <c r="O18" i="23" s="1"/>
  <c r="N40" i="21"/>
  <c r="L40" i="22"/>
  <c r="R18" i="23"/>
  <c r="U18" i="23" s="1"/>
  <c r="T20" i="23"/>
  <c r="T303" i="21"/>
  <c r="P20" i="23"/>
  <c r="M18" i="23"/>
  <c r="P18" i="23" s="1"/>
  <c r="O576" i="22"/>
  <c r="M40" i="23"/>
  <c r="P40" i="23" s="1"/>
  <c r="P44" i="23"/>
  <c r="L40" i="23"/>
  <c r="O40" i="23" s="1"/>
  <c r="O44" i="23"/>
  <c r="U616" i="22"/>
  <c r="P20" i="22"/>
  <c r="P413" i="20"/>
  <c r="O20" i="22"/>
  <c r="L18" i="22"/>
  <c r="O18" i="22" s="1"/>
  <c r="M40" i="22"/>
  <c r="P44" i="22"/>
  <c r="O266" i="22"/>
  <c r="T18" i="21"/>
  <c r="I185" i="22"/>
  <c r="K185" i="22" s="1"/>
  <c r="K231" i="22"/>
  <c r="U20" i="22"/>
  <c r="R18" i="22"/>
  <c r="U18" i="22" s="1"/>
  <c r="T20" i="22"/>
  <c r="P59" i="18"/>
  <c r="Q18" i="22"/>
  <c r="T18" i="22" s="1"/>
  <c r="P266" i="22"/>
  <c r="R18" i="19"/>
  <c r="U18" i="19" s="1"/>
  <c r="P20" i="21"/>
  <c r="L40" i="21"/>
  <c r="M40" i="21"/>
  <c r="P44" i="21"/>
  <c r="O20" i="21"/>
  <c r="L18" i="21"/>
  <c r="O18" i="21" s="1"/>
  <c r="P375" i="20"/>
  <c r="K231" i="21"/>
  <c r="I185" i="21"/>
  <c r="K185" i="21" s="1"/>
  <c r="U20" i="21"/>
  <c r="R18" i="21"/>
  <c r="U18" i="21" s="1"/>
  <c r="O21" i="21"/>
  <c r="U413" i="19"/>
  <c r="I185" i="18"/>
  <c r="K185" i="18" s="1"/>
  <c r="O21" i="20"/>
  <c r="L40" i="20"/>
  <c r="O40" i="20" s="1"/>
  <c r="O44" i="20"/>
  <c r="U20" i="17"/>
  <c r="U139" i="19"/>
  <c r="U20" i="20"/>
  <c r="Q18" i="20"/>
  <c r="T18" i="20" s="1"/>
  <c r="T20" i="20"/>
  <c r="O20" i="20"/>
  <c r="L18" i="20"/>
  <c r="O18" i="20" s="1"/>
  <c r="M40" i="20"/>
  <c r="P40" i="20" s="1"/>
  <c r="K231" i="20"/>
  <c r="I185" i="20"/>
  <c r="K185" i="20" s="1"/>
  <c r="P20" i="20"/>
  <c r="M18" i="20"/>
  <c r="P18" i="20" s="1"/>
  <c r="P320" i="17"/>
  <c r="U18" i="20"/>
  <c r="T728" i="19"/>
  <c r="U21" i="19"/>
  <c r="T616" i="19"/>
  <c r="O333" i="18"/>
  <c r="L40" i="19"/>
  <c r="O40" i="19" s="1"/>
  <c r="O44" i="19"/>
  <c r="O186" i="17"/>
  <c r="M40" i="19"/>
  <c r="P40" i="19" s="1"/>
  <c r="P44" i="19"/>
  <c r="T20" i="19"/>
  <c r="Q18" i="19"/>
  <c r="T18" i="19" s="1"/>
  <c r="O20" i="19"/>
  <c r="L18" i="19"/>
  <c r="O18" i="19" s="1"/>
  <c r="P20" i="19"/>
  <c r="M18" i="19"/>
  <c r="P18" i="19" s="1"/>
  <c r="N40" i="17"/>
  <c r="U20" i="18"/>
  <c r="T20" i="18"/>
  <c r="P21" i="18"/>
  <c r="O186" i="18"/>
  <c r="O20" i="18"/>
  <c r="P282" i="17"/>
  <c r="P18" i="18"/>
  <c r="P20" i="18"/>
  <c r="Q18" i="18"/>
  <c r="T18" i="18" s="1"/>
  <c r="T728" i="18"/>
  <c r="U728" i="18"/>
  <c r="L18" i="18"/>
  <c r="O18" i="18" s="1"/>
  <c r="R18" i="17"/>
  <c r="U18" i="17" s="1"/>
  <c r="L40" i="18"/>
  <c r="N40" i="18"/>
  <c r="R18" i="18"/>
  <c r="U18" i="18" s="1"/>
  <c r="M40" i="18"/>
  <c r="P44" i="18"/>
  <c r="T94" i="1"/>
  <c r="P21" i="17"/>
  <c r="O21" i="17"/>
  <c r="O20" i="17"/>
  <c r="L18" i="17"/>
  <c r="O18" i="17" s="1"/>
  <c r="T21" i="17"/>
  <c r="T20" i="17"/>
  <c r="Q18" i="17"/>
  <c r="T18" i="17" s="1"/>
  <c r="P20" i="17"/>
  <c r="M18" i="17"/>
  <c r="P18" i="17" s="1"/>
  <c r="M40" i="17"/>
  <c r="P44" i="17"/>
  <c r="L40" i="17"/>
  <c r="K457" i="1"/>
  <c r="U690" i="1"/>
  <c r="O493" i="1"/>
  <c r="T690" i="1"/>
  <c r="U760" i="1"/>
  <c r="P59" i="1"/>
  <c r="U94" i="1"/>
  <c r="U642" i="1"/>
  <c r="P282" i="1"/>
  <c r="P157" i="1"/>
  <c r="O44" i="1"/>
  <c r="O157" i="1"/>
  <c r="O59" i="1"/>
  <c r="P20" i="1"/>
  <c r="S18" i="1"/>
  <c r="O24" i="1"/>
  <c r="P493" i="1"/>
  <c r="O20" i="1"/>
  <c r="N18" i="1"/>
  <c r="U20" i="1"/>
  <c r="O375" i="1"/>
  <c r="T303" i="1"/>
  <c r="O413" i="1"/>
  <c r="U303" i="1"/>
  <c r="U186" i="1"/>
  <c r="T760" i="1"/>
  <c r="U493" i="1"/>
  <c r="O282" i="1"/>
  <c r="P356" i="1"/>
  <c r="U173" i="1"/>
  <c r="O356" i="1"/>
  <c r="T72" i="1"/>
  <c r="T24" i="1"/>
  <c r="U24" i="1"/>
  <c r="O266" i="1"/>
  <c r="P139" i="1"/>
  <c r="O320" i="1"/>
  <c r="P413" i="1"/>
  <c r="O139" i="1"/>
  <c r="P186" i="1"/>
  <c r="O173" i="1"/>
  <c r="O186" i="1"/>
  <c r="T20" i="1"/>
  <c r="P303" i="1"/>
  <c r="T186" i="1"/>
  <c r="P173" i="1"/>
  <c r="T493" i="1"/>
  <c r="P24" i="1"/>
  <c r="T413" i="1"/>
  <c r="U72" i="1"/>
  <c r="P266" i="1"/>
  <c r="T173" i="1"/>
  <c r="O303" i="1"/>
  <c r="T616" i="1"/>
  <c r="T266" i="1"/>
  <c r="U616" i="1"/>
  <c r="U266" i="1"/>
  <c r="Q18" i="1"/>
  <c r="U21" i="1"/>
  <c r="P375" i="1"/>
  <c r="T21" i="1"/>
  <c r="U375" i="1"/>
  <c r="P21" i="1"/>
  <c r="O19" i="1"/>
  <c r="L18" i="1"/>
  <c r="U19" i="1"/>
  <c r="R18" i="1"/>
  <c r="O21" i="1"/>
  <c r="T375" i="1"/>
  <c r="P19" i="1"/>
  <c r="M18" i="1"/>
  <c r="P40" i="34" l="1"/>
  <c r="P40" i="28"/>
  <c r="O40" i="36"/>
  <c r="O40" i="35"/>
  <c r="O40" i="34"/>
  <c r="O40" i="33"/>
  <c r="P40" i="33"/>
  <c r="P40" i="30"/>
  <c r="P40" i="31"/>
  <c r="O40" i="32"/>
  <c r="O40" i="31"/>
  <c r="P40" i="32"/>
  <c r="O40" i="21"/>
  <c r="P40" i="29"/>
  <c r="O40" i="27"/>
  <c r="O40" i="30"/>
  <c r="O40" i="29"/>
  <c r="O40" i="28"/>
  <c r="O40" i="25"/>
  <c r="P40" i="25"/>
  <c r="O40" i="26"/>
  <c r="P40" i="26"/>
  <c r="O40" i="22"/>
  <c r="P40" i="22"/>
  <c r="P40" i="21"/>
  <c r="P40" i="18"/>
  <c r="P40" i="17"/>
  <c r="O40" i="17"/>
  <c r="O40" i="18"/>
  <c r="O18" i="1"/>
  <c r="P18" i="1"/>
  <c r="U18" i="1"/>
  <c r="T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8" authorId="0" shapeId="0" xr:uid="{00000000-0006-0000-0000-000001000000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705" authorId="0" shapeId="0" xr:uid="{00000000-0006-0000-0000-000001000000}">
      <text>
        <r>
          <rPr>
            <sz val="10"/>
            <color rgb="FF000000"/>
            <rFont val="Arial"/>
            <scheme val="minor"/>
          </rPr>
          <t>2
	-กิ่งแก้ว ทองจรูญ</t>
        </r>
      </text>
    </comment>
  </commentList>
</comments>
</file>

<file path=xl/sharedStrings.xml><?xml version="1.0" encoding="utf-8"?>
<sst xmlns="http://schemas.openxmlformats.org/spreadsheetml/2006/main" count="28952" uniqueCount="369">
  <si>
    <t>รายละเอียดแผนงาน/โครงการ ผลผลิต/กิจกรรม ปีงบประมาณ พ.ศ. 2567</t>
  </si>
  <si>
    <t>รวมกลาง</t>
  </si>
  <si>
    <t>แผนงาน/โครงการ/กิจกรรม</t>
  </si>
  <si>
    <t>หน่วย</t>
  </si>
  <si>
    <t>แผนงาน-ผลงาน</t>
  </si>
  <si>
    <t>งบประมาณตาม พ.ร.บ.</t>
  </si>
  <si>
    <t>งบประมาณกองทุน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</si>
  <si>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</si>
  <si>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</si>
  <si>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</si>
  <si>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</si>
  <si>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</si>
  <si>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</si>
  <si>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</si>
  <si>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</si>
  <si>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</si>
  <si>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</si>
  <si>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</si>
  <si>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</si>
  <si>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</si>
  <si>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</si>
  <si>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</si>
  <si>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</si>
  <si>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</si>
  <si>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</si>
  <si>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</si>
  <si>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</si>
  <si>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</si>
  <si>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</si>
  <si>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</si>
  <si>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</si>
  <si>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</si>
  <si>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</si>
  <si>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</si>
  <si>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</si>
  <si>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</si>
  <si>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</si>
  <si>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</si>
  <si>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</si>
  <si>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</si>
  <si>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</si>
  <si>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</si>
  <si>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</si>
  <si>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</si>
  <si>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</si>
  <si>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</si>
  <si>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</si>
  <si>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</si>
  <si>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</si>
  <si>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</si>
  <si>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</si>
  <si>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</si>
  <si>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</si>
  <si>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</si>
  <si>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</si>
  <si>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</si>
  <si>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</si>
  <si>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</si>
  <si>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</si>
  <si>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</si>
  <si>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</si>
  <si>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</si>
  <si>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</si>
  <si>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</si>
  <si>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</si>
  <si>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</si>
  <si>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</si>
  <si>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</si>
  <si>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</si>
  <si>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</si>
  <si>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</si>
  <si>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</si>
  <si>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</si>
  <si>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</si>
  <si>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</si>
  <si>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</si>
  <si>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</si>
  <si>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</si>
  <si>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</si>
  <si>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</si>
  <si>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</si>
  <si>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</si>
  <si>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</si>
  <si>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</si>
  <si>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</si>
  <si>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</si>
  <si>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</si>
  <si>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</si>
  <si>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</si>
  <si>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</si>
  <si>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</si>
  <si>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</si>
  <si>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</si>
  <si>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</si>
  <si>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</si>
  <si>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</si>
  <si>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</si>
  <si>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</si>
  <si>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</si>
  <si>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</si>
  <si>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</si>
  <si>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</si>
  <si>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</si>
  <si>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</si>
  <si>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</si>
  <si>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</si>
  <si>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</si>
  <si>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</si>
  <si>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</si>
  <si>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</si>
  <si>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</si>
  <si>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</si>
  <si>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</si>
  <si>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</si>
  <si>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</si>
  <si>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</si>
  <si>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</si>
  <si>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</si>
  <si>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</si>
  <si>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</si>
  <si>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</si>
  <si>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</si>
  <si>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</si>
  <si>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</si>
  <si>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</si>
  <si>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</si>
  <si>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</si>
  <si>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</si>
  <si>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</si>
  <si>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</si>
  <si>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</si>
  <si>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</si>
  <si>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</si>
  <si>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</si>
  <si>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</si>
  <si>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</si>
  <si>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</si>
  <si>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</si>
  <si>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</si>
  <si>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</si>
  <si>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</si>
  <si>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</si>
  <si>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</si>
  <si>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</si>
  <si>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</si>
  <si>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</si>
  <si>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</si>
  <si>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</si>
  <si>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</si>
  <si>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</si>
  <si>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</si>
  <si>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</si>
  <si>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</si>
  <si>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</si>
  <si>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</si>
  <si>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</si>
  <si>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</si>
  <si>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</si>
  <si>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</si>
  <si>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</si>
  <si>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</si>
  <si>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</si>
  <si>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</si>
  <si>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</si>
  <si>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</si>
  <si>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</si>
  <si>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</si>
  <si>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</si>
  <si>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</si>
  <si>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</si>
  <si>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</si>
  <si>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</si>
  <si>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</si>
  <si>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</si>
  <si>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</si>
  <si>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</si>
  <si>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</si>
  <si>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</si>
  <si>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</si>
  <si>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</si>
  <si>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</si>
  <si>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</si>
  <si>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</si>
  <si>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</si>
  <si>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</si>
  <si>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</si>
  <si>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</si>
  <si>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</si>
  <si>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</si>
  <si>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</si>
  <si>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</si>
  <si>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</si>
  <si>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</si>
  <si>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</si>
  <si>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</si>
  <si>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</si>
  <si>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</si>
  <si>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</si>
  <si>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</si>
  <si>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</si>
  <si>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</si>
  <si>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</si>
  <si>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</si>
  <si>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</si>
  <si>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</si>
  <si>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</si>
  <si>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</si>
  <si>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</si>
  <si>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</si>
  <si>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</si>
  <si>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</si>
  <si>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</si>
  <si>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</si>
  <si>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</si>
  <si>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</si>
  <si>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</si>
  <si>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</si>
  <si>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</si>
  <si>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</si>
  <si>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</si>
  <si>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</si>
  <si>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</si>
  <si>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</si>
  <si>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</si>
  <si>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</si>
  <si>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</si>
  <si>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</si>
  <si>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</si>
  <si>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</si>
  <si>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</si>
  <si>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</si>
  <si>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</si>
  <si>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</si>
  <si>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</si>
  <si>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</si>
  <si>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</si>
  <si>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</si>
  <si>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</si>
  <si>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</si>
  <si>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</si>
  <si>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</si>
  <si>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</si>
  <si>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</si>
  <si>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</si>
  <si>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</si>
  <si>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</si>
  <si>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</si>
  <si>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</si>
  <si>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</si>
  <si>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</si>
  <si>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</si>
  <si>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</si>
  <si>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</si>
  <si>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</si>
  <si>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</si>
  <si>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</si>
  <si>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</si>
  <si>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</si>
  <si>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</si>
  <si>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</si>
  <si>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</si>
  <si>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</si>
  <si>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</si>
  <si>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</si>
  <si>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</si>
  <si>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</si>
  <si>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</si>
  <si>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</si>
  <si>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</si>
  <si>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</si>
  <si>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</si>
  <si>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</si>
  <si>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</si>
  <si>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</si>
  <si>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</si>
  <si>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</si>
  <si>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</si>
  <si>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</si>
  <si>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</si>
  <si>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</si>
  <si>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</si>
  <si>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</si>
  <si>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</si>
  <si>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</si>
  <si>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</si>
  <si>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</si>
  <si>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</si>
  <si>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</si>
  <si>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</si>
  <si>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</si>
  <si>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</si>
  <si>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</si>
  <si>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</si>
  <si>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</si>
  <si>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</si>
  <si>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</si>
  <si>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</si>
  <si>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</si>
  <si>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</si>
  <si>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</si>
  <si>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</si>
  <si>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</si>
  <si>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</si>
  <si>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</si>
  <si>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</si>
  <si>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</si>
  <si>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</si>
  <si>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</si>
  <si>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</si>
  <si>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</si>
  <si>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</si>
  <si>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แผนงานยุทธศาสตร์พัฒนาและส่งเสริมเศรษฐกิจฐานราก</t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</si>
  <si>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</si>
  <si>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</si>
  <si>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</si>
  <si>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t>- ค่าจ้างเหมารถยนต์ขนส่งกล้า และค่าจ้างเหมาแรงงาน</t>
  </si>
  <si>
    <t>- ค่าใช้จ่ายในการบริหารงาน</t>
  </si>
  <si>
    <t>- ค่าจ้างเหมาบริการ</t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</si>
  <si>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</si>
  <si>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</si>
  <si>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t>- งบบริหารโครงการ</t>
  </si>
  <si>
    <t>3. โครงการตรวจสอบมาตรฐานการสำรวจรังวัดและจัดทำระวางแผนที่</t>
  </si>
  <si>
    <t>24. กิจกรรมส่งเสริมและขยายพันธุ์พืชในเขตปฏิรูปที่ดิน</t>
  </si>
  <si>
    <t>23. กิจกรรมฝายชะลอน้ำแบบชั่วคราวสำหรับการเพิ่มประสิทธิภาพของแหล่งน้ำ</t>
  </si>
  <si>
    <t>22. กิจกรรมพัฒนาแหล่งน้ำและระบบกระจายน้ำ</t>
  </si>
  <si>
    <t>21. กิจกรรมขุดสระเก็บน้ำสาธารณะ</t>
  </si>
  <si>
    <t>18. โครงการตรวจสอบที่ดิน</t>
  </si>
  <si>
    <t>17. กิจกรรมสำรวจและออกแบบโครงสร้างพื้นฐานในเขตปฏิรูปที่ดิน</t>
  </si>
  <si>
    <t>16. กิจกรรมแผนที่แปลงที่ดินตามมาตรฐาน RTK GNSS Network</t>
  </si>
  <si>
    <t>(5) โครงการพัฒนาพื้นที่สูงแบบโครงการหลวงห้วยเขย่ง</t>
  </si>
  <si>
    <t>3. กิจกรรมส่งเสริมการเกษตรแบบแปลงใหญ่</t>
  </si>
  <si>
    <t>ร้อยละ
(จัดสรร)</t>
  </si>
  <si>
    <t>ร้อยละ
(ได้รับ)</t>
  </si>
  <si>
    <t>สำนักงานการปฏิรูปที่ดินจังหวัด กาญจนบุรี</t>
  </si>
  <si>
    <t>5. โครงการส่งเสริมเกษตรอินทรีย์ในเขตปฏิรูปที่ดิน</t>
  </si>
  <si>
    <t>19. กิจกรรมยกระดับรายได้เกษตรกรในเขตปฏิรูปที่ดินเพื่อลดความเหลื่อมล้ำ</t>
  </si>
  <si>
    <t>(5) โครงการพัชรสุธาคชานุรักษ์</t>
  </si>
  <si>
    <t>สำนักงานการปฏิรูปที่ดินจังหวัด จันทบุรี</t>
  </si>
  <si>
    <t>4. โครงการส่งเสริมระบบวนเกษตรในเขตปฏิรูปที่ดิน</t>
  </si>
  <si>
    <t>2. โครงการจัดที่ดินชุมชนในเขตปฏิรูปที่ดิน</t>
  </si>
  <si>
    <t>1. โครงการบริหารจัดการที่ดินเอกชน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</si>
  <si>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</si>
  <si>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</si>
  <si>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</si>
  <si>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</si>
  <si>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 xml:space="preserve">กิจกรรมพัฒนาธุรกิจชุมชนในเขตปฏิรูปที่ดิน 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</si>
  <si>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</si>
  <si>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</si>
  <si>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</si>
  <si>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</si>
  <si>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</si>
  <si>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</si>
  <si>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</si>
  <si>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 xml:space="preserve"> </t>
  </si>
  <si>
    <t>สำนักงานการปฏิรูปที่ดินจังหวัด ประจวบคีรีขันธ์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</si>
  <si>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</si>
  <si>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</si>
  <si>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</si>
  <si>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</si>
  <si>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</si>
  <si>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</si>
  <si>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</si>
  <si>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(6) โครงการพัฒนาพื้นที่ที่ราบเชิงเขา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</si>
  <si>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</si>
  <si>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</si>
  <si>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</si>
  <si>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</si>
  <si>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</si>
  <si>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30 มิ.ย.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</si>
</sst>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64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name val="Arial"/>
    </font>
    <font>
      <b/>
      <sz val="15"/>
      <color rgb="FFFFFFFF"/>
      <name val="Arial"/>
    </font>
    <font>
      <b/>
      <sz val="15"/>
      <color theme="1"/>
      <name val="Arial"/>
    </font>
    <font>
      <sz val="10"/>
      <color rgb="FF000000"/>
      <name val="Arial"/>
    </font>
    <font>
      <sz val="10"/>
      <color theme="1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sz val="15"/>
      <color rgb="FFFF0000"/>
      <name val="Arial"/>
    </font>
    <font>
      <sz val="15"/>
      <color theme="1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sz val="15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FFFF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u/>
      <sz val="15"/>
      <color rgb="FFFF0000"/>
      <name val="Arial"/>
    </font>
    <font>
      <sz val="11"/>
      <color theme="1"/>
      <name val="Arial"/>
    </font>
    <font>
      <sz val="10"/>
      <color theme="1"/>
      <name val="Arial"/>
      <scheme val="minor"/>
    </font>
    <font>
      <b/>
      <sz val="10"/>
      <color theme="1"/>
      <name val="Arial"/>
    </font>
    <font>
      <sz val="14"/>
      <color rgb="FF000000"/>
      <name val="Arial"/>
    </font>
    <font>
      <sz val="14"/>
      <color rgb="FFFF0000"/>
      <name val="Arial"/>
    </font>
    <font>
      <sz val="15"/>
      <color rgb="FF000000"/>
      <name val="Arial"/>
      <scheme val="minor"/>
    </font>
    <font>
      <i/>
      <sz val="13"/>
      <color theme="1"/>
      <name val="Arial"/>
      <scheme val="minor"/>
    </font>
    <font>
      <sz val="11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70">
    <xf numFmtId="0" fontId="0" fillId="0" borderId="0" xfId="0"/>
    <xf numFmtId="165" fontId="1" fillId="3" borderId="15" xfId="0" applyNumberFormat="1" applyFont="1" applyFill="1" applyBorder="1" applyAlignment="1">
      <alignment horizontal="center" vertical="top"/>
    </xf>
    <xf numFmtId="164" fontId="1" fillId="3" borderId="15" xfId="0" applyNumberFormat="1" applyFont="1" applyFill="1" applyBorder="1" applyAlignment="1">
      <alignment horizontal="center" vertical="top" wrapText="1"/>
    </xf>
    <xf numFmtId="165" fontId="1" fillId="6" borderId="15" xfId="0" applyNumberFormat="1" applyFont="1" applyFill="1" applyBorder="1" applyAlignment="1">
      <alignment horizontal="center" wrapText="1"/>
    </xf>
    <xf numFmtId="165" fontId="1" fillId="8" borderId="15" xfId="0" applyNumberFormat="1" applyFont="1" applyFill="1" applyBorder="1" applyAlignment="1">
      <alignment horizontal="center" wrapText="1"/>
    </xf>
    <xf numFmtId="165" fontId="1" fillId="7" borderId="15" xfId="0" applyNumberFormat="1" applyFont="1" applyFill="1" applyBorder="1" applyAlignment="1">
      <alignment horizontal="center"/>
    </xf>
    <xf numFmtId="165" fontId="1" fillId="6" borderId="15" xfId="0" applyNumberFormat="1" applyFont="1" applyFill="1" applyBorder="1" applyAlignment="1">
      <alignment horizontal="center"/>
    </xf>
    <xf numFmtId="165" fontId="1" fillId="8" borderId="15" xfId="0" applyNumberFormat="1" applyFont="1" applyFill="1" applyBorder="1" applyAlignment="1">
      <alignment horizontal="center"/>
    </xf>
    <xf numFmtId="165" fontId="4" fillId="6" borderId="14" xfId="0" applyNumberFormat="1" applyFont="1" applyFill="1" applyBorder="1" applyAlignment="1">
      <alignment horizontal="center" wrapText="1"/>
    </xf>
    <xf numFmtId="165" fontId="4" fillId="8" borderId="13" xfId="0" applyNumberFormat="1" applyFont="1" applyFill="1" applyBorder="1" applyAlignment="1">
      <alignment horizontal="center" wrapText="1"/>
    </xf>
    <xf numFmtId="165" fontId="4" fillId="7" borderId="13" xfId="0" applyNumberFormat="1" applyFont="1" applyFill="1" applyBorder="1" applyAlignment="1">
      <alignment horizontal="center"/>
    </xf>
    <xf numFmtId="165" fontId="4" fillId="6" borderId="13" xfId="0" applyNumberFormat="1" applyFont="1" applyFill="1" applyBorder="1" applyAlignment="1">
      <alignment horizontal="center"/>
    </xf>
    <xf numFmtId="165" fontId="4" fillId="8" borderId="13" xfId="0" applyNumberFormat="1" applyFont="1" applyFill="1" applyBorder="1" applyAlignment="1">
      <alignment horizontal="center"/>
    </xf>
    <xf numFmtId="0" fontId="5" fillId="9" borderId="15" xfId="0" applyFont="1" applyFill="1" applyBorder="1"/>
    <xf numFmtId="166" fontId="5" fillId="9" borderId="15" xfId="0" applyNumberFormat="1" applyFont="1" applyFill="1" applyBorder="1"/>
    <xf numFmtId="165" fontId="5" fillId="9" borderId="15" xfId="0" applyNumberFormat="1" applyFont="1" applyFill="1" applyBorder="1"/>
    <xf numFmtId="165" fontId="6" fillId="9" borderId="14" xfId="0" applyNumberFormat="1" applyFont="1" applyFill="1" applyBorder="1"/>
    <xf numFmtId="165" fontId="6" fillId="9" borderId="13" xfId="0" applyNumberFormat="1" applyFont="1" applyFill="1" applyBorder="1"/>
    <xf numFmtId="0" fontId="5" fillId="9" borderId="16" xfId="0" applyFont="1" applyFill="1" applyBorder="1"/>
    <xf numFmtId="0" fontId="5" fillId="9" borderId="17" xfId="0" applyFont="1" applyFill="1" applyBorder="1"/>
    <xf numFmtId="0" fontId="1" fillId="9" borderId="17" xfId="0" applyFont="1" applyFill="1" applyBorder="1"/>
    <xf numFmtId="0" fontId="7" fillId="9" borderId="17" xfId="0" applyFont="1" applyFill="1" applyBorder="1"/>
    <xf numFmtId="0" fontId="5" fillId="9" borderId="18" xfId="0" applyFont="1" applyFill="1" applyBorder="1"/>
    <xf numFmtId="0" fontId="1" fillId="9" borderId="18" xfId="0" applyFont="1" applyFill="1" applyBorder="1" applyAlignment="1">
      <alignment horizontal="center"/>
    </xf>
    <xf numFmtId="166" fontId="5" fillId="9" borderId="18" xfId="0" applyNumberFormat="1" applyFont="1" applyFill="1" applyBorder="1"/>
    <xf numFmtId="165" fontId="5" fillId="9" borderId="18" xfId="0" applyNumberFormat="1" applyFont="1" applyFill="1" applyBorder="1"/>
    <xf numFmtId="165" fontId="1" fillId="9" borderId="18" xfId="0" applyNumberFormat="1" applyFont="1" applyFill="1" applyBorder="1" applyAlignment="1">
      <alignment horizontal="right"/>
    </xf>
    <xf numFmtId="165" fontId="6" fillId="9" borderId="19" xfId="0" applyNumberFormat="1" applyFont="1" applyFill="1" applyBorder="1"/>
    <xf numFmtId="165" fontId="6" fillId="9" borderId="18" xfId="0" applyNumberFormat="1" applyFont="1" applyFill="1" applyBorder="1"/>
    <xf numFmtId="0" fontId="8" fillId="9" borderId="17" xfId="0" applyFont="1" applyFill="1" applyBorder="1"/>
    <xf numFmtId="0" fontId="8" fillId="9" borderId="18" xfId="0" applyFont="1" applyFill="1" applyBorder="1" applyAlignment="1">
      <alignment horizontal="center"/>
    </xf>
    <xf numFmtId="165" fontId="8" fillId="9" borderId="18" xfId="0" applyNumberFormat="1" applyFont="1" applyFill="1" applyBorder="1" applyAlignment="1">
      <alignment horizontal="right"/>
    </xf>
    <xf numFmtId="0" fontId="9" fillId="9" borderId="17" xfId="0" applyFont="1" applyFill="1" applyBorder="1"/>
    <xf numFmtId="0" fontId="5" fillId="9" borderId="11" xfId="0" applyFont="1" applyFill="1" applyBorder="1"/>
    <xf numFmtId="0" fontId="5" fillId="9" borderId="12" xfId="0" applyFont="1" applyFill="1" applyBorder="1"/>
    <xf numFmtId="0" fontId="8" fillId="9" borderId="12" xfId="0" applyFont="1" applyFill="1" applyBorder="1"/>
    <xf numFmtId="0" fontId="5" fillId="9" borderId="13" xfId="0" applyFont="1" applyFill="1" applyBorder="1"/>
    <xf numFmtId="0" fontId="8" fillId="9" borderId="13" xfId="0" applyFont="1" applyFill="1" applyBorder="1" applyAlignment="1">
      <alignment horizontal="center"/>
    </xf>
    <xf numFmtId="166" fontId="5" fillId="9" borderId="13" xfId="0" applyNumberFormat="1" applyFont="1" applyFill="1" applyBorder="1"/>
    <xf numFmtId="165" fontId="5" fillId="9" borderId="13" xfId="0" applyNumberFormat="1" applyFont="1" applyFill="1" applyBorder="1"/>
    <xf numFmtId="165" fontId="8" fillId="9" borderId="13" xfId="0" applyNumberFormat="1" applyFont="1" applyFill="1" applyBorder="1" applyAlignment="1">
      <alignment horizontal="right"/>
    </xf>
    <xf numFmtId="0" fontId="5" fillId="10" borderId="13" xfId="0" applyFont="1" applyFill="1" applyBorder="1"/>
    <xf numFmtId="166" fontId="5" fillId="10" borderId="13" xfId="0" applyNumberFormat="1" applyFont="1" applyFill="1" applyBorder="1"/>
    <xf numFmtId="165" fontId="5" fillId="10" borderId="13" xfId="0" applyNumberFormat="1" applyFont="1" applyFill="1" applyBorder="1"/>
    <xf numFmtId="165" fontId="6" fillId="10" borderId="14" xfId="0" applyNumberFormat="1" applyFont="1" applyFill="1" applyBorder="1"/>
    <xf numFmtId="165" fontId="6" fillId="10" borderId="13" xfId="0" applyNumberFormat="1" applyFont="1" applyFill="1" applyBorder="1"/>
    <xf numFmtId="0" fontId="5" fillId="11" borderId="16" xfId="0" applyFont="1" applyFill="1" applyBorder="1"/>
    <xf numFmtId="0" fontId="5" fillId="11" borderId="17" xfId="0" applyFont="1" applyFill="1" applyBorder="1"/>
    <xf numFmtId="0" fontId="1" fillId="11" borderId="17" xfId="0" applyFont="1" applyFill="1" applyBorder="1"/>
    <xf numFmtId="0" fontId="10" fillId="11" borderId="17" xfId="0" applyFont="1" applyFill="1" applyBorder="1"/>
    <xf numFmtId="0" fontId="5" fillId="11" borderId="18" xfId="0" applyFont="1" applyFill="1" applyBorder="1"/>
    <xf numFmtId="0" fontId="1" fillId="11" borderId="18" xfId="0" applyFont="1" applyFill="1" applyBorder="1" applyAlignment="1">
      <alignment horizontal="center"/>
    </xf>
    <xf numFmtId="166" fontId="5" fillId="11" borderId="18" xfId="0" applyNumberFormat="1" applyFont="1" applyFill="1" applyBorder="1"/>
    <xf numFmtId="165" fontId="5" fillId="11" borderId="18" xfId="0" applyNumberFormat="1" applyFont="1" applyFill="1" applyBorder="1"/>
    <xf numFmtId="165" fontId="4" fillId="11" borderId="20" xfId="0" applyNumberFormat="1" applyFont="1" applyFill="1" applyBorder="1" applyAlignment="1">
      <alignment horizontal="right"/>
    </xf>
    <xf numFmtId="165" fontId="4" fillId="11" borderId="21" xfId="0" applyNumberFormat="1" applyFont="1" applyFill="1" applyBorder="1" applyAlignment="1">
      <alignment horizontal="right"/>
    </xf>
    <xf numFmtId="165" fontId="4" fillId="11" borderId="19" xfId="0" applyNumberFormat="1" applyFont="1" applyFill="1" applyBorder="1" applyAlignment="1">
      <alignment horizontal="right"/>
    </xf>
    <xf numFmtId="165" fontId="4" fillId="11" borderId="18" xfId="0" applyNumberFormat="1" applyFont="1" applyFill="1" applyBorder="1" applyAlignment="1">
      <alignment horizontal="right"/>
    </xf>
    <xf numFmtId="0" fontId="8" fillId="11" borderId="17" xfId="0" applyFont="1" applyFill="1" applyBorder="1"/>
    <xf numFmtId="0" fontId="8" fillId="11" borderId="18" xfId="0" applyFont="1" applyFill="1" applyBorder="1" applyAlignment="1">
      <alignment horizontal="center"/>
    </xf>
    <xf numFmtId="165" fontId="11" fillId="11" borderId="19" xfId="0" applyNumberFormat="1" applyFont="1" applyFill="1" applyBorder="1" applyAlignment="1">
      <alignment horizontal="right"/>
    </xf>
    <xf numFmtId="165" fontId="11" fillId="11" borderId="18" xfId="0" applyNumberFormat="1" applyFont="1" applyFill="1" applyBorder="1" applyAlignment="1">
      <alignment horizontal="right"/>
    </xf>
    <xf numFmtId="165" fontId="12" fillId="11" borderId="19" xfId="0" applyNumberFormat="1" applyFont="1" applyFill="1" applyBorder="1" applyAlignment="1">
      <alignment horizontal="right"/>
    </xf>
    <xf numFmtId="165" fontId="12" fillId="11" borderId="18" xfId="0" applyNumberFormat="1" applyFont="1" applyFill="1" applyBorder="1" applyAlignment="1">
      <alignment horizontal="right"/>
    </xf>
    <xf numFmtId="0" fontId="5" fillId="12" borderId="16" xfId="0" applyFont="1" applyFill="1" applyBorder="1"/>
    <xf numFmtId="0" fontId="5" fillId="12" borderId="17" xfId="0" applyFont="1" applyFill="1" applyBorder="1"/>
    <xf numFmtId="0" fontId="13" fillId="12" borderId="17" xfId="0" applyFont="1" applyFill="1" applyBorder="1"/>
    <xf numFmtId="0" fontId="5" fillId="12" borderId="18" xfId="0" applyFont="1" applyFill="1" applyBorder="1"/>
    <xf numFmtId="0" fontId="8" fillId="12" borderId="18" xfId="0" applyFont="1" applyFill="1" applyBorder="1" applyAlignment="1">
      <alignment horizontal="center"/>
    </xf>
    <xf numFmtId="166" fontId="5" fillId="12" borderId="18" xfId="0" applyNumberFormat="1" applyFont="1" applyFill="1" applyBorder="1"/>
    <xf numFmtId="165" fontId="5" fillId="12" borderId="18" xfId="0" applyNumberFormat="1" applyFont="1" applyFill="1" applyBorder="1"/>
    <xf numFmtId="165" fontId="12" fillId="12" borderId="19" xfId="0" applyNumberFormat="1" applyFont="1" applyFill="1" applyBorder="1" applyAlignment="1">
      <alignment horizontal="right"/>
    </xf>
    <xf numFmtId="165" fontId="12" fillId="12" borderId="18" xfId="0" applyNumberFormat="1" applyFont="1" applyFill="1" applyBorder="1" applyAlignment="1">
      <alignment horizontal="right"/>
    </xf>
    <xf numFmtId="0" fontId="8" fillId="12" borderId="17" xfId="0" applyFont="1" applyFill="1" applyBorder="1"/>
    <xf numFmtId="165" fontId="11" fillId="12" borderId="19" xfId="0" applyNumberFormat="1" applyFont="1" applyFill="1" applyBorder="1" applyAlignment="1">
      <alignment horizontal="right"/>
    </xf>
    <xf numFmtId="165" fontId="11" fillId="12" borderId="18" xfId="0" applyNumberFormat="1" applyFont="1" applyFill="1" applyBorder="1" applyAlignment="1">
      <alignment horizontal="right"/>
    </xf>
    <xf numFmtId="0" fontId="5" fillId="12" borderId="22" xfId="0" applyFont="1" applyFill="1" applyBorder="1"/>
    <xf numFmtId="0" fontId="5" fillId="12" borderId="23" xfId="0" applyFont="1" applyFill="1" applyBorder="1"/>
    <xf numFmtId="0" fontId="14" fillId="12" borderId="23" xfId="0" applyFont="1" applyFill="1" applyBorder="1"/>
    <xf numFmtId="0" fontId="5" fillId="12" borderId="24" xfId="0" applyFont="1" applyFill="1" applyBorder="1"/>
    <xf numFmtId="0" fontId="8" fillId="12" borderId="24" xfId="0" applyFont="1" applyFill="1" applyBorder="1" applyAlignment="1">
      <alignment horizontal="center"/>
    </xf>
    <xf numFmtId="166" fontId="5" fillId="12" borderId="24" xfId="0" applyNumberFormat="1" applyFont="1" applyFill="1" applyBorder="1"/>
    <xf numFmtId="165" fontId="5" fillId="12" borderId="24" xfId="0" applyNumberFormat="1" applyFont="1" applyFill="1" applyBorder="1"/>
    <xf numFmtId="165" fontId="8" fillId="12" borderId="24" xfId="0" applyNumberFormat="1" applyFont="1" applyFill="1" applyBorder="1" applyAlignment="1">
      <alignment horizontal="right"/>
    </xf>
    <xf numFmtId="165" fontId="6" fillId="12" borderId="19" xfId="0" applyNumberFormat="1" applyFont="1" applyFill="1" applyBorder="1"/>
    <xf numFmtId="165" fontId="6" fillId="12" borderId="18" xfId="0" applyNumberFormat="1" applyFont="1" applyFill="1" applyBorder="1"/>
    <xf numFmtId="165" fontId="8" fillId="12" borderId="18" xfId="0" applyNumberFormat="1" applyFont="1" applyFill="1" applyBorder="1" applyAlignment="1">
      <alignment horizontal="right"/>
    </xf>
    <xf numFmtId="0" fontId="5" fillId="12" borderId="11" xfId="0" applyFont="1" applyFill="1" applyBorder="1"/>
    <xf numFmtId="0" fontId="5" fillId="12" borderId="12" xfId="0" applyFont="1" applyFill="1" applyBorder="1"/>
    <xf numFmtId="0" fontId="8" fillId="12" borderId="12" xfId="0" applyFont="1" applyFill="1" applyBorder="1"/>
    <xf numFmtId="0" fontId="5" fillId="12" borderId="13" xfId="0" applyFont="1" applyFill="1" applyBorder="1"/>
    <xf numFmtId="0" fontId="8" fillId="12" borderId="13" xfId="0" applyFont="1" applyFill="1" applyBorder="1" applyAlignment="1">
      <alignment horizontal="center"/>
    </xf>
    <xf numFmtId="166" fontId="5" fillId="12" borderId="13" xfId="0" applyNumberFormat="1" applyFont="1" applyFill="1" applyBorder="1"/>
    <xf numFmtId="165" fontId="5" fillId="12" borderId="13" xfId="0" applyNumberFormat="1" applyFont="1" applyFill="1" applyBorder="1"/>
    <xf numFmtId="165" fontId="8" fillId="12" borderId="13" xfId="0" applyNumberFormat="1" applyFont="1" applyFill="1" applyBorder="1" applyAlignment="1">
      <alignment horizontal="right"/>
    </xf>
    <xf numFmtId="165" fontId="6" fillId="12" borderId="14" xfId="0" applyNumberFormat="1" applyFont="1" applyFill="1" applyBorder="1"/>
    <xf numFmtId="165" fontId="6" fillId="12" borderId="13" xfId="0" applyNumberFormat="1" applyFont="1" applyFill="1" applyBorder="1"/>
    <xf numFmtId="0" fontId="1" fillId="13" borderId="8" xfId="0" applyFont="1" applyFill="1" applyBorder="1"/>
    <xf numFmtId="0" fontId="5" fillId="13" borderId="0" xfId="0" applyFont="1" applyFill="1"/>
    <xf numFmtId="0" fontId="5" fillId="13" borderId="9" xfId="0" applyFont="1" applyFill="1" applyBorder="1"/>
    <xf numFmtId="166" fontId="5" fillId="13" borderId="9" xfId="0" applyNumberFormat="1" applyFont="1" applyFill="1" applyBorder="1"/>
    <xf numFmtId="165" fontId="5" fillId="13" borderId="9" xfId="0" applyNumberFormat="1" applyFont="1" applyFill="1" applyBorder="1"/>
    <xf numFmtId="165" fontId="1" fillId="13" borderId="9" xfId="0" applyNumberFormat="1" applyFont="1" applyFill="1" applyBorder="1" applyAlignment="1">
      <alignment horizontal="right"/>
    </xf>
    <xf numFmtId="0" fontId="1" fillId="14" borderId="5" xfId="0" applyFont="1" applyFill="1" applyBorder="1"/>
    <xf numFmtId="0" fontId="5" fillId="14" borderId="6" xfId="0" applyFont="1" applyFill="1" applyBorder="1"/>
    <xf numFmtId="166" fontId="5" fillId="14" borderId="6" xfId="0" applyNumberFormat="1" applyFont="1" applyFill="1" applyBorder="1"/>
    <xf numFmtId="165" fontId="5" fillId="14" borderId="6" xfId="0" applyNumberFormat="1" applyFont="1" applyFill="1" applyBorder="1"/>
    <xf numFmtId="165" fontId="5" fillId="14" borderId="7" xfId="0" applyNumberFormat="1" applyFont="1" applyFill="1" applyBorder="1"/>
    <xf numFmtId="0" fontId="5" fillId="15" borderId="17" xfId="0" applyFont="1" applyFill="1" applyBorder="1"/>
    <xf numFmtId="0" fontId="1" fillId="15" borderId="17" xfId="0" applyFont="1" applyFill="1" applyBorder="1"/>
    <xf numFmtId="0" fontId="5" fillId="15" borderId="19" xfId="0" applyFont="1" applyFill="1" applyBorder="1"/>
    <xf numFmtId="166" fontId="5" fillId="15" borderId="19" xfId="0" applyNumberFormat="1" applyFont="1" applyFill="1" applyBorder="1"/>
    <xf numFmtId="165" fontId="5" fillId="15" borderId="19" xfId="0" applyNumberFormat="1" applyFont="1" applyFill="1" applyBorder="1"/>
    <xf numFmtId="0" fontId="5" fillId="16" borderId="16" xfId="0" applyFont="1" applyFill="1" applyBorder="1"/>
    <xf numFmtId="0" fontId="5" fillId="16" borderId="17" xfId="0" applyFont="1" applyFill="1" applyBorder="1"/>
    <xf numFmtId="0" fontId="1" fillId="16" borderId="17" xfId="0" applyFont="1" applyFill="1" applyBorder="1"/>
    <xf numFmtId="0" fontId="15" fillId="16" borderId="17" xfId="0" applyFont="1" applyFill="1" applyBorder="1"/>
    <xf numFmtId="0" fontId="5" fillId="16" borderId="18" xfId="0" applyFont="1" applyFill="1" applyBorder="1"/>
    <xf numFmtId="0" fontId="1" fillId="16" borderId="18" xfId="0" applyFont="1" applyFill="1" applyBorder="1" applyAlignment="1">
      <alignment horizontal="center"/>
    </xf>
    <xf numFmtId="166" fontId="5" fillId="16" borderId="18" xfId="0" applyNumberFormat="1" applyFont="1" applyFill="1" applyBorder="1"/>
    <xf numFmtId="165" fontId="5" fillId="16" borderId="18" xfId="0" applyNumberFormat="1" applyFont="1" applyFill="1" applyBorder="1"/>
    <xf numFmtId="165" fontId="4" fillId="16" borderId="25" xfId="0" applyNumberFormat="1" applyFont="1" applyFill="1" applyBorder="1"/>
    <xf numFmtId="165" fontId="4" fillId="16" borderId="24" xfId="0" applyNumberFormat="1" applyFont="1" applyFill="1" applyBorder="1"/>
    <xf numFmtId="0" fontId="8" fillId="16" borderId="17" xfId="0" applyFont="1" applyFill="1" applyBorder="1"/>
    <xf numFmtId="0" fontId="8" fillId="16" borderId="18" xfId="0" applyFont="1" applyFill="1" applyBorder="1" applyAlignment="1">
      <alignment horizontal="center"/>
    </xf>
    <xf numFmtId="165" fontId="11" fillId="16" borderId="19" xfId="0" applyNumberFormat="1" applyFont="1" applyFill="1" applyBorder="1"/>
    <xf numFmtId="165" fontId="11" fillId="16" borderId="18" xfId="0" applyNumberFormat="1" applyFont="1" applyFill="1" applyBorder="1"/>
    <xf numFmtId="165" fontId="12" fillId="16" borderId="19" xfId="0" applyNumberFormat="1" applyFont="1" applyFill="1" applyBorder="1"/>
    <xf numFmtId="165" fontId="12" fillId="16" borderId="18" xfId="0" applyNumberFormat="1" applyFont="1" applyFill="1" applyBorder="1"/>
    <xf numFmtId="165" fontId="12" fillId="12" borderId="19" xfId="0" applyNumberFormat="1" applyFont="1" applyFill="1" applyBorder="1"/>
    <xf numFmtId="165" fontId="12" fillId="12" borderId="18" xfId="0" applyNumberFormat="1" applyFont="1" applyFill="1" applyBorder="1"/>
    <xf numFmtId="165" fontId="11" fillId="12" borderId="18" xfId="0" applyNumberFormat="1" applyFont="1" applyFill="1" applyBorder="1"/>
    <xf numFmtId="0" fontId="16" fillId="12" borderId="17" xfId="0" applyFont="1" applyFill="1" applyBorder="1"/>
    <xf numFmtId="0" fontId="5" fillId="17" borderId="6" xfId="0" applyFont="1" applyFill="1" applyBorder="1"/>
    <xf numFmtId="166" fontId="5" fillId="17" borderId="6" xfId="0" applyNumberFormat="1" applyFont="1" applyFill="1" applyBorder="1"/>
    <xf numFmtId="165" fontId="5" fillId="17" borderId="6" xfId="0" applyNumberFormat="1" applyFont="1" applyFill="1" applyBorder="1"/>
    <xf numFmtId="165" fontId="5" fillId="17" borderId="7" xfId="0" applyNumberFormat="1" applyFont="1" applyFill="1" applyBorder="1"/>
    <xf numFmtId="165" fontId="6" fillId="17" borderId="5" xfId="0" applyNumberFormat="1" applyFont="1" applyFill="1" applyBorder="1"/>
    <xf numFmtId="165" fontId="6" fillId="17" borderId="6" xfId="0" applyNumberFormat="1" applyFont="1" applyFill="1" applyBorder="1"/>
    <xf numFmtId="165" fontId="6" fillId="17" borderId="7" xfId="0" applyNumberFormat="1" applyFont="1" applyFill="1" applyBorder="1"/>
    <xf numFmtId="0" fontId="5" fillId="18" borderId="16" xfId="0" applyFont="1" applyFill="1" applyBorder="1"/>
    <xf numFmtId="0" fontId="5" fillId="18" borderId="18" xfId="0" applyFont="1" applyFill="1" applyBorder="1"/>
    <xf numFmtId="166" fontId="5" fillId="18" borderId="18" xfId="0" applyNumberFormat="1" applyFont="1" applyFill="1" applyBorder="1"/>
    <xf numFmtId="165" fontId="5" fillId="18" borderId="18" xfId="0" applyNumberFormat="1" applyFont="1" applyFill="1" applyBorder="1"/>
    <xf numFmtId="165" fontId="6" fillId="18" borderId="19" xfId="0" applyNumberFormat="1" applyFont="1" applyFill="1" applyBorder="1"/>
    <xf numFmtId="165" fontId="6" fillId="18" borderId="18" xfId="0" applyNumberFormat="1" applyFont="1" applyFill="1" applyBorder="1"/>
    <xf numFmtId="0" fontId="5" fillId="19" borderId="16" xfId="0" applyFont="1" applyFill="1" applyBorder="1"/>
    <xf numFmtId="0" fontId="1" fillId="19" borderId="17" xfId="0" applyFont="1" applyFill="1" applyBorder="1"/>
    <xf numFmtId="0" fontId="5" fillId="19" borderId="17" xfId="0" applyFont="1" applyFill="1" applyBorder="1"/>
    <xf numFmtId="0" fontId="5" fillId="19" borderId="18" xfId="0" applyFont="1" applyFill="1" applyBorder="1"/>
    <xf numFmtId="166" fontId="5" fillId="19" borderId="18" xfId="0" applyNumberFormat="1" applyFont="1" applyFill="1" applyBorder="1"/>
    <xf numFmtId="165" fontId="5" fillId="19" borderId="18" xfId="0" applyNumberFormat="1" applyFont="1" applyFill="1" applyBorder="1"/>
    <xf numFmtId="165" fontId="6" fillId="19" borderId="19" xfId="0" applyNumberFormat="1" applyFont="1" applyFill="1" applyBorder="1"/>
    <xf numFmtId="165" fontId="6" fillId="19" borderId="18" xfId="0" applyNumberFormat="1" applyFont="1" applyFill="1" applyBorder="1"/>
    <xf numFmtId="0" fontId="5" fillId="20" borderId="16" xfId="0" applyFont="1" applyFill="1" applyBorder="1"/>
    <xf numFmtId="0" fontId="5" fillId="20" borderId="17" xfId="0" applyFont="1" applyFill="1" applyBorder="1"/>
    <xf numFmtId="0" fontId="1" fillId="20" borderId="17" xfId="0" applyFont="1" applyFill="1" applyBorder="1"/>
    <xf numFmtId="0" fontId="17" fillId="20" borderId="17" xfId="0" applyFont="1" applyFill="1" applyBorder="1"/>
    <xf numFmtId="0" fontId="5" fillId="20" borderId="18" xfId="0" applyFont="1" applyFill="1" applyBorder="1"/>
    <xf numFmtId="0" fontId="1" fillId="20" borderId="18" xfId="0" applyFont="1" applyFill="1" applyBorder="1" applyAlignment="1">
      <alignment horizontal="center"/>
    </xf>
    <xf numFmtId="166" fontId="5" fillId="20" borderId="18" xfId="0" applyNumberFormat="1" applyFont="1" applyFill="1" applyBorder="1"/>
    <xf numFmtId="165" fontId="5" fillId="20" borderId="18" xfId="0" applyNumberFormat="1" applyFont="1" applyFill="1" applyBorder="1"/>
    <xf numFmtId="165" fontId="1" fillId="20" borderId="18" xfId="0" applyNumberFormat="1" applyFont="1" applyFill="1" applyBorder="1" applyAlignment="1">
      <alignment horizontal="right"/>
    </xf>
    <xf numFmtId="165" fontId="4" fillId="20" borderId="19" xfId="0" applyNumberFormat="1" applyFont="1" applyFill="1" applyBorder="1"/>
    <xf numFmtId="165" fontId="4" fillId="20" borderId="18" xfId="0" applyNumberFormat="1" applyFont="1" applyFill="1" applyBorder="1"/>
    <xf numFmtId="0" fontId="8" fillId="20" borderId="17" xfId="0" applyFont="1" applyFill="1" applyBorder="1"/>
    <xf numFmtId="0" fontId="8" fillId="20" borderId="18" xfId="0" applyFont="1" applyFill="1" applyBorder="1" applyAlignment="1">
      <alignment horizontal="center"/>
    </xf>
    <xf numFmtId="165" fontId="8" fillId="20" borderId="18" xfId="0" applyNumberFormat="1" applyFont="1" applyFill="1" applyBorder="1" applyAlignment="1">
      <alignment horizontal="right"/>
    </xf>
    <xf numFmtId="165" fontId="11" fillId="20" borderId="19" xfId="0" applyNumberFormat="1" applyFont="1" applyFill="1" applyBorder="1"/>
    <xf numFmtId="165" fontId="11" fillId="20" borderId="18" xfId="0" applyNumberFormat="1" applyFont="1" applyFill="1" applyBorder="1"/>
    <xf numFmtId="165" fontId="12" fillId="20" borderId="19" xfId="0" applyNumberFormat="1" applyFont="1" applyFill="1" applyBorder="1"/>
    <xf numFmtId="165" fontId="12" fillId="20" borderId="18" xfId="0" applyNumberFormat="1" applyFont="1" applyFill="1" applyBorder="1"/>
    <xf numFmtId="0" fontId="5" fillId="12" borderId="8" xfId="0" applyFont="1" applyFill="1" applyBorder="1"/>
    <xf numFmtId="0" fontId="5" fillId="12" borderId="0" xfId="0" applyFont="1" applyFill="1"/>
    <xf numFmtId="0" fontId="8" fillId="12" borderId="0" xfId="0" applyFont="1" applyFill="1"/>
    <xf numFmtId="0" fontId="5" fillId="12" borderId="9" xfId="0" applyFont="1" applyFill="1" applyBorder="1"/>
    <xf numFmtId="0" fontId="8" fillId="12" borderId="9" xfId="0" applyFont="1" applyFill="1" applyBorder="1" applyAlignment="1">
      <alignment horizontal="center"/>
    </xf>
    <xf numFmtId="166" fontId="5" fillId="12" borderId="9" xfId="0" applyNumberFormat="1" applyFont="1" applyFill="1" applyBorder="1"/>
    <xf numFmtId="165" fontId="5" fillId="12" borderId="9" xfId="0" applyNumberFormat="1" applyFont="1" applyFill="1" applyBorder="1"/>
    <xf numFmtId="165" fontId="8" fillId="12" borderId="9" xfId="0" applyNumberFormat="1" applyFont="1" applyFill="1" applyBorder="1" applyAlignment="1">
      <alignment horizontal="right"/>
    </xf>
    <xf numFmtId="165" fontId="12" fillId="12" borderId="14" xfId="0" applyNumberFormat="1" applyFont="1" applyFill="1" applyBorder="1" applyAlignment="1">
      <alignment horizontal="right"/>
    </xf>
    <xf numFmtId="165" fontId="12" fillId="12" borderId="13" xfId="0" applyNumberFormat="1" applyFont="1" applyFill="1" applyBorder="1" applyAlignment="1">
      <alignment horizontal="right"/>
    </xf>
    <xf numFmtId="165" fontId="12" fillId="12" borderId="13" xfId="0" applyNumberFormat="1" applyFont="1" applyFill="1" applyBorder="1"/>
    <xf numFmtId="164" fontId="1" fillId="21" borderId="5" xfId="0" applyNumberFormat="1" applyFont="1" applyFill="1" applyBorder="1"/>
    <xf numFmtId="164" fontId="5" fillId="21" borderId="6" xfId="0" applyNumberFormat="1" applyFont="1" applyFill="1" applyBorder="1"/>
    <xf numFmtId="0" fontId="5" fillId="21" borderId="6" xfId="0" applyFont="1" applyFill="1" applyBorder="1"/>
    <xf numFmtId="166" fontId="5" fillId="21" borderId="6" xfId="0" applyNumberFormat="1" applyFont="1" applyFill="1" applyBorder="1"/>
    <xf numFmtId="165" fontId="5" fillId="21" borderId="6" xfId="0" applyNumberFormat="1" applyFont="1" applyFill="1" applyBorder="1"/>
    <xf numFmtId="165" fontId="5" fillId="21" borderId="7" xfId="0" applyNumberFormat="1" applyFont="1" applyFill="1" applyBorder="1"/>
    <xf numFmtId="165" fontId="6" fillId="21" borderId="11" xfId="0" applyNumberFormat="1" applyFont="1" applyFill="1" applyBorder="1"/>
    <xf numFmtId="165" fontId="6" fillId="21" borderId="12" xfId="0" applyNumberFormat="1" applyFont="1" applyFill="1" applyBorder="1"/>
    <xf numFmtId="165" fontId="6" fillId="21" borderId="13" xfId="0" applyNumberFormat="1" applyFont="1" applyFill="1" applyBorder="1"/>
    <xf numFmtId="164" fontId="1" fillId="22" borderId="16" xfId="0" applyNumberFormat="1" applyFont="1" applyFill="1" applyBorder="1"/>
    <xf numFmtId="0" fontId="5" fillId="22" borderId="17" xfId="0" applyFont="1" applyFill="1" applyBorder="1"/>
    <xf numFmtId="164" fontId="5" fillId="22" borderId="17" xfId="0" applyNumberFormat="1" applyFont="1" applyFill="1" applyBorder="1"/>
    <xf numFmtId="0" fontId="5" fillId="22" borderId="18" xfId="0" applyFont="1" applyFill="1" applyBorder="1"/>
    <xf numFmtId="166" fontId="5" fillId="22" borderId="18" xfId="0" applyNumberFormat="1" applyFont="1" applyFill="1" applyBorder="1"/>
    <xf numFmtId="165" fontId="5" fillId="22" borderId="18" xfId="0" applyNumberFormat="1" applyFont="1" applyFill="1" applyBorder="1"/>
    <xf numFmtId="165" fontId="6" fillId="22" borderId="19" xfId="0" applyNumberFormat="1" applyFont="1" applyFill="1" applyBorder="1"/>
    <xf numFmtId="165" fontId="6" fillId="22" borderId="18" xfId="0" applyNumberFormat="1" applyFont="1" applyFill="1" applyBorder="1"/>
    <xf numFmtId="167" fontId="5" fillId="11" borderId="16" xfId="0" applyNumberFormat="1" applyFont="1" applyFill="1" applyBorder="1"/>
    <xf numFmtId="164" fontId="5" fillId="11" borderId="17" xfId="0" applyNumberFormat="1" applyFont="1" applyFill="1" applyBorder="1"/>
    <xf numFmtId="0" fontId="1" fillId="11" borderId="18" xfId="0" applyFont="1" applyFill="1" applyBorder="1" applyAlignment="1">
      <alignment horizontal="center" wrapText="1"/>
    </xf>
    <xf numFmtId="166" fontId="1" fillId="11" borderId="18" xfId="0" applyNumberFormat="1" applyFont="1" applyFill="1" applyBorder="1" applyAlignment="1">
      <alignment horizontal="right"/>
    </xf>
    <xf numFmtId="165" fontId="1" fillId="11" borderId="18" xfId="0" applyNumberFormat="1" applyFont="1" applyFill="1" applyBorder="1" applyAlignment="1">
      <alignment horizontal="right"/>
    </xf>
    <xf numFmtId="165" fontId="6" fillId="11" borderId="19" xfId="0" applyNumberFormat="1" applyFont="1" applyFill="1" applyBorder="1"/>
    <xf numFmtId="165" fontId="6" fillId="11" borderId="18" xfId="0" applyNumberFormat="1" applyFont="1" applyFill="1" applyBorder="1"/>
    <xf numFmtId="167" fontId="5" fillId="12" borderId="16" xfId="0" applyNumberFormat="1" applyFont="1" applyFill="1" applyBorder="1"/>
    <xf numFmtId="0" fontId="1" fillId="12" borderId="17" xfId="0" applyFont="1" applyFill="1" applyBorder="1"/>
    <xf numFmtId="0" fontId="18" fillId="12" borderId="17" xfId="0" applyFont="1" applyFill="1" applyBorder="1"/>
    <xf numFmtId="164" fontId="1" fillId="12" borderId="18" xfId="0" applyNumberFormat="1" applyFont="1" applyFill="1" applyBorder="1" applyAlignment="1">
      <alignment horizontal="center"/>
    </xf>
    <xf numFmtId="165" fontId="1" fillId="12" borderId="18" xfId="0" applyNumberFormat="1" applyFont="1" applyFill="1" applyBorder="1" applyAlignment="1">
      <alignment horizontal="right"/>
    </xf>
    <xf numFmtId="165" fontId="4" fillId="12" borderId="19" xfId="0" applyNumberFormat="1" applyFont="1" applyFill="1" applyBorder="1"/>
    <xf numFmtId="165" fontId="4" fillId="12" borderId="18" xfId="0" applyNumberFormat="1" applyFont="1" applyFill="1" applyBorder="1"/>
    <xf numFmtId="164" fontId="8" fillId="12" borderId="18" xfId="0" applyNumberFormat="1" applyFont="1" applyFill="1" applyBorder="1" applyAlignment="1">
      <alignment horizontal="center"/>
    </xf>
    <xf numFmtId="165" fontId="11" fillId="12" borderId="19" xfId="0" applyNumberFormat="1" applyFont="1" applyFill="1" applyBorder="1"/>
    <xf numFmtId="164" fontId="8" fillId="0" borderId="18" xfId="0" applyNumberFormat="1" applyFont="1" applyBorder="1" applyAlignment="1">
      <alignment horizontal="center" wrapText="1"/>
    </xf>
    <xf numFmtId="166" fontId="5" fillId="0" borderId="18" xfId="0" applyNumberFormat="1" applyFont="1" applyBorder="1"/>
    <xf numFmtId="165" fontId="5" fillId="0" borderId="18" xfId="0" applyNumberFormat="1" applyFont="1" applyBorder="1"/>
    <xf numFmtId="164" fontId="8" fillId="0" borderId="18" xfId="0" applyNumberFormat="1" applyFont="1" applyBorder="1" applyAlignment="1">
      <alignment horizontal="center"/>
    </xf>
    <xf numFmtId="164" fontId="5" fillId="0" borderId="16" xfId="0" applyNumberFormat="1" applyFont="1" applyBorder="1"/>
    <xf numFmtId="164" fontId="5" fillId="0" borderId="17" xfId="0" applyNumberFormat="1" applyFont="1" applyBorder="1"/>
    <xf numFmtId="0" fontId="19" fillId="23" borderId="17" xfId="0" quotePrefix="1" applyFont="1" applyFill="1" applyBorder="1"/>
    <xf numFmtId="0" fontId="5" fillId="23" borderId="17" xfId="0" applyFont="1" applyFill="1" applyBorder="1"/>
    <xf numFmtId="0" fontId="5" fillId="23" borderId="18" xfId="0" applyFont="1" applyFill="1" applyBorder="1"/>
    <xf numFmtId="0" fontId="5" fillId="0" borderId="18" xfId="0" applyFont="1" applyBorder="1"/>
    <xf numFmtId="165" fontId="6" fillId="0" borderId="19" xfId="0" applyNumberFormat="1" applyFont="1" applyBorder="1"/>
    <xf numFmtId="165" fontId="6" fillId="0" borderId="18" xfId="0" applyNumberFormat="1" applyFont="1" applyBorder="1"/>
    <xf numFmtId="0" fontId="8" fillId="0" borderId="17" xfId="0" quotePrefix="1" applyFont="1" applyBorder="1"/>
    <xf numFmtId="0" fontId="5" fillId="0" borderId="17" xfId="0" applyFont="1" applyBorder="1"/>
    <xf numFmtId="0" fontId="1" fillId="0" borderId="18" xfId="0" applyFont="1" applyBorder="1" applyAlignment="1">
      <alignment horizontal="center" wrapText="1"/>
    </xf>
    <xf numFmtId="166" fontId="1" fillId="12" borderId="18" xfId="0" applyNumberFormat="1" applyFont="1" applyFill="1" applyBorder="1" applyAlignment="1">
      <alignment horizontal="right"/>
    </xf>
    <xf numFmtId="165" fontId="1" fillId="0" borderId="18" xfId="0" applyNumberFormat="1" applyFont="1" applyBorder="1" applyAlignment="1">
      <alignment horizontal="right"/>
    </xf>
    <xf numFmtId="166" fontId="1" fillId="12" borderId="9" xfId="0" applyNumberFormat="1" applyFont="1" applyFill="1" applyBorder="1" applyAlignment="1">
      <alignment horizontal="right"/>
    </xf>
    <xf numFmtId="0" fontId="8" fillId="0" borderId="17" xfId="0" applyFont="1" applyBorder="1"/>
    <xf numFmtId="0" fontId="8" fillId="0" borderId="18" xfId="0" applyFont="1" applyBorder="1" applyAlignment="1">
      <alignment horizontal="center"/>
    </xf>
    <xf numFmtId="166" fontId="20" fillId="0" borderId="24" xfId="0" applyNumberFormat="1" applyFont="1" applyBorder="1" applyAlignment="1">
      <alignment horizontal="left"/>
    </xf>
    <xf numFmtId="166" fontId="8" fillId="12" borderId="18" xfId="0" applyNumberFormat="1" applyFont="1" applyFill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0" fontId="8" fillId="0" borderId="18" xfId="0" applyFont="1" applyBorder="1" applyAlignment="1">
      <alignment horizontal="center" wrapText="1"/>
    </xf>
    <xf numFmtId="164" fontId="4" fillId="22" borderId="22" xfId="0" applyNumberFormat="1" applyFont="1" applyFill="1" applyBorder="1"/>
    <xf numFmtId="0" fontId="6" fillId="22" borderId="23" xfId="0" applyFont="1" applyFill="1" applyBorder="1"/>
    <xf numFmtId="164" fontId="6" fillId="22" borderId="23" xfId="0" applyNumberFormat="1" applyFont="1" applyFill="1" applyBorder="1"/>
    <xf numFmtId="0" fontId="6" fillId="22" borderId="24" xfId="0" applyFont="1" applyFill="1" applyBorder="1"/>
    <xf numFmtId="164" fontId="6" fillId="22" borderId="24" xfId="0" applyNumberFormat="1" applyFont="1" applyFill="1" applyBorder="1"/>
    <xf numFmtId="166" fontId="6" fillId="22" borderId="24" xfId="0" applyNumberFormat="1" applyFont="1" applyFill="1" applyBorder="1"/>
    <xf numFmtId="165" fontId="6" fillId="22" borderId="24" xfId="0" applyNumberFormat="1" applyFont="1" applyFill="1" applyBorder="1"/>
    <xf numFmtId="167" fontId="6" fillId="11" borderId="16" xfId="0" applyNumberFormat="1" applyFont="1" applyFill="1" applyBorder="1"/>
    <xf numFmtId="0" fontId="4" fillId="11" borderId="17" xfId="0" applyFont="1" applyFill="1" applyBorder="1"/>
    <xf numFmtId="0" fontId="6" fillId="11" borderId="17" xfId="0" applyFont="1" applyFill="1" applyBorder="1"/>
    <xf numFmtId="164" fontId="6" fillId="11" borderId="17" xfId="0" applyNumberFormat="1" applyFont="1" applyFill="1" applyBorder="1"/>
    <xf numFmtId="0" fontId="6" fillId="11" borderId="18" xfId="0" applyFont="1" applyFill="1" applyBorder="1"/>
    <xf numFmtId="164" fontId="4" fillId="11" borderId="18" xfId="0" applyNumberFormat="1" applyFont="1" applyFill="1" applyBorder="1" applyAlignment="1">
      <alignment horizontal="center" wrapText="1"/>
    </xf>
    <xf numFmtId="166" fontId="4" fillId="11" borderId="18" xfId="0" applyNumberFormat="1" applyFont="1" applyFill="1" applyBorder="1" applyAlignment="1">
      <alignment horizontal="right"/>
    </xf>
    <xf numFmtId="167" fontId="6" fillId="12" borderId="16" xfId="0" applyNumberFormat="1" applyFont="1" applyFill="1" applyBorder="1"/>
    <xf numFmtId="0" fontId="6" fillId="12" borderId="17" xfId="0" applyFont="1" applyFill="1" applyBorder="1"/>
    <xf numFmtId="0" fontId="4" fillId="12" borderId="17" xfId="0" applyFont="1" applyFill="1" applyBorder="1"/>
    <xf numFmtId="0" fontId="21" fillId="12" borderId="17" xfId="0" applyFont="1" applyFill="1" applyBorder="1"/>
    <xf numFmtId="0" fontId="6" fillId="12" borderId="18" xfId="0" applyFont="1" applyFill="1" applyBorder="1"/>
    <xf numFmtId="164" fontId="4" fillId="12" borderId="18" xfId="0" applyNumberFormat="1" applyFont="1" applyFill="1" applyBorder="1" applyAlignment="1">
      <alignment horizontal="center"/>
    </xf>
    <xf numFmtId="166" fontId="6" fillId="12" borderId="18" xfId="0" applyNumberFormat="1" applyFont="1" applyFill="1" applyBorder="1"/>
    <xf numFmtId="165" fontId="4" fillId="12" borderId="18" xfId="0" applyNumberFormat="1" applyFont="1" applyFill="1" applyBorder="1" applyAlignment="1">
      <alignment horizontal="right"/>
    </xf>
    <xf numFmtId="0" fontId="11" fillId="12" borderId="17" xfId="0" applyFont="1" applyFill="1" applyBorder="1"/>
    <xf numFmtId="164" fontId="11" fillId="12" borderId="18" xfId="0" applyNumberFormat="1" applyFont="1" applyFill="1" applyBorder="1" applyAlignment="1">
      <alignment horizontal="center"/>
    </xf>
    <xf numFmtId="0" fontId="12" fillId="12" borderId="17" xfId="0" applyFont="1" applyFill="1" applyBorder="1"/>
    <xf numFmtId="164" fontId="12" fillId="12" borderId="18" xfId="0" applyNumberFormat="1" applyFont="1" applyFill="1" applyBorder="1" applyAlignment="1">
      <alignment horizontal="center"/>
    </xf>
    <xf numFmtId="164" fontId="6" fillId="12" borderId="17" xfId="0" applyNumberFormat="1" applyFont="1" applyFill="1" applyBorder="1"/>
    <xf numFmtId="0" fontId="22" fillId="12" borderId="17" xfId="0" applyFont="1" applyFill="1" applyBorder="1"/>
    <xf numFmtId="164" fontId="12" fillId="0" borderId="18" xfId="0" applyNumberFormat="1" applyFont="1" applyBorder="1" applyAlignment="1">
      <alignment horizontal="center" wrapText="1"/>
    </xf>
    <xf numFmtId="166" fontId="6" fillId="0" borderId="18" xfId="0" applyNumberFormat="1" applyFont="1" applyBorder="1"/>
    <xf numFmtId="164" fontId="11" fillId="0" borderId="18" xfId="0" applyNumberFormat="1" applyFont="1" applyBorder="1" applyAlignment="1">
      <alignment horizontal="center" wrapText="1"/>
    </xf>
    <xf numFmtId="164" fontId="23" fillId="12" borderId="17" xfId="0" applyNumberFormat="1" applyFont="1" applyFill="1" applyBorder="1"/>
    <xf numFmtId="164" fontId="12" fillId="0" borderId="18" xfId="0" applyNumberFormat="1" applyFont="1" applyBorder="1" applyAlignment="1">
      <alignment horizontal="center"/>
    </xf>
    <xf numFmtId="164" fontId="6" fillId="0" borderId="16" xfId="0" applyNumberFormat="1" applyFont="1" applyBorder="1"/>
    <xf numFmtId="164" fontId="6" fillId="0" borderId="17" xfId="0" applyNumberFormat="1" applyFont="1" applyBorder="1"/>
    <xf numFmtId="164" fontId="4" fillId="12" borderId="17" xfId="0" applyNumberFormat="1" applyFont="1" applyFill="1" applyBorder="1"/>
    <xf numFmtId="0" fontId="24" fillId="23" borderId="17" xfId="0" quotePrefix="1" applyFont="1" applyFill="1" applyBorder="1"/>
    <xf numFmtId="0" fontId="6" fillId="23" borderId="17" xfId="0" applyFont="1" applyFill="1" applyBorder="1"/>
    <xf numFmtId="0" fontId="6" fillId="23" borderId="18" xfId="0" applyFont="1" applyFill="1" applyBorder="1"/>
    <xf numFmtId="0" fontId="6" fillId="0" borderId="18" xfId="0" applyFont="1" applyBorder="1"/>
    <xf numFmtId="164" fontId="6" fillId="9" borderId="16" xfId="0" applyNumberFormat="1" applyFont="1" applyFill="1" applyBorder="1"/>
    <xf numFmtId="164" fontId="6" fillId="9" borderId="17" xfId="0" applyNumberFormat="1" applyFont="1" applyFill="1" applyBorder="1"/>
    <xf numFmtId="0" fontId="6" fillId="9" borderId="17" xfId="0" applyFont="1" applyFill="1" applyBorder="1"/>
    <xf numFmtId="0" fontId="6" fillId="9" borderId="18" xfId="0" applyFont="1" applyFill="1" applyBorder="1"/>
    <xf numFmtId="166" fontId="6" fillId="9" borderId="18" xfId="0" applyNumberFormat="1" applyFont="1" applyFill="1" applyBorder="1"/>
    <xf numFmtId="0" fontId="4" fillId="0" borderId="17" xfId="0" applyFont="1" applyBorder="1"/>
    <xf numFmtId="0" fontId="6" fillId="0" borderId="0" xfId="0" applyFont="1"/>
    <xf numFmtId="0" fontId="6" fillId="0" borderId="17" xfId="0" applyFont="1" applyBorder="1"/>
    <xf numFmtId="0" fontId="12" fillId="0" borderId="17" xfId="0" applyFont="1" applyBorder="1"/>
    <xf numFmtId="0" fontId="12" fillId="12" borderId="18" xfId="0" applyFont="1" applyFill="1" applyBorder="1" applyAlignment="1">
      <alignment horizontal="center"/>
    </xf>
    <xf numFmtId="166" fontId="12" fillId="12" borderId="18" xfId="0" applyNumberFormat="1" applyFont="1" applyFill="1" applyBorder="1" applyAlignment="1">
      <alignment horizontal="right"/>
    </xf>
    <xf numFmtId="166" fontId="12" fillId="24" borderId="18" xfId="0" applyNumberFormat="1" applyFont="1" applyFill="1" applyBorder="1" applyAlignment="1">
      <alignment horizontal="right"/>
    </xf>
    <xf numFmtId="0" fontId="12" fillId="0" borderId="18" xfId="0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7" fontId="6" fillId="22" borderId="23" xfId="0" applyNumberFormat="1" applyFont="1" applyFill="1" applyBorder="1"/>
    <xf numFmtId="166" fontId="6" fillId="22" borderId="23" xfId="0" applyNumberFormat="1" applyFont="1" applyFill="1" applyBorder="1"/>
    <xf numFmtId="165" fontId="6" fillId="22" borderId="23" xfId="0" applyNumberFormat="1" applyFont="1" applyFill="1" applyBorder="1"/>
    <xf numFmtId="164" fontId="4" fillId="11" borderId="17" xfId="0" applyNumberFormat="1" applyFont="1" applyFill="1" applyBorder="1"/>
    <xf numFmtId="167" fontId="6" fillId="11" borderId="17" xfId="0" applyNumberFormat="1" applyFont="1" applyFill="1" applyBorder="1"/>
    <xf numFmtId="164" fontId="4" fillId="11" borderId="18" xfId="0" applyNumberFormat="1" applyFont="1" applyFill="1" applyBorder="1" applyAlignment="1">
      <alignment horizontal="center"/>
    </xf>
    <xf numFmtId="167" fontId="6" fillId="12" borderId="17" xfId="0" applyNumberFormat="1" applyFont="1" applyFill="1" applyBorder="1"/>
    <xf numFmtId="164" fontId="12" fillId="12" borderId="18" xfId="0" applyNumberFormat="1" applyFont="1" applyFill="1" applyBorder="1" applyAlignment="1">
      <alignment horizontal="center" wrapText="1"/>
    </xf>
    <xf numFmtId="164" fontId="11" fillId="12" borderId="18" xfId="0" applyNumberFormat="1" applyFont="1" applyFill="1" applyBorder="1" applyAlignment="1">
      <alignment horizontal="center" wrapText="1"/>
    </xf>
    <xf numFmtId="164" fontId="25" fillId="12" borderId="17" xfId="0" applyNumberFormat="1" applyFont="1" applyFill="1" applyBorder="1" applyAlignment="1">
      <alignment horizontal="center"/>
    </xf>
    <xf numFmtId="164" fontId="6" fillId="0" borderId="18" xfId="0" applyNumberFormat="1" applyFont="1" applyBorder="1"/>
    <xf numFmtId="0" fontId="11" fillId="0" borderId="17" xfId="0" applyFont="1" applyBorder="1"/>
    <xf numFmtId="164" fontId="6" fillId="12" borderId="18" xfId="0" applyNumberFormat="1" applyFont="1" applyFill="1" applyBorder="1"/>
    <xf numFmtId="164" fontId="6" fillId="9" borderId="18" xfId="0" applyNumberFormat="1" applyFont="1" applyFill="1" applyBorder="1"/>
    <xf numFmtId="167" fontId="5" fillId="22" borderId="17" xfId="0" applyNumberFormat="1" applyFont="1" applyFill="1" applyBorder="1"/>
    <xf numFmtId="166" fontId="5" fillId="22" borderId="17" xfId="0" applyNumberFormat="1" applyFont="1" applyFill="1" applyBorder="1"/>
    <xf numFmtId="165" fontId="5" fillId="22" borderId="17" xfId="0" applyNumberFormat="1" applyFont="1" applyFill="1" applyBorder="1"/>
    <xf numFmtId="167" fontId="5" fillId="11" borderId="17" xfId="0" applyNumberFormat="1" applyFont="1" applyFill="1" applyBorder="1"/>
    <xf numFmtId="167" fontId="1" fillId="11" borderId="17" xfId="0" applyNumberFormat="1" applyFont="1" applyFill="1" applyBorder="1"/>
    <xf numFmtId="164" fontId="5" fillId="0" borderId="18" xfId="0" applyNumberFormat="1" applyFont="1" applyBorder="1"/>
    <xf numFmtId="167" fontId="5" fillId="12" borderId="22" xfId="0" applyNumberFormat="1" applyFont="1" applyFill="1" applyBorder="1"/>
    <xf numFmtId="0" fontId="5" fillId="0" borderId="23" xfId="0" applyFont="1" applyBorder="1"/>
    <xf numFmtId="0" fontId="8" fillId="12" borderId="23" xfId="0" applyFont="1" applyFill="1" applyBorder="1"/>
    <xf numFmtId="164" fontId="8" fillId="0" borderId="24" xfId="0" applyNumberFormat="1" applyFont="1" applyBorder="1" applyAlignment="1">
      <alignment horizontal="center"/>
    </xf>
    <xf numFmtId="166" fontId="8" fillId="12" borderId="24" xfId="0" applyNumberFormat="1" applyFont="1" applyFill="1" applyBorder="1" applyAlignment="1">
      <alignment horizontal="right"/>
    </xf>
    <xf numFmtId="0" fontId="26" fillId="12" borderId="23" xfId="0" applyFont="1" applyFill="1" applyBorder="1"/>
    <xf numFmtId="167" fontId="5" fillId="12" borderId="26" xfId="0" applyNumberFormat="1" applyFont="1" applyFill="1" applyBorder="1"/>
    <xf numFmtId="0" fontId="5" fillId="12" borderId="27" xfId="0" applyFont="1" applyFill="1" applyBorder="1"/>
    <xf numFmtId="0" fontId="8" fillId="12" borderId="27" xfId="0" applyFont="1" applyFill="1" applyBorder="1"/>
    <xf numFmtId="0" fontId="5" fillId="12" borderId="28" xfId="0" applyFont="1" applyFill="1" applyBorder="1"/>
    <xf numFmtId="164" fontId="8" fillId="0" borderId="28" xfId="0" applyNumberFormat="1" applyFont="1" applyBorder="1" applyAlignment="1">
      <alignment horizontal="center"/>
    </xf>
    <xf numFmtId="166" fontId="8" fillId="12" borderId="28" xfId="0" applyNumberFormat="1" applyFont="1" applyFill="1" applyBorder="1" applyAlignment="1">
      <alignment horizontal="right"/>
    </xf>
    <xf numFmtId="165" fontId="5" fillId="12" borderId="28" xfId="0" applyNumberFormat="1" applyFont="1" applyFill="1" applyBorder="1"/>
    <xf numFmtId="164" fontId="1" fillId="22" borderId="22" xfId="0" applyNumberFormat="1" applyFont="1" applyFill="1" applyBorder="1"/>
    <xf numFmtId="0" fontId="5" fillId="22" borderId="23" xfId="0" applyFont="1" applyFill="1" applyBorder="1"/>
    <xf numFmtId="167" fontId="5" fillId="22" borderId="23" xfId="0" applyNumberFormat="1" applyFont="1" applyFill="1" applyBorder="1"/>
    <xf numFmtId="166" fontId="5" fillId="22" borderId="23" xfId="0" applyNumberFormat="1" applyFont="1" applyFill="1" applyBorder="1"/>
    <xf numFmtId="165" fontId="5" fillId="22" borderId="23" xfId="0" applyNumberFormat="1" applyFont="1" applyFill="1" applyBorder="1"/>
    <xf numFmtId="165" fontId="5" fillId="22" borderId="24" xfId="0" applyNumberFormat="1" applyFont="1" applyFill="1" applyBorder="1"/>
    <xf numFmtId="164" fontId="1" fillId="11" borderId="18" xfId="0" applyNumberFormat="1" applyFont="1" applyFill="1" applyBorder="1" applyAlignment="1">
      <alignment horizontal="center"/>
    </xf>
    <xf numFmtId="167" fontId="5" fillId="12" borderId="8" xfId="0" applyNumberFormat="1" applyFont="1" applyFill="1" applyBorder="1"/>
    <xf numFmtId="164" fontId="8" fillId="0" borderId="9" xfId="0" applyNumberFormat="1" applyFont="1" applyBorder="1" applyAlignment="1">
      <alignment horizontal="center"/>
    </xf>
    <xf numFmtId="166" fontId="8" fillId="12" borderId="9" xfId="0" applyNumberFormat="1" applyFont="1" applyFill="1" applyBorder="1" applyAlignment="1">
      <alignment horizontal="right"/>
    </xf>
    <xf numFmtId="164" fontId="1" fillId="8" borderId="5" xfId="0" applyNumberFormat="1" applyFont="1" applyFill="1" applyBorder="1"/>
    <xf numFmtId="164" fontId="5" fillId="8" borderId="6" xfId="0" applyNumberFormat="1" applyFont="1" applyFill="1" applyBorder="1"/>
    <xf numFmtId="0" fontId="5" fillId="8" borderId="6" xfId="0" applyFont="1" applyFill="1" applyBorder="1"/>
    <xf numFmtId="166" fontId="5" fillId="8" borderId="6" xfId="0" applyNumberFormat="1" applyFont="1" applyFill="1" applyBorder="1"/>
    <xf numFmtId="165" fontId="5" fillId="8" borderId="6" xfId="0" applyNumberFormat="1" applyFont="1" applyFill="1" applyBorder="1"/>
    <xf numFmtId="165" fontId="5" fillId="8" borderId="7" xfId="0" applyNumberFormat="1" applyFont="1" applyFill="1" applyBorder="1"/>
    <xf numFmtId="165" fontId="6" fillId="8" borderId="11" xfId="0" applyNumberFormat="1" applyFont="1" applyFill="1" applyBorder="1"/>
    <xf numFmtId="165" fontId="6" fillId="8" borderId="12" xfId="0" applyNumberFormat="1" applyFont="1" applyFill="1" applyBorder="1"/>
    <xf numFmtId="165" fontId="6" fillId="8" borderId="13" xfId="0" applyNumberFormat="1" applyFont="1" applyFill="1" applyBorder="1"/>
    <xf numFmtId="164" fontId="1" fillId="25" borderId="16" xfId="0" applyNumberFormat="1" applyFont="1" applyFill="1" applyBorder="1"/>
    <xf numFmtId="164" fontId="5" fillId="25" borderId="17" xfId="0" applyNumberFormat="1" applyFont="1" applyFill="1" applyBorder="1"/>
    <xf numFmtId="0" fontId="5" fillId="25" borderId="17" xfId="0" applyFont="1" applyFill="1" applyBorder="1"/>
    <xf numFmtId="0" fontId="5" fillId="25" borderId="18" xfId="0" applyFont="1" applyFill="1" applyBorder="1"/>
    <xf numFmtId="166" fontId="5" fillId="25" borderId="18" xfId="0" applyNumberFormat="1" applyFont="1" applyFill="1" applyBorder="1"/>
    <xf numFmtId="165" fontId="5" fillId="25" borderId="18" xfId="0" applyNumberFormat="1" applyFont="1" applyFill="1" applyBorder="1"/>
    <xf numFmtId="165" fontId="6" fillId="25" borderId="19" xfId="0" applyNumberFormat="1" applyFont="1" applyFill="1" applyBorder="1"/>
    <xf numFmtId="165" fontId="6" fillId="25" borderId="18" xfId="0" applyNumberFormat="1" applyFont="1" applyFill="1" applyBorder="1"/>
    <xf numFmtId="164" fontId="5" fillId="23" borderId="16" xfId="0" applyNumberFormat="1" applyFont="1" applyFill="1" applyBorder="1"/>
    <xf numFmtId="0" fontId="1" fillId="23" borderId="17" xfId="0" applyFont="1" applyFill="1" applyBorder="1"/>
    <xf numFmtId="164" fontId="5" fillId="23" borderId="17" xfId="0" applyNumberFormat="1" applyFont="1" applyFill="1" applyBorder="1"/>
    <xf numFmtId="0" fontId="1" fillId="23" borderId="18" xfId="0" applyFont="1" applyFill="1" applyBorder="1" applyAlignment="1">
      <alignment horizontal="center" wrapText="1"/>
    </xf>
    <xf numFmtId="166" fontId="1" fillId="23" borderId="18" xfId="0" applyNumberFormat="1" applyFont="1" applyFill="1" applyBorder="1" applyAlignment="1">
      <alignment horizontal="right"/>
    </xf>
    <xf numFmtId="165" fontId="1" fillId="23" borderId="18" xfId="0" applyNumberFormat="1" applyFont="1" applyFill="1" applyBorder="1" applyAlignment="1">
      <alignment horizontal="right"/>
    </xf>
    <xf numFmtId="165" fontId="5" fillId="23" borderId="18" xfId="0" applyNumberFormat="1" applyFont="1" applyFill="1" applyBorder="1"/>
    <xf numFmtId="165" fontId="6" fillId="23" borderId="19" xfId="0" applyNumberFormat="1" applyFont="1" applyFill="1" applyBorder="1"/>
    <xf numFmtId="165" fontId="6" fillId="23" borderId="18" xfId="0" applyNumberFormat="1" applyFont="1" applyFill="1" applyBorder="1"/>
    <xf numFmtId="164" fontId="5" fillId="12" borderId="16" xfId="0" applyNumberFormat="1" applyFont="1" applyFill="1" applyBorder="1"/>
    <xf numFmtId="164" fontId="8" fillId="12" borderId="17" xfId="0" applyNumberFormat="1" applyFont="1" applyFill="1" applyBorder="1"/>
    <xf numFmtId="0" fontId="8" fillId="12" borderId="18" xfId="0" applyFont="1" applyFill="1" applyBorder="1" applyAlignment="1">
      <alignment horizontal="center" wrapText="1"/>
    </xf>
    <xf numFmtId="164" fontId="5" fillId="12" borderId="17" xfId="0" applyNumberFormat="1" applyFont="1" applyFill="1" applyBorder="1"/>
    <xf numFmtId="164" fontId="5" fillId="26" borderId="16" xfId="0" applyNumberFormat="1" applyFont="1" applyFill="1" applyBorder="1"/>
    <xf numFmtId="164" fontId="5" fillId="26" borderId="17" xfId="0" applyNumberFormat="1" applyFont="1" applyFill="1" applyBorder="1"/>
    <xf numFmtId="0" fontId="1" fillId="26" borderId="17" xfId="0" applyFont="1" applyFill="1" applyBorder="1"/>
    <xf numFmtId="0" fontId="5" fillId="26" borderId="17" xfId="0" applyFont="1" applyFill="1" applyBorder="1"/>
    <xf numFmtId="0" fontId="5" fillId="26" borderId="18" xfId="0" applyFont="1" applyFill="1" applyBorder="1"/>
    <xf numFmtId="0" fontId="1" fillId="26" borderId="18" xfId="0" applyFont="1" applyFill="1" applyBorder="1" applyAlignment="1">
      <alignment horizontal="center" wrapText="1"/>
    </xf>
    <xf numFmtId="166" fontId="1" fillId="26" borderId="18" xfId="0" applyNumberFormat="1" applyFont="1" applyFill="1" applyBorder="1" applyAlignment="1">
      <alignment horizontal="right"/>
    </xf>
    <xf numFmtId="165" fontId="1" fillId="26" borderId="18" xfId="0" applyNumberFormat="1" applyFont="1" applyFill="1" applyBorder="1" applyAlignment="1">
      <alignment horizontal="right"/>
    </xf>
    <xf numFmtId="165" fontId="5" fillId="26" borderId="18" xfId="0" applyNumberFormat="1" applyFont="1" applyFill="1" applyBorder="1"/>
    <xf numFmtId="165" fontId="6" fillId="26" borderId="19" xfId="0" applyNumberFormat="1" applyFont="1" applyFill="1" applyBorder="1"/>
    <xf numFmtId="165" fontId="6" fillId="26" borderId="18" xfId="0" applyNumberFormat="1" applyFont="1" applyFill="1" applyBorder="1"/>
    <xf numFmtId="0" fontId="27" fillId="12" borderId="17" xfId="0" quotePrefix="1" applyFont="1" applyFill="1" applyBorder="1"/>
    <xf numFmtId="164" fontId="1" fillId="0" borderId="18" xfId="0" applyNumberFormat="1" applyFont="1" applyBorder="1" applyAlignment="1">
      <alignment horizontal="center" wrapText="1"/>
    </xf>
    <xf numFmtId="0" fontId="1" fillId="12" borderId="18" xfId="0" applyFont="1" applyFill="1" applyBorder="1" applyAlignment="1">
      <alignment horizontal="center" wrapText="1"/>
    </xf>
    <xf numFmtId="0" fontId="1" fillId="26" borderId="18" xfId="0" applyFont="1" applyFill="1" applyBorder="1" applyAlignment="1">
      <alignment horizontal="center"/>
    </xf>
    <xf numFmtId="165" fontId="4" fillId="12" borderId="25" xfId="0" applyNumberFormat="1" applyFont="1" applyFill="1" applyBorder="1" applyAlignment="1">
      <alignment horizontal="right"/>
    </xf>
    <xf numFmtId="165" fontId="6" fillId="12" borderId="24" xfId="0" applyNumberFormat="1" applyFont="1" applyFill="1" applyBorder="1"/>
    <xf numFmtId="165" fontId="4" fillId="12" borderId="24" xfId="0" applyNumberFormat="1" applyFont="1" applyFill="1" applyBorder="1" applyAlignment="1">
      <alignment horizontal="right"/>
    </xf>
    <xf numFmtId="0" fontId="12" fillId="12" borderId="23" xfId="0" applyFont="1" applyFill="1" applyBorder="1"/>
    <xf numFmtId="165" fontId="12" fillId="24" borderId="18" xfId="0" applyNumberFormat="1" applyFont="1" applyFill="1" applyBorder="1" applyAlignment="1">
      <alignment horizontal="right"/>
    </xf>
    <xf numFmtId="0" fontId="8" fillId="0" borderId="18" xfId="0" applyFont="1" applyBorder="1"/>
    <xf numFmtId="165" fontId="4" fillId="12" borderId="19" xfId="0" applyNumberFormat="1" applyFont="1" applyFill="1" applyBorder="1" applyAlignment="1">
      <alignment horizontal="right"/>
    </xf>
    <xf numFmtId="164" fontId="1" fillId="12" borderId="17" xfId="0" applyNumberFormat="1" applyFont="1" applyFill="1" applyBorder="1"/>
    <xf numFmtId="164" fontId="5" fillId="27" borderId="16" xfId="0" applyNumberFormat="1" applyFont="1" applyFill="1" applyBorder="1"/>
    <xf numFmtId="164" fontId="5" fillId="27" borderId="17" xfId="0" applyNumberFormat="1" applyFont="1" applyFill="1" applyBorder="1"/>
    <xf numFmtId="0" fontId="8" fillId="27" borderId="17" xfId="0" applyFont="1" applyFill="1" applyBorder="1"/>
    <xf numFmtId="0" fontId="5" fillId="27" borderId="17" xfId="0" applyFont="1" applyFill="1" applyBorder="1"/>
    <xf numFmtId="0" fontId="5" fillId="27" borderId="18" xfId="0" applyFont="1" applyFill="1" applyBorder="1"/>
    <xf numFmtId="164" fontId="8" fillId="27" borderId="18" xfId="0" applyNumberFormat="1" applyFont="1" applyFill="1" applyBorder="1" applyAlignment="1">
      <alignment horizontal="center" wrapText="1"/>
    </xf>
    <xf numFmtId="166" fontId="5" fillId="27" borderId="18" xfId="0" applyNumberFormat="1" applyFont="1" applyFill="1" applyBorder="1"/>
    <xf numFmtId="165" fontId="5" fillId="27" borderId="18" xfId="0" applyNumberFormat="1" applyFont="1" applyFill="1" applyBorder="1"/>
    <xf numFmtId="165" fontId="8" fillId="27" borderId="18" xfId="0" applyNumberFormat="1" applyFont="1" applyFill="1" applyBorder="1" applyAlignment="1">
      <alignment horizontal="right"/>
    </xf>
    <xf numFmtId="164" fontId="8" fillId="0" borderId="17" xfId="0" quotePrefix="1" applyNumberFormat="1" applyFont="1" applyBorder="1"/>
    <xf numFmtId="164" fontId="28" fillId="27" borderId="16" xfId="0" applyNumberFormat="1" applyFont="1" applyFill="1" applyBorder="1"/>
    <xf numFmtId="164" fontId="28" fillId="27" borderId="17" xfId="0" applyNumberFormat="1" applyFont="1" applyFill="1" applyBorder="1"/>
    <xf numFmtId="0" fontId="25" fillId="27" borderId="17" xfId="0" applyFont="1" applyFill="1" applyBorder="1"/>
    <xf numFmtId="0" fontId="28" fillId="27" borderId="17" xfId="0" applyFont="1" applyFill="1" applyBorder="1"/>
    <xf numFmtId="0" fontId="28" fillId="27" borderId="18" xfId="0" applyFont="1" applyFill="1" applyBorder="1"/>
    <xf numFmtId="0" fontId="25" fillId="27" borderId="18" xfId="0" applyFont="1" applyFill="1" applyBorder="1" applyAlignment="1">
      <alignment horizontal="center" wrapText="1"/>
    </xf>
    <xf numFmtId="166" fontId="25" fillId="27" borderId="18" xfId="0" applyNumberFormat="1" applyFont="1" applyFill="1" applyBorder="1" applyAlignment="1">
      <alignment horizontal="right"/>
    </xf>
    <xf numFmtId="165" fontId="25" fillId="27" borderId="18" xfId="0" applyNumberFormat="1" applyFont="1" applyFill="1" applyBorder="1" applyAlignment="1">
      <alignment horizontal="right"/>
    </xf>
    <xf numFmtId="167" fontId="28" fillId="27" borderId="16" xfId="0" applyNumberFormat="1" applyFont="1" applyFill="1" applyBorder="1"/>
    <xf numFmtId="0" fontId="29" fillId="27" borderId="17" xfId="0" applyFont="1" applyFill="1" applyBorder="1"/>
    <xf numFmtId="164" fontId="25" fillId="27" borderId="18" xfId="0" applyNumberFormat="1" applyFont="1" applyFill="1" applyBorder="1" applyAlignment="1">
      <alignment horizontal="center" wrapText="1"/>
    </xf>
    <xf numFmtId="166" fontId="28" fillId="27" borderId="18" xfId="0" applyNumberFormat="1" applyFont="1" applyFill="1" applyBorder="1"/>
    <xf numFmtId="165" fontId="28" fillId="27" borderId="18" xfId="0" applyNumberFormat="1" applyFont="1" applyFill="1" applyBorder="1"/>
    <xf numFmtId="165" fontId="1" fillId="27" borderId="18" xfId="0" applyNumberFormat="1" applyFont="1" applyFill="1" applyBorder="1" applyAlignment="1">
      <alignment horizontal="right"/>
    </xf>
    <xf numFmtId="0" fontId="11" fillId="27" borderId="17" xfId="0" applyFont="1" applyFill="1" applyBorder="1"/>
    <xf numFmtId="164" fontId="11" fillId="27" borderId="18" xfId="0" applyNumberFormat="1" applyFont="1" applyFill="1" applyBorder="1" applyAlignment="1">
      <alignment horizontal="center" wrapText="1"/>
    </xf>
    <xf numFmtId="164" fontId="25" fillId="27" borderId="17" xfId="0" applyNumberFormat="1" applyFont="1" applyFill="1" applyBorder="1"/>
    <xf numFmtId="0" fontId="30" fillId="27" borderId="17" xfId="0" quotePrefix="1" applyFont="1" applyFill="1" applyBorder="1"/>
    <xf numFmtId="0" fontId="11" fillId="27" borderId="18" xfId="0" applyFont="1" applyFill="1" applyBorder="1" applyAlignment="1">
      <alignment horizontal="center"/>
    </xf>
    <xf numFmtId="166" fontId="11" fillId="27" borderId="18" xfId="0" applyNumberFormat="1" applyFont="1" applyFill="1" applyBorder="1" applyAlignment="1">
      <alignment horizontal="right"/>
    </xf>
    <xf numFmtId="165" fontId="11" fillId="27" borderId="18" xfId="0" applyNumberFormat="1" applyFont="1" applyFill="1" applyBorder="1" applyAlignment="1">
      <alignment horizontal="right"/>
    </xf>
    <xf numFmtId="164" fontId="11" fillId="27" borderId="17" xfId="0" quotePrefix="1" applyNumberFormat="1" applyFont="1" applyFill="1" applyBorder="1"/>
    <xf numFmtId="0" fontId="11" fillId="27" borderId="17" xfId="0" quotePrefix="1" applyFont="1" applyFill="1" applyBorder="1"/>
    <xf numFmtId="46" fontId="6" fillId="12" borderId="22" xfId="0" applyNumberFormat="1" applyFont="1" applyFill="1" applyBorder="1"/>
    <xf numFmtId="164" fontId="6" fillId="12" borderId="23" xfId="0" applyNumberFormat="1" applyFont="1" applyFill="1" applyBorder="1"/>
    <xf numFmtId="0" fontId="12" fillId="12" borderId="23" xfId="0" quotePrefix="1" applyFont="1" applyFill="1" applyBorder="1"/>
    <xf numFmtId="0" fontId="6" fillId="12" borderId="23" xfId="0" applyFont="1" applyFill="1" applyBorder="1"/>
    <xf numFmtId="0" fontId="6" fillId="12" borderId="24" xfId="0" applyFont="1" applyFill="1" applyBorder="1"/>
    <xf numFmtId="164" fontId="12" fillId="12" borderId="24" xfId="0" applyNumberFormat="1" applyFont="1" applyFill="1" applyBorder="1" applyAlignment="1">
      <alignment horizontal="center"/>
    </xf>
    <xf numFmtId="166" fontId="12" fillId="12" borderId="24" xfId="0" applyNumberFormat="1" applyFont="1" applyFill="1" applyBorder="1"/>
    <xf numFmtId="166" fontId="12" fillId="12" borderId="24" xfId="0" applyNumberFormat="1" applyFont="1" applyFill="1" applyBorder="1" applyAlignment="1">
      <alignment horizontal="right"/>
    </xf>
    <xf numFmtId="165" fontId="12" fillId="12" borderId="24" xfId="0" applyNumberFormat="1" applyFont="1" applyFill="1" applyBorder="1"/>
    <xf numFmtId="164" fontId="5" fillId="0" borderId="8" xfId="0" applyNumberFormat="1" applyFont="1" applyBorder="1"/>
    <xf numFmtId="164" fontId="5" fillId="0" borderId="0" xfId="0" applyNumberFormat="1" applyFont="1"/>
    <xf numFmtId="0" fontId="8" fillId="0" borderId="0" xfId="0" quotePrefix="1" applyFont="1"/>
    <xf numFmtId="0" fontId="5" fillId="0" borderId="0" xfId="0" applyFont="1"/>
    <xf numFmtId="0" fontId="5" fillId="0" borderId="9" xfId="0" applyFont="1" applyBorder="1"/>
    <xf numFmtId="165" fontId="8" fillId="0" borderId="9" xfId="0" applyNumberFormat="1" applyFont="1" applyBorder="1" applyAlignment="1">
      <alignment horizontal="right"/>
    </xf>
    <xf numFmtId="165" fontId="5" fillId="0" borderId="9" xfId="0" applyNumberFormat="1" applyFont="1" applyBorder="1"/>
    <xf numFmtId="165" fontId="6" fillId="0" borderId="14" xfId="0" applyNumberFormat="1" applyFont="1" applyBorder="1"/>
    <xf numFmtId="165" fontId="6" fillId="0" borderId="13" xfId="0" applyNumberFormat="1" applyFont="1" applyBorder="1"/>
    <xf numFmtId="164" fontId="3" fillId="28" borderId="5" xfId="0" applyNumberFormat="1" applyFont="1" applyFill="1" applyBorder="1"/>
    <xf numFmtId="164" fontId="31" fillId="28" borderId="6" xfId="0" applyNumberFormat="1" applyFont="1" applyFill="1" applyBorder="1"/>
    <xf numFmtId="0" fontId="31" fillId="28" borderId="6" xfId="0" applyFont="1" applyFill="1" applyBorder="1"/>
    <xf numFmtId="166" fontId="31" fillId="28" borderId="6" xfId="0" applyNumberFormat="1" applyFont="1" applyFill="1" applyBorder="1"/>
    <xf numFmtId="165" fontId="31" fillId="28" borderId="6" xfId="0" applyNumberFormat="1" applyFont="1" applyFill="1" applyBorder="1"/>
    <xf numFmtId="165" fontId="5" fillId="28" borderId="6" xfId="0" applyNumberFormat="1" applyFont="1" applyFill="1" applyBorder="1"/>
    <xf numFmtId="165" fontId="5" fillId="28" borderId="7" xfId="0" applyNumberFormat="1" applyFont="1" applyFill="1" applyBorder="1"/>
    <xf numFmtId="165" fontId="6" fillId="28" borderId="11" xfId="0" applyNumberFormat="1" applyFont="1" applyFill="1" applyBorder="1"/>
    <xf numFmtId="165" fontId="6" fillId="28" borderId="12" xfId="0" applyNumberFormat="1" applyFont="1" applyFill="1" applyBorder="1"/>
    <xf numFmtId="165" fontId="6" fillId="28" borderId="13" xfId="0" applyNumberFormat="1" applyFont="1" applyFill="1" applyBorder="1"/>
    <xf numFmtId="164" fontId="1" fillId="29" borderId="16" xfId="0" applyNumberFormat="1" applyFont="1" applyFill="1" applyBorder="1"/>
    <xf numFmtId="0" fontId="5" fillId="29" borderId="17" xfId="0" applyFont="1" applyFill="1" applyBorder="1"/>
    <xf numFmtId="164" fontId="5" fillId="29" borderId="17" xfId="0" applyNumberFormat="1" applyFont="1" applyFill="1" applyBorder="1"/>
    <xf numFmtId="166" fontId="5" fillId="29" borderId="17" xfId="0" applyNumberFormat="1" applyFont="1" applyFill="1" applyBorder="1"/>
    <xf numFmtId="166" fontId="5" fillId="29" borderId="18" xfId="0" applyNumberFormat="1" applyFont="1" applyFill="1" applyBorder="1"/>
    <xf numFmtId="165" fontId="5" fillId="29" borderId="18" xfId="0" applyNumberFormat="1" applyFont="1" applyFill="1" applyBorder="1"/>
    <xf numFmtId="165" fontId="6" fillId="29" borderId="19" xfId="0" applyNumberFormat="1" applyFont="1" applyFill="1" applyBorder="1"/>
    <xf numFmtId="165" fontId="6" fillId="29" borderId="18" xfId="0" applyNumberFormat="1" applyFont="1" applyFill="1" applyBorder="1"/>
    <xf numFmtId="167" fontId="5" fillId="30" borderId="16" xfId="0" applyNumberFormat="1" applyFont="1" applyFill="1" applyBorder="1"/>
    <xf numFmtId="0" fontId="1" fillId="30" borderId="17" xfId="0" applyFont="1" applyFill="1" applyBorder="1"/>
    <xf numFmtId="0" fontId="5" fillId="30" borderId="17" xfId="0" applyFont="1" applyFill="1" applyBorder="1"/>
    <xf numFmtId="164" fontId="5" fillId="30" borderId="17" xfId="0" applyNumberFormat="1" applyFont="1" applyFill="1" applyBorder="1"/>
    <xf numFmtId="0" fontId="5" fillId="30" borderId="18" xfId="0" applyFont="1" applyFill="1" applyBorder="1"/>
    <xf numFmtId="0" fontId="1" fillId="30" borderId="18" xfId="0" applyFont="1" applyFill="1" applyBorder="1" applyAlignment="1">
      <alignment horizontal="center" wrapText="1"/>
    </xf>
    <xf numFmtId="166" fontId="1" fillId="30" borderId="18" xfId="0" applyNumberFormat="1" applyFont="1" applyFill="1" applyBorder="1" applyAlignment="1">
      <alignment horizontal="right"/>
    </xf>
    <xf numFmtId="165" fontId="1" fillId="30" borderId="18" xfId="0" applyNumberFormat="1" applyFont="1" applyFill="1" applyBorder="1" applyAlignment="1">
      <alignment horizontal="right"/>
    </xf>
    <xf numFmtId="165" fontId="5" fillId="30" borderId="18" xfId="0" applyNumberFormat="1" applyFont="1" applyFill="1" applyBorder="1"/>
    <xf numFmtId="165" fontId="6" fillId="30" borderId="19" xfId="0" applyNumberFormat="1" applyFont="1" applyFill="1" applyBorder="1"/>
    <xf numFmtId="165" fontId="6" fillId="30" borderId="18" xfId="0" applyNumberFormat="1" applyFont="1" applyFill="1" applyBorder="1"/>
    <xf numFmtId="0" fontId="1" fillId="0" borderId="17" xfId="0" applyFont="1" applyBorder="1"/>
    <xf numFmtId="164" fontId="5" fillId="9" borderId="16" xfId="0" applyNumberFormat="1" applyFont="1" applyFill="1" applyBorder="1"/>
    <xf numFmtId="164" fontId="5" fillId="9" borderId="17" xfId="0" applyNumberFormat="1" applyFont="1" applyFill="1" applyBorder="1"/>
    <xf numFmtId="166" fontId="8" fillId="9" borderId="18" xfId="0" applyNumberFormat="1" applyFont="1" applyFill="1" applyBorder="1" applyAlignment="1">
      <alignment horizontal="right"/>
    </xf>
    <xf numFmtId="164" fontId="5" fillId="9" borderId="8" xfId="0" applyNumberFormat="1" applyFont="1" applyFill="1" applyBorder="1"/>
    <xf numFmtId="164" fontId="5" fillId="9" borderId="0" xfId="0" applyNumberFormat="1" applyFont="1" applyFill="1"/>
    <xf numFmtId="0" fontId="5" fillId="9" borderId="0" xfId="0" applyFont="1" applyFill="1"/>
    <xf numFmtId="0" fontId="8" fillId="9" borderId="0" xfId="0" applyFont="1" applyFill="1"/>
    <xf numFmtId="0" fontId="5" fillId="9" borderId="9" xfId="0" applyFont="1" applyFill="1" applyBorder="1"/>
    <xf numFmtId="0" fontId="8" fillId="9" borderId="9" xfId="0" applyFont="1" applyFill="1" applyBorder="1" applyAlignment="1">
      <alignment horizontal="center"/>
    </xf>
    <xf numFmtId="166" fontId="8" fillId="9" borderId="9" xfId="0" applyNumberFormat="1" applyFont="1" applyFill="1" applyBorder="1" applyAlignment="1">
      <alignment horizontal="right"/>
    </xf>
    <xf numFmtId="165" fontId="8" fillId="9" borderId="9" xfId="0" applyNumberFormat="1" applyFont="1" applyFill="1" applyBorder="1" applyAlignment="1">
      <alignment horizontal="right"/>
    </xf>
    <xf numFmtId="165" fontId="5" fillId="9" borderId="9" xfId="0" applyNumberFormat="1" applyFont="1" applyFill="1" applyBorder="1"/>
    <xf numFmtId="164" fontId="1" fillId="31" borderId="5" xfId="0" applyNumberFormat="1" applyFont="1" applyFill="1" applyBorder="1"/>
    <xf numFmtId="164" fontId="5" fillId="31" borderId="6" xfId="0" applyNumberFormat="1" applyFont="1" applyFill="1" applyBorder="1"/>
    <xf numFmtId="0" fontId="5" fillId="31" borderId="6" xfId="0" applyFont="1" applyFill="1" applyBorder="1"/>
    <xf numFmtId="166" fontId="5" fillId="31" borderId="6" xfId="0" applyNumberFormat="1" applyFont="1" applyFill="1" applyBorder="1"/>
    <xf numFmtId="165" fontId="5" fillId="31" borderId="6" xfId="0" applyNumberFormat="1" applyFont="1" applyFill="1" applyBorder="1"/>
    <xf numFmtId="165" fontId="5" fillId="31" borderId="7" xfId="0" applyNumberFormat="1" applyFont="1" applyFill="1" applyBorder="1"/>
    <xf numFmtId="165" fontId="6" fillId="31" borderId="11" xfId="0" applyNumberFormat="1" applyFont="1" applyFill="1" applyBorder="1"/>
    <xf numFmtId="165" fontId="6" fillId="31" borderId="12" xfId="0" applyNumberFormat="1" applyFont="1" applyFill="1" applyBorder="1"/>
    <xf numFmtId="165" fontId="6" fillId="31" borderId="13" xfId="0" applyNumberFormat="1" applyFont="1" applyFill="1" applyBorder="1"/>
    <xf numFmtId="164" fontId="1" fillId="32" borderId="16" xfId="0" applyNumberFormat="1" applyFont="1" applyFill="1" applyBorder="1"/>
    <xf numFmtId="164" fontId="5" fillId="32" borderId="17" xfId="0" applyNumberFormat="1" applyFont="1" applyFill="1" applyBorder="1"/>
    <xf numFmtId="0" fontId="5" fillId="32" borderId="17" xfId="0" applyFont="1" applyFill="1" applyBorder="1"/>
    <xf numFmtId="0" fontId="5" fillId="32" borderId="18" xfId="0" applyFont="1" applyFill="1" applyBorder="1"/>
    <xf numFmtId="166" fontId="5" fillId="32" borderId="18" xfId="0" applyNumberFormat="1" applyFont="1" applyFill="1" applyBorder="1"/>
    <xf numFmtId="165" fontId="5" fillId="32" borderId="18" xfId="0" applyNumberFormat="1" applyFont="1" applyFill="1" applyBorder="1"/>
    <xf numFmtId="165" fontId="6" fillId="32" borderId="19" xfId="0" applyNumberFormat="1" applyFont="1" applyFill="1" applyBorder="1"/>
    <xf numFmtId="165" fontId="6" fillId="32" borderId="18" xfId="0" applyNumberFormat="1" applyFont="1" applyFill="1" applyBorder="1"/>
    <xf numFmtId="164" fontId="5" fillId="33" borderId="16" xfId="0" applyNumberFormat="1" applyFont="1" applyFill="1" applyBorder="1"/>
    <xf numFmtId="0" fontId="1" fillId="33" borderId="17" xfId="0" applyFont="1" applyFill="1" applyBorder="1"/>
    <xf numFmtId="0" fontId="5" fillId="33" borderId="17" xfId="0" applyFont="1" applyFill="1" applyBorder="1"/>
    <xf numFmtId="0" fontId="5" fillId="33" borderId="18" xfId="0" applyFont="1" applyFill="1" applyBorder="1"/>
    <xf numFmtId="0" fontId="1" fillId="33" borderId="18" xfId="0" applyFont="1" applyFill="1" applyBorder="1" applyAlignment="1">
      <alignment horizontal="center" wrapText="1"/>
    </xf>
    <xf numFmtId="166" fontId="1" fillId="33" borderId="18" xfId="0" applyNumberFormat="1" applyFont="1" applyFill="1" applyBorder="1" applyAlignment="1">
      <alignment horizontal="right"/>
    </xf>
    <xf numFmtId="165" fontId="1" fillId="33" borderId="18" xfId="0" applyNumberFormat="1" applyFont="1" applyFill="1" applyBorder="1" applyAlignment="1">
      <alignment horizontal="right"/>
    </xf>
    <xf numFmtId="165" fontId="5" fillId="33" borderId="18" xfId="0" applyNumberFormat="1" applyFont="1" applyFill="1" applyBorder="1"/>
    <xf numFmtId="165" fontId="6" fillId="33" borderId="19" xfId="0" applyNumberFormat="1" applyFont="1" applyFill="1" applyBorder="1"/>
    <xf numFmtId="165" fontId="6" fillId="33" borderId="18" xfId="0" applyNumberFormat="1" applyFont="1" applyFill="1" applyBorder="1"/>
    <xf numFmtId="167" fontId="5" fillId="33" borderId="16" xfId="0" applyNumberFormat="1" applyFont="1" applyFill="1" applyBorder="1"/>
    <xf numFmtId="167" fontId="5" fillId="33" borderId="17" xfId="0" applyNumberFormat="1" applyFont="1" applyFill="1" applyBorder="1"/>
    <xf numFmtId="164" fontId="5" fillId="33" borderId="17" xfId="0" applyNumberFormat="1" applyFont="1" applyFill="1" applyBorder="1"/>
    <xf numFmtId="166" fontId="4" fillId="33" borderId="25" xfId="0" applyNumberFormat="1" applyFont="1" applyFill="1" applyBorder="1" applyAlignment="1">
      <alignment horizontal="right"/>
    </xf>
    <xf numFmtId="166" fontId="4" fillId="33" borderId="24" xfId="0" applyNumberFormat="1" applyFont="1" applyFill="1" applyBorder="1" applyAlignment="1">
      <alignment horizontal="right"/>
    </xf>
    <xf numFmtId="165" fontId="4" fillId="33" borderId="24" xfId="0" applyNumberFormat="1" applyFont="1" applyFill="1" applyBorder="1" applyAlignment="1">
      <alignment horizontal="right"/>
    </xf>
    <xf numFmtId="0" fontId="5" fillId="12" borderId="19" xfId="0" applyFont="1" applyFill="1" applyBorder="1"/>
    <xf numFmtId="166" fontId="5" fillId="12" borderId="19" xfId="0" applyNumberFormat="1" applyFont="1" applyFill="1" applyBorder="1"/>
    <xf numFmtId="165" fontId="5" fillId="12" borderId="19" xfId="0" applyNumberFormat="1" applyFont="1" applyFill="1" applyBorder="1"/>
    <xf numFmtId="164" fontId="6" fillId="26" borderId="22" xfId="0" applyNumberFormat="1" applyFont="1" applyFill="1" applyBorder="1"/>
    <xf numFmtId="0" fontId="6" fillId="26" borderId="23" xfId="0" applyFont="1" applyFill="1" applyBorder="1"/>
    <xf numFmtId="164" fontId="6" fillId="26" borderId="23" xfId="0" applyNumberFormat="1" applyFont="1" applyFill="1" applyBorder="1"/>
    <xf numFmtId="164" fontId="32" fillId="26" borderId="23" xfId="0" applyNumberFormat="1" applyFont="1" applyFill="1" applyBorder="1"/>
    <xf numFmtId="0" fontId="6" fillId="26" borderId="24" xfId="0" applyFont="1" applyFill="1" applyBorder="1"/>
    <xf numFmtId="0" fontId="4" fillId="26" borderId="24" xfId="0" applyFont="1" applyFill="1" applyBorder="1" applyAlignment="1">
      <alignment horizontal="center" wrapText="1"/>
    </xf>
    <xf numFmtId="166" fontId="4" fillId="26" borderId="24" xfId="0" applyNumberFormat="1" applyFont="1" applyFill="1" applyBorder="1" applyAlignment="1">
      <alignment horizontal="right"/>
    </xf>
    <xf numFmtId="165" fontId="4" fillId="26" borderId="24" xfId="0" applyNumberFormat="1" applyFont="1" applyFill="1" applyBorder="1" applyAlignment="1">
      <alignment horizontal="right"/>
    </xf>
    <xf numFmtId="165" fontId="5" fillId="26" borderId="24" xfId="0" applyNumberFormat="1" applyFont="1" applyFill="1" applyBorder="1"/>
    <xf numFmtId="164" fontId="6" fillId="12" borderId="16" xfId="0" applyNumberFormat="1" applyFont="1" applyFill="1" applyBorder="1"/>
    <xf numFmtId="0" fontId="12" fillId="12" borderId="18" xfId="0" applyFont="1" applyFill="1" applyBorder="1" applyAlignment="1">
      <alignment horizontal="center" wrapText="1"/>
    </xf>
    <xf numFmtId="164" fontId="33" fillId="12" borderId="17" xfId="0" applyNumberFormat="1" applyFont="1" applyFill="1" applyBorder="1"/>
    <xf numFmtId="164" fontId="6" fillId="26" borderId="16" xfId="0" applyNumberFormat="1" applyFont="1" applyFill="1" applyBorder="1"/>
    <xf numFmtId="0" fontId="6" fillId="26" borderId="17" xfId="0" applyFont="1" applyFill="1" applyBorder="1"/>
    <xf numFmtId="164" fontId="6" fillId="26" borderId="17" xfId="0" applyNumberFormat="1" applyFont="1" applyFill="1" applyBorder="1"/>
    <xf numFmtId="0" fontId="34" fillId="26" borderId="17" xfId="0" applyFont="1" applyFill="1" applyBorder="1"/>
    <xf numFmtId="0" fontId="6" fillId="26" borderId="18" xfId="0" applyFont="1" applyFill="1" applyBorder="1"/>
    <xf numFmtId="0" fontId="4" fillId="26" borderId="18" xfId="0" applyFont="1" applyFill="1" applyBorder="1" applyAlignment="1">
      <alignment horizontal="center" wrapText="1"/>
    </xf>
    <xf numFmtId="166" fontId="4" fillId="26" borderId="18" xfId="0" applyNumberFormat="1" applyFont="1" applyFill="1" applyBorder="1" applyAlignment="1">
      <alignment horizontal="right"/>
    </xf>
    <xf numFmtId="165" fontId="4" fillId="26" borderId="18" xfId="0" applyNumberFormat="1" applyFont="1" applyFill="1" applyBorder="1" applyAlignment="1">
      <alignment horizontal="right"/>
    </xf>
    <xf numFmtId="0" fontId="12" fillId="0" borderId="23" xfId="0" applyFont="1" applyBorder="1"/>
    <xf numFmtId="166" fontId="6" fillId="12" borderId="24" xfId="0" applyNumberFormat="1" applyFont="1" applyFill="1" applyBorder="1"/>
    <xf numFmtId="166" fontId="5" fillId="33" borderId="18" xfId="0" applyNumberFormat="1" applyFont="1" applyFill="1" applyBorder="1"/>
    <xf numFmtId="0" fontId="35" fillId="26" borderId="17" xfId="0" applyFont="1" applyFill="1" applyBorder="1"/>
    <xf numFmtId="166" fontId="1" fillId="26" borderId="18" xfId="0" applyNumberFormat="1" applyFont="1" applyFill="1" applyBorder="1"/>
    <xf numFmtId="165" fontId="1" fillId="26" borderId="18" xfId="0" applyNumberFormat="1" applyFont="1" applyFill="1" applyBorder="1"/>
    <xf numFmtId="164" fontId="36" fillId="0" borderId="8" xfId="0" applyNumberFormat="1" applyFont="1" applyBorder="1"/>
    <xf numFmtId="0" fontId="8" fillId="0" borderId="9" xfId="0" applyFont="1" applyBorder="1" applyAlignment="1">
      <alignment horizontal="center"/>
    </xf>
    <xf numFmtId="164" fontId="37" fillId="12" borderId="29" xfId="0" applyNumberFormat="1" applyFont="1" applyFill="1" applyBorder="1"/>
    <xf numFmtId="0" fontId="1" fillId="12" borderId="29" xfId="0" applyFont="1" applyFill="1" applyBorder="1"/>
    <xf numFmtId="164" fontId="5" fillId="12" borderId="29" xfId="0" applyNumberFormat="1" applyFont="1" applyFill="1" applyBorder="1"/>
    <xf numFmtId="164" fontId="38" fillId="12" borderId="29" xfId="0" applyNumberFormat="1" applyFont="1" applyFill="1" applyBorder="1"/>
    <xf numFmtId="0" fontId="5" fillId="12" borderId="29" xfId="0" applyFont="1" applyFill="1" applyBorder="1"/>
    <xf numFmtId="0" fontId="5" fillId="12" borderId="30" xfId="0" applyFont="1" applyFill="1" applyBorder="1"/>
    <xf numFmtId="166" fontId="5" fillId="12" borderId="31" xfId="0" applyNumberFormat="1" applyFont="1" applyFill="1" applyBorder="1"/>
    <xf numFmtId="165" fontId="5" fillId="12" borderId="31" xfId="0" applyNumberFormat="1" applyFont="1" applyFill="1" applyBorder="1"/>
    <xf numFmtId="167" fontId="6" fillId="33" borderId="32" xfId="0" applyNumberFormat="1" applyFont="1" applyFill="1" applyBorder="1"/>
    <xf numFmtId="164" fontId="4" fillId="33" borderId="33" xfId="0" applyNumberFormat="1" applyFont="1" applyFill="1" applyBorder="1"/>
    <xf numFmtId="167" fontId="6" fillId="33" borderId="33" xfId="0" applyNumberFormat="1" applyFont="1" applyFill="1" applyBorder="1"/>
    <xf numFmtId="164" fontId="6" fillId="33" borderId="33" xfId="0" applyNumberFormat="1" applyFont="1" applyFill="1" applyBorder="1"/>
    <xf numFmtId="0" fontId="6" fillId="33" borderId="33" xfId="0" applyFont="1" applyFill="1" applyBorder="1"/>
    <xf numFmtId="0" fontId="6" fillId="33" borderId="21" xfId="0" applyFont="1" applyFill="1" applyBorder="1"/>
    <xf numFmtId="164" fontId="4" fillId="33" borderId="21" xfId="0" applyNumberFormat="1" applyFont="1" applyFill="1" applyBorder="1" applyAlignment="1">
      <alignment horizontal="center" wrapText="1"/>
    </xf>
    <xf numFmtId="166" fontId="4" fillId="33" borderId="21" xfId="0" applyNumberFormat="1" applyFont="1" applyFill="1" applyBorder="1" applyAlignment="1">
      <alignment horizontal="right"/>
    </xf>
    <xf numFmtId="165" fontId="4" fillId="33" borderId="21" xfId="0" applyNumberFormat="1" applyFont="1" applyFill="1" applyBorder="1" applyAlignment="1">
      <alignment horizontal="right"/>
    </xf>
    <xf numFmtId="165" fontId="6" fillId="33" borderId="21" xfId="0" applyNumberFormat="1" applyFont="1" applyFill="1" applyBorder="1"/>
    <xf numFmtId="164" fontId="39" fillId="12" borderId="17" xfId="0" applyNumberFormat="1" applyFont="1" applyFill="1" applyBorder="1"/>
    <xf numFmtId="164" fontId="12" fillId="12" borderId="17" xfId="0" applyNumberFormat="1" applyFont="1" applyFill="1" applyBorder="1"/>
    <xf numFmtId="164" fontId="40" fillId="23" borderId="17" xfId="0" quotePrefix="1" applyNumberFormat="1" applyFont="1" applyFill="1" applyBorder="1"/>
    <xf numFmtId="164" fontId="11" fillId="12" borderId="17" xfId="0" applyNumberFormat="1" applyFont="1" applyFill="1" applyBorder="1"/>
    <xf numFmtId="166" fontId="11" fillId="12" borderId="18" xfId="0" applyNumberFormat="1" applyFont="1" applyFill="1" applyBorder="1" applyAlignment="1">
      <alignment horizontal="right"/>
    </xf>
    <xf numFmtId="164" fontId="6" fillId="27" borderId="17" xfId="0" applyNumberFormat="1" applyFont="1" applyFill="1" applyBorder="1"/>
    <xf numFmtId="164" fontId="6" fillId="27" borderId="18" xfId="0" applyNumberFormat="1" applyFont="1" applyFill="1" applyBorder="1"/>
    <xf numFmtId="166" fontId="6" fillId="27" borderId="18" xfId="0" applyNumberFormat="1" applyFont="1" applyFill="1" applyBorder="1"/>
    <xf numFmtId="165" fontId="6" fillId="27" borderId="18" xfId="0" applyNumberFormat="1" applyFont="1" applyFill="1" applyBorder="1"/>
    <xf numFmtId="165" fontId="6" fillId="27" borderId="19" xfId="0" applyNumberFormat="1" applyFont="1" applyFill="1" applyBorder="1"/>
    <xf numFmtId="164" fontId="6" fillId="27" borderId="12" xfId="0" applyNumberFormat="1" applyFont="1" applyFill="1" applyBorder="1"/>
    <xf numFmtId="164" fontId="6" fillId="27" borderId="13" xfId="0" applyNumberFormat="1" applyFont="1" applyFill="1" applyBorder="1"/>
    <xf numFmtId="166" fontId="6" fillId="27" borderId="13" xfId="0" applyNumberFormat="1" applyFont="1" applyFill="1" applyBorder="1"/>
    <xf numFmtId="165" fontId="6" fillId="27" borderId="13" xfId="0" applyNumberFormat="1" applyFont="1" applyFill="1" applyBorder="1"/>
    <xf numFmtId="165" fontId="6" fillId="27" borderId="14" xfId="0" applyNumberFormat="1" applyFont="1" applyFill="1" applyBorder="1"/>
    <xf numFmtId="167" fontId="6" fillId="33" borderId="16" xfId="0" applyNumberFormat="1" applyFont="1" applyFill="1" applyBorder="1"/>
    <xf numFmtId="164" fontId="4" fillId="33" borderId="17" xfId="0" applyNumberFormat="1" applyFont="1" applyFill="1" applyBorder="1"/>
    <xf numFmtId="167" fontId="6" fillId="33" borderId="17" xfId="0" applyNumberFormat="1" applyFont="1" applyFill="1" applyBorder="1"/>
    <xf numFmtId="164" fontId="6" fillId="33" borderId="17" xfId="0" applyNumberFormat="1" applyFont="1" applyFill="1" applyBorder="1"/>
    <xf numFmtId="0" fontId="6" fillId="33" borderId="17" xfId="0" applyFont="1" applyFill="1" applyBorder="1"/>
    <xf numFmtId="0" fontId="6" fillId="33" borderId="18" xfId="0" applyFont="1" applyFill="1" applyBorder="1"/>
    <xf numFmtId="164" fontId="4" fillId="33" borderId="18" xfId="0" applyNumberFormat="1" applyFont="1" applyFill="1" applyBorder="1" applyAlignment="1">
      <alignment horizontal="center" wrapText="1"/>
    </xf>
    <xf numFmtId="166" fontId="4" fillId="33" borderId="18" xfId="0" applyNumberFormat="1" applyFont="1" applyFill="1" applyBorder="1"/>
    <xf numFmtId="165" fontId="4" fillId="33" borderId="18" xfId="0" applyNumberFormat="1" applyFont="1" applyFill="1" applyBorder="1" applyAlignment="1">
      <alignment horizontal="right"/>
    </xf>
    <xf numFmtId="164" fontId="6" fillId="27" borderId="16" xfId="0" applyNumberFormat="1" applyFont="1" applyFill="1" applyBorder="1"/>
    <xf numFmtId="0" fontId="6" fillId="27" borderId="17" xfId="0" applyFont="1" applyFill="1" applyBorder="1"/>
    <xf numFmtId="0" fontId="6" fillId="27" borderId="18" xfId="0" applyFont="1" applyFill="1" applyBorder="1"/>
    <xf numFmtId="164" fontId="6" fillId="33" borderId="18" xfId="0" applyNumberFormat="1" applyFont="1" applyFill="1" applyBorder="1"/>
    <xf numFmtId="164" fontId="4" fillId="33" borderId="18" xfId="0" applyNumberFormat="1" applyFont="1" applyFill="1" applyBorder="1" applyAlignment="1">
      <alignment horizontal="center"/>
    </xf>
    <xf numFmtId="166" fontId="4" fillId="33" borderId="18" xfId="0" applyNumberFormat="1" applyFont="1" applyFill="1" applyBorder="1" applyAlignment="1">
      <alignment horizontal="right"/>
    </xf>
    <xf numFmtId="164" fontId="4" fillId="12" borderId="17" xfId="0" applyNumberFormat="1" applyFont="1" applyFill="1" applyBorder="1" applyAlignment="1">
      <alignment horizontal="center"/>
    </xf>
    <xf numFmtId="164" fontId="4" fillId="12" borderId="18" xfId="0" applyNumberFormat="1" applyFont="1" applyFill="1" applyBorder="1" applyAlignment="1">
      <alignment horizontal="center" wrapText="1"/>
    </xf>
    <xf numFmtId="164" fontId="11" fillId="12" borderId="23" xfId="0" applyNumberFormat="1" applyFont="1" applyFill="1" applyBorder="1"/>
    <xf numFmtId="164" fontId="6" fillId="12" borderId="24" xfId="0" applyNumberFormat="1" applyFont="1" applyFill="1" applyBorder="1"/>
    <xf numFmtId="164" fontId="42" fillId="12" borderId="17" xfId="0" quotePrefix="1" applyNumberFormat="1" applyFont="1" applyFill="1" applyBorder="1"/>
    <xf numFmtId="166" fontId="4" fillId="12" borderId="18" xfId="0" applyNumberFormat="1" applyFont="1" applyFill="1" applyBorder="1" applyAlignment="1">
      <alignment horizontal="right"/>
    </xf>
    <xf numFmtId="166" fontId="12" fillId="12" borderId="18" xfId="0" applyNumberFormat="1" applyFont="1" applyFill="1" applyBorder="1"/>
    <xf numFmtId="168" fontId="12" fillId="12" borderId="18" xfId="0" applyNumberFormat="1" applyFont="1" applyFill="1" applyBorder="1"/>
    <xf numFmtId="164" fontId="12" fillId="12" borderId="17" xfId="0" quotePrefix="1" applyNumberFormat="1" applyFont="1" applyFill="1" applyBorder="1"/>
    <xf numFmtId="164" fontId="43" fillId="12" borderId="17" xfId="0" applyNumberFormat="1" applyFont="1" applyFill="1" applyBorder="1"/>
    <xf numFmtId="164" fontId="6" fillId="12" borderId="11" xfId="0" applyNumberFormat="1" applyFont="1" applyFill="1" applyBorder="1"/>
    <xf numFmtId="164" fontId="6" fillId="12" borderId="12" xfId="0" applyNumberFormat="1" applyFont="1" applyFill="1" applyBorder="1"/>
    <xf numFmtId="164" fontId="6" fillId="12" borderId="13" xfId="0" applyNumberFormat="1" applyFont="1" applyFill="1" applyBorder="1"/>
    <xf numFmtId="164" fontId="12" fillId="12" borderId="13" xfId="0" applyNumberFormat="1" applyFont="1" applyFill="1" applyBorder="1" applyAlignment="1">
      <alignment horizontal="center"/>
    </xf>
    <xf numFmtId="166" fontId="6" fillId="12" borderId="13" xfId="0" applyNumberFormat="1" applyFont="1" applyFill="1" applyBorder="1"/>
    <xf numFmtId="166" fontId="12" fillId="12" borderId="13" xfId="0" applyNumberFormat="1" applyFont="1" applyFill="1" applyBorder="1"/>
    <xf numFmtId="164" fontId="4" fillId="0" borderId="18" xfId="0" applyNumberFormat="1" applyFont="1" applyBorder="1" applyAlignment="1">
      <alignment horizontal="center" wrapText="1"/>
    </xf>
    <xf numFmtId="0" fontId="45" fillId="12" borderId="17" xfId="0" applyFont="1" applyFill="1" applyBorder="1"/>
    <xf numFmtId="164" fontId="4" fillId="12" borderId="12" xfId="0" applyNumberFormat="1" applyFont="1" applyFill="1" applyBorder="1"/>
    <xf numFmtId="0" fontId="6" fillId="12" borderId="12" xfId="0" applyFont="1" applyFill="1" applyBorder="1"/>
    <xf numFmtId="0" fontId="6" fillId="12" borderId="13" xfId="0" applyFont="1" applyFill="1" applyBorder="1"/>
    <xf numFmtId="164" fontId="1" fillId="34" borderId="5" xfId="0" applyNumberFormat="1" applyFont="1" applyFill="1" applyBorder="1"/>
    <xf numFmtId="164" fontId="5" fillId="34" borderId="6" xfId="0" applyNumberFormat="1" applyFont="1" applyFill="1" applyBorder="1"/>
    <xf numFmtId="0" fontId="5" fillId="34" borderId="6" xfId="0" applyFont="1" applyFill="1" applyBorder="1"/>
    <xf numFmtId="166" fontId="5" fillId="34" borderId="6" xfId="0" applyNumberFormat="1" applyFont="1" applyFill="1" applyBorder="1"/>
    <xf numFmtId="165" fontId="5" fillId="34" borderId="6" xfId="0" applyNumberFormat="1" applyFont="1" applyFill="1" applyBorder="1"/>
    <xf numFmtId="165" fontId="5" fillId="34" borderId="7" xfId="0" applyNumberFormat="1" applyFont="1" applyFill="1" applyBorder="1"/>
    <xf numFmtId="165" fontId="6" fillId="35" borderId="14" xfId="0" applyNumberFormat="1" applyFont="1" applyFill="1" applyBorder="1"/>
    <xf numFmtId="165" fontId="6" fillId="35" borderId="13" xfId="0" applyNumberFormat="1" applyFont="1" applyFill="1" applyBorder="1"/>
    <xf numFmtId="164" fontId="1" fillId="36" borderId="16" xfId="0" applyNumberFormat="1" applyFont="1" applyFill="1" applyBorder="1"/>
    <xf numFmtId="164" fontId="5" fillId="36" borderId="17" xfId="0" applyNumberFormat="1" applyFont="1" applyFill="1" applyBorder="1"/>
    <xf numFmtId="0" fontId="5" fillId="36" borderId="17" xfId="0" applyFont="1" applyFill="1" applyBorder="1"/>
    <xf numFmtId="0" fontId="5" fillId="36" borderId="18" xfId="0" applyFont="1" applyFill="1" applyBorder="1"/>
    <xf numFmtId="166" fontId="5" fillId="36" borderId="18" xfId="0" applyNumberFormat="1" applyFont="1" applyFill="1" applyBorder="1"/>
    <xf numFmtId="165" fontId="5" fillId="36" borderId="18" xfId="0" applyNumberFormat="1" applyFont="1" applyFill="1" applyBorder="1"/>
    <xf numFmtId="165" fontId="6" fillId="36" borderId="10" xfId="0" applyNumberFormat="1" applyFont="1" applyFill="1" applyBorder="1"/>
    <xf numFmtId="165" fontId="6" fillId="36" borderId="9" xfId="0" applyNumberFormat="1" applyFont="1" applyFill="1" applyBorder="1"/>
    <xf numFmtId="164" fontId="5" fillId="37" borderId="16" xfId="0" applyNumberFormat="1" applyFont="1" applyFill="1" applyBorder="1"/>
    <xf numFmtId="0" fontId="1" fillId="37" borderId="17" xfId="0" applyFont="1" applyFill="1" applyBorder="1"/>
    <xf numFmtId="164" fontId="5" fillId="37" borderId="17" xfId="0" applyNumberFormat="1" applyFont="1" applyFill="1" applyBorder="1"/>
    <xf numFmtId="0" fontId="5" fillId="37" borderId="17" xfId="0" applyFont="1" applyFill="1" applyBorder="1"/>
    <xf numFmtId="0" fontId="5" fillId="37" borderId="18" xfId="0" applyFont="1" applyFill="1" applyBorder="1"/>
    <xf numFmtId="0" fontId="1" fillId="37" borderId="18" xfId="0" applyFont="1" applyFill="1" applyBorder="1" applyAlignment="1">
      <alignment horizontal="center" wrapText="1"/>
    </xf>
    <xf numFmtId="166" fontId="1" fillId="37" borderId="18" xfId="0" applyNumberFormat="1" applyFont="1" applyFill="1" applyBorder="1" applyAlignment="1">
      <alignment horizontal="right"/>
    </xf>
    <xf numFmtId="165" fontId="1" fillId="37" borderId="18" xfId="0" applyNumberFormat="1" applyFont="1" applyFill="1" applyBorder="1" applyAlignment="1">
      <alignment horizontal="right"/>
    </xf>
    <xf numFmtId="165" fontId="5" fillId="37" borderId="18" xfId="0" applyNumberFormat="1" applyFont="1" applyFill="1" applyBorder="1"/>
    <xf numFmtId="165" fontId="6" fillId="37" borderId="19" xfId="0" applyNumberFormat="1" applyFont="1" applyFill="1" applyBorder="1"/>
    <xf numFmtId="165" fontId="6" fillId="37" borderId="18" xfId="0" applyNumberFormat="1" applyFont="1" applyFill="1" applyBorder="1"/>
    <xf numFmtId="164" fontId="5" fillId="12" borderId="11" xfId="0" applyNumberFormat="1" applyFont="1" applyFill="1" applyBorder="1"/>
    <xf numFmtId="164" fontId="5" fillId="12" borderId="12" xfId="0" applyNumberFormat="1" applyFont="1" applyFill="1" applyBorder="1"/>
    <xf numFmtId="0" fontId="8" fillId="0" borderId="12" xfId="0" applyFont="1" applyBorder="1"/>
    <xf numFmtId="164" fontId="5" fillId="0" borderId="12" xfId="0" applyNumberFormat="1" applyFont="1" applyBorder="1"/>
    <xf numFmtId="0" fontId="8" fillId="12" borderId="13" xfId="0" applyFont="1" applyFill="1" applyBorder="1" applyAlignment="1">
      <alignment horizontal="center" wrapText="1"/>
    </xf>
    <xf numFmtId="166" fontId="8" fillId="12" borderId="13" xfId="0" applyNumberFormat="1" applyFont="1" applyFill="1" applyBorder="1" applyAlignment="1">
      <alignment horizontal="right"/>
    </xf>
    <xf numFmtId="164" fontId="6" fillId="27" borderId="22" xfId="0" applyNumberFormat="1" applyFont="1" applyFill="1" applyBorder="1"/>
    <xf numFmtId="164" fontId="6" fillId="27" borderId="23" xfId="0" applyNumberFormat="1" applyFont="1" applyFill="1" applyBorder="1"/>
    <xf numFmtId="0" fontId="6" fillId="27" borderId="23" xfId="0" applyFont="1" applyFill="1" applyBorder="1"/>
    <xf numFmtId="0" fontId="6" fillId="27" borderId="24" xfId="0" applyFont="1" applyFill="1" applyBorder="1"/>
    <xf numFmtId="164" fontId="6" fillId="27" borderId="24" xfId="0" applyNumberFormat="1" applyFont="1" applyFill="1" applyBorder="1"/>
    <xf numFmtId="166" fontId="6" fillId="27" borderId="24" xfId="0" applyNumberFormat="1" applyFont="1" applyFill="1" applyBorder="1"/>
    <xf numFmtId="165" fontId="6" fillId="27" borderId="24" xfId="0" applyNumberFormat="1" applyFont="1" applyFill="1" applyBorder="1"/>
    <xf numFmtId="164" fontId="6" fillId="27" borderId="11" xfId="0" applyNumberFormat="1" applyFont="1" applyFill="1" applyBorder="1"/>
    <xf numFmtId="0" fontId="6" fillId="27" borderId="12" xfId="0" applyFont="1" applyFill="1" applyBorder="1"/>
    <xf numFmtId="0" fontId="6" fillId="27" borderId="13" xfId="0" applyFont="1" applyFill="1" applyBorder="1"/>
    <xf numFmtId="164" fontId="6" fillId="37" borderId="16" xfId="0" applyNumberFormat="1" applyFont="1" applyFill="1" applyBorder="1"/>
    <xf numFmtId="0" fontId="4" fillId="37" borderId="17" xfId="0" applyFont="1" applyFill="1" applyBorder="1"/>
    <xf numFmtId="164" fontId="6" fillId="37" borderId="17" xfId="0" applyNumberFormat="1" applyFont="1" applyFill="1" applyBorder="1"/>
    <xf numFmtId="0" fontId="6" fillId="37" borderId="17" xfId="0" applyFont="1" applyFill="1" applyBorder="1"/>
    <xf numFmtId="0" fontId="6" fillId="37" borderId="18" xfId="0" applyFont="1" applyFill="1" applyBorder="1"/>
    <xf numFmtId="164" fontId="4" fillId="37" borderId="18" xfId="0" applyNumberFormat="1" applyFont="1" applyFill="1" applyBorder="1" applyAlignment="1">
      <alignment horizontal="center" wrapText="1"/>
    </xf>
    <xf numFmtId="166" fontId="4" fillId="37" borderId="18" xfId="0" applyNumberFormat="1" applyFont="1" applyFill="1" applyBorder="1"/>
    <xf numFmtId="165" fontId="4" fillId="37" borderId="18" xfId="0" applyNumberFormat="1" applyFont="1" applyFill="1" applyBorder="1" applyAlignment="1">
      <alignment horizontal="right"/>
    </xf>
    <xf numFmtId="0" fontId="4" fillId="12" borderId="17" xfId="0" applyFont="1" applyFill="1" applyBorder="1" applyAlignment="1">
      <alignment horizontal="center"/>
    </xf>
    <xf numFmtId="164" fontId="6" fillId="12" borderId="22" xfId="0" applyNumberFormat="1" applyFont="1" applyFill="1" applyBorder="1"/>
    <xf numFmtId="164" fontId="12" fillId="12" borderId="24" xfId="0" applyNumberFormat="1" applyFont="1" applyFill="1" applyBorder="1" applyAlignment="1">
      <alignment horizontal="center" wrapText="1"/>
    </xf>
    <xf numFmtId="165" fontId="12" fillId="12" borderId="24" xfId="0" applyNumberFormat="1" applyFont="1" applyFill="1" applyBorder="1" applyAlignment="1">
      <alignment horizontal="right"/>
    </xf>
    <xf numFmtId="166" fontId="12" fillId="24" borderId="24" xfId="0" applyNumberFormat="1" applyFont="1" applyFill="1" applyBorder="1" applyAlignment="1">
      <alignment horizontal="right"/>
    </xf>
    <xf numFmtId="0" fontId="12" fillId="12" borderId="24" xfId="0" applyFont="1" applyFill="1" applyBorder="1" applyAlignment="1">
      <alignment horizontal="center"/>
    </xf>
    <xf numFmtId="165" fontId="5" fillId="22" borderId="19" xfId="0" applyNumberFormat="1" applyFont="1" applyFill="1" applyBorder="1"/>
    <xf numFmtId="164" fontId="1" fillId="11" borderId="17" xfId="0" applyNumberFormat="1" applyFont="1" applyFill="1" applyBorder="1" applyAlignment="1">
      <alignment horizontal="center"/>
    </xf>
    <xf numFmtId="166" fontId="5" fillId="11" borderId="17" xfId="0" applyNumberFormat="1" applyFont="1" applyFill="1" applyBorder="1"/>
    <xf numFmtId="165" fontId="5" fillId="11" borderId="19" xfId="0" applyNumberFormat="1" applyFont="1" applyFill="1" applyBorder="1"/>
    <xf numFmtId="164" fontId="5" fillId="11" borderId="16" xfId="0" applyNumberFormat="1" applyFont="1" applyFill="1" applyBorder="1"/>
    <xf numFmtId="164" fontId="8" fillId="11" borderId="17" xfId="0" applyNumberFormat="1" applyFont="1" applyFill="1" applyBorder="1"/>
    <xf numFmtId="164" fontId="1" fillId="12" borderId="17" xfId="0" applyNumberFormat="1" applyFont="1" applyFill="1" applyBorder="1" applyAlignment="1">
      <alignment horizontal="center"/>
    </xf>
    <xf numFmtId="165" fontId="1" fillId="12" borderId="19" xfId="0" applyNumberFormat="1" applyFont="1" applyFill="1" applyBorder="1"/>
    <xf numFmtId="165" fontId="1" fillId="12" borderId="18" xfId="0" applyNumberFormat="1" applyFont="1" applyFill="1" applyBorder="1"/>
    <xf numFmtId="165" fontId="8" fillId="12" borderId="19" xfId="0" applyNumberFormat="1" applyFont="1" applyFill="1" applyBorder="1"/>
    <xf numFmtId="165" fontId="8" fillId="12" borderId="18" xfId="0" applyNumberFormat="1" applyFont="1" applyFill="1" applyBorder="1"/>
    <xf numFmtId="165" fontId="8" fillId="12" borderId="19" xfId="0" applyNumberFormat="1" applyFont="1" applyFill="1" applyBorder="1" applyAlignment="1">
      <alignment horizontal="right"/>
    </xf>
    <xf numFmtId="164" fontId="1" fillId="0" borderId="18" xfId="0" applyNumberFormat="1" applyFont="1" applyBorder="1" applyAlignment="1">
      <alignment horizontal="center"/>
    </xf>
    <xf numFmtId="164" fontId="8" fillId="0" borderId="17" xfId="0" applyNumberFormat="1" applyFont="1" applyBorder="1"/>
    <xf numFmtId="164" fontId="5" fillId="0" borderId="34" xfId="0" applyNumberFormat="1" applyFont="1" applyBorder="1"/>
    <xf numFmtId="164" fontId="5" fillId="0" borderId="35" xfId="0" applyNumberFormat="1" applyFont="1" applyBorder="1"/>
    <xf numFmtId="164" fontId="8" fillId="0" borderId="35" xfId="0" applyNumberFormat="1" applyFont="1" applyBorder="1"/>
    <xf numFmtId="0" fontId="5" fillId="0" borderId="35" xfId="0" applyFont="1" applyBorder="1"/>
    <xf numFmtId="0" fontId="5" fillId="0" borderId="36" xfId="0" applyFont="1" applyBorder="1"/>
    <xf numFmtId="164" fontId="8" fillId="0" borderId="36" xfId="0" applyNumberFormat="1" applyFont="1" applyBorder="1" applyAlignment="1">
      <alignment horizontal="center" wrapText="1"/>
    </xf>
    <xf numFmtId="166" fontId="5" fillId="12" borderId="36" xfId="0" applyNumberFormat="1" applyFont="1" applyFill="1" applyBorder="1"/>
    <xf numFmtId="165" fontId="5" fillId="0" borderId="36" xfId="0" applyNumberFormat="1" applyFont="1" applyBorder="1"/>
    <xf numFmtId="165" fontId="5" fillId="12" borderId="36" xfId="0" applyNumberFormat="1" applyFont="1" applyFill="1" applyBorder="1"/>
    <xf numFmtId="165" fontId="5" fillId="12" borderId="37" xfId="0" applyNumberFormat="1" applyFont="1" applyFill="1" applyBorder="1"/>
    <xf numFmtId="164" fontId="3" fillId="38" borderId="11" xfId="0" applyNumberFormat="1" applyFont="1" applyFill="1" applyBorder="1"/>
    <xf numFmtId="164" fontId="6" fillId="38" borderId="12" xfId="0" applyNumberFormat="1" applyFont="1" applyFill="1" applyBorder="1"/>
    <xf numFmtId="0" fontId="6" fillId="38" borderId="12" xfId="0" applyFont="1" applyFill="1" applyBorder="1"/>
    <xf numFmtId="0" fontId="6" fillId="38" borderId="13" xfId="0" applyFont="1" applyFill="1" applyBorder="1"/>
    <xf numFmtId="164" fontId="6" fillId="38" borderId="13" xfId="0" applyNumberFormat="1" applyFont="1" applyFill="1" applyBorder="1"/>
    <xf numFmtId="166" fontId="6" fillId="38" borderId="13" xfId="0" applyNumberFormat="1" applyFont="1" applyFill="1" applyBorder="1"/>
    <xf numFmtId="165" fontId="6" fillId="38" borderId="13" xfId="0" applyNumberFormat="1" applyFont="1" applyFill="1" applyBorder="1"/>
    <xf numFmtId="165" fontId="6" fillId="38" borderId="14" xfId="0" applyNumberFormat="1" applyFont="1" applyFill="1" applyBorder="1"/>
    <xf numFmtId="164" fontId="6" fillId="39" borderId="17" xfId="0" applyNumberFormat="1" applyFont="1" applyFill="1" applyBorder="1"/>
    <xf numFmtId="164" fontId="4" fillId="39" borderId="17" xfId="0" applyNumberFormat="1" applyFont="1" applyFill="1" applyBorder="1"/>
    <xf numFmtId="0" fontId="6" fillId="39" borderId="17" xfId="0" applyFont="1" applyFill="1" applyBorder="1"/>
    <xf numFmtId="0" fontId="6" fillId="39" borderId="18" xfId="0" applyFont="1" applyFill="1" applyBorder="1"/>
    <xf numFmtId="164" fontId="6" fillId="39" borderId="18" xfId="0" applyNumberFormat="1" applyFont="1" applyFill="1" applyBorder="1"/>
    <xf numFmtId="166" fontId="6" fillId="39" borderId="18" xfId="0" applyNumberFormat="1" applyFont="1" applyFill="1" applyBorder="1"/>
    <xf numFmtId="165" fontId="6" fillId="39" borderId="18" xfId="0" applyNumberFormat="1" applyFont="1" applyFill="1" applyBorder="1"/>
    <xf numFmtId="165" fontId="6" fillId="39" borderId="19" xfId="0" applyNumberFormat="1" applyFont="1" applyFill="1" applyBorder="1"/>
    <xf numFmtId="164" fontId="6" fillId="40" borderId="17" xfId="0" applyNumberFormat="1" applyFont="1" applyFill="1" applyBorder="1"/>
    <xf numFmtId="164" fontId="4" fillId="40" borderId="17" xfId="0" applyNumberFormat="1" applyFont="1" applyFill="1" applyBorder="1"/>
    <xf numFmtId="0" fontId="6" fillId="40" borderId="17" xfId="0" applyFont="1" applyFill="1" applyBorder="1"/>
    <xf numFmtId="0" fontId="6" fillId="40" borderId="18" xfId="0" applyFont="1" applyFill="1" applyBorder="1"/>
    <xf numFmtId="164" fontId="4" fillId="40" borderId="18" xfId="0" applyNumberFormat="1" applyFont="1" applyFill="1" applyBorder="1" applyAlignment="1">
      <alignment horizontal="center"/>
    </xf>
    <xf numFmtId="166" fontId="4" fillId="40" borderId="18" xfId="0" applyNumberFormat="1" applyFont="1" applyFill="1" applyBorder="1" applyAlignment="1">
      <alignment horizontal="right"/>
    </xf>
    <xf numFmtId="165" fontId="4" fillId="40" borderId="18" xfId="0" applyNumberFormat="1" applyFont="1" applyFill="1" applyBorder="1" applyAlignment="1">
      <alignment horizontal="right"/>
    </xf>
    <xf numFmtId="165" fontId="6" fillId="40" borderId="18" xfId="0" applyNumberFormat="1" applyFont="1" applyFill="1" applyBorder="1"/>
    <xf numFmtId="165" fontId="6" fillId="40" borderId="19" xfId="0" applyNumberFormat="1" applyFont="1" applyFill="1" applyBorder="1"/>
    <xf numFmtId="164" fontId="48" fillId="23" borderId="17" xfId="0" applyNumberFormat="1" applyFont="1" applyFill="1" applyBorder="1"/>
    <xf numFmtId="164" fontId="12" fillId="0" borderId="17" xfId="0" applyNumberFormat="1" applyFont="1" applyBorder="1"/>
    <xf numFmtId="164" fontId="4" fillId="0" borderId="18" xfId="0" applyNumberFormat="1" applyFont="1" applyBorder="1" applyAlignment="1">
      <alignment horizontal="center"/>
    </xf>
    <xf numFmtId="164" fontId="6" fillId="40" borderId="18" xfId="0" applyNumberFormat="1" applyFont="1" applyFill="1" applyBorder="1"/>
    <xf numFmtId="166" fontId="6" fillId="40" borderId="18" xfId="0" applyNumberFormat="1" applyFont="1" applyFill="1" applyBorder="1"/>
    <xf numFmtId="0" fontId="49" fillId="23" borderId="17" xfId="0" applyFont="1" applyFill="1" applyBorder="1"/>
    <xf numFmtId="164" fontId="12" fillId="12" borderId="18" xfId="0" applyNumberFormat="1" applyFont="1" applyFill="1" applyBorder="1" applyAlignment="1">
      <alignment horizontal="right"/>
    </xf>
    <xf numFmtId="169" fontId="6" fillId="12" borderId="18" xfId="0" applyNumberFormat="1" applyFont="1" applyFill="1" applyBorder="1"/>
    <xf numFmtId="164" fontId="4" fillId="12" borderId="18" xfId="0" applyNumberFormat="1" applyFont="1" applyFill="1" applyBorder="1" applyAlignment="1">
      <alignment horizontal="right"/>
    </xf>
    <xf numFmtId="169" fontId="6" fillId="12" borderId="19" xfId="0" applyNumberFormat="1" applyFont="1" applyFill="1" applyBorder="1"/>
    <xf numFmtId="164" fontId="6" fillId="0" borderId="11" xfId="0" applyNumberFormat="1" applyFont="1" applyBorder="1"/>
    <xf numFmtId="164" fontId="50" fillId="0" borderId="12" xfId="0" applyNumberFormat="1" applyFont="1" applyBorder="1"/>
    <xf numFmtId="164" fontId="6" fillId="0" borderId="12" xfId="0" applyNumberFormat="1" applyFont="1" applyBorder="1"/>
    <xf numFmtId="0" fontId="6" fillId="0" borderId="12" xfId="0" applyFont="1" applyBorder="1"/>
    <xf numFmtId="0" fontId="6" fillId="0" borderId="13" xfId="0" applyFont="1" applyBorder="1"/>
    <xf numFmtId="164" fontId="12" fillId="0" borderId="13" xfId="0" applyNumberFormat="1" applyFont="1" applyBorder="1" applyAlignment="1">
      <alignment horizontal="center"/>
    </xf>
    <xf numFmtId="166" fontId="12" fillId="24" borderId="13" xfId="0" applyNumberFormat="1" applyFont="1" applyFill="1" applyBorder="1" applyAlignment="1">
      <alignment horizontal="right"/>
    </xf>
    <xf numFmtId="169" fontId="6" fillId="12" borderId="13" xfId="0" applyNumberFormat="1" applyFont="1" applyFill="1" applyBorder="1"/>
    <xf numFmtId="169" fontId="6" fillId="12" borderId="14" xfId="0" applyNumberFormat="1" applyFont="1" applyFill="1" applyBorder="1"/>
    <xf numFmtId="164" fontId="4" fillId="39" borderId="18" xfId="0" applyNumberFormat="1" applyFont="1" applyFill="1" applyBorder="1" applyAlignment="1">
      <alignment horizontal="center"/>
    </xf>
    <xf numFmtId="166" fontId="4" fillId="39" borderId="18" xfId="0" applyNumberFormat="1" applyFont="1" applyFill="1" applyBorder="1" applyAlignment="1">
      <alignment horizontal="right"/>
    </xf>
    <xf numFmtId="165" fontId="4" fillId="39" borderId="18" xfId="0" applyNumberFormat="1" applyFont="1" applyFill="1" applyBorder="1" applyAlignment="1">
      <alignment horizontal="right"/>
    </xf>
    <xf numFmtId="0" fontId="12" fillId="0" borderId="17" xfId="0" quotePrefix="1" applyFont="1" applyBorder="1"/>
    <xf numFmtId="165" fontId="12" fillId="0" borderId="18" xfId="0" applyNumberFormat="1" applyFont="1" applyBorder="1" applyAlignment="1">
      <alignment horizontal="right"/>
    </xf>
    <xf numFmtId="0" fontId="4" fillId="0" borderId="17" xfId="0" quotePrefix="1" applyFont="1" applyBorder="1"/>
    <xf numFmtId="0" fontId="51" fillId="0" borderId="17" xfId="0" applyFont="1" applyBorder="1"/>
    <xf numFmtId="164" fontId="25" fillId="39" borderId="17" xfId="0" applyNumberFormat="1" applyFont="1" applyFill="1" applyBorder="1"/>
    <xf numFmtId="164" fontId="25" fillId="39" borderId="18" xfId="0" applyNumberFormat="1" applyFont="1" applyFill="1" applyBorder="1" applyAlignment="1">
      <alignment horizontal="center"/>
    </xf>
    <xf numFmtId="166" fontId="25" fillId="39" borderId="18" xfId="0" applyNumberFormat="1" applyFont="1" applyFill="1" applyBorder="1"/>
    <xf numFmtId="165" fontId="25" fillId="39" borderId="18" xfId="0" applyNumberFormat="1" applyFont="1" applyFill="1" applyBorder="1" applyAlignment="1">
      <alignment horizontal="right"/>
    </xf>
    <xf numFmtId="164" fontId="25" fillId="0" borderId="18" xfId="0" applyNumberFormat="1" applyFont="1" applyBorder="1" applyAlignment="1">
      <alignment horizontal="center" wrapText="1"/>
    </xf>
    <xf numFmtId="0" fontId="53" fillId="12" borderId="17" xfId="0" applyFont="1" applyFill="1" applyBorder="1"/>
    <xf numFmtId="164" fontId="25" fillId="0" borderId="18" xfId="0" applyNumberFormat="1" applyFont="1" applyBorder="1" applyAlignment="1">
      <alignment horizontal="center"/>
    </xf>
    <xf numFmtId="164" fontId="11" fillId="0" borderId="18" xfId="0" applyNumberFormat="1" applyFont="1" applyBorder="1" applyAlignment="1">
      <alignment horizontal="center"/>
    </xf>
    <xf numFmtId="0" fontId="54" fillId="23" borderId="17" xfId="0" applyFont="1" applyFill="1" applyBorder="1"/>
    <xf numFmtId="0" fontId="11" fillId="12" borderId="12" xfId="0" applyFont="1" applyFill="1" applyBorder="1"/>
    <xf numFmtId="164" fontId="11" fillId="0" borderId="13" xfId="0" applyNumberFormat="1" applyFont="1" applyBorder="1" applyAlignment="1">
      <alignment horizontal="center" wrapText="1"/>
    </xf>
    <xf numFmtId="166" fontId="11" fillId="12" borderId="13" xfId="0" applyNumberFormat="1" applyFont="1" applyFill="1" applyBorder="1" applyAlignment="1">
      <alignment horizontal="right"/>
    </xf>
    <xf numFmtId="164" fontId="6" fillId="39" borderId="16" xfId="0" applyNumberFormat="1" applyFont="1" applyFill="1" applyBorder="1"/>
    <xf numFmtId="164" fontId="6" fillId="23" borderId="17" xfId="0" applyNumberFormat="1" applyFont="1" applyFill="1" applyBorder="1"/>
    <xf numFmtId="164" fontId="4" fillId="0" borderId="17" xfId="0" applyNumberFormat="1" applyFont="1" applyBorder="1"/>
    <xf numFmtId="164" fontId="6" fillId="0" borderId="23" xfId="0" applyNumberFormat="1" applyFont="1" applyBorder="1"/>
    <xf numFmtId="0" fontId="6" fillId="0" borderId="23" xfId="0" applyFont="1" applyBorder="1"/>
    <xf numFmtId="164" fontId="12" fillId="0" borderId="23" xfId="0" applyNumberFormat="1" applyFont="1" applyBorder="1"/>
    <xf numFmtId="0" fontId="6" fillId="0" borderId="24" xfId="0" applyFont="1" applyBorder="1"/>
    <xf numFmtId="164" fontId="12" fillId="0" borderId="24" xfId="0" applyNumberFormat="1" applyFont="1" applyBorder="1" applyAlignment="1">
      <alignment horizontal="center"/>
    </xf>
    <xf numFmtId="166" fontId="6" fillId="0" borderId="24" xfId="0" applyNumberFormat="1" applyFont="1" applyBorder="1"/>
    <xf numFmtId="165" fontId="6" fillId="0" borderId="24" xfId="0" applyNumberFormat="1" applyFont="1" applyBorder="1"/>
    <xf numFmtId="167" fontId="25" fillId="12" borderId="17" xfId="0" applyNumberFormat="1" applyFont="1" applyFill="1" applyBorder="1" applyAlignment="1">
      <alignment horizontal="center"/>
    </xf>
    <xf numFmtId="164" fontId="11" fillId="0" borderId="17" xfId="0" applyNumberFormat="1" applyFont="1" applyBorder="1"/>
    <xf numFmtId="166" fontId="12" fillId="12" borderId="13" xfId="0" applyNumberFormat="1" applyFont="1" applyFill="1" applyBorder="1" applyAlignment="1">
      <alignment horizontal="right"/>
    </xf>
    <xf numFmtId="164" fontId="4" fillId="13" borderId="32" xfId="0" applyNumberFormat="1" applyFont="1" applyFill="1" applyBorder="1"/>
    <xf numFmtId="164" fontId="6" fillId="13" borderId="33" xfId="0" applyNumberFormat="1" applyFont="1" applyFill="1" applyBorder="1"/>
    <xf numFmtId="0" fontId="6" fillId="13" borderId="33" xfId="0" applyFont="1" applyFill="1" applyBorder="1"/>
    <xf numFmtId="0" fontId="6" fillId="13" borderId="21" xfId="0" applyFont="1" applyFill="1" applyBorder="1"/>
    <xf numFmtId="164" fontId="4" fillId="13" borderId="33" xfId="0" applyNumberFormat="1" applyFont="1" applyFill="1" applyBorder="1"/>
    <xf numFmtId="166" fontId="6" fillId="13" borderId="33" xfId="0" applyNumberFormat="1" applyFont="1" applyFill="1" applyBorder="1"/>
    <xf numFmtId="166" fontId="6" fillId="13" borderId="21" xfId="0" applyNumberFormat="1" applyFont="1" applyFill="1" applyBorder="1"/>
    <xf numFmtId="165" fontId="6" fillId="13" borderId="21" xfId="0" applyNumberFormat="1" applyFont="1" applyFill="1" applyBorder="1"/>
    <xf numFmtId="164" fontId="6" fillId="0" borderId="0" xfId="0" applyNumberFormat="1" applyFont="1"/>
    <xf numFmtId="166" fontId="6" fillId="0" borderId="0" xfId="0" applyNumberFormat="1" applyFont="1"/>
    <xf numFmtId="165" fontId="6" fillId="0" borderId="0" xfId="0" applyNumberFormat="1" applyFont="1"/>
    <xf numFmtId="164" fontId="33" fillId="0" borderId="0" xfId="0" applyNumberFormat="1" applyFont="1"/>
    <xf numFmtId="0" fontId="33" fillId="0" borderId="0" xfId="0" applyFont="1"/>
    <xf numFmtId="0" fontId="12" fillId="12" borderId="13" xfId="0" applyFont="1" applyFill="1" applyBorder="1" applyAlignment="1">
      <alignment horizontal="center"/>
    </xf>
    <xf numFmtId="0" fontId="6" fillId="12" borderId="11" xfId="0" applyFont="1" applyFill="1" applyBorder="1"/>
    <xf numFmtId="0" fontId="6" fillId="12" borderId="16" xfId="0" applyFont="1" applyFill="1" applyBorder="1"/>
    <xf numFmtId="0" fontId="4" fillId="13" borderId="33" xfId="0" applyFont="1" applyFill="1" applyBorder="1"/>
    <xf numFmtId="0" fontId="4" fillId="13" borderId="32" xfId="0" applyFont="1" applyFill="1" applyBorder="1"/>
    <xf numFmtId="164" fontId="21" fillId="23" borderId="17" xfId="0" applyNumberFormat="1" applyFont="1" applyFill="1" applyBorder="1"/>
    <xf numFmtId="164" fontId="6" fillId="0" borderId="22" xfId="0" applyNumberFormat="1" applyFont="1" applyBorder="1"/>
    <xf numFmtId="166" fontId="8" fillId="24" borderId="18" xfId="0" applyNumberFormat="1" applyFont="1" applyFill="1" applyBorder="1" applyAlignment="1">
      <alignment horizontal="right"/>
    </xf>
    <xf numFmtId="164" fontId="5" fillId="12" borderId="18" xfId="0" applyNumberFormat="1" applyFont="1" applyFill="1" applyBorder="1"/>
    <xf numFmtId="164" fontId="1" fillId="0" borderId="17" xfId="0" applyNumberFormat="1" applyFont="1" applyBorder="1"/>
    <xf numFmtId="164" fontId="21" fillId="23" borderId="17" xfId="0" quotePrefix="1" applyNumberFormat="1" applyFont="1" applyFill="1" applyBorder="1"/>
    <xf numFmtId="0" fontId="29" fillId="23" borderId="17" xfId="0" applyFont="1" applyFill="1" applyBorder="1"/>
    <xf numFmtId="0" fontId="29" fillId="12" borderId="17" xfId="0" applyFont="1" applyFill="1" applyBorder="1"/>
    <xf numFmtId="0" fontId="21" fillId="23" borderId="17" xfId="0" quotePrefix="1" applyFont="1" applyFill="1" applyBorder="1"/>
    <xf numFmtId="0" fontId="21" fillId="23" borderId="17" xfId="0" applyFont="1" applyFill="1" applyBorder="1"/>
    <xf numFmtId="164" fontId="6" fillId="40" borderId="16" xfId="0" applyNumberFormat="1" applyFont="1" applyFill="1" applyBorder="1"/>
    <xf numFmtId="165" fontId="6" fillId="12" borderId="36" xfId="0" applyNumberFormat="1" applyFont="1" applyFill="1" applyBorder="1"/>
    <xf numFmtId="165" fontId="6" fillId="12" borderId="37" xfId="0" applyNumberFormat="1" applyFont="1" applyFill="1" applyBorder="1"/>
    <xf numFmtId="165" fontId="6" fillId="0" borderId="36" xfId="0" applyNumberFormat="1" applyFont="1" applyBorder="1"/>
    <xf numFmtId="166" fontId="6" fillId="12" borderId="36" xfId="0" applyNumberFormat="1" applyFont="1" applyFill="1" applyBorder="1"/>
    <xf numFmtId="164" fontId="11" fillId="0" borderId="36" xfId="0" applyNumberFormat="1" applyFont="1" applyBorder="1" applyAlignment="1">
      <alignment horizontal="center" wrapText="1"/>
    </xf>
    <xf numFmtId="0" fontId="6" fillId="0" borderId="36" xfId="0" applyFont="1" applyBorder="1"/>
    <xf numFmtId="0" fontId="6" fillId="0" borderId="35" xfId="0" applyFont="1" applyBorder="1"/>
    <xf numFmtId="164" fontId="11" fillId="0" borderId="35" xfId="0" applyNumberFormat="1" applyFont="1" applyBorder="1"/>
    <xf numFmtId="164" fontId="6" fillId="0" borderId="35" xfId="0" applyNumberFormat="1" applyFont="1" applyBorder="1"/>
    <xf numFmtId="164" fontId="6" fillId="0" borderId="34" xfId="0" applyNumberFormat="1" applyFont="1" applyBorder="1"/>
    <xf numFmtId="0" fontId="29" fillId="23" borderId="17" xfId="0" quotePrefix="1" applyFont="1" applyFill="1" applyBorder="1"/>
    <xf numFmtId="166" fontId="6" fillId="11" borderId="18" xfId="0" applyNumberFormat="1" applyFont="1" applyFill="1" applyBorder="1"/>
    <xf numFmtId="164" fontId="25" fillId="11" borderId="18" xfId="0" applyNumberFormat="1" applyFont="1" applyFill="1" applyBorder="1" applyAlignment="1">
      <alignment horizontal="center"/>
    </xf>
    <xf numFmtId="164" fontId="11" fillId="11" borderId="17" xfId="0" applyNumberFormat="1" applyFont="1" applyFill="1" applyBorder="1"/>
    <xf numFmtId="164" fontId="6" fillId="11" borderId="16" xfId="0" applyNumberFormat="1" applyFont="1" applyFill="1" applyBorder="1"/>
    <xf numFmtId="166" fontId="6" fillId="11" borderId="17" xfId="0" applyNumberFormat="1" applyFont="1" applyFill="1" applyBorder="1"/>
    <xf numFmtId="164" fontId="25" fillId="11" borderId="17" xfId="0" applyNumberFormat="1" applyFont="1" applyFill="1" applyBorder="1" applyAlignment="1">
      <alignment horizontal="center"/>
    </xf>
    <xf numFmtId="0" fontId="25" fillId="11" borderId="17" xfId="0" applyFont="1" applyFill="1" applyBorder="1"/>
    <xf numFmtId="165" fontId="6" fillId="22" borderId="17" xfId="0" applyNumberFormat="1" applyFont="1" applyFill="1" applyBorder="1"/>
    <xf numFmtId="166" fontId="6" fillId="22" borderId="17" xfId="0" applyNumberFormat="1" applyFont="1" applyFill="1" applyBorder="1"/>
    <xf numFmtId="164" fontId="6" fillId="22" borderId="17" xfId="0" applyNumberFormat="1" applyFont="1" applyFill="1" applyBorder="1"/>
    <xf numFmtId="0" fontId="6" fillId="22" borderId="17" xfId="0" applyFont="1" applyFill="1" applyBorder="1"/>
    <xf numFmtId="167" fontId="6" fillId="22" borderId="17" xfId="0" applyNumberFormat="1" applyFont="1" applyFill="1" applyBorder="1"/>
    <xf numFmtId="164" fontId="25" fillId="22" borderId="16" xfId="0" applyNumberFormat="1" applyFont="1" applyFill="1" applyBorder="1"/>
    <xf numFmtId="166" fontId="6" fillId="37" borderId="18" xfId="0" applyNumberFormat="1" applyFont="1" applyFill="1" applyBorder="1"/>
    <xf numFmtId="165" fontId="11" fillId="12" borderId="13" xfId="0" applyNumberFormat="1" applyFont="1" applyFill="1" applyBorder="1" applyAlignment="1">
      <alignment horizontal="right"/>
    </xf>
    <xf numFmtId="166" fontId="11" fillId="24" borderId="13" xfId="0" applyNumberFormat="1" applyFont="1" applyFill="1" applyBorder="1" applyAlignment="1">
      <alignment horizontal="right"/>
    </xf>
    <xf numFmtId="0" fontId="11" fillId="12" borderId="13" xfId="0" applyFont="1" applyFill="1" applyBorder="1" applyAlignment="1">
      <alignment horizontal="center" wrapText="1"/>
    </xf>
    <xf numFmtId="0" fontId="11" fillId="0" borderId="12" xfId="0" applyFont="1" applyBorder="1"/>
    <xf numFmtId="166" fontId="11" fillId="24" borderId="18" xfId="0" applyNumberFormat="1" applyFont="1" applyFill="1" applyBorder="1" applyAlignment="1">
      <alignment horizontal="right"/>
    </xf>
    <xf numFmtId="0" fontId="11" fillId="12" borderId="18" xfId="0" applyFont="1" applyFill="1" applyBorder="1" applyAlignment="1">
      <alignment horizontal="center" wrapText="1"/>
    </xf>
    <xf numFmtId="0" fontId="25" fillId="12" borderId="17" xfId="0" applyFont="1" applyFill="1" applyBorder="1"/>
    <xf numFmtId="0" fontId="55" fillId="12" borderId="17" xfId="0" applyFont="1" applyFill="1" applyBorder="1"/>
    <xf numFmtId="164" fontId="25" fillId="12" borderId="18" xfId="0" applyNumberFormat="1" applyFont="1" applyFill="1" applyBorder="1" applyAlignment="1">
      <alignment horizontal="center"/>
    </xf>
    <xf numFmtId="165" fontId="25" fillId="37" borderId="18" xfId="0" applyNumberFormat="1" applyFont="1" applyFill="1" applyBorder="1" applyAlignment="1">
      <alignment horizontal="right"/>
    </xf>
    <xf numFmtId="166" fontId="25" fillId="37" borderId="18" xfId="0" applyNumberFormat="1" applyFont="1" applyFill="1" applyBorder="1" applyAlignment="1">
      <alignment horizontal="right"/>
    </xf>
    <xf numFmtId="0" fontId="25" fillId="37" borderId="18" xfId="0" applyFont="1" applyFill="1" applyBorder="1" applyAlignment="1">
      <alignment horizontal="center" wrapText="1"/>
    </xf>
    <xf numFmtId="0" fontId="25" fillId="37" borderId="17" xfId="0" applyFont="1" applyFill="1" applyBorder="1"/>
    <xf numFmtId="165" fontId="6" fillId="36" borderId="18" xfId="0" applyNumberFormat="1" applyFont="1" applyFill="1" applyBorder="1"/>
    <xf numFmtId="166" fontId="6" fillId="36" borderId="18" xfId="0" applyNumberFormat="1" applyFont="1" applyFill="1" applyBorder="1"/>
    <xf numFmtId="0" fontId="6" fillId="36" borderId="18" xfId="0" applyFont="1" applyFill="1" applyBorder="1"/>
    <xf numFmtId="164" fontId="6" fillId="36" borderId="17" xfId="0" applyNumberFormat="1" applyFont="1" applyFill="1" applyBorder="1"/>
    <xf numFmtId="0" fontId="6" fillId="36" borderId="17" xfId="0" applyFont="1" applyFill="1" applyBorder="1"/>
    <xf numFmtId="164" fontId="25" fillId="36" borderId="16" xfId="0" applyNumberFormat="1" applyFont="1" applyFill="1" applyBorder="1"/>
    <xf numFmtId="165" fontId="6" fillId="34" borderId="12" xfId="0" applyNumberFormat="1" applyFont="1" applyFill="1" applyBorder="1"/>
    <xf numFmtId="166" fontId="6" fillId="34" borderId="12" xfId="0" applyNumberFormat="1" applyFont="1" applyFill="1" applyBorder="1"/>
    <xf numFmtId="0" fontId="6" fillId="34" borderId="12" xfId="0" applyFont="1" applyFill="1" applyBorder="1"/>
    <xf numFmtId="164" fontId="6" fillId="34" borderId="12" xfId="0" applyNumberFormat="1" applyFont="1" applyFill="1" applyBorder="1"/>
    <xf numFmtId="164" fontId="25" fillId="34" borderId="11" xfId="0" applyNumberFormat="1" applyFont="1" applyFill="1" applyBorder="1"/>
    <xf numFmtId="164" fontId="22" fillId="12" borderId="17" xfId="0" applyNumberFormat="1" applyFont="1" applyFill="1" applyBorder="1"/>
    <xf numFmtId="166" fontId="12" fillId="24" borderId="14" xfId="0" applyNumberFormat="1" applyFont="1" applyFill="1" applyBorder="1" applyAlignment="1">
      <alignment horizontal="right"/>
    </xf>
    <xf numFmtId="166" fontId="12" fillId="24" borderId="19" xfId="0" applyNumberFormat="1" applyFont="1" applyFill="1" applyBorder="1" applyAlignment="1">
      <alignment horizontal="right"/>
    </xf>
    <xf numFmtId="165" fontId="6" fillId="41" borderId="18" xfId="0" applyNumberFormat="1" applyFont="1" applyFill="1" applyBorder="1"/>
    <xf numFmtId="165" fontId="6" fillId="41" borderId="19" xfId="0" applyNumberFormat="1" applyFont="1" applyFill="1" applyBorder="1"/>
    <xf numFmtId="165" fontId="4" fillId="41" borderId="18" xfId="0" applyNumberFormat="1" applyFont="1" applyFill="1" applyBorder="1" applyAlignment="1">
      <alignment horizontal="right"/>
    </xf>
    <xf numFmtId="166" fontId="4" fillId="41" borderId="19" xfId="0" applyNumberFormat="1" applyFont="1" applyFill="1" applyBorder="1" applyAlignment="1">
      <alignment horizontal="right"/>
    </xf>
    <xf numFmtId="166" fontId="6" fillId="41" borderId="18" xfId="0" applyNumberFormat="1" applyFont="1" applyFill="1" applyBorder="1"/>
    <xf numFmtId="164" fontId="4" fillId="41" borderId="18" xfId="0" applyNumberFormat="1" applyFont="1" applyFill="1" applyBorder="1" applyAlignment="1">
      <alignment horizontal="center"/>
    </xf>
    <xf numFmtId="164" fontId="6" fillId="41" borderId="18" xfId="0" applyNumberFormat="1" applyFont="1" applyFill="1" applyBorder="1"/>
    <xf numFmtId="164" fontId="6" fillId="41" borderId="17" xfId="0" applyNumberFormat="1" applyFont="1" applyFill="1" applyBorder="1"/>
    <xf numFmtId="164" fontId="12" fillId="41" borderId="17" xfId="0" applyNumberFormat="1" applyFont="1" applyFill="1" applyBorder="1"/>
    <xf numFmtId="164" fontId="6" fillId="41" borderId="16" xfId="0" applyNumberFormat="1" applyFont="1" applyFill="1" applyBorder="1"/>
    <xf numFmtId="164" fontId="4" fillId="41" borderId="17" xfId="0" applyNumberFormat="1" applyFont="1" applyFill="1" applyBorder="1"/>
    <xf numFmtId="166" fontId="12" fillId="12" borderId="19" xfId="0" applyNumberFormat="1" applyFont="1" applyFill="1" applyBorder="1" applyAlignment="1">
      <alignment horizontal="right"/>
    </xf>
    <xf numFmtId="166" fontId="4" fillId="41" borderId="18" xfId="0" applyNumberFormat="1" applyFont="1" applyFill="1" applyBorder="1" applyAlignment="1">
      <alignment horizontal="right"/>
    </xf>
    <xf numFmtId="166" fontId="4" fillId="40" borderId="19" xfId="0" applyNumberFormat="1" applyFont="1" applyFill="1" applyBorder="1" applyAlignment="1">
      <alignment horizontal="right"/>
    </xf>
    <xf numFmtId="164" fontId="43" fillId="40" borderId="17" xfId="0" applyNumberFormat="1" applyFont="1" applyFill="1" applyBorder="1"/>
    <xf numFmtId="166" fontId="4" fillId="12" borderId="19" xfId="0" applyNumberFormat="1" applyFont="1" applyFill="1" applyBorder="1" applyAlignment="1">
      <alignment horizontal="right"/>
    </xf>
    <xf numFmtId="164" fontId="4" fillId="40" borderId="18" xfId="0" applyNumberFormat="1" applyFont="1" applyFill="1" applyBorder="1" applyAlignment="1">
      <alignment horizontal="center" wrapText="1"/>
    </xf>
    <xf numFmtId="168" fontId="12" fillId="24" borderId="19" xfId="0" applyNumberFormat="1" applyFont="1" applyFill="1" applyBorder="1" applyAlignment="1">
      <alignment horizontal="right"/>
    </xf>
    <xf numFmtId="166" fontId="4" fillId="40" borderId="25" xfId="0" applyNumberFormat="1" applyFont="1" applyFill="1" applyBorder="1" applyAlignment="1">
      <alignment horizontal="right"/>
    </xf>
    <xf numFmtId="164" fontId="21" fillId="12" borderId="17" xfId="0" quotePrefix="1" applyNumberFormat="1" applyFont="1" applyFill="1" applyBorder="1"/>
    <xf numFmtId="164" fontId="21" fillId="12" borderId="17" xfId="0" applyNumberFormat="1" applyFont="1" applyFill="1" applyBorder="1"/>
    <xf numFmtId="164" fontId="6" fillId="33" borderId="16" xfId="0" applyNumberFormat="1" applyFont="1" applyFill="1" applyBorder="1"/>
    <xf numFmtId="166" fontId="6" fillId="33" borderId="18" xfId="0" applyNumberFormat="1" applyFont="1" applyFill="1" applyBorder="1"/>
    <xf numFmtId="164" fontId="33" fillId="12" borderId="12" xfId="0" applyNumberFormat="1" applyFont="1" applyFill="1" applyBorder="1"/>
    <xf numFmtId="170" fontId="12" fillId="12" borderId="18" xfId="0" applyNumberFormat="1" applyFont="1" applyFill="1" applyBorder="1" applyAlignment="1">
      <alignment horizontal="right"/>
    </xf>
    <xf numFmtId="0" fontId="12" fillId="0" borderId="18" xfId="0" applyFont="1" applyBorder="1" applyAlignment="1">
      <alignment horizontal="center" wrapText="1"/>
    </xf>
    <xf numFmtId="0" fontId="4" fillId="26" borderId="18" xfId="0" applyFont="1" applyFill="1" applyBorder="1" applyAlignment="1">
      <alignment horizontal="center"/>
    </xf>
    <xf numFmtId="0" fontId="21" fillId="26" borderId="17" xfId="0" applyFont="1" applyFill="1" applyBorder="1"/>
    <xf numFmtId="0" fontId="4" fillId="33" borderId="17" xfId="0" applyFont="1" applyFill="1" applyBorder="1"/>
    <xf numFmtId="164" fontId="21" fillId="26" borderId="23" xfId="0" applyNumberFormat="1" applyFont="1" applyFill="1" applyBorder="1"/>
    <xf numFmtId="0" fontId="4" fillId="23" borderId="17" xfId="0" applyFont="1" applyFill="1" applyBorder="1"/>
    <xf numFmtId="0" fontId="4" fillId="33" borderId="18" xfId="0" applyFont="1" applyFill="1" applyBorder="1" applyAlignment="1">
      <alignment horizontal="center" wrapText="1"/>
    </xf>
    <xf numFmtId="166" fontId="6" fillId="32" borderId="18" xfId="0" applyNumberFormat="1" applyFont="1" applyFill="1" applyBorder="1"/>
    <xf numFmtId="0" fontId="6" fillId="32" borderId="17" xfId="0" applyFont="1" applyFill="1" applyBorder="1"/>
    <xf numFmtId="164" fontId="6" fillId="32" borderId="17" xfId="0" applyNumberFormat="1" applyFont="1" applyFill="1" applyBorder="1"/>
    <xf numFmtId="164" fontId="4" fillId="32" borderId="16" xfId="0" applyNumberFormat="1" applyFont="1" applyFill="1" applyBorder="1"/>
    <xf numFmtId="165" fontId="11" fillId="9" borderId="18" xfId="0" applyNumberFormat="1" applyFont="1" applyFill="1" applyBorder="1" applyAlignment="1">
      <alignment horizontal="right"/>
    </xf>
    <xf numFmtId="166" fontId="11" fillId="9" borderId="18" xfId="0" applyNumberFormat="1" applyFont="1" applyFill="1" applyBorder="1" applyAlignment="1">
      <alignment horizontal="right"/>
    </xf>
    <xf numFmtId="0" fontId="11" fillId="9" borderId="18" xfId="0" applyFont="1" applyFill="1" applyBorder="1" applyAlignment="1">
      <alignment horizontal="center"/>
    </xf>
    <xf numFmtId="0" fontId="11" fillId="9" borderId="17" xfId="0" applyFont="1" applyFill="1" applyBorder="1"/>
    <xf numFmtId="165" fontId="12" fillId="9" borderId="18" xfId="0" applyNumberFormat="1" applyFont="1" applyFill="1" applyBorder="1" applyAlignment="1">
      <alignment horizontal="right"/>
    </xf>
    <xf numFmtId="166" fontId="12" fillId="9" borderId="18" xfId="0" applyNumberFormat="1" applyFont="1" applyFill="1" applyBorder="1" applyAlignment="1">
      <alignment horizontal="right"/>
    </xf>
    <xf numFmtId="0" fontId="12" fillId="9" borderId="18" xfId="0" applyFont="1" applyFill="1" applyBorder="1" applyAlignment="1">
      <alignment horizontal="center"/>
    </xf>
    <xf numFmtId="0" fontId="12" fillId="9" borderId="17" xfId="0" applyFont="1" applyFill="1" applyBorder="1"/>
    <xf numFmtId="0" fontId="6" fillId="32" borderId="18" xfId="0" applyFont="1" applyFill="1" applyBorder="1"/>
    <xf numFmtId="166" fontId="6" fillId="31" borderId="12" xfId="0" applyNumberFormat="1" applyFont="1" applyFill="1" applyBorder="1"/>
    <xf numFmtId="0" fontId="6" fillId="31" borderId="12" xfId="0" applyFont="1" applyFill="1" applyBorder="1"/>
    <xf numFmtId="164" fontId="6" fillId="31" borderId="12" xfId="0" applyNumberFormat="1" applyFont="1" applyFill="1" applyBorder="1"/>
    <xf numFmtId="166" fontId="6" fillId="9" borderId="13" xfId="0" applyNumberFormat="1" applyFont="1" applyFill="1" applyBorder="1"/>
    <xf numFmtId="0" fontId="6" fillId="9" borderId="13" xfId="0" applyFont="1" applyFill="1" applyBorder="1"/>
    <xf numFmtId="0" fontId="6" fillId="9" borderId="12" xfId="0" applyFont="1" applyFill="1" applyBorder="1"/>
    <xf numFmtId="164" fontId="6" fillId="9" borderId="12" xfId="0" applyNumberFormat="1" applyFont="1" applyFill="1" applyBorder="1"/>
    <xf numFmtId="164" fontId="6" fillId="9" borderId="11" xfId="0" applyNumberFormat="1" applyFont="1" applyFill="1" applyBorder="1"/>
    <xf numFmtId="165" fontId="4" fillId="0" borderId="18" xfId="0" applyNumberFormat="1" applyFont="1" applyBorder="1" applyAlignment="1">
      <alignment horizontal="right"/>
    </xf>
    <xf numFmtId="0" fontId="4" fillId="0" borderId="18" xfId="0" applyFont="1" applyBorder="1" applyAlignment="1">
      <alignment horizontal="center" wrapText="1"/>
    </xf>
    <xf numFmtId="165" fontId="4" fillId="30" borderId="18" xfId="0" applyNumberFormat="1" applyFont="1" applyFill="1" applyBorder="1" applyAlignment="1">
      <alignment horizontal="right"/>
    </xf>
    <xf numFmtId="166" fontId="4" fillId="30" borderId="18" xfId="0" applyNumberFormat="1" applyFont="1" applyFill="1" applyBorder="1" applyAlignment="1">
      <alignment horizontal="right"/>
    </xf>
    <xf numFmtId="0" fontId="4" fillId="30" borderId="18" xfId="0" applyFont="1" applyFill="1" applyBorder="1" applyAlignment="1">
      <alignment horizontal="center" wrapText="1"/>
    </xf>
    <xf numFmtId="0" fontId="6" fillId="30" borderId="18" xfId="0" applyFont="1" applyFill="1" applyBorder="1"/>
    <xf numFmtId="0" fontId="6" fillId="30" borderId="17" xfId="0" applyFont="1" applyFill="1" applyBorder="1"/>
    <xf numFmtId="164" fontId="6" fillId="30" borderId="17" xfId="0" applyNumberFormat="1" applyFont="1" applyFill="1" applyBorder="1"/>
    <xf numFmtId="167" fontId="6" fillId="30" borderId="16" xfId="0" applyNumberFormat="1" applyFont="1" applyFill="1" applyBorder="1"/>
    <xf numFmtId="0" fontId="4" fillId="30" borderId="17" xfId="0" applyFont="1" applyFill="1" applyBorder="1"/>
    <xf numFmtId="166" fontId="6" fillId="29" borderId="18" xfId="0" applyNumberFormat="1" applyFont="1" applyFill="1" applyBorder="1"/>
    <xf numFmtId="166" fontId="6" fillId="29" borderId="17" xfId="0" applyNumberFormat="1" applyFont="1" applyFill="1" applyBorder="1"/>
    <xf numFmtId="0" fontId="6" fillId="29" borderId="17" xfId="0" applyFont="1" applyFill="1" applyBorder="1"/>
    <xf numFmtId="164" fontId="6" fillId="29" borderId="17" xfId="0" applyNumberFormat="1" applyFont="1" applyFill="1" applyBorder="1"/>
    <xf numFmtId="164" fontId="4" fillId="29" borderId="16" xfId="0" applyNumberFormat="1" applyFont="1" applyFill="1" applyBorder="1"/>
    <xf numFmtId="166" fontId="6" fillId="28" borderId="12" xfId="0" applyNumberFormat="1" applyFont="1" applyFill="1" applyBorder="1"/>
    <xf numFmtId="0" fontId="6" fillId="28" borderId="12" xfId="0" applyFont="1" applyFill="1" applyBorder="1"/>
    <xf numFmtId="164" fontId="6" fillId="28" borderId="12" xfId="0" applyNumberFormat="1" applyFont="1" applyFill="1" applyBorder="1"/>
    <xf numFmtId="164" fontId="3" fillId="28" borderId="11" xfId="0" applyNumberFormat="1" applyFont="1" applyFill="1" applyBorder="1"/>
    <xf numFmtId="165" fontId="11" fillId="0" borderId="13" xfId="0" applyNumberFormat="1" applyFont="1" applyBorder="1" applyAlignment="1">
      <alignment horizontal="right"/>
    </xf>
    <xf numFmtId="0" fontId="11" fillId="12" borderId="13" xfId="0" applyFont="1" applyFill="1" applyBorder="1" applyAlignment="1">
      <alignment horizontal="center"/>
    </xf>
    <xf numFmtId="0" fontId="11" fillId="0" borderId="12" xfId="0" quotePrefix="1" applyFont="1" applyBorder="1"/>
    <xf numFmtId="165" fontId="5" fillId="0" borderId="19" xfId="0" applyNumberFormat="1" applyFont="1" applyBorder="1"/>
    <xf numFmtId="0" fontId="7" fillId="23" borderId="17" xfId="0" quotePrefix="1" applyFont="1" applyFill="1" applyBorder="1"/>
    <xf numFmtId="165" fontId="28" fillId="0" borderId="18" xfId="0" applyNumberFormat="1" applyFont="1" applyBorder="1"/>
    <xf numFmtId="166" fontId="28" fillId="0" borderId="18" xfId="0" applyNumberFormat="1" applyFont="1" applyBorder="1"/>
    <xf numFmtId="0" fontId="28" fillId="12" borderId="18" xfId="0" applyFont="1" applyFill="1" applyBorder="1"/>
    <xf numFmtId="0" fontId="28" fillId="12" borderId="17" xfId="0" applyFont="1" applyFill="1" applyBorder="1"/>
    <xf numFmtId="167" fontId="28" fillId="12" borderId="16" xfId="0" applyNumberFormat="1" applyFont="1" applyFill="1" applyBorder="1"/>
    <xf numFmtId="0" fontId="9" fillId="12" borderId="17" xfId="0" applyFont="1" applyFill="1" applyBorder="1"/>
    <xf numFmtId="165" fontId="28" fillId="12" borderId="18" xfId="0" applyNumberFormat="1" applyFont="1" applyFill="1" applyBorder="1"/>
    <xf numFmtId="166" fontId="28" fillId="12" borderId="18" xfId="0" applyNumberFormat="1" applyFont="1" applyFill="1" applyBorder="1"/>
    <xf numFmtId="165" fontId="1" fillId="12" borderId="19" xfId="0" applyNumberFormat="1" applyFont="1" applyFill="1" applyBorder="1" applyAlignment="1">
      <alignment horizontal="right"/>
    </xf>
    <xf numFmtId="0" fontId="7" fillId="12" borderId="17" xfId="0" applyFont="1" applyFill="1" applyBorder="1"/>
    <xf numFmtId="165" fontId="5" fillId="23" borderId="19" xfId="0" applyNumberFormat="1" applyFont="1" applyFill="1" applyBorder="1"/>
    <xf numFmtId="166" fontId="1" fillId="23" borderId="18" xfId="0" applyNumberFormat="1" applyFont="1" applyFill="1" applyBorder="1"/>
    <xf numFmtId="165" fontId="5" fillId="25" borderId="19" xfId="0" applyNumberFormat="1" applyFont="1" applyFill="1" applyBorder="1"/>
    <xf numFmtId="0" fontId="11" fillId="0" borderId="18" xfId="0" applyFont="1" applyBorder="1" applyAlignment="1">
      <alignment horizontal="center"/>
    </xf>
    <xf numFmtId="0" fontId="11" fillId="0" borderId="17" xfId="0" quotePrefix="1" applyFont="1" applyBorder="1"/>
    <xf numFmtId="164" fontId="11" fillId="0" borderId="17" xfId="0" quotePrefix="1" applyNumberFormat="1" applyFont="1" applyBorder="1"/>
    <xf numFmtId="164" fontId="25" fillId="12" borderId="17" xfId="0" applyNumberFormat="1" applyFont="1" applyFill="1" applyBorder="1"/>
    <xf numFmtId="0" fontId="29" fillId="12" borderId="17" xfId="0" quotePrefix="1" applyFont="1" applyFill="1" applyBorder="1"/>
    <xf numFmtId="165" fontId="25" fillId="26" borderId="18" xfId="0" applyNumberFormat="1" applyFont="1" applyFill="1" applyBorder="1" applyAlignment="1">
      <alignment horizontal="right"/>
    </xf>
    <xf numFmtId="166" fontId="25" fillId="26" borderId="18" xfId="0" applyNumberFormat="1" applyFont="1" applyFill="1" applyBorder="1" applyAlignment="1">
      <alignment horizontal="right"/>
    </xf>
    <xf numFmtId="0" fontId="25" fillId="26" borderId="18" xfId="0" applyFont="1" applyFill="1" applyBorder="1" applyAlignment="1">
      <alignment horizontal="center" wrapText="1"/>
    </xf>
    <xf numFmtId="0" fontId="25" fillId="26" borderId="17" xfId="0" applyFont="1" applyFill="1" applyBorder="1"/>
    <xf numFmtId="164" fontId="12" fillId="0" borderId="17" xfId="0" quotePrefix="1" applyNumberFormat="1" applyFont="1" applyBorder="1"/>
    <xf numFmtId="165" fontId="56" fillId="12" borderId="18" xfId="0" applyNumberFormat="1" applyFont="1" applyFill="1" applyBorder="1"/>
    <xf numFmtId="165" fontId="25" fillId="12" borderId="18" xfId="0" applyNumberFormat="1" applyFont="1" applyFill="1" applyBorder="1" applyAlignment="1">
      <alignment horizontal="right"/>
    </xf>
    <xf numFmtId="165" fontId="25" fillId="12" borderId="19" xfId="0" applyNumberFormat="1" applyFont="1" applyFill="1" applyBorder="1" applyAlignment="1">
      <alignment horizontal="right"/>
    </xf>
    <xf numFmtId="0" fontId="4" fillId="26" borderId="17" xfId="0" applyFont="1" applyFill="1" applyBorder="1"/>
    <xf numFmtId="0" fontId="21" fillId="12" borderId="17" xfId="0" quotePrefix="1" applyFont="1" applyFill="1" applyBorder="1"/>
    <xf numFmtId="0" fontId="12" fillId="0" borderId="18" xfId="0" applyFont="1" applyBorder="1"/>
    <xf numFmtId="165" fontId="4" fillId="24" borderId="18" xfId="0" applyNumberFormat="1" applyFont="1" applyFill="1" applyBorder="1" applyAlignment="1">
      <alignment horizontal="right"/>
    </xf>
    <xf numFmtId="165" fontId="4" fillId="23" borderId="18" xfId="0" applyNumberFormat="1" applyFont="1" applyFill="1" applyBorder="1" applyAlignment="1">
      <alignment horizontal="right"/>
    </xf>
    <xf numFmtId="166" fontId="4" fillId="23" borderId="18" xfId="0" applyNumberFormat="1" applyFont="1" applyFill="1" applyBorder="1" applyAlignment="1">
      <alignment horizontal="right"/>
    </xf>
    <xf numFmtId="0" fontId="4" fillId="23" borderId="18" xfId="0" applyFont="1" applyFill="1" applyBorder="1" applyAlignment="1">
      <alignment horizontal="center" wrapText="1"/>
    </xf>
    <xf numFmtId="164" fontId="6" fillId="23" borderId="16" xfId="0" applyNumberFormat="1" applyFont="1" applyFill="1" applyBorder="1"/>
    <xf numFmtId="166" fontId="6" fillId="25" borderId="18" xfId="0" applyNumberFormat="1" applyFont="1" applyFill="1" applyBorder="1"/>
    <xf numFmtId="0" fontId="6" fillId="25" borderId="18" xfId="0" applyFont="1" applyFill="1" applyBorder="1"/>
    <xf numFmtId="0" fontId="6" fillId="25" borderId="17" xfId="0" applyFont="1" applyFill="1" applyBorder="1"/>
    <xf numFmtId="164" fontId="6" fillId="25" borderId="17" xfId="0" applyNumberFormat="1" applyFont="1" applyFill="1" applyBorder="1"/>
    <xf numFmtId="164" fontId="4" fillId="25" borderId="16" xfId="0" applyNumberFormat="1" applyFont="1" applyFill="1" applyBorder="1"/>
    <xf numFmtId="166" fontId="6" fillId="8" borderId="12" xfId="0" applyNumberFormat="1" applyFont="1" applyFill="1" applyBorder="1"/>
    <xf numFmtId="0" fontId="6" fillId="8" borderId="12" xfId="0" applyFont="1" applyFill="1" applyBorder="1"/>
    <xf numFmtId="164" fontId="6" fillId="8" borderId="12" xfId="0" applyNumberFormat="1" applyFont="1" applyFill="1" applyBorder="1"/>
    <xf numFmtId="164" fontId="4" fillId="8" borderId="11" xfId="0" applyNumberFormat="1" applyFont="1" applyFill="1" applyBorder="1"/>
    <xf numFmtId="164" fontId="11" fillId="0" borderId="13" xfId="0" applyNumberFormat="1" applyFont="1" applyBorder="1" applyAlignment="1">
      <alignment horizontal="center"/>
    </xf>
    <xf numFmtId="167" fontId="6" fillId="12" borderId="11" xfId="0" applyNumberFormat="1" applyFont="1" applyFill="1" applyBorder="1"/>
    <xf numFmtId="164" fontId="4" fillId="22" borderId="16" xfId="0" applyNumberFormat="1" applyFont="1" applyFill="1" applyBorder="1"/>
    <xf numFmtId="0" fontId="4" fillId="11" borderId="18" xfId="0" applyFont="1" applyFill="1" applyBorder="1" applyAlignment="1">
      <alignment horizontal="center" wrapText="1"/>
    </xf>
    <xf numFmtId="167" fontId="4" fillId="11" borderId="17" xfId="0" applyNumberFormat="1" applyFont="1" applyFill="1" applyBorder="1"/>
    <xf numFmtId="166" fontId="6" fillId="22" borderId="18" xfId="0" applyNumberFormat="1" applyFont="1" applyFill="1" applyBorder="1"/>
    <xf numFmtId="0" fontId="6" fillId="22" borderId="18" xfId="0" applyFont="1" applyFill="1" applyBorder="1"/>
    <xf numFmtId="166" fontId="6" fillId="21" borderId="12" xfId="0" applyNumberFormat="1" applyFont="1" applyFill="1" applyBorder="1"/>
    <xf numFmtId="0" fontId="6" fillId="21" borderId="12" xfId="0" applyFont="1" applyFill="1" applyBorder="1"/>
    <xf numFmtId="164" fontId="6" fillId="21" borderId="12" xfId="0" applyNumberFormat="1" applyFont="1" applyFill="1" applyBorder="1"/>
    <xf numFmtId="164" fontId="4" fillId="21" borderId="11" xfId="0" applyNumberFormat="1" applyFont="1" applyFill="1" applyBorder="1"/>
    <xf numFmtId="0" fontId="12" fillId="12" borderId="12" xfId="0" applyFont="1" applyFill="1" applyBorder="1"/>
    <xf numFmtId="0" fontId="11" fillId="12" borderId="18" xfId="0" applyFont="1" applyFill="1" applyBorder="1" applyAlignment="1">
      <alignment horizontal="center"/>
    </xf>
    <xf numFmtId="165" fontId="12" fillId="20" borderId="18" xfId="0" applyNumberFormat="1" applyFont="1" applyFill="1" applyBorder="1" applyAlignment="1">
      <alignment horizontal="right"/>
    </xf>
    <xf numFmtId="165" fontId="12" fillId="20" borderId="19" xfId="0" applyNumberFormat="1" applyFont="1" applyFill="1" applyBorder="1" applyAlignment="1">
      <alignment horizontal="right"/>
    </xf>
    <xf numFmtId="165" fontId="6" fillId="20" borderId="18" xfId="0" applyNumberFormat="1" applyFont="1" applyFill="1" applyBorder="1"/>
    <xf numFmtId="166" fontId="6" fillId="20" borderId="18" xfId="0" applyNumberFormat="1" applyFont="1" applyFill="1" applyBorder="1"/>
    <xf numFmtId="0" fontId="12" fillId="20" borderId="18" xfId="0" applyFont="1" applyFill="1" applyBorder="1" applyAlignment="1">
      <alignment horizontal="center"/>
    </xf>
    <xf numFmtId="0" fontId="6" fillId="20" borderId="18" xfId="0" applyFont="1" applyFill="1" applyBorder="1"/>
    <xf numFmtId="0" fontId="6" fillId="20" borderId="17" xfId="0" applyFont="1" applyFill="1" applyBorder="1"/>
    <xf numFmtId="0" fontId="12" fillId="20" borderId="17" xfId="0" applyFont="1" applyFill="1" applyBorder="1"/>
    <xf numFmtId="0" fontId="6" fillId="20" borderId="16" xfId="0" applyFont="1" applyFill="1" applyBorder="1"/>
    <xf numFmtId="165" fontId="11" fillId="20" borderId="18" xfId="0" applyNumberFormat="1" applyFont="1" applyFill="1" applyBorder="1" applyAlignment="1">
      <alignment horizontal="right"/>
    </xf>
    <xf numFmtId="165" fontId="11" fillId="20" borderId="19" xfId="0" applyNumberFormat="1" applyFont="1" applyFill="1" applyBorder="1" applyAlignment="1">
      <alignment horizontal="right"/>
    </xf>
    <xf numFmtId="0" fontId="11" fillId="20" borderId="18" xfId="0" applyFont="1" applyFill="1" applyBorder="1" applyAlignment="1">
      <alignment horizontal="center"/>
    </xf>
    <xf numFmtId="0" fontId="11" fillId="20" borderId="17" xfId="0" applyFont="1" applyFill="1" applyBorder="1"/>
    <xf numFmtId="165" fontId="4" fillId="20" borderId="18" xfId="0" applyNumberFormat="1" applyFont="1" applyFill="1" applyBorder="1" applyAlignment="1">
      <alignment horizontal="right"/>
    </xf>
    <xf numFmtId="165" fontId="4" fillId="20" borderId="19" xfId="0" applyNumberFormat="1" applyFont="1" applyFill="1" applyBorder="1" applyAlignment="1">
      <alignment horizontal="right"/>
    </xf>
    <xf numFmtId="0" fontId="4" fillId="20" borderId="18" xfId="0" applyFont="1" applyFill="1" applyBorder="1" applyAlignment="1">
      <alignment horizontal="center"/>
    </xf>
    <xf numFmtId="0" fontId="21" fillId="20" borderId="17" xfId="0" applyFont="1" applyFill="1" applyBorder="1"/>
    <xf numFmtId="0" fontId="4" fillId="20" borderId="17" xfId="0" applyFont="1" applyFill="1" applyBorder="1" applyAlignment="1">
      <alignment horizontal="center"/>
    </xf>
    <xf numFmtId="166" fontId="6" fillId="19" borderId="18" xfId="0" applyNumberFormat="1" applyFont="1" applyFill="1" applyBorder="1"/>
    <xf numFmtId="0" fontId="6" fillId="19" borderId="18" xfId="0" applyFont="1" applyFill="1" applyBorder="1"/>
    <xf numFmtId="0" fontId="6" fillId="19" borderId="17" xfId="0" applyFont="1" applyFill="1" applyBorder="1"/>
    <xf numFmtId="0" fontId="4" fillId="19" borderId="17" xfId="0" applyFont="1" applyFill="1" applyBorder="1"/>
    <xf numFmtId="0" fontId="6" fillId="19" borderId="16" xfId="0" applyFont="1" applyFill="1" applyBorder="1"/>
    <xf numFmtId="166" fontId="6" fillId="18" borderId="18" xfId="0" applyNumberFormat="1" applyFont="1" applyFill="1" applyBorder="1"/>
    <xf numFmtId="0" fontId="6" fillId="18" borderId="18" xfId="0" applyFont="1" applyFill="1" applyBorder="1"/>
    <xf numFmtId="0" fontId="6" fillId="18" borderId="16" xfId="0" applyFont="1" applyFill="1" applyBorder="1"/>
    <xf numFmtId="165" fontId="6" fillId="17" borderId="13" xfId="0" applyNumberFormat="1" applyFont="1" applyFill="1" applyBorder="1"/>
    <xf numFmtId="165" fontId="6" fillId="17" borderId="12" xfId="0" applyNumberFormat="1" applyFont="1" applyFill="1" applyBorder="1"/>
    <xf numFmtId="166" fontId="6" fillId="17" borderId="12" xfId="0" applyNumberFormat="1" applyFont="1" applyFill="1" applyBorder="1"/>
    <xf numFmtId="0" fontId="6" fillId="17" borderId="12" xfId="0" applyFont="1" applyFill="1" applyBorder="1"/>
    <xf numFmtId="165" fontId="12" fillId="16" borderId="18" xfId="0" applyNumberFormat="1" applyFont="1" applyFill="1" applyBorder="1" applyAlignment="1">
      <alignment horizontal="right"/>
    </xf>
    <xf numFmtId="165" fontId="12" fillId="16" borderId="19" xfId="0" applyNumberFormat="1" applyFont="1" applyFill="1" applyBorder="1" applyAlignment="1">
      <alignment horizontal="right"/>
    </xf>
    <xf numFmtId="165" fontId="6" fillId="16" borderId="18" xfId="0" applyNumberFormat="1" applyFont="1" applyFill="1" applyBorder="1"/>
    <xf numFmtId="166" fontId="6" fillId="16" borderId="18" xfId="0" applyNumberFormat="1" applyFont="1" applyFill="1" applyBorder="1"/>
    <xf numFmtId="0" fontId="12" fillId="16" borderId="18" xfId="0" applyFont="1" applyFill="1" applyBorder="1" applyAlignment="1">
      <alignment horizontal="center"/>
    </xf>
    <xf numFmtId="0" fontId="6" fillId="16" borderId="18" xfId="0" applyFont="1" applyFill="1" applyBorder="1"/>
    <xf numFmtId="0" fontId="6" fillId="16" borderId="17" xfId="0" applyFont="1" applyFill="1" applyBorder="1"/>
    <xf numFmtId="0" fontId="12" fillId="16" borderId="17" xfId="0" applyFont="1" applyFill="1" applyBorder="1"/>
    <xf numFmtId="0" fontId="6" fillId="16" borderId="16" xfId="0" applyFont="1" applyFill="1" applyBorder="1"/>
    <xf numFmtId="165" fontId="11" fillId="16" borderId="18" xfId="0" applyNumberFormat="1" applyFont="1" applyFill="1" applyBorder="1" applyAlignment="1">
      <alignment horizontal="right"/>
    </xf>
    <xf numFmtId="165" fontId="11" fillId="16" borderId="19" xfId="0" applyNumberFormat="1" applyFont="1" applyFill="1" applyBorder="1" applyAlignment="1">
      <alignment horizontal="right"/>
    </xf>
    <xf numFmtId="0" fontId="11" fillId="16" borderId="18" xfId="0" applyFont="1" applyFill="1" applyBorder="1" applyAlignment="1">
      <alignment horizontal="center"/>
    </xf>
    <xf numFmtId="0" fontId="11" fillId="16" borderId="17" xfId="0" applyFont="1" applyFill="1" applyBorder="1"/>
    <xf numFmtId="165" fontId="4" fillId="16" borderId="18" xfId="0" applyNumberFormat="1" applyFont="1" applyFill="1" applyBorder="1" applyAlignment="1">
      <alignment horizontal="right"/>
    </xf>
    <xf numFmtId="165" fontId="4" fillId="16" borderId="19" xfId="0" applyNumberFormat="1" applyFont="1" applyFill="1" applyBorder="1" applyAlignment="1">
      <alignment horizontal="right"/>
    </xf>
    <xf numFmtId="0" fontId="4" fillId="16" borderId="18" xfId="0" applyFont="1" applyFill="1" applyBorder="1" applyAlignment="1">
      <alignment horizontal="center"/>
    </xf>
    <xf numFmtId="0" fontId="21" fillId="16" borderId="17" xfId="0" applyFont="1" applyFill="1" applyBorder="1"/>
    <xf numFmtId="0" fontId="4" fillId="16" borderId="17" xfId="0" applyFont="1" applyFill="1" applyBorder="1" applyAlignment="1">
      <alignment horizontal="center"/>
    </xf>
    <xf numFmtId="0" fontId="6" fillId="9" borderId="16" xfId="0" applyFont="1" applyFill="1" applyBorder="1"/>
    <xf numFmtId="165" fontId="6" fillId="15" borderId="18" xfId="0" applyNumberFormat="1" applyFont="1" applyFill="1" applyBorder="1"/>
    <xf numFmtId="165" fontId="6" fillId="15" borderId="19" xfId="0" applyNumberFormat="1" applyFont="1" applyFill="1" applyBorder="1"/>
    <xf numFmtId="166" fontId="6" fillId="15" borderId="18" xfId="0" applyNumberFormat="1" applyFont="1" applyFill="1" applyBorder="1"/>
    <xf numFmtId="0" fontId="6" fillId="15" borderId="18" xfId="0" applyFont="1" applyFill="1" applyBorder="1"/>
    <xf numFmtId="0" fontId="6" fillId="15" borderId="17" xfId="0" applyFont="1" applyFill="1" applyBorder="1"/>
    <xf numFmtId="0" fontId="4" fillId="15" borderId="17" xfId="0" applyFont="1" applyFill="1" applyBorder="1"/>
    <xf numFmtId="0" fontId="6" fillId="15" borderId="16" xfId="0" applyFont="1" applyFill="1" applyBorder="1"/>
    <xf numFmtId="165" fontId="6" fillId="14" borderId="13" xfId="0" applyNumberFormat="1" applyFont="1" applyFill="1" applyBorder="1"/>
    <xf numFmtId="165" fontId="6" fillId="14" borderId="12" xfId="0" applyNumberFormat="1" applyFont="1" applyFill="1" applyBorder="1"/>
    <xf numFmtId="166" fontId="6" fillId="14" borderId="12" xfId="0" applyNumberFormat="1" applyFont="1" applyFill="1" applyBorder="1"/>
    <xf numFmtId="0" fontId="6" fillId="14" borderId="12" xfId="0" applyFont="1" applyFill="1" applyBorder="1"/>
    <xf numFmtId="0" fontId="4" fillId="14" borderId="11" xfId="0" applyFont="1" applyFill="1" applyBorder="1"/>
    <xf numFmtId="165" fontId="6" fillId="13" borderId="13" xfId="0" applyNumberFormat="1" applyFont="1" applyFill="1" applyBorder="1"/>
    <xf numFmtId="165" fontId="4" fillId="13" borderId="13" xfId="0" applyNumberFormat="1" applyFont="1" applyFill="1" applyBorder="1" applyAlignment="1">
      <alignment horizontal="right"/>
    </xf>
    <xf numFmtId="165" fontId="4" fillId="13" borderId="14" xfId="0" applyNumberFormat="1" applyFont="1" applyFill="1" applyBorder="1" applyAlignment="1">
      <alignment horizontal="right"/>
    </xf>
    <xf numFmtId="166" fontId="6" fillId="13" borderId="13" xfId="0" applyNumberFormat="1" applyFont="1" applyFill="1" applyBorder="1"/>
    <xf numFmtId="0" fontId="6" fillId="13" borderId="13" xfId="0" applyFont="1" applyFill="1" applyBorder="1"/>
    <xf numFmtId="0" fontId="6" fillId="13" borderId="12" xfId="0" applyFont="1" applyFill="1" applyBorder="1"/>
    <xf numFmtId="0" fontId="4" fillId="13" borderId="11" xfId="0" applyFont="1" applyFill="1" applyBorder="1"/>
    <xf numFmtId="0" fontId="6" fillId="9" borderId="11" xfId="0" applyFont="1" applyFill="1" applyBorder="1"/>
    <xf numFmtId="0" fontId="12" fillId="11" borderId="18" xfId="0" applyFont="1" applyFill="1" applyBorder="1" applyAlignment="1">
      <alignment horizontal="center"/>
    </xf>
    <xf numFmtId="0" fontId="12" fillId="11" borderId="17" xfId="0" applyFont="1" applyFill="1" applyBorder="1"/>
    <xf numFmtId="0" fontId="6" fillId="11" borderId="16" xfId="0" applyFont="1" applyFill="1" applyBorder="1"/>
    <xf numFmtId="0" fontId="11" fillId="11" borderId="18" xfId="0" applyFont="1" applyFill="1" applyBorder="1" applyAlignment="1">
      <alignment horizontal="center"/>
    </xf>
    <xf numFmtId="0" fontId="11" fillId="11" borderId="17" xfId="0" applyFont="1" applyFill="1" applyBorder="1"/>
    <xf numFmtId="0" fontId="4" fillId="11" borderId="18" xfId="0" applyFont="1" applyFill="1" applyBorder="1" applyAlignment="1">
      <alignment horizontal="center"/>
    </xf>
    <xf numFmtId="0" fontId="21" fillId="11" borderId="17" xfId="0" applyFont="1" applyFill="1" applyBorder="1"/>
    <xf numFmtId="0" fontId="4" fillId="11" borderId="17" xfId="0" applyFont="1" applyFill="1" applyBorder="1" applyAlignment="1">
      <alignment horizontal="center"/>
    </xf>
    <xf numFmtId="166" fontId="6" fillId="10" borderId="13" xfId="0" applyNumberFormat="1" applyFont="1" applyFill="1" applyBorder="1"/>
    <xf numFmtId="0" fontId="6" fillId="10" borderId="13" xfId="0" applyFont="1" applyFill="1" applyBorder="1"/>
    <xf numFmtId="165" fontId="4" fillId="6" borderId="13" xfId="0" applyNumberFormat="1" applyFont="1" applyFill="1" applyBorder="1" applyAlignment="1">
      <alignment horizontal="center" wrapText="1"/>
    </xf>
    <xf numFmtId="165" fontId="4" fillId="3" borderId="15" xfId="0" applyNumberFormat="1" applyFont="1" applyFill="1" applyBorder="1" applyAlignment="1">
      <alignment horizontal="center" vertical="center"/>
    </xf>
    <xf numFmtId="164" fontId="4" fillId="3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5" fontId="4" fillId="3" borderId="15" xfId="0" applyNumberFormat="1" applyFont="1" applyFill="1" applyBorder="1" applyAlignment="1">
      <alignment horizontal="center" vertical="top"/>
    </xf>
    <xf numFmtId="164" fontId="4" fillId="3" borderId="15" xfId="0" applyNumberFormat="1" applyFont="1" applyFill="1" applyBorder="1" applyAlignment="1">
      <alignment horizontal="center" vertical="top" wrapText="1"/>
    </xf>
    <xf numFmtId="166" fontId="8" fillId="12" borderId="19" xfId="0" applyNumberFormat="1" applyFont="1" applyFill="1" applyBorder="1" applyAlignment="1">
      <alignment horizontal="right"/>
    </xf>
    <xf numFmtId="166" fontId="6" fillId="12" borderId="19" xfId="0" applyNumberFormat="1" applyFont="1" applyFill="1" applyBorder="1"/>
    <xf numFmtId="165" fontId="12" fillId="0" borderId="18" xfId="0" applyNumberFormat="1" applyFont="1" applyBorder="1"/>
    <xf numFmtId="0" fontId="28" fillId="0" borderId="18" xfId="0" applyFont="1" applyBorder="1"/>
    <xf numFmtId="0" fontId="28" fillId="0" borderId="17" xfId="0" applyFont="1" applyBorder="1"/>
    <xf numFmtId="164" fontId="28" fillId="0" borderId="17" xfId="0" applyNumberFormat="1" applyFont="1" applyBorder="1"/>
    <xf numFmtId="164" fontId="28" fillId="0" borderId="16" xfId="0" applyNumberFormat="1" applyFont="1" applyBorder="1"/>
    <xf numFmtId="0" fontId="28" fillId="23" borderId="18" xfId="0" applyFont="1" applyFill="1" applyBorder="1"/>
    <xf numFmtId="0" fontId="28" fillId="23" borderId="17" xfId="0" applyFont="1" applyFill="1" applyBorder="1"/>
    <xf numFmtId="164" fontId="28" fillId="12" borderId="17" xfId="0" applyNumberFormat="1" applyFont="1" applyFill="1" applyBorder="1"/>
    <xf numFmtId="164" fontId="28" fillId="12" borderId="16" xfId="0" applyNumberFormat="1" applyFont="1" applyFill="1" applyBorder="1"/>
    <xf numFmtId="0" fontId="28" fillId="26" borderId="18" xfId="0" applyFont="1" applyFill="1" applyBorder="1"/>
    <xf numFmtId="0" fontId="28" fillId="26" borderId="17" xfId="0" applyFont="1" applyFill="1" applyBorder="1"/>
    <xf numFmtId="164" fontId="28" fillId="26" borderId="17" xfId="0" applyNumberFormat="1" applyFont="1" applyFill="1" applyBorder="1"/>
    <xf numFmtId="164" fontId="28" fillId="26" borderId="16" xfId="0" applyNumberFormat="1" applyFont="1" applyFill="1" applyBorder="1"/>
    <xf numFmtId="166" fontId="12" fillId="0" borderId="24" xfId="0" applyNumberFormat="1" applyFont="1" applyBorder="1" applyAlignment="1">
      <alignment horizontal="right"/>
    </xf>
    <xf numFmtId="0" fontId="12" fillId="0" borderId="24" xfId="0" applyFont="1" applyBorder="1" applyAlignment="1">
      <alignment horizontal="center"/>
    </xf>
    <xf numFmtId="166" fontId="12" fillId="24" borderId="18" xfId="0" applyNumberFormat="1" applyFont="1" applyFill="1" applyBorder="1"/>
    <xf numFmtId="166" fontId="8" fillId="12" borderId="18" xfId="0" applyNumberFormat="1" applyFont="1" applyFill="1" applyBorder="1"/>
    <xf numFmtId="165" fontId="5" fillId="35" borderId="13" xfId="0" applyNumberFormat="1" applyFont="1" applyFill="1" applyBorder="1"/>
    <xf numFmtId="165" fontId="5" fillId="35" borderId="14" xfId="0" applyNumberFormat="1" applyFont="1" applyFill="1" applyBorder="1"/>
    <xf numFmtId="165" fontId="5" fillId="34" borderId="12" xfId="0" applyNumberFormat="1" applyFont="1" applyFill="1" applyBorder="1"/>
    <xf numFmtId="166" fontId="5" fillId="34" borderId="12" xfId="0" applyNumberFormat="1" applyFont="1" applyFill="1" applyBorder="1"/>
    <xf numFmtId="0" fontId="5" fillId="34" borderId="12" xfId="0" applyFont="1" applyFill="1" applyBorder="1"/>
    <xf numFmtId="164" fontId="5" fillId="34" borderId="12" xfId="0" applyNumberFormat="1" applyFont="1" applyFill="1" applyBorder="1"/>
    <xf numFmtId="164" fontId="1" fillId="34" borderId="11" xfId="0" applyNumberFormat="1" applyFont="1" applyFill="1" applyBorder="1"/>
    <xf numFmtId="166" fontId="12" fillId="39" borderId="18" xfId="0" applyNumberFormat="1" applyFont="1" applyFill="1" applyBorder="1" applyAlignment="1">
      <alignment horizontal="right"/>
    </xf>
    <xf numFmtId="164" fontId="12" fillId="39" borderId="18" xfId="0" applyNumberFormat="1" applyFont="1" applyFill="1" applyBorder="1" applyAlignment="1">
      <alignment horizontal="center"/>
    </xf>
    <xf numFmtId="0" fontId="7" fillId="12" borderId="17" xfId="0" quotePrefix="1" applyFont="1" applyFill="1" applyBorder="1"/>
    <xf numFmtId="0" fontId="8" fillId="0" borderId="23" xfId="0" applyFont="1" applyBorder="1"/>
    <xf numFmtId="165" fontId="5" fillId="27" borderId="13" xfId="0" applyNumberFormat="1" applyFont="1" applyFill="1" applyBorder="1"/>
    <xf numFmtId="166" fontId="5" fillId="27" borderId="13" xfId="0" applyNumberFormat="1" applyFont="1" applyFill="1" applyBorder="1"/>
    <xf numFmtId="164" fontId="5" fillId="27" borderId="13" xfId="0" applyNumberFormat="1" applyFont="1" applyFill="1" applyBorder="1"/>
    <xf numFmtId="164" fontId="5" fillId="27" borderId="12" xfId="0" applyNumberFormat="1" applyFont="1" applyFill="1" applyBorder="1"/>
    <xf numFmtId="164" fontId="5" fillId="27" borderId="11" xfId="0" applyNumberFormat="1" applyFont="1" applyFill="1" applyBorder="1"/>
    <xf numFmtId="164" fontId="5" fillId="27" borderId="18" xfId="0" applyNumberFormat="1" applyFont="1" applyFill="1" applyBorder="1"/>
    <xf numFmtId="164" fontId="7" fillId="23" borderId="17" xfId="0" quotePrefix="1" applyNumberFormat="1" applyFont="1" applyFill="1" applyBorder="1"/>
    <xf numFmtId="164" fontId="9" fillId="12" borderId="17" xfId="0" applyNumberFormat="1" applyFont="1" applyFill="1" applyBorder="1"/>
    <xf numFmtId="165" fontId="28" fillId="0" borderId="13" xfId="0" applyNumberFormat="1" applyFont="1" applyBorder="1"/>
    <xf numFmtId="165" fontId="28" fillId="0" borderId="14" xfId="0" applyNumberFormat="1" applyFont="1" applyBorder="1"/>
    <xf numFmtId="0" fontId="28" fillId="0" borderId="13" xfId="0" applyFont="1" applyBorder="1"/>
    <xf numFmtId="0" fontId="28" fillId="0" borderId="12" xfId="0" applyFont="1" applyBorder="1"/>
    <xf numFmtId="164" fontId="28" fillId="0" borderId="12" xfId="0" applyNumberFormat="1" applyFont="1" applyBorder="1"/>
    <xf numFmtId="164" fontId="28" fillId="0" borderId="11" xfId="0" applyNumberFormat="1" applyFont="1" applyBorder="1"/>
    <xf numFmtId="166" fontId="8" fillId="24" borderId="24" xfId="0" applyNumberFormat="1" applyFont="1" applyFill="1" applyBorder="1" applyAlignment="1">
      <alignment horizontal="right"/>
    </xf>
    <xf numFmtId="164" fontId="8" fillId="12" borderId="24" xfId="0" applyNumberFormat="1" applyFont="1" applyFill="1" applyBorder="1" applyAlignment="1">
      <alignment horizontal="center"/>
    </xf>
    <xf numFmtId="0" fontId="8" fillId="12" borderId="23" xfId="0" quotePrefix="1" applyFont="1" applyFill="1" applyBorder="1"/>
    <xf numFmtId="164" fontId="5" fillId="12" borderId="23" xfId="0" applyNumberFormat="1" applyFont="1" applyFill="1" applyBorder="1"/>
    <xf numFmtId="46" fontId="5" fillId="12" borderId="22" xfId="0" applyNumberFormat="1" applyFont="1" applyFill="1" applyBorder="1"/>
    <xf numFmtId="0" fontId="1" fillId="12" borderId="17" xfId="0" applyFont="1" applyFill="1" applyBorder="1" applyAlignment="1">
      <alignment horizontal="center"/>
    </xf>
    <xf numFmtId="166" fontId="12" fillId="24" borderId="24" xfId="0" applyNumberFormat="1" applyFont="1" applyFill="1" applyBorder="1"/>
    <xf numFmtId="166" fontId="12" fillId="12" borderId="19" xfId="0" applyNumberFormat="1" applyFont="1" applyFill="1" applyBorder="1"/>
    <xf numFmtId="168" fontId="4" fillId="12" borderId="18" xfId="0" applyNumberFormat="1" applyFont="1" applyFill="1" applyBorder="1"/>
    <xf numFmtId="0" fontId="58" fillId="0" borderId="18" xfId="0" applyFont="1" applyBorder="1"/>
    <xf numFmtId="0" fontId="58" fillId="0" borderId="17" xfId="0" applyFont="1" applyBorder="1"/>
    <xf numFmtId="164" fontId="58" fillId="12" borderId="17" xfId="0" applyNumberFormat="1" applyFont="1" applyFill="1" applyBorder="1"/>
    <xf numFmtId="164" fontId="58" fillId="12" borderId="16" xfId="0" applyNumberFormat="1" applyFont="1" applyFill="1" applyBorder="1"/>
    <xf numFmtId="166" fontId="4" fillId="12" borderId="18" xfId="0" applyNumberFormat="1" applyFont="1" applyFill="1" applyBorder="1"/>
    <xf numFmtId="166" fontId="4" fillId="12" borderId="19" xfId="0" applyNumberFormat="1" applyFont="1" applyFill="1" applyBorder="1"/>
    <xf numFmtId="165" fontId="12" fillId="0" borderId="24" xfId="0" applyNumberFormat="1" applyFont="1" applyBorder="1"/>
    <xf numFmtId="166" fontId="12" fillId="12" borderId="25" xfId="0" applyNumberFormat="1" applyFont="1" applyFill="1" applyBorder="1"/>
    <xf numFmtId="166" fontId="4" fillId="12" borderId="24" xfId="0" applyNumberFormat="1" applyFont="1" applyFill="1" applyBorder="1" applyAlignment="1">
      <alignment horizontal="right"/>
    </xf>
    <xf numFmtId="166" fontId="4" fillId="12" borderId="25" xfId="0" applyNumberFormat="1" applyFont="1" applyFill="1" applyBorder="1" applyAlignment="1">
      <alignment horizontal="right"/>
    </xf>
    <xf numFmtId="166" fontId="8" fillId="12" borderId="36" xfId="0" applyNumberFormat="1" applyFont="1" applyFill="1" applyBorder="1" applyAlignment="1">
      <alignment horizontal="right"/>
    </xf>
    <xf numFmtId="166" fontId="1" fillId="11" borderId="17" xfId="0" applyNumberFormat="1" applyFont="1" applyFill="1" applyBorder="1" applyAlignment="1">
      <alignment horizontal="right"/>
    </xf>
    <xf numFmtId="0" fontId="25" fillId="12" borderId="17" xfId="0" applyFont="1" applyFill="1" applyBorder="1" applyAlignment="1">
      <alignment horizontal="center"/>
    </xf>
    <xf numFmtId="164" fontId="25" fillId="37" borderId="18" xfId="0" applyNumberFormat="1" applyFont="1" applyFill="1" applyBorder="1" applyAlignment="1">
      <alignment horizontal="center" wrapText="1"/>
    </xf>
    <xf numFmtId="165" fontId="5" fillId="27" borderId="14" xfId="0" applyNumberFormat="1" applyFont="1" applyFill="1" applyBorder="1"/>
    <xf numFmtId="0" fontId="5" fillId="27" borderId="13" xfId="0" applyFont="1" applyFill="1" applyBorder="1"/>
    <xf numFmtId="0" fontId="5" fillId="27" borderId="12" xfId="0" applyFont="1" applyFill="1" applyBorder="1"/>
    <xf numFmtId="165" fontId="5" fillId="27" borderId="19" xfId="0" applyNumberFormat="1" applyFont="1" applyFill="1" applyBorder="1"/>
    <xf numFmtId="164" fontId="5" fillId="12" borderId="22" xfId="0" applyNumberFormat="1" applyFont="1" applyFill="1" applyBorder="1"/>
    <xf numFmtId="165" fontId="5" fillId="37" borderId="19" xfId="0" applyNumberFormat="1" applyFont="1" applyFill="1" applyBorder="1"/>
    <xf numFmtId="166" fontId="1" fillId="37" borderId="18" xfId="0" applyNumberFormat="1" applyFont="1" applyFill="1" applyBorder="1"/>
    <xf numFmtId="164" fontId="1" fillId="37" borderId="18" xfId="0" applyNumberFormat="1" applyFont="1" applyFill="1" applyBorder="1" applyAlignment="1">
      <alignment horizontal="center" wrapText="1"/>
    </xf>
    <xf numFmtId="166" fontId="5" fillId="37" borderId="18" xfId="0" applyNumberFormat="1" applyFont="1" applyFill="1" applyBorder="1"/>
    <xf numFmtId="165" fontId="5" fillId="27" borderId="24" xfId="0" applyNumberFormat="1" applyFont="1" applyFill="1" applyBorder="1"/>
    <xf numFmtId="166" fontId="5" fillId="27" borderId="24" xfId="0" applyNumberFormat="1" applyFont="1" applyFill="1" applyBorder="1"/>
    <xf numFmtId="164" fontId="5" fillId="27" borderId="24" xfId="0" applyNumberFormat="1" applyFont="1" applyFill="1" applyBorder="1"/>
    <xf numFmtId="0" fontId="5" fillId="27" borderId="24" xfId="0" applyFont="1" applyFill="1" applyBorder="1"/>
    <xf numFmtId="0" fontId="5" fillId="27" borderId="23" xfId="0" applyFont="1" applyFill="1" applyBorder="1"/>
    <xf numFmtId="164" fontId="5" fillId="27" borderId="23" xfId="0" applyNumberFormat="1" applyFont="1" applyFill="1" applyBorder="1"/>
    <xf numFmtId="164" fontId="5" fillId="27" borderId="22" xfId="0" applyNumberFormat="1" applyFont="1" applyFill="1" applyBorder="1"/>
    <xf numFmtId="166" fontId="8" fillId="24" borderId="13" xfId="0" applyNumberFormat="1" applyFont="1" applyFill="1" applyBorder="1" applyAlignment="1">
      <alignment horizontal="right"/>
    </xf>
    <xf numFmtId="165" fontId="5" fillId="36" borderId="9" xfId="0" applyNumberFormat="1" applyFont="1" applyFill="1" applyBorder="1"/>
    <xf numFmtId="165" fontId="5" fillId="36" borderId="10" xfId="0" applyNumberFormat="1" applyFont="1" applyFill="1" applyBorder="1"/>
    <xf numFmtId="166" fontId="12" fillId="24" borderId="13" xfId="0" applyNumberFormat="1" applyFont="1" applyFill="1" applyBorder="1"/>
    <xf numFmtId="166" fontId="12" fillId="41" borderId="18" xfId="0" applyNumberFormat="1" applyFont="1" applyFill="1" applyBorder="1" applyAlignment="1">
      <alignment horizontal="right"/>
    </xf>
    <xf numFmtId="168" fontId="12" fillId="24" borderId="18" xfId="0" applyNumberFormat="1" applyFont="1" applyFill="1" applyBorder="1"/>
    <xf numFmtId="164" fontId="6" fillId="25" borderId="18" xfId="0" applyNumberFormat="1" applyFont="1" applyFill="1" applyBorder="1"/>
    <xf numFmtId="164" fontId="21" fillId="25" borderId="17" xfId="0" quotePrefix="1" applyNumberFormat="1" applyFont="1" applyFill="1" applyBorder="1"/>
    <xf numFmtId="164" fontId="28" fillId="12" borderId="18" xfId="0" applyNumberFormat="1" applyFont="1" applyFill="1" applyBorder="1"/>
    <xf numFmtId="166" fontId="4" fillId="33" borderId="21" xfId="0" applyNumberFormat="1" applyFont="1" applyFill="1" applyBorder="1"/>
    <xf numFmtId="164" fontId="37" fillId="12" borderId="38" xfId="0" applyNumberFormat="1" applyFont="1" applyFill="1" applyBorder="1"/>
    <xf numFmtId="170" fontId="8" fillId="12" borderId="9" xfId="0" applyNumberFormat="1" applyFont="1" applyFill="1" applyBorder="1" applyAlignment="1">
      <alignment horizontal="right"/>
    </xf>
    <xf numFmtId="170" fontId="8" fillId="12" borderId="18" xfId="0" applyNumberFormat="1" applyFont="1" applyFill="1" applyBorder="1" applyAlignment="1">
      <alignment horizontal="right"/>
    </xf>
    <xf numFmtId="0" fontId="7" fillId="26" borderId="17" xfId="0" applyFont="1" applyFill="1" applyBorder="1"/>
    <xf numFmtId="0" fontId="28" fillId="9" borderId="18" xfId="0" applyFont="1" applyFill="1" applyBorder="1"/>
    <xf numFmtId="0" fontId="28" fillId="9" borderId="17" xfId="0" applyFont="1" applyFill="1" applyBorder="1"/>
    <xf numFmtId="164" fontId="28" fillId="9" borderId="17" xfId="0" applyNumberFormat="1" applyFont="1" applyFill="1" applyBorder="1"/>
    <xf numFmtId="164" fontId="28" fillId="9" borderId="16" xfId="0" applyNumberFormat="1" applyFont="1" applyFill="1" applyBorder="1"/>
    <xf numFmtId="165" fontId="11" fillId="0" borderId="9" xfId="0" applyNumberFormat="1" applyFont="1" applyBorder="1" applyAlignment="1">
      <alignment horizontal="right"/>
    </xf>
    <xf numFmtId="166" fontId="11" fillId="12" borderId="9" xfId="0" applyNumberFormat="1" applyFont="1" applyFill="1" applyBorder="1" applyAlignment="1">
      <alignment horizontal="right"/>
    </xf>
    <xf numFmtId="0" fontId="11" fillId="12" borderId="9" xfId="0" applyFont="1" applyFill="1" applyBorder="1" applyAlignment="1">
      <alignment horizontal="center"/>
    </xf>
    <xf numFmtId="0" fontId="28" fillId="0" borderId="9" xfId="0" applyFont="1" applyBorder="1"/>
    <xf numFmtId="0" fontId="28" fillId="0" borderId="0" xfId="0" applyFont="1"/>
    <xf numFmtId="0" fontId="11" fillId="0" borderId="0" xfId="0" quotePrefix="1" applyFont="1"/>
    <xf numFmtId="164" fontId="28" fillId="0" borderId="0" xfId="0" applyNumberFormat="1" applyFont="1"/>
    <xf numFmtId="164" fontId="28" fillId="0" borderId="8" xfId="0" applyNumberFormat="1" applyFont="1" applyBorder="1"/>
    <xf numFmtId="165" fontId="28" fillId="12" borderId="19" xfId="0" applyNumberFormat="1" applyFont="1" applyFill="1" applyBorder="1"/>
    <xf numFmtId="165" fontId="11" fillId="12" borderId="24" xfId="0" applyNumberFormat="1" applyFont="1" applyFill="1" applyBorder="1" applyAlignment="1">
      <alignment horizontal="right"/>
    </xf>
    <xf numFmtId="165" fontId="11" fillId="12" borderId="25" xfId="0" applyNumberFormat="1" applyFont="1" applyFill="1" applyBorder="1" applyAlignment="1">
      <alignment horizontal="right"/>
    </xf>
    <xf numFmtId="0" fontId="11" fillId="12" borderId="23" xfId="0" applyFont="1" applyFill="1" applyBorder="1"/>
    <xf numFmtId="165" fontId="25" fillId="12" borderId="18" xfId="0" applyNumberFormat="1" applyFont="1" applyFill="1" applyBorder="1"/>
    <xf numFmtId="165" fontId="25" fillId="12" borderId="19" xfId="0" applyNumberFormat="1" applyFont="1" applyFill="1" applyBorder="1"/>
    <xf numFmtId="165" fontId="28" fillId="26" borderId="18" xfId="0" applyNumberFormat="1" applyFont="1" applyFill="1" applyBorder="1"/>
    <xf numFmtId="165" fontId="28" fillId="26" borderId="19" xfId="0" applyNumberFormat="1" applyFont="1" applyFill="1" applyBorder="1"/>
    <xf numFmtId="165" fontId="11" fillId="12" borderId="9" xfId="0" applyNumberFormat="1" applyFont="1" applyFill="1" applyBorder="1" applyAlignment="1">
      <alignment horizontal="right"/>
    </xf>
    <xf numFmtId="166" fontId="11" fillId="24" borderId="9" xfId="0" applyNumberFormat="1" applyFont="1" applyFill="1" applyBorder="1" applyAlignment="1">
      <alignment horizontal="right"/>
    </xf>
    <xf numFmtId="164" fontId="11" fillId="0" borderId="9" xfId="0" applyNumberFormat="1" applyFont="1" applyBorder="1" applyAlignment="1">
      <alignment horizontal="center"/>
    </xf>
    <xf numFmtId="0" fontId="28" fillId="12" borderId="9" xfId="0" applyFont="1" applyFill="1" applyBorder="1"/>
    <xf numFmtId="0" fontId="28" fillId="12" borderId="0" xfId="0" applyFont="1" applyFill="1"/>
    <xf numFmtId="0" fontId="11" fillId="12" borderId="0" xfId="0" applyFont="1" applyFill="1"/>
    <xf numFmtId="167" fontId="28" fillId="12" borderId="8" xfId="0" applyNumberFormat="1" applyFont="1" applyFill="1" applyBorder="1"/>
    <xf numFmtId="166" fontId="59" fillId="24" borderId="18" xfId="0" applyNumberFormat="1" applyFont="1" applyFill="1" applyBorder="1" applyAlignment="1">
      <alignment horizontal="right"/>
    </xf>
    <xf numFmtId="166" fontId="8" fillId="24" borderId="28" xfId="0" applyNumberFormat="1" applyFont="1" applyFill="1" applyBorder="1" applyAlignment="1">
      <alignment horizontal="right"/>
    </xf>
    <xf numFmtId="0" fontId="21" fillId="12" borderId="23" xfId="0" quotePrefix="1" applyFont="1" applyFill="1" applyBorder="1"/>
    <xf numFmtId="164" fontId="8" fillId="12" borderId="18" xfId="0" applyNumberFormat="1" applyFont="1" applyFill="1" applyBorder="1" applyAlignment="1">
      <alignment horizontal="center" wrapText="1"/>
    </xf>
    <xf numFmtId="165" fontId="4" fillId="11" borderId="24" xfId="0" applyNumberFormat="1" applyFont="1" applyFill="1" applyBorder="1" applyAlignment="1">
      <alignment horizontal="right"/>
    </xf>
    <xf numFmtId="166" fontId="4" fillId="11" borderId="24" xfId="0" applyNumberFormat="1" applyFont="1" applyFill="1" applyBorder="1" applyAlignment="1">
      <alignment horizontal="right"/>
    </xf>
    <xf numFmtId="166" fontId="4" fillId="11" borderId="25" xfId="0" applyNumberFormat="1" applyFont="1" applyFill="1" applyBorder="1" applyAlignment="1">
      <alignment horizontal="right"/>
    </xf>
    <xf numFmtId="0" fontId="60" fillId="9" borderId="17" xfId="0" applyFont="1" applyFill="1" applyBorder="1"/>
    <xf numFmtId="165" fontId="28" fillId="9" borderId="18" xfId="0" applyNumberFormat="1" applyFont="1" applyFill="1" applyBorder="1"/>
    <xf numFmtId="166" fontId="28" fillId="9" borderId="18" xfId="0" applyNumberFormat="1" applyFont="1" applyFill="1" applyBorder="1"/>
    <xf numFmtId="0" fontId="25" fillId="9" borderId="17" xfId="0" applyFont="1" applyFill="1" applyBorder="1"/>
    <xf numFmtId="165" fontId="12" fillId="12" borderId="14" xfId="0" applyNumberFormat="1" applyFont="1" applyFill="1" applyBorder="1"/>
    <xf numFmtId="0" fontId="28" fillId="12" borderId="16" xfId="0" applyFont="1" applyFill="1" applyBorder="1"/>
    <xf numFmtId="165" fontId="28" fillId="20" borderId="18" xfId="0" applyNumberFormat="1" applyFont="1" applyFill="1" applyBorder="1"/>
    <xf numFmtId="166" fontId="28" fillId="20" borderId="18" xfId="0" applyNumberFormat="1" applyFont="1" applyFill="1" applyBorder="1"/>
    <xf numFmtId="0" fontId="28" fillId="20" borderId="18" xfId="0" applyFont="1" applyFill="1" applyBorder="1"/>
    <xf numFmtId="0" fontId="28" fillId="20" borderId="17" xfId="0" applyFont="1" applyFill="1" applyBorder="1"/>
    <xf numFmtId="0" fontId="28" fillId="20" borderId="16" xfId="0" applyFont="1" applyFill="1" applyBorder="1"/>
    <xf numFmtId="0" fontId="7" fillId="20" borderId="17" xfId="0" applyFont="1" applyFill="1" applyBorder="1"/>
    <xf numFmtId="0" fontId="1" fillId="20" borderId="17" xfId="0" applyFont="1" applyFill="1" applyBorder="1" applyAlignment="1">
      <alignment horizontal="center"/>
    </xf>
    <xf numFmtId="0" fontId="22" fillId="12" borderId="23" xfId="0" applyFont="1" applyFill="1" applyBorder="1"/>
    <xf numFmtId="0" fontId="6" fillId="12" borderId="22" xfId="0" applyFont="1" applyFill="1" applyBorder="1"/>
    <xf numFmtId="165" fontId="28" fillId="16" borderId="18" xfId="0" applyNumberFormat="1" applyFont="1" applyFill="1" applyBorder="1"/>
    <xf numFmtId="166" fontId="28" fillId="16" borderId="18" xfId="0" applyNumberFormat="1" applyFont="1" applyFill="1" applyBorder="1"/>
    <xf numFmtId="0" fontId="28" fillId="16" borderId="18" xfId="0" applyFont="1" applyFill="1" applyBorder="1"/>
    <xf numFmtId="0" fontId="28" fillId="16" borderId="17" xfId="0" applyFont="1" applyFill="1" applyBorder="1"/>
    <xf numFmtId="0" fontId="28" fillId="16" borderId="16" xfId="0" applyFont="1" applyFill="1" applyBorder="1"/>
    <xf numFmtId="165" fontId="4" fillId="16" borderId="18" xfId="0" applyNumberFormat="1" applyFont="1" applyFill="1" applyBorder="1"/>
    <xf numFmtId="165" fontId="4" fillId="16" borderId="19" xfId="0" applyNumberFormat="1" applyFont="1" applyFill="1" applyBorder="1"/>
    <xf numFmtId="0" fontId="7" fillId="16" borderId="17" xfId="0" applyFont="1" applyFill="1" applyBorder="1"/>
    <xf numFmtId="0" fontId="1" fillId="16" borderId="17" xfId="0" applyFont="1" applyFill="1" applyBorder="1" applyAlignment="1">
      <alignment horizontal="center"/>
    </xf>
    <xf numFmtId="0" fontId="5" fillId="15" borderId="16" xfId="0" applyFont="1" applyFill="1" applyBorder="1"/>
    <xf numFmtId="165" fontId="4" fillId="13" borderId="13" xfId="0" applyNumberFormat="1" applyFont="1" applyFill="1" applyBorder="1"/>
    <xf numFmtId="165" fontId="4" fillId="13" borderId="14" xfId="0" applyNumberFormat="1" applyFont="1" applyFill="1" applyBorder="1"/>
    <xf numFmtId="165" fontId="28" fillId="9" borderId="13" xfId="0" applyNumberFormat="1" applyFont="1" applyFill="1" applyBorder="1"/>
    <xf numFmtId="166" fontId="28" fillId="9" borderId="13" xfId="0" applyNumberFormat="1" applyFont="1" applyFill="1" applyBorder="1"/>
    <xf numFmtId="0" fontId="11" fillId="9" borderId="13" xfId="0" applyFont="1" applyFill="1" applyBorder="1" applyAlignment="1">
      <alignment horizontal="center"/>
    </xf>
    <xf numFmtId="0" fontId="28" fillId="9" borderId="13" xfId="0" applyFont="1" applyFill="1" applyBorder="1"/>
    <xf numFmtId="0" fontId="28" fillId="9" borderId="12" xfId="0" applyFont="1" applyFill="1" applyBorder="1"/>
    <xf numFmtId="0" fontId="11" fillId="9" borderId="12" xfId="0" applyFont="1" applyFill="1" applyBorder="1"/>
    <xf numFmtId="0" fontId="28" fillId="9" borderId="11" xfId="0" applyFont="1" applyFill="1" applyBorder="1"/>
    <xf numFmtId="0" fontId="28" fillId="9" borderId="16" xfId="0" applyFont="1" applyFill="1" applyBorder="1"/>
    <xf numFmtId="0" fontId="55" fillId="9" borderId="17" xfId="0" applyFont="1" applyFill="1" applyBorder="1"/>
    <xf numFmtId="0" fontId="25" fillId="9" borderId="18" xfId="0" applyFont="1" applyFill="1" applyBorder="1" applyAlignment="1">
      <alignment horizontal="center"/>
    </xf>
    <xf numFmtId="0" fontId="29" fillId="9" borderId="17" xfId="0" applyFont="1" applyFill="1" applyBorder="1"/>
    <xf numFmtId="165" fontId="12" fillId="11" borderId="18" xfId="0" applyNumberFormat="1" applyFont="1" applyFill="1" applyBorder="1"/>
    <xf numFmtId="165" fontId="12" fillId="11" borderId="19" xfId="0" applyNumberFormat="1" applyFont="1" applyFill="1" applyBorder="1"/>
    <xf numFmtId="165" fontId="11" fillId="11" borderId="18" xfId="0" applyNumberFormat="1" applyFont="1" applyFill="1" applyBorder="1"/>
    <xf numFmtId="165" fontId="11" fillId="11" borderId="19" xfId="0" applyNumberFormat="1" applyFont="1" applyFill="1" applyBorder="1"/>
    <xf numFmtId="165" fontId="28" fillId="11" borderId="18" xfId="0" applyNumberFormat="1" applyFont="1" applyFill="1" applyBorder="1"/>
    <xf numFmtId="166" fontId="28" fillId="11" borderId="18" xfId="0" applyNumberFormat="1" applyFont="1" applyFill="1" applyBorder="1"/>
    <xf numFmtId="0" fontId="28" fillId="11" borderId="18" xfId="0" applyFont="1" applyFill="1" applyBorder="1"/>
    <xf numFmtId="0" fontId="28" fillId="11" borderId="17" xfId="0" applyFont="1" applyFill="1" applyBorder="1"/>
    <xf numFmtId="0" fontId="28" fillId="11" borderId="16" xfId="0" applyFont="1" applyFill="1" applyBorder="1"/>
    <xf numFmtId="165" fontId="4" fillId="11" borderId="18" xfId="0" applyNumberFormat="1" applyFont="1" applyFill="1" applyBorder="1"/>
    <xf numFmtId="165" fontId="4" fillId="11" borderId="19" xfId="0" applyNumberFormat="1" applyFont="1" applyFill="1" applyBorder="1"/>
    <xf numFmtId="0" fontId="7" fillId="11" borderId="17" xfId="0" applyFont="1" applyFill="1" applyBorder="1"/>
    <xf numFmtId="0" fontId="1" fillId="11" borderId="17" xfId="0" applyFont="1" applyFill="1" applyBorder="1" applyAlignment="1">
      <alignment horizontal="center"/>
    </xf>
    <xf numFmtId="165" fontId="28" fillId="9" borderId="15" xfId="0" applyNumberFormat="1" applyFont="1" applyFill="1" applyBorder="1"/>
    <xf numFmtId="166" fontId="28" fillId="9" borderId="15" xfId="0" applyNumberFormat="1" applyFont="1" applyFill="1" applyBorder="1"/>
    <xf numFmtId="0" fontId="28" fillId="9" borderId="15" xfId="0" applyFont="1" applyFill="1" applyBorder="1"/>
    <xf numFmtId="165" fontId="4" fillId="8" borderId="13" xfId="0" applyNumberFormat="1" applyFont="1" applyFill="1" applyBorder="1" applyAlignment="1">
      <alignment horizontal="center" vertical="center"/>
    </xf>
    <xf numFmtId="165" fontId="4" fillId="6" borderId="13" xfId="0" applyNumberFormat="1" applyFont="1" applyFill="1" applyBorder="1" applyAlignment="1">
      <alignment horizontal="center" vertical="center"/>
    </xf>
    <xf numFmtId="165" fontId="4" fillId="7" borderId="13" xfId="0" applyNumberFormat="1" applyFont="1" applyFill="1" applyBorder="1" applyAlignment="1">
      <alignment horizontal="center" vertical="center"/>
    </xf>
    <xf numFmtId="165" fontId="4" fillId="8" borderId="13" xfId="0" applyNumberFormat="1" applyFont="1" applyFill="1" applyBorder="1" applyAlignment="1">
      <alignment horizontal="center" vertical="center" wrapText="1"/>
    </xf>
    <xf numFmtId="165" fontId="4" fillId="6" borderId="13" xfId="0" applyNumberFormat="1" applyFont="1" applyFill="1" applyBorder="1" applyAlignment="1">
      <alignment horizontal="center" vertical="center" wrapText="1"/>
    </xf>
    <xf numFmtId="165" fontId="4" fillId="6" borderId="14" xfId="0" applyNumberFormat="1" applyFont="1" applyFill="1" applyBorder="1" applyAlignment="1">
      <alignment horizontal="center" vertical="center" wrapText="1"/>
    </xf>
    <xf numFmtId="165" fontId="1" fillId="3" borderId="15" xfId="0" applyNumberFormat="1" applyFont="1" applyFill="1" applyBorder="1" applyAlignment="1">
      <alignment horizontal="center" vertical="center"/>
    </xf>
    <xf numFmtId="164" fontId="1" fillId="3" borderId="15" xfId="0" applyNumberFormat="1" applyFont="1" applyFill="1" applyBorder="1" applyAlignment="1">
      <alignment horizontal="center" vertical="center" wrapText="1"/>
    </xf>
    <xf numFmtId="166" fontId="11" fillId="12" borderId="18" xfId="0" applyNumberFormat="1" applyFont="1" applyFill="1" applyBorder="1"/>
    <xf numFmtId="165" fontId="4" fillId="39" borderId="18" xfId="0" applyNumberFormat="1" applyFont="1" applyFill="1" applyBorder="1"/>
    <xf numFmtId="166" fontId="4" fillId="39" borderId="18" xfId="0" applyNumberFormat="1" applyFont="1" applyFill="1" applyBorder="1"/>
    <xf numFmtId="166" fontId="8" fillId="24" borderId="9" xfId="0" applyNumberFormat="1" applyFont="1" applyFill="1" applyBorder="1" applyAlignment="1">
      <alignment horizontal="right"/>
    </xf>
    <xf numFmtId="164" fontId="8" fillId="12" borderId="9" xfId="0" applyNumberFormat="1" applyFont="1" applyFill="1" applyBorder="1" applyAlignment="1">
      <alignment horizontal="center"/>
    </xf>
    <xf numFmtId="0" fontId="8" fillId="0" borderId="0" xfId="0" applyFont="1"/>
    <xf numFmtId="165" fontId="25" fillId="39" borderId="18" xfId="0" applyNumberFormat="1" applyFont="1" applyFill="1" applyBorder="1"/>
    <xf numFmtId="164" fontId="4" fillId="12" borderId="18" xfId="0" applyNumberFormat="1" applyFont="1" applyFill="1" applyBorder="1"/>
    <xf numFmtId="164" fontId="12" fillId="12" borderId="18" xfId="0" applyNumberFormat="1" applyFont="1" applyFill="1" applyBorder="1"/>
    <xf numFmtId="165" fontId="4" fillId="40" borderId="18" xfId="0" applyNumberFormat="1" applyFont="1" applyFill="1" applyBorder="1"/>
    <xf numFmtId="166" fontId="4" fillId="40" borderId="18" xfId="0" applyNumberFormat="1" applyFont="1" applyFill="1" applyBorder="1"/>
    <xf numFmtId="164" fontId="29" fillId="12" borderId="17" xfId="0" applyNumberFormat="1" applyFont="1" applyFill="1" applyBorder="1"/>
    <xf numFmtId="164" fontId="25" fillId="11" borderId="17" xfId="0" applyNumberFormat="1" applyFont="1" applyFill="1" applyBorder="1"/>
    <xf numFmtId="165" fontId="4" fillId="37" borderId="18" xfId="0" applyNumberFormat="1" applyFont="1" applyFill="1" applyBorder="1"/>
    <xf numFmtId="164" fontId="6" fillId="36" borderId="18" xfId="0" applyNumberFormat="1" applyFont="1" applyFill="1" applyBorder="1"/>
    <xf numFmtId="165" fontId="4" fillId="33" borderId="18" xfId="0" applyNumberFormat="1" applyFont="1" applyFill="1" applyBorder="1"/>
    <xf numFmtId="165" fontId="4" fillId="41" borderId="18" xfId="0" applyNumberFormat="1" applyFont="1" applyFill="1" applyBorder="1"/>
    <xf numFmtId="0" fontId="61" fillId="12" borderId="17" xfId="0" applyFont="1" applyFill="1" applyBorder="1"/>
    <xf numFmtId="166" fontId="8" fillId="12" borderId="25" xfId="0" applyNumberFormat="1" applyFont="1" applyFill="1" applyBorder="1" applyAlignment="1">
      <alignment horizontal="right"/>
    </xf>
    <xf numFmtId="165" fontId="4" fillId="33" borderId="21" xfId="0" applyNumberFormat="1" applyFont="1" applyFill="1" applyBorder="1"/>
    <xf numFmtId="164" fontId="4" fillId="26" borderId="18" xfId="0" applyNumberFormat="1" applyFont="1" applyFill="1" applyBorder="1" applyAlignment="1">
      <alignment horizontal="center" wrapText="1"/>
    </xf>
    <xf numFmtId="164" fontId="11" fillId="27" borderId="18" xfId="0" applyNumberFormat="1" applyFont="1" applyFill="1" applyBorder="1" applyAlignment="1">
      <alignment horizontal="center"/>
    </xf>
    <xf numFmtId="165" fontId="12" fillId="27" borderId="18" xfId="0" applyNumberFormat="1" applyFont="1" applyFill="1" applyBorder="1" applyAlignment="1">
      <alignment horizontal="right"/>
    </xf>
    <xf numFmtId="166" fontId="12" fillId="27" borderId="18" xfId="0" applyNumberFormat="1" applyFont="1" applyFill="1" applyBorder="1" applyAlignment="1">
      <alignment horizontal="right"/>
    </xf>
    <xf numFmtId="164" fontId="12" fillId="27" borderId="18" xfId="0" applyNumberFormat="1" applyFont="1" applyFill="1" applyBorder="1" applyAlignment="1">
      <alignment horizontal="center"/>
    </xf>
    <xf numFmtId="0" fontId="12" fillId="27" borderId="17" xfId="0" applyFont="1" applyFill="1" applyBorder="1"/>
    <xf numFmtId="164" fontId="12" fillId="27" borderId="17" xfId="0" applyNumberFormat="1" applyFont="1" applyFill="1" applyBorder="1"/>
    <xf numFmtId="164" fontId="6" fillId="23" borderId="18" xfId="0" applyNumberFormat="1" applyFont="1" applyFill="1" applyBorder="1"/>
    <xf numFmtId="164" fontId="6" fillId="32" borderId="18" xfId="0" applyNumberFormat="1" applyFont="1" applyFill="1" applyBorder="1"/>
    <xf numFmtId="164" fontId="6" fillId="9" borderId="13" xfId="0" applyNumberFormat="1" applyFont="1" applyFill="1" applyBorder="1"/>
    <xf numFmtId="164" fontId="4" fillId="30" borderId="18" xfId="0" applyNumberFormat="1" applyFont="1" applyFill="1" applyBorder="1" applyAlignment="1">
      <alignment horizontal="center" wrapText="1"/>
    </xf>
    <xf numFmtId="164" fontId="11" fillId="12" borderId="13" xfId="0" applyNumberFormat="1" applyFont="1" applyFill="1" applyBorder="1" applyAlignment="1">
      <alignment horizontal="center"/>
    </xf>
    <xf numFmtId="165" fontId="8" fillId="12" borderId="24" xfId="0" applyNumberFormat="1" applyFont="1" applyFill="1" applyBorder="1"/>
    <xf numFmtId="166" fontId="8" fillId="12" borderId="24" xfId="0" applyNumberFormat="1" applyFont="1" applyFill="1" applyBorder="1"/>
    <xf numFmtId="164" fontId="1" fillId="23" borderId="18" xfId="0" applyNumberFormat="1" applyFont="1" applyFill="1" applyBorder="1" applyAlignment="1">
      <alignment horizontal="center" wrapText="1"/>
    </xf>
    <xf numFmtId="164" fontId="5" fillId="25" borderId="18" xfId="0" applyNumberFormat="1" applyFont="1" applyFill="1" applyBorder="1"/>
    <xf numFmtId="165" fontId="12" fillId="12" borderId="25" xfId="0" applyNumberFormat="1" applyFont="1" applyFill="1" applyBorder="1" applyAlignment="1">
      <alignment horizontal="right"/>
    </xf>
    <xf numFmtId="164" fontId="12" fillId="12" borderId="23" xfId="0" applyNumberFormat="1" applyFont="1" applyFill="1" applyBorder="1"/>
    <xf numFmtId="164" fontId="25" fillId="26" borderId="17" xfId="0" applyNumberFormat="1" applyFont="1" applyFill="1" applyBorder="1"/>
    <xf numFmtId="164" fontId="1" fillId="26" borderId="17" xfId="0" applyNumberFormat="1" applyFont="1" applyFill="1" applyBorder="1"/>
    <xf numFmtId="164" fontId="28" fillId="0" borderId="18" xfId="0" applyNumberFormat="1" applyFont="1" applyBorder="1"/>
    <xf numFmtId="164" fontId="4" fillId="26" borderId="17" xfId="0" applyNumberFormat="1" applyFont="1" applyFill="1" applyBorder="1"/>
    <xf numFmtId="164" fontId="12" fillId="0" borderId="18" xfId="0" applyNumberFormat="1" applyFont="1" applyBorder="1"/>
    <xf numFmtId="164" fontId="4" fillId="23" borderId="18" xfId="0" applyNumberFormat="1" applyFont="1" applyFill="1" applyBorder="1" applyAlignment="1">
      <alignment horizontal="center" wrapText="1"/>
    </xf>
    <xf numFmtId="164" fontId="6" fillId="0" borderId="24" xfId="0" applyNumberFormat="1" applyFont="1" applyBorder="1"/>
    <xf numFmtId="0" fontId="6" fillId="23" borderId="24" xfId="0" applyFont="1" applyFill="1" applyBorder="1"/>
    <xf numFmtId="0" fontId="6" fillId="23" borderId="23" xfId="0" applyFont="1" applyFill="1" applyBorder="1"/>
    <xf numFmtId="0" fontId="21" fillId="23" borderId="23" xfId="0" quotePrefix="1" applyFont="1" applyFill="1" applyBorder="1"/>
    <xf numFmtId="164" fontId="6" fillId="11" borderId="18" xfId="0" applyNumberFormat="1" applyFont="1" applyFill="1" applyBorder="1"/>
    <xf numFmtId="164" fontId="6" fillId="22" borderId="18" xfId="0" applyNumberFormat="1" applyFont="1" applyFill="1" applyBorder="1"/>
    <xf numFmtId="164" fontId="45" fillId="12" borderId="17" xfId="0" applyNumberFormat="1" applyFont="1" applyFill="1" applyBorder="1"/>
    <xf numFmtId="166" fontId="12" fillId="40" borderId="18" xfId="0" applyNumberFormat="1" applyFont="1" applyFill="1" applyBorder="1" applyAlignment="1">
      <alignment horizontal="right"/>
    </xf>
    <xf numFmtId="164" fontId="1" fillId="11" borderId="17" xfId="0" applyNumberFormat="1" applyFont="1" applyFill="1" applyBorder="1"/>
    <xf numFmtId="164" fontId="4" fillId="37" borderId="17" xfId="0" applyNumberFormat="1" applyFont="1" applyFill="1" applyBorder="1"/>
    <xf numFmtId="167" fontId="6" fillId="12" borderId="22" xfId="0" applyNumberFormat="1" applyFont="1" applyFill="1" applyBorder="1"/>
    <xf numFmtId="0" fontId="58" fillId="26" borderId="18" xfId="0" applyFont="1" applyFill="1" applyBorder="1"/>
    <xf numFmtId="0" fontId="58" fillId="26" borderId="17" xfId="0" applyFont="1" applyFill="1" applyBorder="1"/>
    <xf numFmtId="164" fontId="58" fillId="26" borderId="16" xfId="0" applyNumberFormat="1" applyFont="1" applyFill="1" applyBorder="1"/>
    <xf numFmtId="0" fontId="12" fillId="0" borderId="23" xfId="0" quotePrefix="1" applyFont="1" applyBorder="1"/>
    <xf numFmtId="164" fontId="25" fillId="12" borderId="23" xfId="0" applyNumberFormat="1" applyFont="1" applyFill="1" applyBorder="1" applyAlignment="1">
      <alignment horizontal="center"/>
    </xf>
    <xf numFmtId="0" fontId="4" fillId="20" borderId="17" xfId="0" applyFont="1" applyFill="1" applyBorder="1"/>
    <xf numFmtId="0" fontId="4" fillId="16" borderId="17" xfId="0" applyFont="1" applyFill="1" applyBorder="1"/>
    <xf numFmtId="164" fontId="11" fillId="9" borderId="18" xfId="0" applyNumberFormat="1" applyFont="1" applyFill="1" applyBorder="1" applyAlignment="1">
      <alignment horizontal="center"/>
    </xf>
    <xf numFmtId="164" fontId="12" fillId="9" borderId="18" xfId="0" applyNumberFormat="1" applyFont="1" applyFill="1" applyBorder="1" applyAlignment="1">
      <alignment horizontal="center"/>
    </xf>
    <xf numFmtId="164" fontId="12" fillId="9" borderId="17" xfId="0" applyNumberFormat="1" applyFont="1" applyFill="1" applyBorder="1"/>
    <xf numFmtId="0" fontId="8" fillId="23" borderId="18" xfId="0" applyFont="1" applyFill="1" applyBorder="1"/>
    <xf numFmtId="0" fontId="8" fillId="23" borderId="17" xfId="0" applyFont="1" applyFill="1" applyBorder="1"/>
    <xf numFmtId="164" fontId="8" fillId="23" borderId="17" xfId="0" applyNumberFormat="1" applyFont="1" applyFill="1" applyBorder="1"/>
    <xf numFmtId="164" fontId="8" fillId="23" borderId="16" xfId="0" applyNumberFormat="1" applyFont="1" applyFill="1" applyBorder="1"/>
    <xf numFmtId="165" fontId="11" fillId="26" borderId="18" xfId="0" applyNumberFormat="1" applyFont="1" applyFill="1" applyBorder="1"/>
    <xf numFmtId="165" fontId="6" fillId="34" borderId="13" xfId="0" applyNumberFormat="1" applyFont="1" applyFill="1" applyBorder="1"/>
    <xf numFmtId="165" fontId="6" fillId="26" borderId="24" xfId="0" applyNumberFormat="1" applyFont="1" applyFill="1" applyBorder="1"/>
    <xf numFmtId="165" fontId="11" fillId="24" borderId="18" xfId="0" applyNumberFormat="1" applyFont="1" applyFill="1" applyBorder="1" applyAlignment="1">
      <alignment horizontal="right"/>
    </xf>
    <xf numFmtId="165" fontId="6" fillId="17" borderId="11" xfId="0" applyNumberFormat="1" applyFont="1" applyFill="1" applyBorder="1"/>
    <xf numFmtId="165" fontId="6" fillId="14" borderId="11" xfId="0" applyNumberFormat="1" applyFont="1" applyFill="1" applyBorder="1"/>
    <xf numFmtId="165" fontId="6" fillId="13" borderId="14" xfId="0" applyNumberFormat="1" applyFont="1" applyFill="1" applyBorder="1"/>
    <xf numFmtId="165" fontId="4" fillId="3" borderId="13" xfId="0" applyNumberFormat="1" applyFont="1" applyFill="1" applyBorder="1" applyAlignment="1">
      <alignment horizontal="center" vertical="top"/>
    </xf>
    <xf numFmtId="164" fontId="4" fillId="3" borderId="13" xfId="0" applyNumberFormat="1" applyFont="1" applyFill="1" applyBorder="1" applyAlignment="1">
      <alignment horizontal="center" vertical="top" wrapText="1"/>
    </xf>
    <xf numFmtId="166" fontId="4" fillId="24" borderId="18" xfId="0" applyNumberFormat="1" applyFont="1" applyFill="1" applyBorder="1" applyAlignment="1">
      <alignment horizontal="right"/>
    </xf>
    <xf numFmtId="165" fontId="5" fillId="34" borderId="13" xfId="0" applyNumberFormat="1" applyFont="1" applyFill="1" applyBorder="1"/>
    <xf numFmtId="164" fontId="56" fillId="12" borderId="11" xfId="0" applyNumberFormat="1" applyFont="1" applyFill="1" applyBorder="1"/>
    <xf numFmtId="167" fontId="56" fillId="33" borderId="16" xfId="0" applyNumberFormat="1" applyFont="1" applyFill="1" applyBorder="1"/>
    <xf numFmtId="165" fontId="58" fillId="9" borderId="18" xfId="0" applyNumberFormat="1" applyFont="1" applyFill="1" applyBorder="1"/>
    <xf numFmtId="166" fontId="4" fillId="9" borderId="18" xfId="0" applyNumberFormat="1" applyFont="1" applyFill="1" applyBorder="1" applyAlignment="1">
      <alignment horizontal="right"/>
    </xf>
    <xf numFmtId="166" fontId="58" fillId="9" borderId="18" xfId="0" applyNumberFormat="1" applyFont="1" applyFill="1" applyBorder="1"/>
    <xf numFmtId="0" fontId="58" fillId="9" borderId="18" xfId="0" applyFont="1" applyFill="1" applyBorder="1"/>
    <xf numFmtId="0" fontId="58" fillId="9" borderId="17" xfId="0" applyFont="1" applyFill="1" applyBorder="1"/>
    <xf numFmtId="164" fontId="4" fillId="9" borderId="17" xfId="0" applyNumberFormat="1" applyFont="1" applyFill="1" applyBorder="1"/>
    <xf numFmtId="164" fontId="58" fillId="9" borderId="17" xfId="0" applyNumberFormat="1" applyFont="1" applyFill="1" applyBorder="1"/>
    <xf numFmtId="164" fontId="58" fillId="9" borderId="16" xfId="0" applyNumberFormat="1" applyFont="1" applyFill="1" applyBorder="1"/>
    <xf numFmtId="0" fontId="1" fillId="23" borderId="18" xfId="0" applyFont="1" applyFill="1" applyBorder="1"/>
    <xf numFmtId="164" fontId="1" fillId="23" borderId="17" xfId="0" applyNumberFormat="1" applyFont="1" applyFill="1" applyBorder="1"/>
    <xf numFmtId="164" fontId="1" fillId="23" borderId="16" xfId="0" applyNumberFormat="1" applyFont="1" applyFill="1" applyBorder="1"/>
    <xf numFmtId="0" fontId="58" fillId="11" borderId="18" xfId="0" applyFont="1" applyFill="1" applyBorder="1"/>
    <xf numFmtId="0" fontId="58" fillId="11" borderId="17" xfId="0" applyFont="1" applyFill="1" applyBorder="1"/>
    <xf numFmtId="164" fontId="58" fillId="11" borderId="17" xfId="0" applyNumberFormat="1" applyFont="1" applyFill="1" applyBorder="1"/>
    <xf numFmtId="167" fontId="58" fillId="11" borderId="17" xfId="0" applyNumberFormat="1" applyFont="1" applyFill="1" applyBorder="1"/>
    <xf numFmtId="167" fontId="58" fillId="11" borderId="16" xfId="0" applyNumberFormat="1" applyFont="1" applyFill="1" applyBorder="1"/>
    <xf numFmtId="0" fontId="12" fillId="24" borderId="18" xfId="0" applyFont="1" applyFill="1" applyBorder="1" applyAlignment="1">
      <alignment horizontal="right"/>
    </xf>
    <xf numFmtId="165" fontId="5" fillId="0" borderId="13" xfId="0" applyNumberFormat="1" applyFont="1" applyBorder="1"/>
    <xf numFmtId="165" fontId="5" fillId="0" borderId="14" xfId="0" applyNumberFormat="1" applyFont="1" applyBorder="1"/>
    <xf numFmtId="165" fontId="8" fillId="0" borderId="13" xfId="0" applyNumberFormat="1" applyFont="1" applyBorder="1" applyAlignment="1">
      <alignment horizontal="right"/>
    </xf>
    <xf numFmtId="0" fontId="5" fillId="0" borderId="13" xfId="0" applyFont="1" applyBorder="1"/>
    <xf numFmtId="0" fontId="5" fillId="0" borderId="12" xfId="0" applyFont="1" applyBorder="1"/>
    <xf numFmtId="0" fontId="8" fillId="0" borderId="12" xfId="0" quotePrefix="1" applyFont="1" applyBorder="1"/>
    <xf numFmtId="164" fontId="5" fillId="0" borderId="11" xfId="0" applyNumberFormat="1" applyFont="1" applyBorder="1"/>
    <xf numFmtId="0" fontId="62" fillId="0" borderId="0" xfId="0" applyFont="1"/>
    <xf numFmtId="165" fontId="11" fillId="0" borderId="13" xfId="0" applyNumberFormat="1" applyFont="1" applyBorder="1"/>
    <xf numFmtId="165" fontId="11" fillId="0" borderId="14" xfId="0" applyNumberFormat="1" applyFont="1" applyBorder="1"/>
    <xf numFmtId="0" fontId="11" fillId="0" borderId="13" xfId="0" applyFont="1" applyBorder="1"/>
    <xf numFmtId="164" fontId="11" fillId="0" borderId="12" xfId="0" applyNumberFormat="1" applyFont="1" applyBorder="1"/>
    <xf numFmtId="164" fontId="11" fillId="0" borderId="11" xfId="0" applyNumberFormat="1" applyFont="1" applyBorder="1"/>
    <xf numFmtId="0" fontId="8" fillId="12" borderId="24" xfId="0" applyFont="1" applyFill="1" applyBorder="1"/>
    <xf numFmtId="164" fontId="8" fillId="12" borderId="23" xfId="0" applyNumberFormat="1" applyFont="1" applyFill="1" applyBorder="1"/>
    <xf numFmtId="164" fontId="8" fillId="12" borderId="22" xfId="0" applyNumberFormat="1" applyFont="1" applyFill="1" applyBorder="1"/>
    <xf numFmtId="165" fontId="8" fillId="0" borderId="18" xfId="0" applyNumberFormat="1" applyFont="1" applyBorder="1"/>
    <xf numFmtId="165" fontId="8" fillId="0" borderId="19" xfId="0" applyNumberFormat="1" applyFont="1" applyBorder="1"/>
    <xf numFmtId="166" fontId="8" fillId="0" borderId="18" xfId="0" applyNumberFormat="1" applyFont="1" applyBorder="1"/>
    <xf numFmtId="164" fontId="8" fillId="0" borderId="16" xfId="0" applyNumberFormat="1" applyFont="1" applyBorder="1"/>
    <xf numFmtId="0" fontId="8" fillId="12" borderId="18" xfId="0" applyFont="1" applyFill="1" applyBorder="1"/>
    <xf numFmtId="167" fontId="8" fillId="12" borderId="16" xfId="0" applyNumberFormat="1" applyFont="1" applyFill="1" applyBorder="1"/>
    <xf numFmtId="165" fontId="11" fillId="0" borderId="18" xfId="0" applyNumberFormat="1" applyFont="1" applyBorder="1"/>
    <xf numFmtId="166" fontId="11" fillId="0" borderId="18" xfId="0" applyNumberFormat="1" applyFont="1" applyBorder="1"/>
    <xf numFmtId="0" fontId="11" fillId="12" borderId="18" xfId="0" applyFont="1" applyFill="1" applyBorder="1"/>
    <xf numFmtId="167" fontId="11" fillId="12" borderId="16" xfId="0" applyNumberFormat="1" applyFont="1" applyFill="1" applyBorder="1"/>
    <xf numFmtId="165" fontId="8" fillId="23" borderId="18" xfId="0" applyNumberFormat="1" applyFont="1" applyFill="1" applyBorder="1"/>
    <xf numFmtId="165" fontId="8" fillId="23" borderId="19" xfId="0" applyNumberFormat="1" applyFont="1" applyFill="1" applyBorder="1"/>
    <xf numFmtId="165" fontId="8" fillId="25" borderId="18" xfId="0" applyNumberFormat="1" applyFont="1" applyFill="1" applyBorder="1"/>
    <xf numFmtId="165" fontId="8" fillId="25" borderId="19" xfId="0" applyNumberFormat="1" applyFont="1" applyFill="1" applyBorder="1"/>
    <xf numFmtId="166" fontId="8" fillId="25" borderId="18" xfId="0" applyNumberFormat="1" applyFont="1" applyFill="1" applyBorder="1"/>
    <xf numFmtId="0" fontId="8" fillId="25" borderId="18" xfId="0" applyFont="1" applyFill="1" applyBorder="1"/>
    <xf numFmtId="0" fontId="8" fillId="25" borderId="17" xfId="0" applyFont="1" applyFill="1" applyBorder="1"/>
    <xf numFmtId="164" fontId="8" fillId="25" borderId="17" xfId="0" applyNumberFormat="1" applyFont="1" applyFill="1" applyBorder="1"/>
    <xf numFmtId="165" fontId="12" fillId="24" borderId="19" xfId="0" applyNumberFormat="1" applyFont="1" applyFill="1" applyBorder="1" applyAlignment="1">
      <alignment horizontal="right"/>
    </xf>
    <xf numFmtId="0" fontId="52" fillId="12" borderId="17" xfId="0" applyFont="1" applyFill="1" applyBorder="1"/>
    <xf numFmtId="0" fontId="2" fillId="0" borderId="17" xfId="0" applyFont="1" applyBorder="1"/>
    <xf numFmtId="0" fontId="2" fillId="0" borderId="18" xfId="0" applyFont="1" applyBorder="1"/>
    <xf numFmtId="0" fontId="47" fillId="12" borderId="17" xfId="0" applyFont="1" applyFill="1" applyBorder="1"/>
    <xf numFmtId="0" fontId="1" fillId="2" borderId="1" xfId="0" applyFont="1" applyFill="1" applyBorder="1" applyAlignment="1">
      <alignment horizontal="center" vertical="top"/>
    </xf>
    <xf numFmtId="0" fontId="2" fillId="0" borderId="2" xfId="0" applyFont="1" applyBorder="1"/>
    <xf numFmtId="0" fontId="2" fillId="0" borderId="3" xfId="0" applyFont="1" applyBorder="1"/>
    <xf numFmtId="0" fontId="2" fillId="0" borderId="8" xfId="0" applyFont="1" applyBorder="1"/>
    <xf numFmtId="0" fontId="0" fillId="0" borderId="0" xfId="0"/>
    <xf numFmtId="0" fontId="2" fillId="0" borderId="9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1" fillId="9" borderId="5" xfId="0" applyFont="1" applyFill="1" applyBorder="1"/>
    <xf numFmtId="0" fontId="2" fillId="0" borderId="6" xfId="0" applyFont="1" applyBorder="1"/>
    <xf numFmtId="0" fontId="2" fillId="0" borderId="7" xfId="0" applyFont="1" applyBorder="1"/>
    <xf numFmtId="0" fontId="1" fillId="10" borderId="11" xfId="0" applyFont="1" applyFill="1" applyBorder="1"/>
    <xf numFmtId="0" fontId="1" fillId="9" borderId="11" xfId="0" applyFont="1" applyFill="1" applyBorder="1"/>
    <xf numFmtId="0" fontId="1" fillId="17" borderId="5" xfId="0" applyFont="1" applyFill="1" applyBorder="1"/>
    <xf numFmtId="0" fontId="1" fillId="18" borderId="17" xfId="0" applyFont="1" applyFill="1" applyBorder="1"/>
    <xf numFmtId="164" fontId="41" fillId="12" borderId="0" xfId="0" applyNumberFormat="1" applyFont="1" applyFill="1"/>
    <xf numFmtId="164" fontId="44" fillId="12" borderId="17" xfId="0" applyNumberFormat="1" applyFont="1" applyFill="1" applyBorder="1"/>
    <xf numFmtId="0" fontId="46" fillId="12" borderId="17" xfId="0" applyFont="1" applyFill="1" applyBorder="1"/>
    <xf numFmtId="0" fontId="1" fillId="3" borderId="1" xfId="0" applyFont="1" applyFill="1" applyBorder="1" applyAlignment="1">
      <alignment horizontal="center" vertical="top"/>
    </xf>
    <xf numFmtId="165" fontId="1" fillId="6" borderId="5" xfId="0" applyNumberFormat="1" applyFont="1" applyFill="1" applyBorder="1" applyAlignment="1">
      <alignment horizontal="center" wrapText="1"/>
    </xf>
    <xf numFmtId="165" fontId="1" fillId="7" borderId="5" xfId="0" applyNumberFormat="1" applyFont="1" applyFill="1" applyBorder="1" applyAlignment="1">
      <alignment horizontal="center"/>
    </xf>
    <xf numFmtId="165" fontId="4" fillId="6" borderId="1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2" borderId="4" xfId="0" applyFont="1" applyFill="1" applyBorder="1" applyAlignment="1">
      <alignment horizontal="center" vertical="top"/>
    </xf>
    <xf numFmtId="0" fontId="2" fillId="0" borderId="10" xfId="0" applyFont="1" applyBorder="1"/>
    <xf numFmtId="0" fontId="2" fillId="0" borderId="14" xfId="0" applyFont="1" applyBorder="1"/>
    <xf numFmtId="164" fontId="3" fillId="4" borderId="5" xfId="0" applyNumberFormat="1" applyFont="1" applyFill="1" applyBorder="1" applyAlignment="1">
      <alignment horizontal="center"/>
    </xf>
    <xf numFmtId="164" fontId="3" fillId="5" borderId="6" xfId="0" applyNumberFormat="1" applyFont="1" applyFill="1" applyBorder="1" applyAlignment="1">
      <alignment horizontal="center"/>
    </xf>
    <xf numFmtId="165" fontId="4" fillId="7" borderId="12" xfId="0" applyNumberFormat="1" applyFont="1" applyFill="1" applyBorder="1" applyAlignment="1">
      <alignment horizontal="center"/>
    </xf>
    <xf numFmtId="165" fontId="4" fillId="6" borderId="11" xfId="0" applyNumberFormat="1" applyFont="1" applyFill="1" applyBorder="1" applyAlignment="1">
      <alignment horizontal="center" vertical="center" wrapText="1"/>
    </xf>
    <xf numFmtId="165" fontId="4" fillId="7" borderId="12" xfId="0" applyNumberFormat="1" applyFont="1" applyFill="1" applyBorder="1" applyAlignment="1">
      <alignment horizontal="center" vertical="center"/>
    </xf>
    <xf numFmtId="165" fontId="4" fillId="6" borderId="12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164" fontId="3" fillId="4" borderId="5" xfId="0" applyNumberFormat="1" applyFont="1" applyFill="1" applyBorder="1" applyAlignment="1">
      <alignment horizontal="center" vertical="center"/>
    </xf>
    <xf numFmtId="164" fontId="3" fillId="5" borderId="6" xfId="0" applyNumberFormat="1" applyFont="1" applyFill="1" applyBorder="1" applyAlignment="1">
      <alignment horizontal="center" vertical="center"/>
    </xf>
    <xf numFmtId="164" fontId="21" fillId="12" borderId="17" xfId="0" applyNumberFormat="1" applyFont="1" applyFill="1" applyBorder="1"/>
    <xf numFmtId="0" fontId="7" fillId="12" borderId="17" xfId="0" applyFont="1" applyFill="1" applyBorder="1"/>
    <xf numFmtId="0" fontId="21" fillId="12" borderId="17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29" fillId="12" borderId="17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25" fillId="9" borderId="5" xfId="0" applyFont="1" applyFill="1" applyBorder="1"/>
    <xf numFmtId="0" fontId="25" fillId="9" borderId="11" xfId="0" applyFont="1" applyFill="1" applyBorder="1"/>
    <xf numFmtId="0" fontId="4" fillId="0" borderId="0" xfId="0" applyFont="1" applyAlignment="1">
      <alignment horizontal="center"/>
    </xf>
    <xf numFmtId="164" fontId="21" fillId="12" borderId="12" xfId="0" applyNumberFormat="1" applyFont="1" applyFill="1" applyBorder="1"/>
    <xf numFmtId="0" fontId="4" fillId="3" borderId="1" xfId="0" applyFont="1" applyFill="1" applyBorder="1" applyAlignment="1">
      <alignment horizontal="center" vertical="center"/>
    </xf>
    <xf numFmtId="0" fontId="57" fillId="0" borderId="11" xfId="0" applyFont="1" applyBorder="1"/>
    <xf numFmtId="0" fontId="4" fillId="10" borderId="11" xfId="0" applyFont="1" applyFill="1" applyBorder="1"/>
    <xf numFmtId="0" fontId="6" fillId="9" borderId="11" xfId="0" applyFont="1" applyFill="1" applyBorder="1"/>
    <xf numFmtId="0" fontId="4" fillId="17" borderId="11" xfId="0" applyFont="1" applyFill="1" applyBorder="1"/>
    <xf numFmtId="0" fontId="4" fillId="18" borderId="17" xfId="0" applyFont="1" applyFill="1" applyBorder="1"/>
    <xf numFmtId="164" fontId="21" fillId="12" borderId="0" xfId="0" applyNumberFormat="1" applyFont="1" applyFill="1"/>
    <xf numFmtId="165" fontId="4" fillId="6" borderId="12" xfId="0" applyNumberFormat="1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164" fontId="3" fillId="5" borderId="5" xfId="0" applyNumberFormat="1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top"/>
    </xf>
    <xf numFmtId="0" fontId="4" fillId="2" borderId="4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0" fontId="63" fillId="0" borderId="11" xfId="0" applyFont="1" applyBorder="1"/>
    <xf numFmtId="0" fontId="1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20.42578125" bestFit="1" customWidth="1"/>
    <col min="10" max="10" width="18.7109375" bestFit="1" customWidth="1"/>
    <col min="11" max="11" width="15.140625" customWidth="1"/>
    <col min="12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27" t="s">
        <v>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  <c r="S1" s="1427"/>
      <c r="T1" s="1427"/>
      <c r="U1" s="1427"/>
    </row>
    <row r="2" spans="1:21" ht="19.5" x14ac:dyDescent="0.3">
      <c r="A2" s="1427" t="s">
        <v>1</v>
      </c>
      <c r="B2" s="1427"/>
      <c r="C2" s="1427"/>
      <c r="D2" s="1427"/>
      <c r="E2" s="1427"/>
      <c r="F2" s="1427"/>
      <c r="G2" s="1427"/>
      <c r="H2" s="1427"/>
      <c r="I2" s="1427"/>
      <c r="J2" s="1427"/>
      <c r="K2" s="1427"/>
      <c r="L2" s="1427"/>
      <c r="M2" s="1427"/>
      <c r="N2" s="1427"/>
      <c r="O2" s="1427"/>
      <c r="P2" s="1427"/>
      <c r="Q2" s="1427"/>
      <c r="R2" s="1427"/>
      <c r="S2" s="1427"/>
      <c r="T2" s="1427"/>
      <c r="U2" s="1427"/>
    </row>
    <row r="3" spans="1:21" ht="19.5" x14ac:dyDescent="0.3">
      <c r="A3" s="1468" t="s">
        <v>368</v>
      </c>
      <c r="B3" s="1468"/>
      <c r="C3" s="1468"/>
      <c r="D3" s="1468"/>
      <c r="E3" s="1468"/>
      <c r="F3" s="1468"/>
      <c r="G3" s="1468"/>
      <c r="H3" s="1468"/>
      <c r="I3" s="1468"/>
      <c r="J3" s="1468"/>
      <c r="K3" s="1468"/>
      <c r="L3" s="1468"/>
      <c r="M3" s="1468"/>
      <c r="N3" s="1468"/>
      <c r="O3" s="1468"/>
      <c r="P3" s="1468"/>
      <c r="Q3" s="1468"/>
      <c r="R3" s="1468"/>
      <c r="S3" s="1468"/>
      <c r="T3" s="1468"/>
      <c r="U3" s="1468"/>
    </row>
    <row r="4" spans="1:21" ht="19.5" x14ac:dyDescent="0.3">
      <c r="A4" s="1404" t="s">
        <v>2</v>
      </c>
      <c r="B4" s="1405"/>
      <c r="C4" s="1405"/>
      <c r="D4" s="1405"/>
      <c r="E4" s="1405"/>
      <c r="F4" s="1405"/>
      <c r="G4" s="1406"/>
      <c r="H4" s="1428" t="s">
        <v>3</v>
      </c>
      <c r="I4" s="1423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4" t="s">
        <v>7</v>
      </c>
      <c r="M5" s="1415"/>
      <c r="N5" s="1425" t="s">
        <v>8</v>
      </c>
      <c r="O5" s="1414"/>
      <c r="P5" s="1415"/>
      <c r="Q5" s="1426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" t="s">
        <v>9</v>
      </c>
      <c r="J6" s="2" t="s">
        <v>10</v>
      </c>
      <c r="K6" s="1" t="s">
        <v>11</v>
      </c>
      <c r="L6" s="3" t="s">
        <v>12</v>
      </c>
      <c r="M6" s="4" t="s">
        <v>13</v>
      </c>
      <c r="N6" s="5" t="s">
        <v>14</v>
      </c>
      <c r="O6" s="6" t="s">
        <v>15</v>
      </c>
      <c r="P6" s="7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9.5" hidden="1" x14ac:dyDescent="0.3">
      <c r="A7" s="1413"/>
      <c r="B7" s="1414"/>
      <c r="C7" s="1414"/>
      <c r="D7" s="1414"/>
      <c r="E7" s="1414"/>
      <c r="F7" s="1414"/>
      <c r="G7" s="1415"/>
      <c r="H7" s="13"/>
      <c r="I7" s="14"/>
      <c r="J7" s="14"/>
      <c r="K7" s="15"/>
      <c r="L7" s="15"/>
      <c r="M7" s="15"/>
      <c r="N7" s="15"/>
      <c r="O7" s="15"/>
      <c r="P7" s="15"/>
      <c r="Q7" s="16"/>
      <c r="R7" s="17"/>
      <c r="S7" s="17"/>
      <c r="T7" s="17"/>
      <c r="U7" s="17"/>
    </row>
    <row r="8" spans="1:21" ht="19.5" hidden="1" x14ac:dyDescent="0.3">
      <c r="A8" s="18"/>
      <c r="B8" s="19"/>
      <c r="C8" s="20"/>
      <c r="D8" s="21"/>
      <c r="E8" s="19"/>
      <c r="F8" s="19"/>
      <c r="G8" s="22"/>
      <c r="H8" s="23"/>
      <c r="I8" s="24"/>
      <c r="J8" s="24"/>
      <c r="K8" s="25"/>
      <c r="L8" s="26"/>
      <c r="M8" s="26"/>
      <c r="N8" s="26"/>
      <c r="O8" s="26"/>
      <c r="P8" s="26"/>
      <c r="Q8" s="27"/>
      <c r="R8" s="28"/>
      <c r="S8" s="28"/>
      <c r="T8" s="28"/>
      <c r="U8" s="28"/>
    </row>
    <row r="9" spans="1:21" ht="18.75" hidden="1" x14ac:dyDescent="0.25">
      <c r="A9" s="18"/>
      <c r="B9" s="19"/>
      <c r="C9" s="19"/>
      <c r="D9" s="19"/>
      <c r="E9" s="29"/>
      <c r="F9" s="19"/>
      <c r="G9" s="22"/>
      <c r="H9" s="30"/>
      <c r="I9" s="24"/>
      <c r="J9" s="24"/>
      <c r="K9" s="25"/>
      <c r="L9" s="31"/>
      <c r="M9" s="31"/>
      <c r="N9" s="31"/>
      <c r="O9" s="31"/>
      <c r="P9" s="31"/>
      <c r="Q9" s="27"/>
      <c r="R9" s="28"/>
      <c r="S9" s="28"/>
      <c r="T9" s="28"/>
      <c r="U9" s="28"/>
    </row>
    <row r="10" spans="1:21" ht="18.75" hidden="1" x14ac:dyDescent="0.25">
      <c r="A10" s="18"/>
      <c r="B10" s="19"/>
      <c r="C10" s="19"/>
      <c r="D10" s="19"/>
      <c r="E10" s="29"/>
      <c r="F10" s="19"/>
      <c r="G10" s="22"/>
      <c r="H10" s="30"/>
      <c r="I10" s="24"/>
      <c r="J10" s="24"/>
      <c r="K10" s="25"/>
      <c r="L10" s="31"/>
      <c r="M10" s="31"/>
      <c r="N10" s="31"/>
      <c r="O10" s="31"/>
      <c r="P10" s="31"/>
      <c r="Q10" s="27"/>
      <c r="R10" s="28"/>
      <c r="S10" s="28"/>
      <c r="T10" s="28"/>
      <c r="U10" s="28"/>
    </row>
    <row r="11" spans="1:21" ht="18.75" hidden="1" x14ac:dyDescent="0.25">
      <c r="A11" s="18"/>
      <c r="B11" s="19"/>
      <c r="C11" s="19"/>
      <c r="D11" s="32"/>
      <c r="E11" s="19"/>
      <c r="F11" s="19"/>
      <c r="G11" s="22"/>
      <c r="H11" s="30"/>
      <c r="I11" s="24"/>
      <c r="J11" s="24"/>
      <c r="K11" s="25"/>
      <c r="L11" s="31"/>
      <c r="M11" s="31"/>
      <c r="N11" s="31"/>
      <c r="O11" s="31"/>
      <c r="P11" s="31"/>
      <c r="Q11" s="27"/>
      <c r="R11" s="28"/>
      <c r="S11" s="28"/>
      <c r="T11" s="28"/>
      <c r="U11" s="28"/>
    </row>
    <row r="12" spans="1:21" ht="18.75" hidden="1" x14ac:dyDescent="0.25">
      <c r="A12" s="18"/>
      <c r="B12" s="19"/>
      <c r="C12" s="19"/>
      <c r="D12" s="19"/>
      <c r="E12" s="29"/>
      <c r="F12" s="19"/>
      <c r="G12" s="22"/>
      <c r="H12" s="30"/>
      <c r="I12" s="24"/>
      <c r="J12" s="24"/>
      <c r="K12" s="25"/>
      <c r="L12" s="31"/>
      <c r="M12" s="31"/>
      <c r="N12" s="31"/>
      <c r="O12" s="31"/>
      <c r="P12" s="31"/>
      <c r="Q12" s="27"/>
      <c r="R12" s="28"/>
      <c r="S12" s="28"/>
      <c r="T12" s="28"/>
      <c r="U12" s="28"/>
    </row>
    <row r="13" spans="1:21" ht="18.75" hidden="1" x14ac:dyDescent="0.25">
      <c r="A13" s="18"/>
      <c r="B13" s="19"/>
      <c r="C13" s="19"/>
      <c r="D13" s="19"/>
      <c r="E13" s="29"/>
      <c r="F13" s="19"/>
      <c r="G13" s="22"/>
      <c r="H13" s="30"/>
      <c r="I13" s="24"/>
      <c r="J13" s="24"/>
      <c r="K13" s="25"/>
      <c r="L13" s="31"/>
      <c r="M13" s="31"/>
      <c r="N13" s="31"/>
      <c r="O13" s="31"/>
      <c r="P13" s="31"/>
      <c r="Q13" s="27"/>
      <c r="R13" s="28"/>
      <c r="S13" s="28"/>
      <c r="T13" s="28"/>
      <c r="U13" s="28"/>
    </row>
    <row r="14" spans="1:21" ht="18.75" hidden="1" x14ac:dyDescent="0.25">
      <c r="A14" s="18"/>
      <c r="B14" s="19"/>
      <c r="C14" s="19"/>
      <c r="D14" s="32"/>
      <c r="E14" s="19"/>
      <c r="F14" s="19"/>
      <c r="G14" s="22"/>
      <c r="H14" s="30"/>
      <c r="I14" s="24"/>
      <c r="J14" s="24"/>
      <c r="K14" s="25"/>
      <c r="L14" s="31"/>
      <c r="M14" s="31"/>
      <c r="N14" s="31"/>
      <c r="O14" s="31"/>
      <c r="P14" s="31"/>
      <c r="Q14" s="27"/>
      <c r="R14" s="28"/>
      <c r="S14" s="28"/>
      <c r="T14" s="28"/>
      <c r="U14" s="28"/>
    </row>
    <row r="15" spans="1:21" ht="18.75" hidden="1" x14ac:dyDescent="0.25">
      <c r="A15" s="18"/>
      <c r="B15" s="19"/>
      <c r="C15" s="19"/>
      <c r="D15" s="19"/>
      <c r="E15" s="29"/>
      <c r="F15" s="19"/>
      <c r="G15" s="22"/>
      <c r="H15" s="30"/>
      <c r="I15" s="24"/>
      <c r="J15" s="24"/>
      <c r="K15" s="25"/>
      <c r="L15" s="31"/>
      <c r="M15" s="31"/>
      <c r="N15" s="31"/>
      <c r="O15" s="31"/>
      <c r="P15" s="31"/>
      <c r="Q15" s="27"/>
      <c r="R15" s="28"/>
      <c r="S15" s="28"/>
      <c r="T15" s="28"/>
      <c r="U15" s="28"/>
    </row>
    <row r="16" spans="1:21" ht="18.75" hidden="1" x14ac:dyDescent="0.25">
      <c r="A16" s="33"/>
      <c r="B16" s="34"/>
      <c r="C16" s="34"/>
      <c r="D16" s="34"/>
      <c r="E16" s="35"/>
      <c r="F16" s="34"/>
      <c r="G16" s="36"/>
      <c r="H16" s="37"/>
      <c r="I16" s="38"/>
      <c r="J16" s="38"/>
      <c r="K16" s="39"/>
      <c r="L16" s="40"/>
      <c r="M16" s="40"/>
      <c r="N16" s="40"/>
      <c r="O16" s="40"/>
      <c r="P16" s="40"/>
      <c r="Q16" s="16"/>
      <c r="R16" s="17"/>
      <c r="S16" s="17"/>
      <c r="T16" s="17"/>
      <c r="U16" s="17"/>
    </row>
    <row r="17" spans="1:21" ht="19.5" x14ac:dyDescent="0.3">
      <c r="A17" s="1416" t="s">
        <v>17</v>
      </c>
      <c r="B17" s="1411"/>
      <c r="C17" s="1411"/>
      <c r="D17" s="1411"/>
      <c r="E17" s="1411"/>
      <c r="F17" s="1411"/>
      <c r="G17" s="1412"/>
      <c r="H17" s="41"/>
      <c r="I17" s="42"/>
      <c r="J17" s="42"/>
      <c r="K17" s="43"/>
      <c r="L17" s="43"/>
      <c r="M17" s="43"/>
      <c r="N17" s="43"/>
      <c r="O17" s="43"/>
      <c r="P17" s="43"/>
      <c r="Q17" s="44"/>
      <c r="R17" s="45"/>
      <c r="S17" s="45"/>
      <c r="T17" s="45"/>
      <c r="U17" s="45"/>
    </row>
    <row r="18" spans="1:21" ht="19.5" x14ac:dyDescent="0.3">
      <c r="A18" s="46"/>
      <c r="B18" s="47"/>
      <c r="C18" s="48" t="s">
        <v>18</v>
      </c>
      <c r="D18" s="49" t="s">
        <v>19</v>
      </c>
      <c r="E18" s="47"/>
      <c r="F18" s="47"/>
      <c r="G18" s="50"/>
      <c r="H18" s="51" t="s">
        <v>14</v>
      </c>
      <c r="I18" s="52"/>
      <c r="J18" s="52"/>
      <c r="K18" s="53"/>
      <c r="L18" s="54">
        <f t="shared" ref="L18:N18" ca="1" si="0">L19+L20</f>
        <v>67984832</v>
      </c>
      <c r="M18" s="55">
        <f t="shared" ca="1" si="0"/>
        <v>70974038.959999993</v>
      </c>
      <c r="N18" s="55">
        <f t="shared" ca="1" si="0"/>
        <v>48475267.750000007</v>
      </c>
      <c r="O18" s="55">
        <f t="shared" ref="O18:O26" ca="1" si="1">IF(L18&gt;0,N18*100/L18,0)</f>
        <v>71.303063233281222</v>
      </c>
      <c r="P18" s="55">
        <f t="shared" ref="P18:P26" ca="1" si="2">IF(M18&gt;0,N18*100/M18,0)</f>
        <v>68.299998788740226</v>
      </c>
      <c r="Q18" s="56">
        <f t="shared" ref="Q18:S18" ca="1" si="3">Q19+Q20</f>
        <v>30946286.649999999</v>
      </c>
      <c r="R18" s="57">
        <f t="shared" ca="1" si="3"/>
        <v>30980622</v>
      </c>
      <c r="S18" s="57">
        <f t="shared" ca="1" si="3"/>
        <v>12316098.089999998</v>
      </c>
      <c r="T18" s="57">
        <f t="shared" ref="T18:T26" ca="1" si="4">IF(Q18&gt;0,S18*100/Q18,0)</f>
        <v>39.798306754196624</v>
      </c>
      <c r="U18" s="57">
        <f t="shared" ref="U18:U26" ca="1" si="5">IF(R18&gt;0,S18*100/R18,0)</f>
        <v>39.754198898911703</v>
      </c>
    </row>
    <row r="19" spans="1:21" ht="18.75" hidden="1" x14ac:dyDescent="0.25">
      <c r="A19" s="46"/>
      <c r="B19" s="47"/>
      <c r="C19" s="47"/>
      <c r="D19" s="47"/>
      <c r="E19" s="58" t="s">
        <v>20</v>
      </c>
      <c r="F19" s="47"/>
      <c r="G19" s="50"/>
      <c r="H19" s="59" t="s">
        <v>14</v>
      </c>
      <c r="I19" s="52"/>
      <c r="J19" s="52"/>
      <c r="K19" s="53"/>
      <c r="L19" s="60">
        <f t="shared" ref="L19:N19" ca="1" si="6">L22+L25</f>
        <v>0</v>
      </c>
      <c r="M19" s="61">
        <f t="shared" ca="1" si="6"/>
        <v>0</v>
      </c>
      <c r="N19" s="61">
        <f t="shared" ca="1" si="6"/>
        <v>0</v>
      </c>
      <c r="O19" s="61">
        <f t="shared" ca="1" si="1"/>
        <v>0</v>
      </c>
      <c r="P19" s="61">
        <f t="shared" ca="1" si="2"/>
        <v>0</v>
      </c>
      <c r="Q19" s="60">
        <f t="shared" ref="Q19:S19" ca="1" si="7">Q22+Q25</f>
        <v>0</v>
      </c>
      <c r="R19" s="61">
        <f t="shared" ca="1" si="7"/>
        <v>0</v>
      </c>
      <c r="S19" s="61">
        <f t="shared" ca="1" si="7"/>
        <v>0</v>
      </c>
      <c r="T19" s="61">
        <f t="shared" ca="1" si="4"/>
        <v>0</v>
      </c>
      <c r="U19" s="61">
        <f t="shared" ca="1" si="5"/>
        <v>0</v>
      </c>
    </row>
    <row r="20" spans="1:21" ht="18.75" hidden="1" x14ac:dyDescent="0.25">
      <c r="A20" s="46"/>
      <c r="B20" s="47"/>
      <c r="C20" s="47"/>
      <c r="D20" s="47"/>
      <c r="E20" s="58" t="s">
        <v>21</v>
      </c>
      <c r="F20" s="47"/>
      <c r="G20" s="50"/>
      <c r="H20" s="59" t="s">
        <v>14</v>
      </c>
      <c r="I20" s="52"/>
      <c r="J20" s="52"/>
      <c r="K20" s="53"/>
      <c r="L20" s="62">
        <f t="shared" ref="L20:N20" ca="1" si="8">L23+L26</f>
        <v>67984832</v>
      </c>
      <c r="M20" s="63">
        <f t="shared" ca="1" si="8"/>
        <v>70974038.959999993</v>
      </c>
      <c r="N20" s="63">
        <f t="shared" ca="1" si="8"/>
        <v>48475267.750000007</v>
      </c>
      <c r="O20" s="63">
        <f t="shared" ca="1" si="1"/>
        <v>71.303063233281222</v>
      </c>
      <c r="P20" s="63">
        <f t="shared" ca="1" si="2"/>
        <v>68.299998788740226</v>
      </c>
      <c r="Q20" s="62">
        <f t="shared" ref="Q20:S20" ca="1" si="9">Q23+Q26</f>
        <v>30946286.649999999</v>
      </c>
      <c r="R20" s="63">
        <f t="shared" ca="1" si="9"/>
        <v>30980622</v>
      </c>
      <c r="S20" s="63">
        <f t="shared" ca="1" si="9"/>
        <v>12316098.089999998</v>
      </c>
      <c r="T20" s="63">
        <f t="shared" ca="1" si="4"/>
        <v>39.798306754196624</v>
      </c>
      <c r="U20" s="63">
        <f t="shared" ca="1" si="5"/>
        <v>39.754198898911703</v>
      </c>
    </row>
    <row r="21" spans="1:21" ht="18.75" x14ac:dyDescent="0.25">
      <c r="A21" s="64"/>
      <c r="B21" s="65"/>
      <c r="C21" s="65"/>
      <c r="D21" s="66" t="s">
        <v>22</v>
      </c>
      <c r="E21" s="65"/>
      <c r="F21" s="65"/>
      <c r="G21" s="67"/>
      <c r="H21" s="68" t="s">
        <v>14</v>
      </c>
      <c r="I21" s="69"/>
      <c r="J21" s="69"/>
      <c r="K21" s="70"/>
      <c r="L21" s="71">
        <f t="shared" ref="L21:N21" ca="1" si="10">L22+L23</f>
        <v>54953732</v>
      </c>
      <c r="M21" s="72">
        <f t="shared" ca="1" si="10"/>
        <v>59610605.959999993</v>
      </c>
      <c r="N21" s="72">
        <f t="shared" ca="1" si="10"/>
        <v>40326444.750000007</v>
      </c>
      <c r="O21" s="72">
        <f t="shared" ca="1" si="1"/>
        <v>73.382540698054882</v>
      </c>
      <c r="P21" s="72">
        <f t="shared" ca="1" si="2"/>
        <v>67.649781612788715</v>
      </c>
      <c r="Q21" s="71">
        <f t="shared" ref="Q21:S21" ca="1" si="11">Q22+Q23</f>
        <v>29953286.649999999</v>
      </c>
      <c r="R21" s="72">
        <f t="shared" ca="1" si="11"/>
        <v>29987622</v>
      </c>
      <c r="S21" s="72">
        <f t="shared" ca="1" si="11"/>
        <v>12316098.089999998</v>
      </c>
      <c r="T21" s="72">
        <f t="shared" ca="1" si="4"/>
        <v>41.117685127217911</v>
      </c>
      <c r="U21" s="72">
        <f t="shared" ca="1" si="5"/>
        <v>41.070606032048815</v>
      </c>
    </row>
    <row r="22" spans="1:21" ht="18.75" hidden="1" x14ac:dyDescent="0.25">
      <c r="A22" s="64"/>
      <c r="B22" s="65"/>
      <c r="C22" s="65"/>
      <c r="D22" s="65"/>
      <c r="E22" s="73" t="s">
        <v>20</v>
      </c>
      <c r="F22" s="65"/>
      <c r="G22" s="67"/>
      <c r="H22" s="68" t="s">
        <v>14</v>
      </c>
      <c r="I22" s="69"/>
      <c r="J22" s="69"/>
      <c r="K22" s="70"/>
      <c r="L22" s="74">
        <f t="shared" ref="L22:N22" ca="1" si="12">L48+L63+L76+L98+L121+L143+L161+L190+L177+L270+L286+L307+L324+L337+L360+L379+L396+L417+L497+L517+L538+L559+L580+L603+L620+L646+L694+L718+L732+L764</f>
        <v>0</v>
      </c>
      <c r="M22" s="75">
        <f t="shared" ca="1" si="12"/>
        <v>0</v>
      </c>
      <c r="N22" s="75">
        <f t="shared" ca="1" si="12"/>
        <v>0</v>
      </c>
      <c r="O22" s="75">
        <f t="shared" ca="1" si="1"/>
        <v>0</v>
      </c>
      <c r="P22" s="75">
        <f t="shared" ca="1" si="2"/>
        <v>0</v>
      </c>
      <c r="Q22" s="74">
        <f t="shared" ref="Q22:S22" ca="1" si="13">Q48+Q63+Q76+Q98+Q121+Q143+Q161+Q190+Q177+Q270+Q286+Q307+Q324+Q337+Q360+Q379+Q396+Q417+Q497+Q517+Q538+Q559+Q580+Q603+Q620+Q646+Q694+Q718+Q732+Q764</f>
        <v>0</v>
      </c>
      <c r="R22" s="75">
        <f t="shared" ca="1" si="13"/>
        <v>0</v>
      </c>
      <c r="S22" s="75">
        <f t="shared" ca="1" si="13"/>
        <v>0</v>
      </c>
      <c r="T22" s="75">
        <f t="shared" ca="1" si="4"/>
        <v>0</v>
      </c>
      <c r="U22" s="75">
        <f t="shared" ca="1" si="5"/>
        <v>0</v>
      </c>
    </row>
    <row r="23" spans="1:21" ht="18.75" hidden="1" x14ac:dyDescent="0.25">
      <c r="A23" s="64"/>
      <c r="B23" s="65"/>
      <c r="C23" s="65"/>
      <c r="D23" s="65"/>
      <c r="E23" s="73" t="s">
        <v>21</v>
      </c>
      <c r="F23" s="65"/>
      <c r="G23" s="67"/>
      <c r="H23" s="68" t="s">
        <v>14</v>
      </c>
      <c r="I23" s="69"/>
      <c r="J23" s="69"/>
      <c r="K23" s="70"/>
      <c r="L23" s="71">
        <f t="shared" ref="L23:N23" ca="1" si="14">L49+L64+L77+L99+L122+L144+L162+L191+L178+L271+L287+L308+L325+L338+L361+L380+L397+L418+L498+L518+L539+L560+L581+L604+L621+L647+L695+L719+L733+L765</f>
        <v>54953732</v>
      </c>
      <c r="M23" s="72">
        <f t="shared" ca="1" si="14"/>
        <v>59610605.959999993</v>
      </c>
      <c r="N23" s="72">
        <f t="shared" ca="1" si="14"/>
        <v>40326444.750000007</v>
      </c>
      <c r="O23" s="72">
        <f t="shared" ca="1" si="1"/>
        <v>73.382540698054882</v>
      </c>
      <c r="P23" s="72">
        <f t="shared" ca="1" si="2"/>
        <v>67.649781612788715</v>
      </c>
      <c r="Q23" s="71">
        <f t="shared" ref="Q23:S23" ca="1" si="15">Q49+Q64+Q77+Q99+Q122+Q144+Q162+Q191+Q178+Q271+Q287+Q308+Q325+Q338+Q361+Q380+Q397+Q418+Q498+Q518+Q539+Q560+Q581+Q604+Q621+Q647+Q695+Q719+Q733+Q765</f>
        <v>29953286.649999999</v>
      </c>
      <c r="R23" s="72">
        <f t="shared" ca="1" si="15"/>
        <v>29987622</v>
      </c>
      <c r="S23" s="72">
        <f t="shared" ca="1" si="15"/>
        <v>12316098.089999998</v>
      </c>
      <c r="T23" s="72">
        <f t="shared" ca="1" si="4"/>
        <v>41.117685127217911</v>
      </c>
      <c r="U23" s="72">
        <f t="shared" ca="1" si="5"/>
        <v>41.070606032048815</v>
      </c>
    </row>
    <row r="24" spans="1:21" ht="18.75" x14ac:dyDescent="0.25">
      <c r="A24" s="64"/>
      <c r="B24" s="65"/>
      <c r="C24" s="65"/>
      <c r="D24" s="66" t="s">
        <v>23</v>
      </c>
      <c r="E24" s="65"/>
      <c r="F24" s="65"/>
      <c r="G24" s="67"/>
      <c r="H24" s="68" t="s">
        <v>14</v>
      </c>
      <c r="I24" s="69"/>
      <c r="J24" s="69"/>
      <c r="K24" s="70"/>
      <c r="L24" s="71">
        <f t="shared" ref="L24:N24" ca="1" si="16">L25+L26</f>
        <v>13031100</v>
      </c>
      <c r="M24" s="72">
        <f t="shared" ca="1" si="16"/>
        <v>11363433</v>
      </c>
      <c r="N24" s="72">
        <f t="shared" ca="1" si="16"/>
        <v>8148823</v>
      </c>
      <c r="O24" s="72">
        <f t="shared" ca="1" si="1"/>
        <v>62.533654104411752</v>
      </c>
      <c r="P24" s="72">
        <f t="shared" ca="1" si="2"/>
        <v>71.710925738727013</v>
      </c>
      <c r="Q24" s="71">
        <f t="shared" ref="Q24:S24" ca="1" si="17">Q25+Q26</f>
        <v>993000</v>
      </c>
      <c r="R24" s="72">
        <f t="shared" ca="1" si="17"/>
        <v>993000</v>
      </c>
      <c r="S24" s="72">
        <f t="shared" ca="1" si="17"/>
        <v>0</v>
      </c>
      <c r="T24" s="72">
        <f t="shared" ca="1" si="4"/>
        <v>0</v>
      </c>
      <c r="U24" s="72">
        <f t="shared" ca="1" si="5"/>
        <v>0</v>
      </c>
    </row>
    <row r="25" spans="1:21" ht="18.75" hidden="1" x14ac:dyDescent="0.25">
      <c r="A25" s="64"/>
      <c r="B25" s="65"/>
      <c r="C25" s="65"/>
      <c r="D25" s="65"/>
      <c r="E25" s="73" t="s">
        <v>20</v>
      </c>
      <c r="F25" s="65"/>
      <c r="G25" s="67"/>
      <c r="H25" s="68" t="s">
        <v>14</v>
      </c>
      <c r="I25" s="69"/>
      <c r="J25" s="69"/>
      <c r="K25" s="70"/>
      <c r="L25" s="74">
        <f t="shared" ref="L25:N25" ca="1" si="18">L51+L66+L79+L101+L124+L146+L164+L193+L180+L273+L289+L310+L327+L340+L363+L382+L399+L420+L500+L520+L541+L562+L583+L606+L623+L649+L697+L721+L735+L767</f>
        <v>0</v>
      </c>
      <c r="M25" s="75">
        <f t="shared" ca="1" si="18"/>
        <v>0</v>
      </c>
      <c r="N25" s="75">
        <f t="shared" ca="1" si="18"/>
        <v>0</v>
      </c>
      <c r="O25" s="75">
        <f t="shared" ca="1" si="1"/>
        <v>0</v>
      </c>
      <c r="P25" s="75">
        <f t="shared" ca="1" si="2"/>
        <v>0</v>
      </c>
      <c r="Q25" s="74">
        <f t="shared" ref="Q25:S25" ca="1" si="19">Q51+Q66+Q79+Q101+Q124+Q146+Q164+Q193+Q180+Q273+Q289+Q310+Q327+Q340+Q363+Q382+Q399+Q420+Q500+Q520+Q541+Q562+Q583+Q606+Q623+Q649+Q697+Q721+Q735+Q767</f>
        <v>0</v>
      </c>
      <c r="R25" s="75">
        <f t="shared" ca="1" si="19"/>
        <v>0</v>
      </c>
      <c r="S25" s="75">
        <f t="shared" ca="1" si="19"/>
        <v>0</v>
      </c>
      <c r="T25" s="75">
        <f t="shared" ca="1" si="4"/>
        <v>0</v>
      </c>
      <c r="U25" s="75">
        <f t="shared" ca="1" si="5"/>
        <v>0</v>
      </c>
    </row>
    <row r="26" spans="1:21" ht="18.75" hidden="1" x14ac:dyDescent="0.25">
      <c r="A26" s="64"/>
      <c r="B26" s="65"/>
      <c r="C26" s="65"/>
      <c r="D26" s="65"/>
      <c r="E26" s="73" t="s">
        <v>21</v>
      </c>
      <c r="F26" s="65"/>
      <c r="G26" s="67"/>
      <c r="H26" s="68" t="s">
        <v>14</v>
      </c>
      <c r="I26" s="69"/>
      <c r="J26" s="69"/>
      <c r="K26" s="70"/>
      <c r="L26" s="71">
        <f t="shared" ref="L26:N26" ca="1" si="20">L52+L67+L80+L102+L125+L147+L165+L194+L181+L274+L290+L311+L328+L341+L364+L383+L400+L421+L501+L521+L542+L563+L584+L607+L624+L650+L698+L722+L736+L768</f>
        <v>13031100</v>
      </c>
      <c r="M26" s="72">
        <f t="shared" ca="1" si="20"/>
        <v>11363433</v>
      </c>
      <c r="N26" s="72">
        <f t="shared" ca="1" si="20"/>
        <v>8148823</v>
      </c>
      <c r="O26" s="72">
        <f t="shared" ca="1" si="1"/>
        <v>62.533654104411752</v>
      </c>
      <c r="P26" s="72">
        <f t="shared" ca="1" si="2"/>
        <v>71.710925738727013</v>
      </c>
      <c r="Q26" s="74">
        <f t="shared" ref="Q26:S26" ca="1" si="21">Q52+Q67+Q80+Q102+Q125+Q147+Q165+Q194+Q181+Q274+Q290+Q311+Q328+Q341+Q364+Q383+Q400+Q421+Q501+Q521+Q542+Q563+Q584+Q607+Q624+Q650+Q698+Q722+Q736+Q768</f>
        <v>993000</v>
      </c>
      <c r="R26" s="75">
        <f t="shared" ca="1" si="21"/>
        <v>993000</v>
      </c>
      <c r="S26" s="75">
        <f t="shared" ca="1" si="21"/>
        <v>0</v>
      </c>
      <c r="T26" s="72">
        <f t="shared" ca="1" si="4"/>
        <v>0</v>
      </c>
      <c r="U26" s="72">
        <f t="shared" ca="1" si="5"/>
        <v>0</v>
      </c>
    </row>
    <row r="27" spans="1:21" ht="18.75" hidden="1" x14ac:dyDescent="0.25">
      <c r="A27" s="76"/>
      <c r="B27" s="77"/>
      <c r="C27" s="77"/>
      <c r="D27" s="78" t="s">
        <v>24</v>
      </c>
      <c r="E27" s="77"/>
      <c r="F27" s="77"/>
      <c r="G27" s="79"/>
      <c r="H27" s="80" t="s">
        <v>14</v>
      </c>
      <c r="I27" s="81"/>
      <c r="J27" s="81"/>
      <c r="K27" s="82"/>
      <c r="L27" s="83"/>
      <c r="M27" s="83"/>
      <c r="N27" s="83"/>
      <c r="O27" s="83"/>
      <c r="P27" s="83"/>
      <c r="Q27" s="84"/>
      <c r="R27" s="85"/>
      <c r="S27" s="85"/>
      <c r="T27" s="85"/>
      <c r="U27" s="85"/>
    </row>
    <row r="28" spans="1:21" ht="18.75" hidden="1" x14ac:dyDescent="0.25">
      <c r="A28" s="64"/>
      <c r="B28" s="65"/>
      <c r="C28" s="65"/>
      <c r="D28" s="65"/>
      <c r="E28" s="73" t="s">
        <v>20</v>
      </c>
      <c r="F28" s="65"/>
      <c r="G28" s="67"/>
      <c r="H28" s="68" t="s">
        <v>14</v>
      </c>
      <c r="I28" s="69"/>
      <c r="J28" s="69"/>
      <c r="K28" s="70"/>
      <c r="L28" s="86"/>
      <c r="M28" s="86"/>
      <c r="N28" s="86"/>
      <c r="O28" s="86"/>
      <c r="P28" s="86"/>
      <c r="Q28" s="84"/>
      <c r="R28" s="85"/>
      <c r="S28" s="85"/>
      <c r="T28" s="85"/>
      <c r="U28" s="85"/>
    </row>
    <row r="29" spans="1:21" ht="18.75" hidden="1" x14ac:dyDescent="0.25">
      <c r="A29" s="87"/>
      <c r="B29" s="88"/>
      <c r="C29" s="88"/>
      <c r="D29" s="88"/>
      <c r="E29" s="89" t="s">
        <v>21</v>
      </c>
      <c r="F29" s="88"/>
      <c r="G29" s="90"/>
      <c r="H29" s="91" t="s">
        <v>14</v>
      </c>
      <c r="I29" s="92"/>
      <c r="J29" s="92"/>
      <c r="K29" s="93"/>
      <c r="L29" s="94"/>
      <c r="M29" s="94"/>
      <c r="N29" s="94"/>
      <c r="O29" s="94"/>
      <c r="P29" s="94"/>
      <c r="Q29" s="95"/>
      <c r="R29" s="96"/>
      <c r="S29" s="96"/>
      <c r="T29" s="96"/>
      <c r="U29" s="96"/>
    </row>
    <row r="30" spans="1:21" ht="19.5" hidden="1" x14ac:dyDescent="0.3">
      <c r="A30" s="1417"/>
      <c r="B30" s="1411"/>
      <c r="C30" s="1411"/>
      <c r="D30" s="1411"/>
      <c r="E30" s="1411"/>
      <c r="F30" s="1411"/>
      <c r="G30" s="1412"/>
      <c r="H30" s="36"/>
      <c r="I30" s="38"/>
      <c r="J30" s="38"/>
      <c r="K30" s="39"/>
      <c r="L30" s="39"/>
      <c r="M30" s="39"/>
      <c r="N30" s="39"/>
      <c r="O30" s="39"/>
      <c r="P30" s="39"/>
      <c r="Q30" s="16"/>
      <c r="R30" s="17"/>
      <c r="S30" s="17"/>
      <c r="T30" s="17"/>
      <c r="U30" s="17"/>
    </row>
    <row r="31" spans="1:21" ht="19.5" hidden="1" x14ac:dyDescent="0.3">
      <c r="A31" s="18"/>
      <c r="B31" s="19"/>
      <c r="C31" s="20"/>
      <c r="D31" s="21"/>
      <c r="E31" s="19"/>
      <c r="F31" s="19"/>
      <c r="G31" s="22"/>
      <c r="H31" s="23"/>
      <c r="I31" s="24"/>
      <c r="J31" s="24"/>
      <c r="K31" s="25"/>
      <c r="L31" s="26"/>
      <c r="M31" s="26"/>
      <c r="N31" s="26"/>
      <c r="O31" s="26"/>
      <c r="P31" s="26"/>
      <c r="Q31" s="27"/>
      <c r="R31" s="28"/>
      <c r="S31" s="28"/>
      <c r="T31" s="28"/>
      <c r="U31" s="28"/>
    </row>
    <row r="32" spans="1:21" ht="18.75" hidden="1" x14ac:dyDescent="0.25">
      <c r="A32" s="18"/>
      <c r="B32" s="19"/>
      <c r="C32" s="19"/>
      <c r="D32" s="19"/>
      <c r="E32" s="29"/>
      <c r="F32" s="19"/>
      <c r="G32" s="22"/>
      <c r="H32" s="30"/>
      <c r="I32" s="24"/>
      <c r="J32" s="24"/>
      <c r="K32" s="25"/>
      <c r="L32" s="31"/>
      <c r="M32" s="31"/>
      <c r="N32" s="31"/>
      <c r="O32" s="31"/>
      <c r="P32" s="31"/>
      <c r="Q32" s="27"/>
      <c r="R32" s="28"/>
      <c r="S32" s="28"/>
      <c r="T32" s="28"/>
      <c r="U32" s="28"/>
    </row>
    <row r="33" spans="1:21" ht="18.75" hidden="1" x14ac:dyDescent="0.25">
      <c r="A33" s="18"/>
      <c r="B33" s="19"/>
      <c r="C33" s="19"/>
      <c r="D33" s="19"/>
      <c r="E33" s="29"/>
      <c r="F33" s="19"/>
      <c r="G33" s="22"/>
      <c r="H33" s="30"/>
      <c r="I33" s="24"/>
      <c r="J33" s="24"/>
      <c r="K33" s="25"/>
      <c r="L33" s="31"/>
      <c r="M33" s="31"/>
      <c r="N33" s="31"/>
      <c r="O33" s="31"/>
      <c r="P33" s="31"/>
      <c r="Q33" s="27"/>
      <c r="R33" s="28"/>
      <c r="S33" s="28"/>
      <c r="T33" s="28"/>
      <c r="U33" s="28"/>
    </row>
    <row r="34" spans="1:21" ht="18.75" hidden="1" x14ac:dyDescent="0.25">
      <c r="A34" s="18"/>
      <c r="B34" s="19"/>
      <c r="C34" s="19"/>
      <c r="D34" s="32"/>
      <c r="E34" s="19"/>
      <c r="F34" s="19"/>
      <c r="G34" s="22"/>
      <c r="H34" s="30"/>
      <c r="I34" s="24"/>
      <c r="J34" s="24"/>
      <c r="K34" s="25"/>
      <c r="L34" s="31"/>
      <c r="M34" s="31"/>
      <c r="N34" s="31"/>
      <c r="O34" s="31"/>
      <c r="P34" s="31"/>
      <c r="Q34" s="27"/>
      <c r="R34" s="28"/>
      <c r="S34" s="28"/>
      <c r="T34" s="28"/>
      <c r="U34" s="28"/>
    </row>
    <row r="35" spans="1:21" ht="18.75" hidden="1" x14ac:dyDescent="0.25">
      <c r="A35" s="18"/>
      <c r="B35" s="19"/>
      <c r="C35" s="19"/>
      <c r="D35" s="19"/>
      <c r="E35" s="29"/>
      <c r="F35" s="19"/>
      <c r="G35" s="22"/>
      <c r="H35" s="30"/>
      <c r="I35" s="24"/>
      <c r="J35" s="24"/>
      <c r="K35" s="25"/>
      <c r="L35" s="31"/>
      <c r="M35" s="31"/>
      <c r="N35" s="31"/>
      <c r="O35" s="31"/>
      <c r="P35" s="31"/>
      <c r="Q35" s="27"/>
      <c r="R35" s="28"/>
      <c r="S35" s="28"/>
      <c r="T35" s="28"/>
      <c r="U35" s="28"/>
    </row>
    <row r="36" spans="1:21" ht="18.75" hidden="1" x14ac:dyDescent="0.25">
      <c r="A36" s="18"/>
      <c r="B36" s="19"/>
      <c r="C36" s="19"/>
      <c r="D36" s="19"/>
      <c r="E36" s="29"/>
      <c r="F36" s="19"/>
      <c r="G36" s="22"/>
      <c r="H36" s="30"/>
      <c r="I36" s="24"/>
      <c r="J36" s="24"/>
      <c r="K36" s="25"/>
      <c r="L36" s="31"/>
      <c r="M36" s="31"/>
      <c r="N36" s="31"/>
      <c r="O36" s="31"/>
      <c r="P36" s="31"/>
      <c r="Q36" s="27"/>
      <c r="R36" s="28"/>
      <c r="S36" s="28"/>
      <c r="T36" s="28"/>
      <c r="U36" s="28"/>
    </row>
    <row r="37" spans="1:21" ht="18.75" hidden="1" x14ac:dyDescent="0.25">
      <c r="A37" s="18"/>
      <c r="B37" s="19"/>
      <c r="C37" s="19"/>
      <c r="D37" s="32"/>
      <c r="E37" s="19"/>
      <c r="F37" s="19"/>
      <c r="G37" s="22"/>
      <c r="H37" s="30"/>
      <c r="I37" s="24"/>
      <c r="J37" s="24"/>
      <c r="K37" s="25"/>
      <c r="L37" s="31"/>
      <c r="M37" s="31"/>
      <c r="N37" s="31"/>
      <c r="O37" s="31"/>
      <c r="P37" s="31"/>
      <c r="Q37" s="27"/>
      <c r="R37" s="28"/>
      <c r="S37" s="28"/>
      <c r="T37" s="28"/>
      <c r="U37" s="28"/>
    </row>
    <row r="38" spans="1:21" ht="18.75" hidden="1" x14ac:dyDescent="0.25">
      <c r="A38" s="18"/>
      <c r="B38" s="19"/>
      <c r="C38" s="19"/>
      <c r="D38" s="19"/>
      <c r="E38" s="29"/>
      <c r="F38" s="19"/>
      <c r="G38" s="22"/>
      <c r="H38" s="30"/>
      <c r="I38" s="24"/>
      <c r="J38" s="24"/>
      <c r="K38" s="25"/>
      <c r="L38" s="31"/>
      <c r="M38" s="31"/>
      <c r="N38" s="31"/>
      <c r="O38" s="31"/>
      <c r="P38" s="31"/>
      <c r="Q38" s="27"/>
      <c r="R38" s="28"/>
      <c r="S38" s="28"/>
      <c r="T38" s="28"/>
      <c r="U38" s="28"/>
    </row>
    <row r="39" spans="1:21" ht="18.75" hidden="1" x14ac:dyDescent="0.25">
      <c r="A39" s="33"/>
      <c r="B39" s="34"/>
      <c r="C39" s="34"/>
      <c r="D39" s="34"/>
      <c r="E39" s="35"/>
      <c r="F39" s="34"/>
      <c r="G39" s="36"/>
      <c r="H39" s="37"/>
      <c r="I39" s="38"/>
      <c r="J39" s="38"/>
      <c r="K39" s="39"/>
      <c r="L39" s="40"/>
      <c r="M39" s="40"/>
      <c r="N39" s="40"/>
      <c r="O39" s="40"/>
      <c r="P39" s="40"/>
      <c r="Q39" s="16"/>
      <c r="R39" s="17"/>
      <c r="S39" s="17"/>
      <c r="T39" s="17"/>
      <c r="U39" s="17"/>
    </row>
    <row r="40" spans="1:21" ht="19.5" hidden="1" x14ac:dyDescent="0.3">
      <c r="A40" s="97" t="s">
        <v>25</v>
      </c>
      <c r="B40" s="98"/>
      <c r="C40" s="98"/>
      <c r="D40" s="98"/>
      <c r="E40" s="98"/>
      <c r="F40" s="98"/>
      <c r="G40" s="99"/>
      <c r="H40" s="99"/>
      <c r="I40" s="100"/>
      <c r="J40" s="100"/>
      <c r="K40" s="101"/>
      <c r="L40" s="102"/>
      <c r="M40" s="102"/>
      <c r="N40" s="102"/>
      <c r="O40" s="102"/>
      <c r="P40" s="102"/>
      <c r="Q40" s="102"/>
      <c r="R40" s="102"/>
      <c r="S40" s="102"/>
      <c r="T40" s="102"/>
      <c r="U40" s="102"/>
    </row>
    <row r="41" spans="1:21" ht="19.5" x14ac:dyDescent="0.3">
      <c r="A41" s="103" t="s">
        <v>26</v>
      </c>
      <c r="B41" s="104"/>
      <c r="C41" s="104"/>
      <c r="D41" s="104"/>
      <c r="E41" s="104"/>
      <c r="F41" s="104"/>
      <c r="G41" s="104"/>
      <c r="H41" s="104"/>
      <c r="I41" s="105"/>
      <c r="J41" s="105"/>
      <c r="K41" s="106"/>
      <c r="L41" s="106"/>
      <c r="M41" s="106"/>
      <c r="N41" s="106"/>
      <c r="O41" s="106"/>
      <c r="P41" s="107"/>
      <c r="Q41" s="106"/>
      <c r="R41" s="106"/>
      <c r="S41" s="106"/>
      <c r="T41" s="106"/>
      <c r="U41" s="107"/>
    </row>
    <row r="42" spans="1:21" ht="19.5" x14ac:dyDescent="0.3">
      <c r="A42" s="108"/>
      <c r="B42" s="109" t="s">
        <v>27</v>
      </c>
      <c r="C42" s="108"/>
      <c r="D42" s="108"/>
      <c r="E42" s="108"/>
      <c r="F42" s="108"/>
      <c r="G42" s="108"/>
      <c r="H42" s="110"/>
      <c r="I42" s="111"/>
      <c r="J42" s="111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</row>
    <row r="43" spans="1:21" ht="19.5" hidden="1" x14ac:dyDescent="0.3">
      <c r="A43" s="18"/>
      <c r="B43" s="19"/>
      <c r="C43" s="20"/>
      <c r="D43" s="21"/>
      <c r="E43" s="19"/>
      <c r="F43" s="19"/>
      <c r="G43" s="22"/>
      <c r="H43" s="23"/>
      <c r="I43" s="24"/>
      <c r="J43" s="24"/>
      <c r="K43" s="25"/>
      <c r="L43" s="26"/>
      <c r="M43" s="26"/>
      <c r="N43" s="26"/>
      <c r="O43" s="26"/>
      <c r="P43" s="26"/>
      <c r="Q43" s="26"/>
      <c r="R43" s="26"/>
      <c r="S43" s="26"/>
      <c r="T43" s="26"/>
      <c r="U43" s="26"/>
    </row>
    <row r="44" spans="1:21" ht="19.5" x14ac:dyDescent="0.3">
      <c r="A44" s="113"/>
      <c r="B44" s="114"/>
      <c r="C44" s="115" t="s">
        <v>18</v>
      </c>
      <c r="D44" s="116" t="s">
        <v>19</v>
      </c>
      <c r="E44" s="114"/>
      <c r="F44" s="114"/>
      <c r="G44" s="117"/>
      <c r="H44" s="118" t="s">
        <v>14</v>
      </c>
      <c r="I44" s="119"/>
      <c r="J44" s="119"/>
      <c r="K44" s="120"/>
      <c r="L44" s="121">
        <f t="shared" ref="L44:N44" ca="1" si="22">L45+L46</f>
        <v>8538444</v>
      </c>
      <c r="M44" s="122">
        <f t="shared" ca="1" si="22"/>
        <v>9451241.9599999897</v>
      </c>
      <c r="N44" s="122">
        <f t="shared" ca="1" si="22"/>
        <v>7260670.3300000001</v>
      </c>
      <c r="O44" s="122">
        <f t="shared" ref="O44:O52" ca="1" si="23">IF(L44&gt;0,N44*100/L44,0)</f>
        <v>85.035052405332863</v>
      </c>
      <c r="P44" s="122">
        <f t="shared" ref="P44:P52" ca="1" si="24">IF(M44&gt;0,N44*100/M44,0)</f>
        <v>76.822393932236267</v>
      </c>
      <c r="Q44" s="122">
        <f t="shared" ref="Q44:S44" ca="1" si="25">Q45+Q46</f>
        <v>0</v>
      </c>
      <c r="R44" s="122">
        <f t="shared" ca="1" si="25"/>
        <v>0</v>
      </c>
      <c r="S44" s="122">
        <f t="shared" ca="1" si="25"/>
        <v>0</v>
      </c>
      <c r="T44" s="122">
        <f t="shared" ref="T44:T52" ca="1" si="26">IF(Q44&gt;0,S44*100/Q44,0)</f>
        <v>0</v>
      </c>
      <c r="U44" s="122">
        <f t="shared" ref="U44:U52" ca="1" si="27">IF(R44&gt;0,S44*100/R44,0)</f>
        <v>0</v>
      </c>
    </row>
    <row r="45" spans="1:21" ht="18.75" hidden="1" x14ac:dyDescent="0.25">
      <c r="A45" s="113"/>
      <c r="B45" s="114"/>
      <c r="C45" s="114"/>
      <c r="D45" s="114"/>
      <c r="E45" s="123" t="s">
        <v>20</v>
      </c>
      <c r="F45" s="114"/>
      <c r="G45" s="117"/>
      <c r="H45" s="124" t="s">
        <v>14</v>
      </c>
      <c r="I45" s="119"/>
      <c r="J45" s="119"/>
      <c r="K45" s="120"/>
      <c r="L45" s="125">
        <f t="shared" ref="L45:N45" si="28">L48+L51</f>
        <v>0</v>
      </c>
      <c r="M45" s="126">
        <f t="shared" si="28"/>
        <v>0</v>
      </c>
      <c r="N45" s="126">
        <f t="shared" si="28"/>
        <v>0</v>
      </c>
      <c r="O45" s="126">
        <f t="shared" si="23"/>
        <v>0</v>
      </c>
      <c r="P45" s="126">
        <f t="shared" si="24"/>
        <v>0</v>
      </c>
      <c r="Q45" s="126">
        <f t="shared" ref="Q45:S45" si="29">Q48+Q51</f>
        <v>0</v>
      </c>
      <c r="R45" s="126">
        <f t="shared" si="29"/>
        <v>0</v>
      </c>
      <c r="S45" s="126">
        <f t="shared" si="29"/>
        <v>0</v>
      </c>
      <c r="T45" s="126">
        <f t="shared" si="26"/>
        <v>0</v>
      </c>
      <c r="U45" s="126">
        <f t="shared" si="27"/>
        <v>0</v>
      </c>
    </row>
    <row r="46" spans="1:21" ht="18.75" hidden="1" x14ac:dyDescent="0.25">
      <c r="A46" s="113"/>
      <c r="B46" s="114"/>
      <c r="C46" s="114"/>
      <c r="D46" s="114"/>
      <c r="E46" s="123" t="s">
        <v>21</v>
      </c>
      <c r="F46" s="114"/>
      <c r="G46" s="117"/>
      <c r="H46" s="124" t="s">
        <v>14</v>
      </c>
      <c r="I46" s="119"/>
      <c r="J46" s="119"/>
      <c r="K46" s="120"/>
      <c r="L46" s="127">
        <f t="shared" ref="L46:N46" ca="1" si="30">L49+L52</f>
        <v>8538444</v>
      </c>
      <c r="M46" s="128">
        <f t="shared" ca="1" si="30"/>
        <v>9451241.9599999897</v>
      </c>
      <c r="N46" s="128">
        <f t="shared" ca="1" si="30"/>
        <v>7260670.3300000001</v>
      </c>
      <c r="O46" s="128">
        <f t="shared" ca="1" si="23"/>
        <v>85.035052405332863</v>
      </c>
      <c r="P46" s="128">
        <f t="shared" ca="1" si="24"/>
        <v>76.822393932236267</v>
      </c>
      <c r="Q46" s="128">
        <f t="shared" ref="Q46:S46" ca="1" si="31">Q49+Q52</f>
        <v>0</v>
      </c>
      <c r="R46" s="128">
        <f t="shared" ca="1" si="31"/>
        <v>0</v>
      </c>
      <c r="S46" s="128">
        <f t="shared" ca="1" si="31"/>
        <v>0</v>
      </c>
      <c r="T46" s="128">
        <f t="shared" ca="1" si="26"/>
        <v>0</v>
      </c>
      <c r="U46" s="128">
        <f t="shared" ca="1" si="27"/>
        <v>0</v>
      </c>
    </row>
    <row r="47" spans="1:21" ht="18.75" x14ac:dyDescent="0.25">
      <c r="A47" s="64"/>
      <c r="B47" s="65"/>
      <c r="C47" s="65"/>
      <c r="D47" s="66" t="s">
        <v>22</v>
      </c>
      <c r="E47" s="65"/>
      <c r="F47" s="65"/>
      <c r="G47" s="67"/>
      <c r="H47" s="68" t="s">
        <v>14</v>
      </c>
      <c r="I47" s="69"/>
      <c r="J47" s="69"/>
      <c r="K47" s="70"/>
      <c r="L47" s="129">
        <f t="shared" ref="L47:N47" ca="1" si="32">L48+L49</f>
        <v>8538444</v>
      </c>
      <c r="M47" s="130">
        <f t="shared" ca="1" si="32"/>
        <v>9451241.9599999897</v>
      </c>
      <c r="N47" s="130">
        <f t="shared" ca="1" si="32"/>
        <v>7260670.3300000001</v>
      </c>
      <c r="O47" s="130">
        <f t="shared" ca="1" si="23"/>
        <v>85.035052405332863</v>
      </c>
      <c r="P47" s="130">
        <f t="shared" ca="1" si="24"/>
        <v>76.822393932236267</v>
      </c>
      <c r="Q47" s="130">
        <f t="shared" ref="Q47:S47" ca="1" si="33">Q48+Q49</f>
        <v>0</v>
      </c>
      <c r="R47" s="130">
        <f t="shared" ca="1" si="33"/>
        <v>0</v>
      </c>
      <c r="S47" s="130">
        <f t="shared" ca="1" si="33"/>
        <v>0</v>
      </c>
      <c r="T47" s="130">
        <f t="shared" ca="1" si="26"/>
        <v>0</v>
      </c>
      <c r="U47" s="130">
        <f t="shared" ca="1" si="27"/>
        <v>0</v>
      </c>
    </row>
    <row r="48" spans="1:21" ht="18.75" hidden="1" x14ac:dyDescent="0.25">
      <c r="A48" s="64"/>
      <c r="B48" s="65"/>
      <c r="C48" s="65"/>
      <c r="D48" s="65"/>
      <c r="E48" s="73" t="s">
        <v>20</v>
      </c>
      <c r="F48" s="65"/>
      <c r="G48" s="67"/>
      <c r="H48" s="68" t="s">
        <v>14</v>
      </c>
      <c r="I48" s="69"/>
      <c r="J48" s="69"/>
      <c r="K48" s="70"/>
      <c r="L48" s="74">
        <v>0</v>
      </c>
      <c r="M48" s="75">
        <v>0</v>
      </c>
      <c r="N48" s="75">
        <v>0</v>
      </c>
      <c r="O48" s="131">
        <f t="shared" si="23"/>
        <v>0</v>
      </c>
      <c r="P48" s="131">
        <f t="shared" si="24"/>
        <v>0</v>
      </c>
      <c r="Q48" s="75">
        <v>0</v>
      </c>
      <c r="R48" s="75">
        <v>0</v>
      </c>
      <c r="S48" s="75">
        <v>0</v>
      </c>
      <c r="T48" s="131">
        <f t="shared" si="26"/>
        <v>0</v>
      </c>
      <c r="U48" s="131">
        <f t="shared" si="27"/>
        <v>0</v>
      </c>
    </row>
    <row r="49" spans="1:21" ht="18.75" hidden="1" x14ac:dyDescent="0.25">
      <c r="A49" s="64"/>
      <c r="B49" s="65"/>
      <c r="C49" s="65"/>
      <c r="D49" s="65"/>
      <c r="E49" s="73" t="s">
        <v>21</v>
      </c>
      <c r="F49" s="65"/>
      <c r="G49" s="67"/>
      <c r="H49" s="68" t="s">
        <v>14</v>
      </c>
      <c r="I49" s="69"/>
      <c r="J49" s="69"/>
      <c r="K49" s="70"/>
      <c r="L49" s="129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8538444)</f>
        <v>8538444</v>
      </c>
      <c r="M49" s="130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9451241.95999999)</f>
        <v>9451241.9599999897</v>
      </c>
      <c r="N49" s="130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7260670.33)</f>
        <v>7260670.3300000001</v>
      </c>
      <c r="O49" s="130">
        <f t="shared" ca="1" si="23"/>
        <v>85.035052405332863</v>
      </c>
      <c r="P49" s="130">
        <f t="shared" ca="1" si="24"/>
        <v>76.822393932236267</v>
      </c>
      <c r="Q49" s="72">
        <f ca="1">IFERROR(__xludf.DUMMYFUNCTION("IMPORTRANGE(""https://docs.google.com/spreadsheets/d/13wPX838HrBrQMCywv1BsuMkt4PEKTChp52zj44s2izQ/edit?usp=sharing"",""กาญจนบุรี!Q49"")+IMPORTRANGE(""https://docs.google.com/spreadsheets/d/1ddFKvqj1W1NEiWytbGlB1zMx_ykJDVtmfEQ-6-lIUBA/edit?usp=sharing"","""&amp;"จันทบุรี!Q49"")+IMPORTRANGE(""https://docs.google.com/spreadsheets/d/1T1PQvRODqOBZk8BRht_U031fIS1beLA0Ub2CEytj2q0/edit?usp=sharing"",""ฉะเชิงเทรา!Q49"")+IMPORTRANGE(""https://docs.google.com/spreadsheets/d/11tr1B-Bhyr79v2bkwVh5h_fR-PStkgjlZtkrZpYurG0/edit"&amp;"?usp=sharing"",""ชลบุรี!Q49"")+IMPORTRANGE(""https://docs.google.com/spreadsheets/d/1hh-FVnSX0vozXhGluamEcS54Dw9_zqW0N7qJUWgJ0Sw/edit?usp=sharing"",""ชัยนาท!Q49"")+IMPORTRANGE(""https://docs.google.com/spreadsheets/d/1jkqa6GXxSacMcY1eN8AHjMNJ_7dDXMJVRLDla"&amp;"FSOdPM/edit?usp=sharing"",""ตราด!Q49"")+IMPORTRANGE(""https://docs.google.com/spreadsheets/d/18hSgUJ3VwClqi_qtULmmW3cLr0oe3OKaSYoKzdpTsYQ/edit?usp=sharing"",""นครนายก!Q49"")+IMPORTRANGE(""https://docs.google.com/spreadsheets/d/1YTZo6WM2dQ6Ix6FSdnL5P7uVnVK"&amp;"u40sxZu975tgG10E/edit?usp=sharing"",""นครปฐม!Q49"")+IMPORTRANGE(""https://docs.google.com/spreadsheets/d/1OYoGg4WDg5RIzwGeB10padOxJF9E_Vljuvvct_M7RDo/edit?usp=sharing"",""ปทุมธานี!Q49"")+IMPORTRANGE(""https://docs.google.com/spreadsheets/d/1GbCIE4D4wk9FUo"&amp;"zzqk7SxfDMxDVBwVmI5zcaVUSzKAc/edit?usp=sharing"",""ประจวบคีรีขันธ์!Q49"")+IMPORTRANGE(""https://docs.google.com/spreadsheets/d/1vVf6wykvW_lAyu7Yo9L4hUTqHqIeP_qcVuxCtosJEbg/edit?usp=sharing"",""ปราจีนบุรี!Q49"")+IMPORTRANGE(""https://docs.google.com/spread"&amp;"sheets/d/1BIDqLLg5jk3v59G8NlR8rk5xfQDKne0sAvZHSj7TI6I/edit?usp=sharing"",""พระนครศรีอยุธยา!Q49"")+IMPORTRANGE(""https://docs.google.com/spreadsheets/d/1YXvxf8Yu6_rV4hTBrwMqAcAnv6DfhUxh5emyM3CJp_w/edit?usp=sharing"",""เพชรบุรี!Q49"")+IMPORTRANGE(""https://"&amp;"docs.google.com/spreadsheets/d/19KBlQQs7uwvsao6t2n-KvW3Ax8J8uRRfZPq1zPbXgKc/edit?usp=sharing"",""ระยอง!Q49"")+IMPORTRANGE(""https://docs.google.com/spreadsheets/d/1jQ6P4QcrGM89YfqcC_PxOHGCMq5ezhucwJd8ci-NHng/edit?usp=sharing"",""ราชบุรี!Q49"")+IMPORTRANGE"&amp;"(""https://docs.google.com/spreadsheets/d/1lufeA2cfFqM-elVq2hznhDzC6Pr7wkJ9ZG_sYNGCMCU/edit?usp=sharing"",""ลพบุรี!Q49"")+IMPORTRANGE(""https://docs.google.com/spreadsheets/d/10oOiF7loTyfsTkbd4MpaIm0HQ9SwB7IYHdIUvt-U1Uc/edit?usp=sharing"",""สระแก้ว!Q49"")"&amp;"+IMPORTRANGE(""https://docs.google.com/spreadsheets/d/1xmPlrr1QbdSIKvl1dWUl9K4PjAfSL9oeMr_37QVzcxc/edit?usp=sharing"",""สระบุรี!Q49"")+IMPORTRANGE(""https://docs.google.com/spreadsheets/d/1j51vR6CYVGhABJpv6tkstgok82RLpXieLzW1yOY5rHw/edit?usp=sharing"",""ส"&amp;"ิงห์บุรี!Q49"")+IMPORTRANGE(""https://docs.google.com/spreadsheets/d/1H1EalTWKUSzO4Z1-1CwzoDUaVffgrThEBe2sl74kKG0/edit?usp=sharing"",""สุพรรณบุรี!Q49"")+IMPORTRANGE(""https://docs.google.com/spreadsheets/d/1BmIruG_sIrJLYao_Pdr7zVArWsfoBt2692TMi6x_854/edit"&amp;"?usp=sharing"",""อ่างทอง!Q49"")"),0)</f>
        <v>0</v>
      </c>
      <c r="R49" s="72">
        <f ca="1">IFERROR(__xludf.DUMMYFUNCTION("IMPORTRANGE(""https://docs.google.com/spreadsheets/d/13wPX838HrBrQMCywv1BsuMkt4PEKTChp52zj44s2izQ/edit?usp=sharing"",""กาญจนบุรี!R49"")+IMPORTRANGE(""https://docs.google.com/spreadsheets/d/1ddFKvqj1W1NEiWytbGlB1zMx_ykJDVtmfEQ-6-lIUBA/edit?usp=sharing"","""&amp;"จันทบุรี!R49"")+IMPORTRANGE(""https://docs.google.com/spreadsheets/d/1T1PQvRODqOBZk8BRht_U031fIS1beLA0Ub2CEytj2q0/edit?usp=sharing"",""ฉะเชิงเทรา!R49"")+IMPORTRANGE(""https://docs.google.com/spreadsheets/d/11tr1B-Bhyr79v2bkwVh5h_fR-PStkgjlZtkrZpYurG0/edit"&amp;"?usp=sharing"",""ชลบุรี!R49"")+IMPORTRANGE(""https://docs.google.com/spreadsheets/d/1hh-FVnSX0vozXhGluamEcS54Dw9_zqW0N7qJUWgJ0Sw/edit?usp=sharing"",""ชัยนาท!R49"")+IMPORTRANGE(""https://docs.google.com/spreadsheets/d/1jkqa6GXxSacMcY1eN8AHjMNJ_7dDXMJVRLDla"&amp;"FSOdPM/edit?usp=sharing"",""ตราด!R49"")+IMPORTRANGE(""https://docs.google.com/spreadsheets/d/18hSgUJ3VwClqi_qtULmmW3cLr0oe3OKaSYoKzdpTsYQ/edit?usp=sharing"",""นครนายก!R49"")+IMPORTRANGE(""https://docs.google.com/spreadsheets/d/1YTZo6WM2dQ6Ix6FSdnL5P7uVnVK"&amp;"u40sxZu975tgG10E/edit?usp=sharing"",""นครปฐม!R49"")+IMPORTRANGE(""https://docs.google.com/spreadsheets/d/1OYoGg4WDg5RIzwGeB10padOxJF9E_Vljuvvct_M7RDo/edit?usp=sharing"",""ปทุมธานี!R49"")+IMPORTRANGE(""https://docs.google.com/spreadsheets/d/1GbCIE4D4wk9FUo"&amp;"zzqk7SxfDMxDVBwVmI5zcaVUSzKAc/edit?usp=sharing"",""ประจวบคีรีขันธ์!R49"")+IMPORTRANGE(""https://docs.google.com/spreadsheets/d/1vVf6wykvW_lAyu7Yo9L4hUTqHqIeP_qcVuxCtosJEbg/edit?usp=sharing"",""ปราจีนบุรี!R49"")+IMPORTRANGE(""https://docs.google.com/spread"&amp;"sheets/d/1BIDqLLg5jk3v59G8NlR8rk5xfQDKne0sAvZHSj7TI6I/edit?usp=sharing"",""พระนครศรีอยุธยา!R49"")+IMPORTRANGE(""https://docs.google.com/spreadsheets/d/1YXvxf8Yu6_rV4hTBrwMqAcAnv6DfhUxh5emyM3CJp_w/edit?usp=sharing"",""เพชรบุรี!R49"")+IMPORTRANGE(""https://"&amp;"docs.google.com/spreadsheets/d/19KBlQQs7uwvsao6t2n-KvW3Ax8J8uRRfZPq1zPbXgKc/edit?usp=sharing"",""ระยอง!R49"")+IMPORTRANGE(""https://docs.google.com/spreadsheets/d/1jQ6P4QcrGM89YfqcC_PxOHGCMq5ezhucwJd8ci-NHng/edit?usp=sharing"",""ราชบุรี!R49"")+IMPORTRANGE"&amp;"(""https://docs.google.com/spreadsheets/d/1lufeA2cfFqM-elVq2hznhDzC6Pr7wkJ9ZG_sYNGCMCU/edit?usp=sharing"",""ลพบุรี!R49"")+IMPORTRANGE(""https://docs.google.com/spreadsheets/d/10oOiF7loTyfsTkbd4MpaIm0HQ9SwB7IYHdIUvt-U1Uc/edit?usp=sharing"",""สระแก้ว!R49"")"&amp;"+IMPORTRANGE(""https://docs.google.com/spreadsheets/d/1xmPlrr1QbdSIKvl1dWUl9K4PjAfSL9oeMr_37QVzcxc/edit?usp=sharing"",""สระบุรี!R49"")+IMPORTRANGE(""https://docs.google.com/spreadsheets/d/1j51vR6CYVGhABJpv6tkstgok82RLpXieLzW1yOY5rHw/edit?usp=sharing"",""ส"&amp;"ิงห์บุรี!R49"")+IMPORTRANGE(""https://docs.google.com/spreadsheets/d/1H1EalTWKUSzO4Z1-1CwzoDUaVffgrThEBe2sl74kKG0/edit?usp=sharing"",""สุพรรณบุรี!R49"")+IMPORTRANGE(""https://docs.google.com/spreadsheets/d/1BmIruG_sIrJLYao_Pdr7zVArWsfoBt2692TMi6x_854/edit"&amp;"?usp=sharing"",""อ่างทอง!R49"")"),0)</f>
        <v>0</v>
      </c>
      <c r="S49" s="72">
        <f ca="1">IFERROR(__xludf.DUMMYFUNCTION("IMPORTRANGE(""https://docs.google.com/spreadsheets/d/13wPX838HrBrQMCywv1BsuMkt4PEKTChp52zj44s2izQ/edit?usp=sharing"",""กาญจนบุรี!S49"")+IMPORTRANGE(""https://docs.google.com/spreadsheets/d/1ddFKvqj1W1NEiWytbGlB1zMx_ykJDVtmfEQ-6-lIUBA/edit?usp=sharing"","""&amp;"จันทบุรี!S49"")+IMPORTRANGE(""https://docs.google.com/spreadsheets/d/1T1PQvRODqOBZk8BRht_U031fIS1beLA0Ub2CEytj2q0/edit?usp=sharing"",""ฉะเชิงเทรา!S49"")+IMPORTRANGE(""https://docs.google.com/spreadsheets/d/11tr1B-Bhyr79v2bkwVh5h_fR-PStkgjlZtkrZpYurG0/edit"&amp;"?usp=sharing"",""ชลบุรี!S49"")+IMPORTRANGE(""https://docs.google.com/spreadsheets/d/1hh-FVnSX0vozXhGluamEcS54Dw9_zqW0N7qJUWgJ0Sw/edit?usp=sharing"",""ชัยนาท!S49"")+IMPORTRANGE(""https://docs.google.com/spreadsheets/d/1jkqa6GXxSacMcY1eN8AHjMNJ_7dDXMJVRLDla"&amp;"FSOdPM/edit?usp=sharing"",""ตราด!S49"")+IMPORTRANGE(""https://docs.google.com/spreadsheets/d/18hSgUJ3VwClqi_qtULmmW3cLr0oe3OKaSYoKzdpTsYQ/edit?usp=sharing"",""นครนายก!S49"")+IMPORTRANGE(""https://docs.google.com/spreadsheets/d/1YTZo6WM2dQ6Ix6FSdnL5P7uVnVK"&amp;"u40sxZu975tgG10E/edit?usp=sharing"",""นครปฐม!S49"")+IMPORTRANGE(""https://docs.google.com/spreadsheets/d/1OYoGg4WDg5RIzwGeB10padOxJF9E_Vljuvvct_M7RDo/edit?usp=sharing"",""ปทุมธานี!S49"")+IMPORTRANGE(""https://docs.google.com/spreadsheets/d/1GbCIE4D4wk9FUo"&amp;"zzqk7SxfDMxDVBwVmI5zcaVUSzKAc/edit?usp=sharing"",""ประจวบคีรีขันธ์!S49"")+IMPORTRANGE(""https://docs.google.com/spreadsheets/d/1vVf6wykvW_lAyu7Yo9L4hUTqHqIeP_qcVuxCtosJEbg/edit?usp=sharing"",""ปราจีนบุรี!S49"")+IMPORTRANGE(""https://docs.google.com/spread"&amp;"sheets/d/1BIDqLLg5jk3v59G8NlR8rk5xfQDKne0sAvZHSj7TI6I/edit?usp=sharing"",""พระนครศรีอยุธยา!S49"")+IMPORTRANGE(""https://docs.google.com/spreadsheets/d/1YXvxf8Yu6_rV4hTBrwMqAcAnv6DfhUxh5emyM3CJp_w/edit?usp=sharing"",""เพชรบุรี!S49"")+IMPORTRANGE(""https://"&amp;"docs.google.com/spreadsheets/d/19KBlQQs7uwvsao6t2n-KvW3Ax8J8uRRfZPq1zPbXgKc/edit?usp=sharing"",""ระยอง!S49"")+IMPORTRANGE(""https://docs.google.com/spreadsheets/d/1jQ6P4QcrGM89YfqcC_PxOHGCMq5ezhucwJd8ci-NHng/edit?usp=sharing"",""ราชบุรี!S49"")+IMPORTRANGE"&amp;"(""https://docs.google.com/spreadsheets/d/1lufeA2cfFqM-elVq2hznhDzC6Pr7wkJ9ZG_sYNGCMCU/edit?usp=sharing"",""ลพบุรี!S49"")+IMPORTRANGE(""https://docs.google.com/spreadsheets/d/10oOiF7loTyfsTkbd4MpaIm0HQ9SwB7IYHdIUvt-U1Uc/edit?usp=sharing"",""สระแก้ว!S49"")"&amp;"+IMPORTRANGE(""https://docs.google.com/spreadsheets/d/1xmPlrr1QbdSIKvl1dWUl9K4PjAfSL9oeMr_37QVzcxc/edit?usp=sharing"",""สระบุรี!S49"")+IMPORTRANGE(""https://docs.google.com/spreadsheets/d/1j51vR6CYVGhABJpv6tkstgok82RLpXieLzW1yOY5rHw/edit?usp=sharing"",""ส"&amp;"ิงห์บุรี!S49"")+IMPORTRANGE(""https://docs.google.com/spreadsheets/d/1H1EalTWKUSzO4Z1-1CwzoDUaVffgrThEBe2sl74kKG0/edit?usp=sharing"",""สุพรรณบุรี!S49"")+IMPORTRANGE(""https://docs.google.com/spreadsheets/d/1BmIruG_sIrJLYao_Pdr7zVArWsfoBt2692TMi6x_854/edit"&amp;"?usp=sharing"",""อ่างทอง!S49"")"),0)</f>
        <v>0</v>
      </c>
      <c r="T49" s="130">
        <f t="shared" ca="1" si="26"/>
        <v>0</v>
      </c>
      <c r="U49" s="130">
        <f t="shared" ca="1" si="27"/>
        <v>0</v>
      </c>
    </row>
    <row r="50" spans="1:21" ht="18.75" x14ac:dyDescent="0.25">
      <c r="A50" s="64"/>
      <c r="B50" s="65"/>
      <c r="C50" s="65"/>
      <c r="D50" s="132" t="s">
        <v>23</v>
      </c>
      <c r="E50" s="65"/>
      <c r="F50" s="65"/>
      <c r="G50" s="67"/>
      <c r="H50" s="68" t="s">
        <v>14</v>
      </c>
      <c r="I50" s="69"/>
      <c r="J50" s="69"/>
      <c r="K50" s="70"/>
      <c r="L50" s="129">
        <f t="shared" ref="L50:N50" ca="1" si="34">L51+L52</f>
        <v>0</v>
      </c>
      <c r="M50" s="130">
        <f t="shared" ca="1" si="34"/>
        <v>0</v>
      </c>
      <c r="N50" s="130">
        <f t="shared" ca="1" si="34"/>
        <v>0</v>
      </c>
      <c r="O50" s="130">
        <f t="shared" ca="1" si="23"/>
        <v>0</v>
      </c>
      <c r="P50" s="130">
        <f t="shared" ca="1" si="24"/>
        <v>0</v>
      </c>
      <c r="Q50" s="130">
        <f t="shared" ref="Q50:S50" ca="1" si="35">Q51+Q52</f>
        <v>0</v>
      </c>
      <c r="R50" s="130">
        <f t="shared" ca="1" si="35"/>
        <v>0</v>
      </c>
      <c r="S50" s="130">
        <f t="shared" ca="1" si="35"/>
        <v>0</v>
      </c>
      <c r="T50" s="130">
        <f t="shared" ca="1" si="26"/>
        <v>0</v>
      </c>
      <c r="U50" s="130">
        <f t="shared" ca="1" si="27"/>
        <v>0</v>
      </c>
    </row>
    <row r="51" spans="1:21" ht="18.75" hidden="1" x14ac:dyDescent="0.25">
      <c r="A51" s="64"/>
      <c r="B51" s="65"/>
      <c r="C51" s="65"/>
      <c r="D51" s="65"/>
      <c r="E51" s="73" t="s">
        <v>20</v>
      </c>
      <c r="F51" s="65"/>
      <c r="G51" s="67"/>
      <c r="H51" s="68" t="s">
        <v>14</v>
      </c>
      <c r="I51" s="69"/>
      <c r="J51" s="69"/>
      <c r="K51" s="70"/>
      <c r="L51" s="74">
        <v>0</v>
      </c>
      <c r="M51" s="75">
        <v>0</v>
      </c>
      <c r="N51" s="75">
        <v>0</v>
      </c>
      <c r="O51" s="131">
        <f t="shared" si="23"/>
        <v>0</v>
      </c>
      <c r="P51" s="131">
        <f t="shared" si="24"/>
        <v>0</v>
      </c>
      <c r="Q51" s="75">
        <v>0</v>
      </c>
      <c r="R51" s="75">
        <v>0</v>
      </c>
      <c r="S51" s="75">
        <v>0</v>
      </c>
      <c r="T51" s="131">
        <f t="shared" si="26"/>
        <v>0</v>
      </c>
      <c r="U51" s="131">
        <f t="shared" si="27"/>
        <v>0</v>
      </c>
    </row>
    <row r="52" spans="1:21" ht="18.75" hidden="1" x14ac:dyDescent="0.25">
      <c r="A52" s="64"/>
      <c r="B52" s="65"/>
      <c r="C52" s="65"/>
      <c r="D52" s="65"/>
      <c r="E52" s="73" t="s">
        <v>21</v>
      </c>
      <c r="F52" s="65"/>
      <c r="G52" s="67"/>
      <c r="H52" s="68" t="s">
        <v>14</v>
      </c>
      <c r="I52" s="69"/>
      <c r="J52" s="69"/>
      <c r="K52" s="70"/>
      <c r="L52" s="129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2" s="130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2" s="130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2" s="130">
        <f t="shared" ca="1" si="23"/>
        <v>0</v>
      </c>
      <c r="P52" s="130">
        <f t="shared" ca="1" si="24"/>
        <v>0</v>
      </c>
      <c r="Q52" s="72">
        <f ca="1">IFERROR(__xludf.DUMMYFUNCTION("IMPORTRANGE(""https://docs.google.com/spreadsheets/d/13wPX838HrBrQMCywv1BsuMkt4PEKTChp52zj44s2izQ/edit?usp=sharing"",""กาญจนบุรี!Q52"")+IMPORTRANGE(""https://docs.google.com/spreadsheets/d/1ddFKvqj1W1NEiWytbGlB1zMx_ykJDVtmfEQ-6-lIUBA/edit?usp=sharing"","""&amp;"จันทบุรี!Q52"")+IMPORTRANGE(""https://docs.google.com/spreadsheets/d/1T1PQvRODqOBZk8BRht_U031fIS1beLA0Ub2CEytj2q0/edit?usp=sharing"",""ฉะเชิงเทรา!Q52"")+IMPORTRANGE(""https://docs.google.com/spreadsheets/d/11tr1B-Bhyr79v2bkwVh5h_fR-PStkgjlZtkrZpYurG0/edit"&amp;"?usp=sharing"",""ชลบุรี!Q52"")+IMPORTRANGE(""https://docs.google.com/spreadsheets/d/1hh-FVnSX0vozXhGluamEcS54Dw9_zqW0N7qJUWgJ0Sw/edit?usp=sharing"",""ชัยนาท!Q52"")+IMPORTRANGE(""https://docs.google.com/spreadsheets/d/1jkqa6GXxSacMcY1eN8AHjMNJ_7dDXMJVRLDla"&amp;"FSOdPM/edit?usp=sharing"",""ตราด!Q52"")+IMPORTRANGE(""https://docs.google.com/spreadsheets/d/18hSgUJ3VwClqi_qtULmmW3cLr0oe3OKaSYoKzdpTsYQ/edit?usp=sharing"",""นครนายก!Q52"")+IMPORTRANGE(""https://docs.google.com/spreadsheets/d/1YTZo6WM2dQ6Ix6FSdnL5P7uVnVK"&amp;"u40sxZu975tgG10E/edit?usp=sharing"",""นครปฐม!Q52"")+IMPORTRANGE(""https://docs.google.com/spreadsheets/d/1OYoGg4WDg5RIzwGeB10padOxJF9E_Vljuvvct_M7RDo/edit?usp=sharing"",""ปทุมธานี!Q52"")+IMPORTRANGE(""https://docs.google.com/spreadsheets/d/1GbCIE4D4wk9FUo"&amp;"zzqk7SxfDMxDVBwVmI5zcaVUSzKAc/edit?usp=sharing"",""ประจวบคีรีขันธ์!Q52"")+IMPORTRANGE(""https://docs.google.com/spreadsheets/d/1vVf6wykvW_lAyu7Yo9L4hUTqHqIeP_qcVuxCtosJEbg/edit?usp=sharing"",""ปราจีนบุรี!Q52"")+IMPORTRANGE(""https://docs.google.com/spread"&amp;"sheets/d/1BIDqLLg5jk3v59G8NlR8rk5xfQDKne0sAvZHSj7TI6I/edit?usp=sharing"",""พระนครศรีอยุธยา!Q52"")+IMPORTRANGE(""https://docs.google.com/spreadsheets/d/1YXvxf8Yu6_rV4hTBrwMqAcAnv6DfhUxh5emyM3CJp_w/edit?usp=sharing"",""เพชรบุรี!Q52"")+IMPORTRANGE(""https://"&amp;"docs.google.com/spreadsheets/d/19KBlQQs7uwvsao6t2n-KvW3Ax8J8uRRfZPq1zPbXgKc/edit?usp=sharing"",""ระยอง!Q52"")+IMPORTRANGE(""https://docs.google.com/spreadsheets/d/1jQ6P4QcrGM89YfqcC_PxOHGCMq5ezhucwJd8ci-NHng/edit?usp=sharing"",""ราชบุรี!Q52"")+IMPORTRANGE"&amp;"(""https://docs.google.com/spreadsheets/d/1lufeA2cfFqM-elVq2hznhDzC6Pr7wkJ9ZG_sYNGCMCU/edit?usp=sharing"",""ลพบุรี!Q52"")+IMPORTRANGE(""https://docs.google.com/spreadsheets/d/10oOiF7loTyfsTkbd4MpaIm0HQ9SwB7IYHdIUvt-U1Uc/edit?usp=sharing"",""สระแก้ว!Q52"")"&amp;"+IMPORTRANGE(""https://docs.google.com/spreadsheets/d/1xmPlrr1QbdSIKvl1dWUl9K4PjAfSL9oeMr_37QVzcxc/edit?usp=sharing"",""สระบุรี!Q52"")+IMPORTRANGE(""https://docs.google.com/spreadsheets/d/1j51vR6CYVGhABJpv6tkstgok82RLpXieLzW1yOY5rHw/edit?usp=sharing"",""ส"&amp;"ิงห์บุรี!Q52"")+IMPORTRANGE(""https://docs.google.com/spreadsheets/d/1H1EalTWKUSzO4Z1-1CwzoDUaVffgrThEBe2sl74kKG0/edit?usp=sharing"",""สุพรรณบุรี!Q52"")+IMPORTRANGE(""https://docs.google.com/spreadsheets/d/1BmIruG_sIrJLYao_Pdr7zVArWsfoBt2692TMi6x_854/edit"&amp;"?usp=sharing"",""อ่างทอง!Q52"")"),0)</f>
        <v>0</v>
      </c>
      <c r="R52" s="72">
        <f ca="1">IFERROR(__xludf.DUMMYFUNCTION("IMPORTRANGE(""https://docs.google.com/spreadsheets/d/13wPX838HrBrQMCywv1BsuMkt4PEKTChp52zj44s2izQ/edit?usp=sharing"",""กาญจนบุรี!R52"")+IMPORTRANGE(""https://docs.google.com/spreadsheets/d/1ddFKvqj1W1NEiWytbGlB1zMx_ykJDVtmfEQ-6-lIUBA/edit?usp=sharing"","""&amp;"จันทบุรี!R52"")+IMPORTRANGE(""https://docs.google.com/spreadsheets/d/1T1PQvRODqOBZk8BRht_U031fIS1beLA0Ub2CEytj2q0/edit?usp=sharing"",""ฉะเชิงเทรา!R52"")+IMPORTRANGE(""https://docs.google.com/spreadsheets/d/11tr1B-Bhyr79v2bkwVh5h_fR-PStkgjlZtkrZpYurG0/edit"&amp;"?usp=sharing"",""ชลบุรี!R52"")+IMPORTRANGE(""https://docs.google.com/spreadsheets/d/1hh-FVnSX0vozXhGluamEcS54Dw9_zqW0N7qJUWgJ0Sw/edit?usp=sharing"",""ชัยนาท!R52"")+IMPORTRANGE(""https://docs.google.com/spreadsheets/d/1jkqa6GXxSacMcY1eN8AHjMNJ_7dDXMJVRLDla"&amp;"FSOdPM/edit?usp=sharing"",""ตราด!R52"")+IMPORTRANGE(""https://docs.google.com/spreadsheets/d/18hSgUJ3VwClqi_qtULmmW3cLr0oe3OKaSYoKzdpTsYQ/edit?usp=sharing"",""นครนายก!R52"")+IMPORTRANGE(""https://docs.google.com/spreadsheets/d/1YTZo6WM2dQ6Ix6FSdnL5P7uVnVK"&amp;"u40sxZu975tgG10E/edit?usp=sharing"",""นครปฐม!R52"")+IMPORTRANGE(""https://docs.google.com/spreadsheets/d/1OYoGg4WDg5RIzwGeB10padOxJF9E_Vljuvvct_M7RDo/edit?usp=sharing"",""ปทุมธานี!R52"")+IMPORTRANGE(""https://docs.google.com/spreadsheets/d/1GbCIE4D4wk9FUo"&amp;"zzqk7SxfDMxDVBwVmI5zcaVUSzKAc/edit?usp=sharing"",""ประจวบคีรีขันธ์!R52"")+IMPORTRANGE(""https://docs.google.com/spreadsheets/d/1vVf6wykvW_lAyu7Yo9L4hUTqHqIeP_qcVuxCtosJEbg/edit?usp=sharing"",""ปราจีนบุรี!R52"")+IMPORTRANGE(""https://docs.google.com/spread"&amp;"sheets/d/1BIDqLLg5jk3v59G8NlR8rk5xfQDKne0sAvZHSj7TI6I/edit?usp=sharing"",""พระนครศรีอยุธยา!R52"")+IMPORTRANGE(""https://docs.google.com/spreadsheets/d/1YXvxf8Yu6_rV4hTBrwMqAcAnv6DfhUxh5emyM3CJp_w/edit?usp=sharing"",""เพชรบุรี!R52"")+IMPORTRANGE(""https://"&amp;"docs.google.com/spreadsheets/d/19KBlQQs7uwvsao6t2n-KvW3Ax8J8uRRfZPq1zPbXgKc/edit?usp=sharing"",""ระยอง!R52"")+IMPORTRANGE(""https://docs.google.com/spreadsheets/d/1jQ6P4QcrGM89YfqcC_PxOHGCMq5ezhucwJd8ci-NHng/edit?usp=sharing"",""ราชบุรี!R52"")+IMPORTRANGE"&amp;"(""https://docs.google.com/spreadsheets/d/1lufeA2cfFqM-elVq2hznhDzC6Pr7wkJ9ZG_sYNGCMCU/edit?usp=sharing"",""ลพบุรี!R52"")+IMPORTRANGE(""https://docs.google.com/spreadsheets/d/10oOiF7loTyfsTkbd4MpaIm0HQ9SwB7IYHdIUvt-U1Uc/edit?usp=sharing"",""สระแก้ว!R52"")"&amp;"+IMPORTRANGE(""https://docs.google.com/spreadsheets/d/1xmPlrr1QbdSIKvl1dWUl9K4PjAfSL9oeMr_37QVzcxc/edit?usp=sharing"",""สระบุรี!R52"")+IMPORTRANGE(""https://docs.google.com/spreadsheets/d/1j51vR6CYVGhABJpv6tkstgok82RLpXieLzW1yOY5rHw/edit?usp=sharing"",""ส"&amp;"ิงห์บุรี!R52"")+IMPORTRANGE(""https://docs.google.com/spreadsheets/d/1H1EalTWKUSzO4Z1-1CwzoDUaVffgrThEBe2sl74kKG0/edit?usp=sharing"",""สุพรรณบุรี!R52"")+IMPORTRANGE(""https://docs.google.com/spreadsheets/d/1BmIruG_sIrJLYao_Pdr7zVArWsfoBt2692TMi6x_854/edit"&amp;"?usp=sharing"",""อ่างทอง!R52"")"),0)</f>
        <v>0</v>
      </c>
      <c r="S52" s="72">
        <f ca="1">IFERROR(__xludf.DUMMYFUNCTION("IMPORTRANGE(""https://docs.google.com/spreadsheets/d/13wPX838HrBrQMCywv1BsuMkt4PEKTChp52zj44s2izQ/edit?usp=sharing"",""กาญจนบุรี!S52"")+IMPORTRANGE(""https://docs.google.com/spreadsheets/d/1ddFKvqj1W1NEiWytbGlB1zMx_ykJDVtmfEQ-6-lIUBA/edit?usp=sharing"","""&amp;"จันทบุรี!S52"")+IMPORTRANGE(""https://docs.google.com/spreadsheets/d/1T1PQvRODqOBZk8BRht_U031fIS1beLA0Ub2CEytj2q0/edit?usp=sharing"",""ฉะเชิงเทรา!S52"")+IMPORTRANGE(""https://docs.google.com/spreadsheets/d/11tr1B-Bhyr79v2bkwVh5h_fR-PStkgjlZtkrZpYurG0/edit"&amp;"?usp=sharing"",""ชลบุรี!S52"")+IMPORTRANGE(""https://docs.google.com/spreadsheets/d/1hh-FVnSX0vozXhGluamEcS54Dw9_zqW0N7qJUWgJ0Sw/edit?usp=sharing"",""ชัยนาท!S52"")+IMPORTRANGE(""https://docs.google.com/spreadsheets/d/1jkqa6GXxSacMcY1eN8AHjMNJ_7dDXMJVRLDla"&amp;"FSOdPM/edit?usp=sharing"",""ตราด!S52"")+IMPORTRANGE(""https://docs.google.com/spreadsheets/d/18hSgUJ3VwClqi_qtULmmW3cLr0oe3OKaSYoKzdpTsYQ/edit?usp=sharing"",""นครนายก!S52"")+IMPORTRANGE(""https://docs.google.com/spreadsheets/d/1YTZo6WM2dQ6Ix6FSdnL5P7uVnVK"&amp;"u40sxZu975tgG10E/edit?usp=sharing"",""นครปฐม!S52"")+IMPORTRANGE(""https://docs.google.com/spreadsheets/d/1OYoGg4WDg5RIzwGeB10padOxJF9E_Vljuvvct_M7RDo/edit?usp=sharing"",""ปทุมธานี!S52"")+IMPORTRANGE(""https://docs.google.com/spreadsheets/d/1GbCIE4D4wk9FUo"&amp;"zzqk7SxfDMxDVBwVmI5zcaVUSzKAc/edit?usp=sharing"",""ประจวบคีรีขันธ์!S52"")+IMPORTRANGE(""https://docs.google.com/spreadsheets/d/1vVf6wykvW_lAyu7Yo9L4hUTqHqIeP_qcVuxCtosJEbg/edit?usp=sharing"",""ปราจีนบุรี!S52"")+IMPORTRANGE(""https://docs.google.com/spread"&amp;"sheets/d/1BIDqLLg5jk3v59G8NlR8rk5xfQDKne0sAvZHSj7TI6I/edit?usp=sharing"",""พระนครศรีอยุธยา!S52"")+IMPORTRANGE(""https://docs.google.com/spreadsheets/d/1YXvxf8Yu6_rV4hTBrwMqAcAnv6DfhUxh5emyM3CJp_w/edit?usp=sharing"",""เพชรบุรี!S52"")+IMPORTRANGE(""https://"&amp;"docs.google.com/spreadsheets/d/19KBlQQs7uwvsao6t2n-KvW3Ax8J8uRRfZPq1zPbXgKc/edit?usp=sharing"",""ระยอง!S52"")+IMPORTRANGE(""https://docs.google.com/spreadsheets/d/1jQ6P4QcrGM89YfqcC_PxOHGCMq5ezhucwJd8ci-NHng/edit?usp=sharing"",""ราชบุรี!S52"")+IMPORTRANGE"&amp;"(""https://docs.google.com/spreadsheets/d/1lufeA2cfFqM-elVq2hznhDzC6Pr7wkJ9ZG_sYNGCMCU/edit?usp=sharing"",""ลพบุรี!S52"")+IMPORTRANGE(""https://docs.google.com/spreadsheets/d/10oOiF7loTyfsTkbd4MpaIm0HQ9SwB7IYHdIUvt-U1Uc/edit?usp=sharing"",""สระแก้ว!S52"")"&amp;"+IMPORTRANGE(""https://docs.google.com/spreadsheets/d/1xmPlrr1QbdSIKvl1dWUl9K4PjAfSL9oeMr_37QVzcxc/edit?usp=sharing"",""สระบุรี!S52"")+IMPORTRANGE(""https://docs.google.com/spreadsheets/d/1j51vR6CYVGhABJpv6tkstgok82RLpXieLzW1yOY5rHw/edit?usp=sharing"",""ส"&amp;"ิงห์บุรี!S52"")+IMPORTRANGE(""https://docs.google.com/spreadsheets/d/1H1EalTWKUSzO4Z1-1CwzoDUaVffgrThEBe2sl74kKG0/edit?usp=sharing"",""สุพรรณบุรี!S52"")+IMPORTRANGE(""https://docs.google.com/spreadsheets/d/1BmIruG_sIrJLYao_Pdr7zVArWsfoBt2692TMi6x_854/edit"&amp;"?usp=sharing"",""อ่างทอง!S52"")"),0)</f>
        <v>0</v>
      </c>
      <c r="T52" s="130">
        <f t="shared" ca="1" si="26"/>
        <v>0</v>
      </c>
      <c r="U52" s="130">
        <f t="shared" ca="1" si="27"/>
        <v>0</v>
      </c>
    </row>
    <row r="53" spans="1:21" ht="18.75" x14ac:dyDescent="0.25">
      <c r="A53" s="76"/>
      <c r="B53" s="77"/>
      <c r="C53" s="77"/>
      <c r="D53" s="78" t="s">
        <v>24</v>
      </c>
      <c r="E53" s="77"/>
      <c r="F53" s="77"/>
      <c r="G53" s="79"/>
      <c r="H53" s="80" t="s">
        <v>14</v>
      </c>
      <c r="I53" s="81"/>
      <c r="J53" s="81"/>
      <c r="K53" s="82"/>
      <c r="L53" s="83"/>
      <c r="M53" s="83"/>
      <c r="N53" s="83"/>
      <c r="O53" s="83"/>
      <c r="P53" s="83"/>
      <c r="Q53" s="83"/>
      <c r="R53" s="83"/>
      <c r="S53" s="83"/>
      <c r="T53" s="83"/>
      <c r="U53" s="83"/>
    </row>
    <row r="54" spans="1:21" ht="18.75" hidden="1" x14ac:dyDescent="0.25">
      <c r="A54" s="64"/>
      <c r="B54" s="65"/>
      <c r="C54" s="65"/>
      <c r="D54" s="65"/>
      <c r="E54" s="73" t="s">
        <v>20</v>
      </c>
      <c r="F54" s="65"/>
      <c r="G54" s="67"/>
      <c r="H54" s="68" t="s">
        <v>14</v>
      </c>
      <c r="I54" s="69"/>
      <c r="J54" s="69"/>
      <c r="K54" s="70"/>
      <c r="L54" s="86"/>
      <c r="M54" s="86"/>
      <c r="N54" s="86"/>
      <c r="O54" s="86"/>
      <c r="P54" s="86"/>
      <c r="Q54" s="86"/>
      <c r="R54" s="86"/>
      <c r="S54" s="86"/>
      <c r="T54" s="86"/>
      <c r="U54" s="86"/>
    </row>
    <row r="55" spans="1:21" ht="18.75" hidden="1" x14ac:dyDescent="0.25">
      <c r="A55" s="87"/>
      <c r="B55" s="88"/>
      <c r="C55" s="88"/>
      <c r="D55" s="88"/>
      <c r="E55" s="89" t="s">
        <v>21</v>
      </c>
      <c r="F55" s="88"/>
      <c r="G55" s="90"/>
      <c r="H55" s="91" t="s">
        <v>14</v>
      </c>
      <c r="I55" s="92"/>
      <c r="J55" s="92"/>
      <c r="K55" s="93"/>
      <c r="L55" s="94"/>
      <c r="M55" s="94"/>
      <c r="N55" s="94"/>
      <c r="O55" s="94"/>
      <c r="P55" s="94"/>
      <c r="Q55" s="94"/>
      <c r="R55" s="94"/>
      <c r="S55" s="94"/>
      <c r="T55" s="94"/>
      <c r="U55" s="94"/>
    </row>
    <row r="56" spans="1:21" ht="19.5" x14ac:dyDescent="0.3">
      <c r="A56" s="1418" t="s">
        <v>28</v>
      </c>
      <c r="B56" s="1414"/>
      <c r="C56" s="1414"/>
      <c r="D56" s="1414"/>
      <c r="E56" s="1414"/>
      <c r="F56" s="1414"/>
      <c r="G56" s="1414"/>
      <c r="H56" s="133"/>
      <c r="I56" s="134"/>
      <c r="J56" s="134"/>
      <c r="K56" s="135"/>
      <c r="L56" s="135"/>
      <c r="M56" s="135"/>
      <c r="N56" s="135"/>
      <c r="O56" s="135"/>
      <c r="P56" s="136"/>
      <c r="Q56" s="137"/>
      <c r="R56" s="138"/>
      <c r="S56" s="138"/>
      <c r="T56" s="138"/>
      <c r="U56" s="139"/>
    </row>
    <row r="57" spans="1:21" ht="19.5" x14ac:dyDescent="0.3">
      <c r="A57" s="140"/>
      <c r="B57" s="1419" t="s">
        <v>29</v>
      </c>
      <c r="C57" s="1401"/>
      <c r="D57" s="1401"/>
      <c r="E57" s="1401"/>
      <c r="F57" s="1401"/>
      <c r="G57" s="1402"/>
      <c r="H57" s="141"/>
      <c r="I57" s="142"/>
      <c r="J57" s="142"/>
      <c r="K57" s="143"/>
      <c r="L57" s="143"/>
      <c r="M57" s="143"/>
      <c r="N57" s="143"/>
      <c r="O57" s="143"/>
      <c r="P57" s="143"/>
      <c r="Q57" s="144"/>
      <c r="R57" s="145"/>
      <c r="S57" s="145"/>
      <c r="T57" s="145"/>
      <c r="U57" s="145"/>
    </row>
    <row r="58" spans="1:21" ht="19.5" x14ac:dyDescent="0.3">
      <c r="A58" s="146"/>
      <c r="B58" s="147" t="s">
        <v>30</v>
      </c>
      <c r="C58" s="148"/>
      <c r="D58" s="148"/>
      <c r="E58" s="148"/>
      <c r="F58" s="148"/>
      <c r="G58" s="149"/>
      <c r="H58" s="149"/>
      <c r="I58" s="150"/>
      <c r="J58" s="150"/>
      <c r="K58" s="151"/>
      <c r="L58" s="151"/>
      <c r="M58" s="151"/>
      <c r="N58" s="151"/>
      <c r="O58" s="151"/>
      <c r="P58" s="151"/>
      <c r="Q58" s="152"/>
      <c r="R58" s="153"/>
      <c r="S58" s="153"/>
      <c r="T58" s="153"/>
      <c r="U58" s="153"/>
    </row>
    <row r="59" spans="1:21" ht="19.5" x14ac:dyDescent="0.3">
      <c r="A59" s="154"/>
      <c r="B59" s="155"/>
      <c r="C59" s="156" t="s">
        <v>18</v>
      </c>
      <c r="D59" s="157" t="s">
        <v>19</v>
      </c>
      <c r="E59" s="155"/>
      <c r="F59" s="155"/>
      <c r="G59" s="158"/>
      <c r="H59" s="159" t="s">
        <v>14</v>
      </c>
      <c r="I59" s="160"/>
      <c r="J59" s="160"/>
      <c r="K59" s="161"/>
      <c r="L59" s="162">
        <f t="shared" ref="L59:N59" ca="1" si="36">L60+L61</f>
        <v>18070600</v>
      </c>
      <c r="M59" s="162">
        <f t="shared" ca="1" si="36"/>
        <v>18012225</v>
      </c>
      <c r="N59" s="162">
        <f t="shared" ca="1" si="36"/>
        <v>15595080.99</v>
      </c>
      <c r="O59" s="162">
        <f t="shared" ref="O59:O67" ca="1" si="37">IF(L59&gt;0,N59*100/L59,0)</f>
        <v>86.300847730567881</v>
      </c>
      <c r="P59" s="162">
        <f t="shared" ref="P59:P67" ca="1" si="38">IF(M59&gt;0,N59*100/M59,0)</f>
        <v>86.580536219151156</v>
      </c>
      <c r="Q59" s="163">
        <f t="shared" ref="Q59:S59" ca="1" si="39">Q60+Q61</f>
        <v>0</v>
      </c>
      <c r="R59" s="164">
        <f t="shared" ca="1" si="39"/>
        <v>0</v>
      </c>
      <c r="S59" s="164">
        <f t="shared" ca="1" si="39"/>
        <v>0</v>
      </c>
      <c r="T59" s="164">
        <f t="shared" ref="T59:T67" ca="1" si="40">IF(Q59&gt;0,S59*100/Q59,0)</f>
        <v>0</v>
      </c>
      <c r="U59" s="164">
        <f t="shared" ref="U59:U67" ca="1" si="41">IF(R59&gt;0,S59*100/R59,0)</f>
        <v>0</v>
      </c>
    </row>
    <row r="60" spans="1:21" ht="18.75" hidden="1" x14ac:dyDescent="0.25">
      <c r="A60" s="154"/>
      <c r="B60" s="155"/>
      <c r="C60" s="155"/>
      <c r="D60" s="155"/>
      <c r="E60" s="165" t="s">
        <v>20</v>
      </c>
      <c r="F60" s="155"/>
      <c r="G60" s="158"/>
      <c r="H60" s="166" t="s">
        <v>14</v>
      </c>
      <c r="I60" s="160"/>
      <c r="J60" s="160"/>
      <c r="K60" s="161"/>
      <c r="L60" s="167">
        <f t="shared" ref="L60:N60" ca="1" si="42">L63+L66</f>
        <v>0</v>
      </c>
      <c r="M60" s="167">
        <f t="shared" ca="1" si="42"/>
        <v>0</v>
      </c>
      <c r="N60" s="167">
        <f t="shared" ca="1" si="42"/>
        <v>0</v>
      </c>
      <c r="O60" s="167">
        <f t="shared" ca="1" si="37"/>
        <v>0</v>
      </c>
      <c r="P60" s="167">
        <f t="shared" ca="1" si="38"/>
        <v>0</v>
      </c>
      <c r="Q60" s="168">
        <f t="shared" ref="Q60:S60" ca="1" si="43">Q63+Q66</f>
        <v>0</v>
      </c>
      <c r="R60" s="169">
        <f t="shared" ca="1" si="43"/>
        <v>0</v>
      </c>
      <c r="S60" s="169">
        <f t="shared" ca="1" si="43"/>
        <v>0</v>
      </c>
      <c r="T60" s="169">
        <f t="shared" ca="1" si="40"/>
        <v>0</v>
      </c>
      <c r="U60" s="169">
        <f t="shared" ca="1" si="41"/>
        <v>0</v>
      </c>
    </row>
    <row r="61" spans="1:21" ht="18.75" hidden="1" x14ac:dyDescent="0.25">
      <c r="A61" s="154"/>
      <c r="B61" s="155"/>
      <c r="C61" s="155"/>
      <c r="D61" s="155"/>
      <c r="E61" s="165" t="s">
        <v>21</v>
      </c>
      <c r="F61" s="155"/>
      <c r="G61" s="158"/>
      <c r="H61" s="166" t="s">
        <v>14</v>
      </c>
      <c r="I61" s="160"/>
      <c r="J61" s="160"/>
      <c r="K61" s="161"/>
      <c r="L61" s="167">
        <f t="shared" ref="L61:N61" ca="1" si="44">L64+L67</f>
        <v>18070600</v>
      </c>
      <c r="M61" s="167">
        <f t="shared" ca="1" si="44"/>
        <v>18012225</v>
      </c>
      <c r="N61" s="167">
        <f t="shared" ca="1" si="44"/>
        <v>15595080.99</v>
      </c>
      <c r="O61" s="167">
        <f t="shared" ca="1" si="37"/>
        <v>86.300847730567881</v>
      </c>
      <c r="P61" s="167">
        <f t="shared" ca="1" si="38"/>
        <v>86.580536219151156</v>
      </c>
      <c r="Q61" s="170">
        <f t="shared" ref="Q61:S61" ca="1" si="45">Q64+Q67</f>
        <v>0</v>
      </c>
      <c r="R61" s="171">
        <f t="shared" ca="1" si="45"/>
        <v>0</v>
      </c>
      <c r="S61" s="171">
        <f t="shared" ca="1" si="45"/>
        <v>0</v>
      </c>
      <c r="T61" s="171">
        <f t="shared" ca="1" si="40"/>
        <v>0</v>
      </c>
      <c r="U61" s="171">
        <f t="shared" ca="1" si="41"/>
        <v>0</v>
      </c>
    </row>
    <row r="62" spans="1:21" ht="18.75" x14ac:dyDescent="0.25">
      <c r="A62" s="64"/>
      <c r="B62" s="65"/>
      <c r="C62" s="65"/>
      <c r="D62" s="66" t="s">
        <v>22</v>
      </c>
      <c r="E62" s="65"/>
      <c r="F62" s="65"/>
      <c r="G62" s="67"/>
      <c r="H62" s="68" t="s">
        <v>14</v>
      </c>
      <c r="I62" s="69"/>
      <c r="J62" s="69"/>
      <c r="K62" s="70"/>
      <c r="L62" s="86">
        <f t="shared" ref="L62:N62" ca="1" si="46">L63+L64</f>
        <v>14275100</v>
      </c>
      <c r="M62" s="86">
        <f t="shared" ca="1" si="46"/>
        <v>14552430</v>
      </c>
      <c r="N62" s="86">
        <f t="shared" ca="1" si="46"/>
        <v>12136395.99</v>
      </c>
      <c r="O62" s="86">
        <f t="shared" ca="1" si="37"/>
        <v>85.017940259612899</v>
      </c>
      <c r="P62" s="86">
        <f t="shared" ca="1" si="38"/>
        <v>83.397728008312015</v>
      </c>
      <c r="Q62" s="129">
        <f t="shared" ref="Q62:S62" ca="1" si="47">Q63+Q64</f>
        <v>0</v>
      </c>
      <c r="R62" s="130">
        <f t="shared" ca="1" si="47"/>
        <v>0</v>
      </c>
      <c r="S62" s="130">
        <f t="shared" ca="1" si="47"/>
        <v>0</v>
      </c>
      <c r="T62" s="130">
        <f t="shared" ca="1" si="40"/>
        <v>0</v>
      </c>
      <c r="U62" s="130">
        <f t="shared" ca="1" si="41"/>
        <v>0</v>
      </c>
    </row>
    <row r="63" spans="1:21" ht="18.75" hidden="1" x14ac:dyDescent="0.25">
      <c r="A63" s="64"/>
      <c r="B63" s="65"/>
      <c r="C63" s="65"/>
      <c r="D63" s="65"/>
      <c r="E63" s="73" t="s">
        <v>20</v>
      </c>
      <c r="F63" s="65"/>
      <c r="G63" s="67"/>
      <c r="H63" s="68" t="s">
        <v>14</v>
      </c>
      <c r="I63" s="69"/>
      <c r="J63" s="69"/>
      <c r="K63" s="70"/>
      <c r="L63" s="86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3" s="86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3" s="86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3" s="86">
        <f t="shared" ca="1" si="37"/>
        <v>0</v>
      </c>
      <c r="P63" s="86">
        <f t="shared" ca="1" si="38"/>
        <v>0</v>
      </c>
      <c r="Q63" s="74">
        <f ca="1">IFERROR(__xludf.DUMMYFUNCTION("IMPORTRANGE(""https://docs.google.com/spreadsheets/d/13wPX838HrBrQMCywv1BsuMkt4PEKTChp52zj44s2izQ/edit?usp=sharing"",""กาญจนบุรี!Q63"")+IMPORTRANGE(""https://docs.google.com/spreadsheets/d/1ddFKvqj1W1NEiWytbGlB1zMx_ykJDVtmfEQ-6-lIUBA/edit?usp=sharing"","""&amp;"จันทบุรี!Q63"")+IMPORTRANGE(""https://docs.google.com/spreadsheets/d/1T1PQvRODqOBZk8BRht_U031fIS1beLA0Ub2CEytj2q0/edit?usp=sharing"",""ฉะเชิงเทรา!Q63"")+IMPORTRANGE(""https://docs.google.com/spreadsheets/d/11tr1B-Bhyr79v2bkwVh5h_fR-PStkgjlZtkrZpYurG0/edit"&amp;"?usp=sharing"",""ชลบุรี!Q63"")+IMPORTRANGE(""https://docs.google.com/spreadsheets/d/1hh-FVnSX0vozXhGluamEcS54Dw9_zqW0N7qJUWgJ0Sw/edit?usp=sharing"",""ชัยนาท!Q63"")+IMPORTRANGE(""https://docs.google.com/spreadsheets/d/1jkqa6GXxSacMcY1eN8AHjMNJ_7dDXMJVRLDla"&amp;"FSOdPM/edit?usp=sharing"",""ตราด!Q63"")+IMPORTRANGE(""https://docs.google.com/spreadsheets/d/18hSgUJ3VwClqi_qtULmmW3cLr0oe3OKaSYoKzdpTsYQ/edit?usp=sharing"",""นครนายก!Q63"")+IMPORTRANGE(""https://docs.google.com/spreadsheets/d/1YTZo6WM2dQ6Ix6FSdnL5P7uVnVK"&amp;"u40sxZu975tgG10E/edit?usp=sharing"",""นครปฐม!Q63"")+IMPORTRANGE(""https://docs.google.com/spreadsheets/d/1OYoGg4WDg5RIzwGeB10padOxJF9E_Vljuvvct_M7RDo/edit?usp=sharing"",""ปทุมธานี!Q63"")+IMPORTRANGE(""https://docs.google.com/spreadsheets/d/1GbCIE4D4wk9FUo"&amp;"zzqk7SxfDMxDVBwVmI5zcaVUSzKAc/edit?usp=sharing"",""ประจวบคีรีขันธ์!Q63"")+IMPORTRANGE(""https://docs.google.com/spreadsheets/d/1vVf6wykvW_lAyu7Yo9L4hUTqHqIeP_qcVuxCtosJEbg/edit?usp=sharing"",""ปราจีนบุรี!Q63"")+IMPORTRANGE(""https://docs.google.com/spread"&amp;"sheets/d/1BIDqLLg5jk3v59G8NlR8rk5xfQDKne0sAvZHSj7TI6I/edit?usp=sharing"",""พระนครศรีอยุธยา!Q63"")+IMPORTRANGE(""https://docs.google.com/spreadsheets/d/1YXvxf8Yu6_rV4hTBrwMqAcAnv6DfhUxh5emyM3CJp_w/edit?usp=sharing"",""เพชรบุรี!Q63"")+IMPORTRANGE(""https://"&amp;"docs.google.com/spreadsheets/d/19KBlQQs7uwvsao6t2n-KvW3Ax8J8uRRfZPq1zPbXgKc/edit?usp=sharing"",""ระยอง!Q63"")+IMPORTRANGE(""https://docs.google.com/spreadsheets/d/1jQ6P4QcrGM89YfqcC_PxOHGCMq5ezhucwJd8ci-NHng/edit?usp=sharing"",""ราชบุรี!Q63"")+IMPORTRANGE"&amp;"(""https://docs.google.com/spreadsheets/d/1lufeA2cfFqM-elVq2hznhDzC6Pr7wkJ9ZG_sYNGCMCU/edit?usp=sharing"",""ลพบุรี!Q63"")+IMPORTRANGE(""https://docs.google.com/spreadsheets/d/10oOiF7loTyfsTkbd4MpaIm0HQ9SwB7IYHdIUvt-U1Uc/edit?usp=sharing"",""สระแก้ว!Q63"")"&amp;"+IMPORTRANGE(""https://docs.google.com/spreadsheets/d/1xmPlrr1QbdSIKvl1dWUl9K4PjAfSL9oeMr_37QVzcxc/edit?usp=sharing"",""สระบุรี!Q63"")+IMPORTRANGE(""https://docs.google.com/spreadsheets/d/1j51vR6CYVGhABJpv6tkstgok82RLpXieLzW1yOY5rHw/edit?usp=sharing"",""ส"&amp;"ิงห์บุรี!Q63"")+IMPORTRANGE(""https://docs.google.com/spreadsheets/d/1H1EalTWKUSzO4Z1-1CwzoDUaVffgrThEBe2sl74kKG0/edit?usp=sharing"",""สุพรรณบุรี!Q63"")+IMPORTRANGE(""https://docs.google.com/spreadsheets/d/1BmIruG_sIrJLYao_Pdr7zVArWsfoBt2692TMi6x_854/edit"&amp;"?usp=sharing"",""อ่างทอง!Q63"")"),0)</f>
        <v>0</v>
      </c>
      <c r="R63" s="75">
        <f ca="1">IFERROR(__xludf.DUMMYFUNCTION("IMPORTRANGE(""https://docs.google.com/spreadsheets/d/13wPX838HrBrQMCywv1BsuMkt4PEKTChp52zj44s2izQ/edit?usp=sharing"",""กาญจนบุรี!R63"")+IMPORTRANGE(""https://docs.google.com/spreadsheets/d/1ddFKvqj1W1NEiWytbGlB1zMx_ykJDVtmfEQ-6-lIUBA/edit?usp=sharing"","""&amp;"จันทบุรี!R63"")+IMPORTRANGE(""https://docs.google.com/spreadsheets/d/1T1PQvRODqOBZk8BRht_U031fIS1beLA0Ub2CEytj2q0/edit?usp=sharing"",""ฉะเชิงเทรา!R63"")+IMPORTRANGE(""https://docs.google.com/spreadsheets/d/11tr1B-Bhyr79v2bkwVh5h_fR-PStkgjlZtkrZpYurG0/edit"&amp;"?usp=sharing"",""ชลบุรี!R63"")+IMPORTRANGE(""https://docs.google.com/spreadsheets/d/1hh-FVnSX0vozXhGluamEcS54Dw9_zqW0N7qJUWgJ0Sw/edit?usp=sharing"",""ชัยนาท!R63"")+IMPORTRANGE(""https://docs.google.com/spreadsheets/d/1jkqa6GXxSacMcY1eN8AHjMNJ_7dDXMJVRLDla"&amp;"FSOdPM/edit?usp=sharing"",""ตราด!R63"")+IMPORTRANGE(""https://docs.google.com/spreadsheets/d/18hSgUJ3VwClqi_qtULmmW3cLr0oe3OKaSYoKzdpTsYQ/edit?usp=sharing"",""นครนายก!R63"")+IMPORTRANGE(""https://docs.google.com/spreadsheets/d/1YTZo6WM2dQ6Ix6FSdnL5P7uVnVK"&amp;"u40sxZu975tgG10E/edit?usp=sharing"",""นครปฐม!R63"")+IMPORTRANGE(""https://docs.google.com/spreadsheets/d/1OYoGg4WDg5RIzwGeB10padOxJF9E_Vljuvvct_M7RDo/edit?usp=sharing"",""ปทุมธานี!R63"")+IMPORTRANGE(""https://docs.google.com/spreadsheets/d/1GbCIE4D4wk9FUo"&amp;"zzqk7SxfDMxDVBwVmI5zcaVUSzKAc/edit?usp=sharing"",""ประจวบคีรีขันธ์!R63"")+IMPORTRANGE(""https://docs.google.com/spreadsheets/d/1vVf6wykvW_lAyu7Yo9L4hUTqHqIeP_qcVuxCtosJEbg/edit?usp=sharing"",""ปราจีนบุรี!R63"")+IMPORTRANGE(""https://docs.google.com/spread"&amp;"sheets/d/1BIDqLLg5jk3v59G8NlR8rk5xfQDKne0sAvZHSj7TI6I/edit?usp=sharing"",""พระนครศรีอยุธยา!R63"")+IMPORTRANGE(""https://docs.google.com/spreadsheets/d/1YXvxf8Yu6_rV4hTBrwMqAcAnv6DfhUxh5emyM3CJp_w/edit?usp=sharing"",""เพชรบุรี!R63"")+IMPORTRANGE(""https://"&amp;"docs.google.com/spreadsheets/d/19KBlQQs7uwvsao6t2n-KvW3Ax8J8uRRfZPq1zPbXgKc/edit?usp=sharing"",""ระยอง!R63"")+IMPORTRANGE(""https://docs.google.com/spreadsheets/d/1jQ6P4QcrGM89YfqcC_PxOHGCMq5ezhucwJd8ci-NHng/edit?usp=sharing"",""ราชบุรี!R63"")+IMPORTRANGE"&amp;"(""https://docs.google.com/spreadsheets/d/1lufeA2cfFqM-elVq2hznhDzC6Pr7wkJ9ZG_sYNGCMCU/edit?usp=sharing"",""ลพบุรี!R63"")+IMPORTRANGE(""https://docs.google.com/spreadsheets/d/10oOiF7loTyfsTkbd4MpaIm0HQ9SwB7IYHdIUvt-U1Uc/edit?usp=sharing"",""สระแก้ว!R63"")"&amp;"+IMPORTRANGE(""https://docs.google.com/spreadsheets/d/1xmPlrr1QbdSIKvl1dWUl9K4PjAfSL9oeMr_37QVzcxc/edit?usp=sharing"",""สระบุรี!R63"")+IMPORTRANGE(""https://docs.google.com/spreadsheets/d/1j51vR6CYVGhABJpv6tkstgok82RLpXieLzW1yOY5rHw/edit?usp=sharing"",""ส"&amp;"ิงห์บุรี!R63"")+IMPORTRANGE(""https://docs.google.com/spreadsheets/d/1H1EalTWKUSzO4Z1-1CwzoDUaVffgrThEBe2sl74kKG0/edit?usp=sharing"",""สุพรรณบุรี!R63"")+IMPORTRANGE(""https://docs.google.com/spreadsheets/d/1BmIruG_sIrJLYao_Pdr7zVArWsfoBt2692TMi6x_854/edit"&amp;"?usp=sharing"",""อ่างทอง!R63"")"),0)</f>
        <v>0</v>
      </c>
      <c r="S63" s="75">
        <f ca="1">IFERROR(__xludf.DUMMYFUNCTION("IMPORTRANGE(""https://docs.google.com/spreadsheets/d/13wPX838HrBrQMCywv1BsuMkt4PEKTChp52zj44s2izQ/edit?usp=sharing"",""กาญจนบุรี!S63"")+IMPORTRANGE(""https://docs.google.com/spreadsheets/d/1ddFKvqj1W1NEiWytbGlB1zMx_ykJDVtmfEQ-6-lIUBA/edit?usp=sharing"","""&amp;"จันทบุรี!S63"")+IMPORTRANGE(""https://docs.google.com/spreadsheets/d/1T1PQvRODqOBZk8BRht_U031fIS1beLA0Ub2CEytj2q0/edit?usp=sharing"",""ฉะเชิงเทรา!S63"")+IMPORTRANGE(""https://docs.google.com/spreadsheets/d/11tr1B-Bhyr79v2bkwVh5h_fR-PStkgjlZtkrZpYurG0/edit"&amp;"?usp=sharing"",""ชลบุรี!S63"")+IMPORTRANGE(""https://docs.google.com/spreadsheets/d/1hh-FVnSX0vozXhGluamEcS54Dw9_zqW0N7qJUWgJ0Sw/edit?usp=sharing"",""ชัยนาท!S63"")+IMPORTRANGE(""https://docs.google.com/spreadsheets/d/1jkqa6GXxSacMcY1eN8AHjMNJ_7dDXMJVRLDla"&amp;"FSOdPM/edit?usp=sharing"",""ตราด!S63"")+IMPORTRANGE(""https://docs.google.com/spreadsheets/d/18hSgUJ3VwClqi_qtULmmW3cLr0oe3OKaSYoKzdpTsYQ/edit?usp=sharing"",""นครนายก!S63"")+IMPORTRANGE(""https://docs.google.com/spreadsheets/d/1YTZo6WM2dQ6Ix6FSdnL5P7uVnVK"&amp;"u40sxZu975tgG10E/edit?usp=sharing"",""นครปฐม!S63"")+IMPORTRANGE(""https://docs.google.com/spreadsheets/d/1OYoGg4WDg5RIzwGeB10padOxJF9E_Vljuvvct_M7RDo/edit?usp=sharing"",""ปทุมธานี!S63"")+IMPORTRANGE(""https://docs.google.com/spreadsheets/d/1GbCIE4D4wk9FUo"&amp;"zzqk7SxfDMxDVBwVmI5zcaVUSzKAc/edit?usp=sharing"",""ประจวบคีรีขันธ์!S63"")+IMPORTRANGE(""https://docs.google.com/spreadsheets/d/1vVf6wykvW_lAyu7Yo9L4hUTqHqIeP_qcVuxCtosJEbg/edit?usp=sharing"",""ปราจีนบุรี!S63"")+IMPORTRANGE(""https://docs.google.com/spread"&amp;"sheets/d/1BIDqLLg5jk3v59G8NlR8rk5xfQDKne0sAvZHSj7TI6I/edit?usp=sharing"",""พระนครศรีอยุธยา!S63"")+IMPORTRANGE(""https://docs.google.com/spreadsheets/d/1YXvxf8Yu6_rV4hTBrwMqAcAnv6DfhUxh5emyM3CJp_w/edit?usp=sharing"",""เพชรบุรี!S63"")+IMPORTRANGE(""https://"&amp;"docs.google.com/spreadsheets/d/19KBlQQs7uwvsao6t2n-KvW3Ax8J8uRRfZPq1zPbXgKc/edit?usp=sharing"",""ระยอง!S63"")+IMPORTRANGE(""https://docs.google.com/spreadsheets/d/1jQ6P4QcrGM89YfqcC_PxOHGCMq5ezhucwJd8ci-NHng/edit?usp=sharing"",""ราชบุรี!S63"")+IMPORTRANGE"&amp;"(""https://docs.google.com/spreadsheets/d/1lufeA2cfFqM-elVq2hznhDzC6Pr7wkJ9ZG_sYNGCMCU/edit?usp=sharing"",""ลพบุรี!S63"")+IMPORTRANGE(""https://docs.google.com/spreadsheets/d/10oOiF7loTyfsTkbd4MpaIm0HQ9SwB7IYHdIUvt-U1Uc/edit?usp=sharing"",""สระแก้ว!S63"")"&amp;"+IMPORTRANGE(""https://docs.google.com/spreadsheets/d/1xmPlrr1QbdSIKvl1dWUl9K4PjAfSL9oeMr_37QVzcxc/edit?usp=sharing"",""สระบุรี!S63"")+IMPORTRANGE(""https://docs.google.com/spreadsheets/d/1j51vR6CYVGhABJpv6tkstgok82RLpXieLzW1yOY5rHw/edit?usp=sharing"",""ส"&amp;"ิงห์บุรี!S63"")+IMPORTRANGE(""https://docs.google.com/spreadsheets/d/1H1EalTWKUSzO4Z1-1CwzoDUaVffgrThEBe2sl74kKG0/edit?usp=sharing"",""สุพรรณบุรี!S63"")+IMPORTRANGE(""https://docs.google.com/spreadsheets/d/1BmIruG_sIrJLYao_Pdr7zVArWsfoBt2692TMi6x_854/edit"&amp;"?usp=sharing"",""อ่างทอง!S63"")"),0)</f>
        <v>0</v>
      </c>
      <c r="T63" s="131">
        <f t="shared" ca="1" si="40"/>
        <v>0</v>
      </c>
      <c r="U63" s="131">
        <f t="shared" ca="1" si="41"/>
        <v>0</v>
      </c>
    </row>
    <row r="64" spans="1:21" ht="18.75" hidden="1" x14ac:dyDescent="0.25">
      <c r="A64" s="64"/>
      <c r="B64" s="65"/>
      <c r="C64" s="65"/>
      <c r="D64" s="65"/>
      <c r="E64" s="73" t="s">
        <v>21</v>
      </c>
      <c r="F64" s="65"/>
      <c r="G64" s="67"/>
      <c r="H64" s="68" t="s">
        <v>14</v>
      </c>
      <c r="I64" s="69"/>
      <c r="J64" s="69"/>
      <c r="K64" s="70"/>
      <c r="L64" s="86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14275100)</f>
        <v>14275100</v>
      </c>
      <c r="M64" s="86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14552430)</f>
        <v>14552430</v>
      </c>
      <c r="N64" s="86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12136395.99)</f>
        <v>12136395.99</v>
      </c>
      <c r="O64" s="86">
        <f t="shared" ca="1" si="37"/>
        <v>85.017940259612899</v>
      </c>
      <c r="P64" s="86">
        <f t="shared" ca="1" si="38"/>
        <v>83.397728008312015</v>
      </c>
      <c r="Q64" s="71">
        <f ca="1">IFERROR(__xludf.DUMMYFUNCTION("IMPORTRANGE(""https://docs.google.com/spreadsheets/d/13wPX838HrBrQMCywv1BsuMkt4PEKTChp52zj44s2izQ/edit?usp=sharing"",""กาญจนบุรี!Q64"")+IMPORTRANGE(""https://docs.google.com/spreadsheets/d/1ddFKvqj1W1NEiWytbGlB1zMx_ykJDVtmfEQ-6-lIUBA/edit?usp=sharing"","""&amp;"จันทบุรี!Q64"")+IMPORTRANGE(""https://docs.google.com/spreadsheets/d/1T1PQvRODqOBZk8BRht_U031fIS1beLA0Ub2CEytj2q0/edit?usp=sharing"",""ฉะเชิงเทรา!Q64"")+IMPORTRANGE(""https://docs.google.com/spreadsheets/d/11tr1B-Bhyr79v2bkwVh5h_fR-PStkgjlZtkrZpYurG0/edit"&amp;"?usp=sharing"",""ชลบุรี!Q64"")+IMPORTRANGE(""https://docs.google.com/spreadsheets/d/1hh-FVnSX0vozXhGluamEcS54Dw9_zqW0N7qJUWgJ0Sw/edit?usp=sharing"",""ชัยนาท!Q64"")+IMPORTRANGE(""https://docs.google.com/spreadsheets/d/1jkqa6GXxSacMcY1eN8AHjMNJ_7dDXMJVRLDla"&amp;"FSOdPM/edit?usp=sharing"",""ตราด!Q64"")+IMPORTRANGE(""https://docs.google.com/spreadsheets/d/18hSgUJ3VwClqi_qtULmmW3cLr0oe3OKaSYoKzdpTsYQ/edit?usp=sharing"",""นครนายก!Q64"")+IMPORTRANGE(""https://docs.google.com/spreadsheets/d/1YTZo6WM2dQ6Ix6FSdnL5P7uVnVK"&amp;"u40sxZu975tgG10E/edit?usp=sharing"",""นครปฐม!Q64"")+IMPORTRANGE(""https://docs.google.com/spreadsheets/d/1OYoGg4WDg5RIzwGeB10padOxJF9E_Vljuvvct_M7RDo/edit?usp=sharing"",""ปทุมธานี!Q64"")+IMPORTRANGE(""https://docs.google.com/spreadsheets/d/1GbCIE4D4wk9FUo"&amp;"zzqk7SxfDMxDVBwVmI5zcaVUSzKAc/edit?usp=sharing"",""ประจวบคีรีขันธ์!Q64"")+IMPORTRANGE(""https://docs.google.com/spreadsheets/d/1vVf6wykvW_lAyu7Yo9L4hUTqHqIeP_qcVuxCtosJEbg/edit?usp=sharing"",""ปราจีนบุรี!Q64"")+IMPORTRANGE(""https://docs.google.com/spread"&amp;"sheets/d/1BIDqLLg5jk3v59G8NlR8rk5xfQDKne0sAvZHSj7TI6I/edit?usp=sharing"",""พระนครศรีอยุธยา!Q64"")+IMPORTRANGE(""https://docs.google.com/spreadsheets/d/1YXvxf8Yu6_rV4hTBrwMqAcAnv6DfhUxh5emyM3CJp_w/edit?usp=sharing"",""เพชรบุรี!Q64"")+IMPORTRANGE(""https://"&amp;"docs.google.com/spreadsheets/d/19KBlQQs7uwvsao6t2n-KvW3Ax8J8uRRfZPq1zPbXgKc/edit?usp=sharing"",""ระยอง!Q64"")+IMPORTRANGE(""https://docs.google.com/spreadsheets/d/1jQ6P4QcrGM89YfqcC_PxOHGCMq5ezhucwJd8ci-NHng/edit?usp=sharing"",""ราชบุรี!Q64"")+IMPORTRANGE"&amp;"(""https://docs.google.com/spreadsheets/d/1lufeA2cfFqM-elVq2hznhDzC6Pr7wkJ9ZG_sYNGCMCU/edit?usp=sharing"",""ลพบุรี!Q64"")+IMPORTRANGE(""https://docs.google.com/spreadsheets/d/10oOiF7loTyfsTkbd4MpaIm0HQ9SwB7IYHdIUvt-U1Uc/edit?usp=sharing"",""สระแก้ว!Q64"")"&amp;"+IMPORTRANGE(""https://docs.google.com/spreadsheets/d/1xmPlrr1QbdSIKvl1dWUl9K4PjAfSL9oeMr_37QVzcxc/edit?usp=sharing"",""สระบุรี!Q64"")+IMPORTRANGE(""https://docs.google.com/spreadsheets/d/1j51vR6CYVGhABJpv6tkstgok82RLpXieLzW1yOY5rHw/edit?usp=sharing"",""ส"&amp;"ิงห์บุรี!Q64"")+IMPORTRANGE(""https://docs.google.com/spreadsheets/d/1H1EalTWKUSzO4Z1-1CwzoDUaVffgrThEBe2sl74kKG0/edit?usp=sharing"",""สุพรรณบุรี!Q64"")+IMPORTRANGE(""https://docs.google.com/spreadsheets/d/1BmIruG_sIrJLYao_Pdr7zVArWsfoBt2692TMi6x_854/edit"&amp;"?usp=sharing"",""อ่างทอง!Q64"")"),0)</f>
        <v>0</v>
      </c>
      <c r="R64" s="72">
        <f ca="1">IFERROR(__xludf.DUMMYFUNCTION("IMPORTRANGE(""https://docs.google.com/spreadsheets/d/13wPX838HrBrQMCywv1BsuMkt4PEKTChp52zj44s2izQ/edit?usp=sharing"",""กาญจนบุรี!R64"")+IMPORTRANGE(""https://docs.google.com/spreadsheets/d/1ddFKvqj1W1NEiWytbGlB1zMx_ykJDVtmfEQ-6-lIUBA/edit?usp=sharing"","""&amp;"จันทบุรี!R64"")+IMPORTRANGE(""https://docs.google.com/spreadsheets/d/1T1PQvRODqOBZk8BRht_U031fIS1beLA0Ub2CEytj2q0/edit?usp=sharing"",""ฉะเชิงเทรา!R64"")+IMPORTRANGE(""https://docs.google.com/spreadsheets/d/11tr1B-Bhyr79v2bkwVh5h_fR-PStkgjlZtkrZpYurG0/edit"&amp;"?usp=sharing"",""ชลบุรี!R64"")+IMPORTRANGE(""https://docs.google.com/spreadsheets/d/1hh-FVnSX0vozXhGluamEcS54Dw9_zqW0N7qJUWgJ0Sw/edit?usp=sharing"",""ชัยนาท!R64"")+IMPORTRANGE(""https://docs.google.com/spreadsheets/d/1jkqa6GXxSacMcY1eN8AHjMNJ_7dDXMJVRLDla"&amp;"FSOdPM/edit?usp=sharing"",""ตราด!R64"")+IMPORTRANGE(""https://docs.google.com/spreadsheets/d/18hSgUJ3VwClqi_qtULmmW3cLr0oe3OKaSYoKzdpTsYQ/edit?usp=sharing"",""นครนายก!R64"")+IMPORTRANGE(""https://docs.google.com/spreadsheets/d/1YTZo6WM2dQ6Ix6FSdnL5P7uVnVK"&amp;"u40sxZu975tgG10E/edit?usp=sharing"",""นครปฐม!R64"")+IMPORTRANGE(""https://docs.google.com/spreadsheets/d/1OYoGg4WDg5RIzwGeB10padOxJF9E_Vljuvvct_M7RDo/edit?usp=sharing"",""ปทุมธานี!R64"")+IMPORTRANGE(""https://docs.google.com/spreadsheets/d/1GbCIE4D4wk9FUo"&amp;"zzqk7SxfDMxDVBwVmI5zcaVUSzKAc/edit?usp=sharing"",""ประจวบคีรีขันธ์!R64"")+IMPORTRANGE(""https://docs.google.com/spreadsheets/d/1vVf6wykvW_lAyu7Yo9L4hUTqHqIeP_qcVuxCtosJEbg/edit?usp=sharing"",""ปราจีนบุรี!R64"")+IMPORTRANGE(""https://docs.google.com/spread"&amp;"sheets/d/1BIDqLLg5jk3v59G8NlR8rk5xfQDKne0sAvZHSj7TI6I/edit?usp=sharing"",""พระนครศรีอยุธยา!R64"")+IMPORTRANGE(""https://docs.google.com/spreadsheets/d/1YXvxf8Yu6_rV4hTBrwMqAcAnv6DfhUxh5emyM3CJp_w/edit?usp=sharing"",""เพชรบุรี!R64"")+IMPORTRANGE(""https://"&amp;"docs.google.com/spreadsheets/d/19KBlQQs7uwvsao6t2n-KvW3Ax8J8uRRfZPq1zPbXgKc/edit?usp=sharing"",""ระยอง!R64"")+IMPORTRANGE(""https://docs.google.com/spreadsheets/d/1jQ6P4QcrGM89YfqcC_PxOHGCMq5ezhucwJd8ci-NHng/edit?usp=sharing"",""ราชบุรี!R64"")+IMPORTRANGE"&amp;"(""https://docs.google.com/spreadsheets/d/1lufeA2cfFqM-elVq2hznhDzC6Pr7wkJ9ZG_sYNGCMCU/edit?usp=sharing"",""ลพบุรี!R64"")+IMPORTRANGE(""https://docs.google.com/spreadsheets/d/10oOiF7loTyfsTkbd4MpaIm0HQ9SwB7IYHdIUvt-U1Uc/edit?usp=sharing"",""สระแก้ว!R64"")"&amp;"+IMPORTRANGE(""https://docs.google.com/spreadsheets/d/1xmPlrr1QbdSIKvl1dWUl9K4PjAfSL9oeMr_37QVzcxc/edit?usp=sharing"",""สระบุรี!R64"")+IMPORTRANGE(""https://docs.google.com/spreadsheets/d/1j51vR6CYVGhABJpv6tkstgok82RLpXieLzW1yOY5rHw/edit?usp=sharing"",""ส"&amp;"ิงห์บุรี!R64"")+IMPORTRANGE(""https://docs.google.com/spreadsheets/d/1H1EalTWKUSzO4Z1-1CwzoDUaVffgrThEBe2sl74kKG0/edit?usp=sharing"",""สุพรรณบุรี!R64"")+IMPORTRANGE(""https://docs.google.com/spreadsheets/d/1BmIruG_sIrJLYao_Pdr7zVArWsfoBt2692TMi6x_854/edit"&amp;"?usp=sharing"",""อ่างทอง!R64"")"),0)</f>
        <v>0</v>
      </c>
      <c r="S64" s="72">
        <f ca="1">IFERROR(__xludf.DUMMYFUNCTION("IMPORTRANGE(""https://docs.google.com/spreadsheets/d/13wPX838HrBrQMCywv1BsuMkt4PEKTChp52zj44s2izQ/edit?usp=sharing"",""กาญจนบุรี!S64"")+IMPORTRANGE(""https://docs.google.com/spreadsheets/d/1ddFKvqj1W1NEiWytbGlB1zMx_ykJDVtmfEQ-6-lIUBA/edit?usp=sharing"","""&amp;"จันทบุรี!S64"")+IMPORTRANGE(""https://docs.google.com/spreadsheets/d/1T1PQvRODqOBZk8BRht_U031fIS1beLA0Ub2CEytj2q0/edit?usp=sharing"",""ฉะเชิงเทรา!S64"")+IMPORTRANGE(""https://docs.google.com/spreadsheets/d/11tr1B-Bhyr79v2bkwVh5h_fR-PStkgjlZtkrZpYurG0/edit"&amp;"?usp=sharing"",""ชลบุรี!S64"")+IMPORTRANGE(""https://docs.google.com/spreadsheets/d/1hh-FVnSX0vozXhGluamEcS54Dw9_zqW0N7qJUWgJ0Sw/edit?usp=sharing"",""ชัยนาท!S64"")+IMPORTRANGE(""https://docs.google.com/spreadsheets/d/1jkqa6GXxSacMcY1eN8AHjMNJ_7dDXMJVRLDla"&amp;"FSOdPM/edit?usp=sharing"",""ตราด!S64"")+IMPORTRANGE(""https://docs.google.com/spreadsheets/d/18hSgUJ3VwClqi_qtULmmW3cLr0oe3OKaSYoKzdpTsYQ/edit?usp=sharing"",""นครนายก!S64"")+IMPORTRANGE(""https://docs.google.com/spreadsheets/d/1YTZo6WM2dQ6Ix6FSdnL5P7uVnVK"&amp;"u40sxZu975tgG10E/edit?usp=sharing"",""นครปฐม!S64"")+IMPORTRANGE(""https://docs.google.com/spreadsheets/d/1OYoGg4WDg5RIzwGeB10padOxJF9E_Vljuvvct_M7RDo/edit?usp=sharing"",""ปทุมธานี!S64"")+IMPORTRANGE(""https://docs.google.com/spreadsheets/d/1GbCIE4D4wk9FUo"&amp;"zzqk7SxfDMxDVBwVmI5zcaVUSzKAc/edit?usp=sharing"",""ประจวบคีรีขันธ์!S64"")+IMPORTRANGE(""https://docs.google.com/spreadsheets/d/1vVf6wykvW_lAyu7Yo9L4hUTqHqIeP_qcVuxCtosJEbg/edit?usp=sharing"",""ปราจีนบุรี!S64"")+IMPORTRANGE(""https://docs.google.com/spread"&amp;"sheets/d/1BIDqLLg5jk3v59G8NlR8rk5xfQDKne0sAvZHSj7TI6I/edit?usp=sharing"",""พระนครศรีอยุธยา!S64"")+IMPORTRANGE(""https://docs.google.com/spreadsheets/d/1YXvxf8Yu6_rV4hTBrwMqAcAnv6DfhUxh5emyM3CJp_w/edit?usp=sharing"",""เพชรบุรี!S64"")+IMPORTRANGE(""https://"&amp;"docs.google.com/spreadsheets/d/19KBlQQs7uwvsao6t2n-KvW3Ax8J8uRRfZPq1zPbXgKc/edit?usp=sharing"",""ระยอง!S64"")+IMPORTRANGE(""https://docs.google.com/spreadsheets/d/1jQ6P4QcrGM89YfqcC_PxOHGCMq5ezhucwJd8ci-NHng/edit?usp=sharing"",""ราชบุรี!S64"")+IMPORTRANGE"&amp;"(""https://docs.google.com/spreadsheets/d/1lufeA2cfFqM-elVq2hznhDzC6Pr7wkJ9ZG_sYNGCMCU/edit?usp=sharing"",""ลพบุรี!S64"")+IMPORTRANGE(""https://docs.google.com/spreadsheets/d/10oOiF7loTyfsTkbd4MpaIm0HQ9SwB7IYHdIUvt-U1Uc/edit?usp=sharing"",""สระแก้ว!S64"")"&amp;"+IMPORTRANGE(""https://docs.google.com/spreadsheets/d/1xmPlrr1QbdSIKvl1dWUl9K4PjAfSL9oeMr_37QVzcxc/edit?usp=sharing"",""สระบุรี!S64"")+IMPORTRANGE(""https://docs.google.com/spreadsheets/d/1j51vR6CYVGhABJpv6tkstgok82RLpXieLzW1yOY5rHw/edit?usp=sharing"",""ส"&amp;"ิงห์บุรี!S64"")+IMPORTRANGE(""https://docs.google.com/spreadsheets/d/1H1EalTWKUSzO4Z1-1CwzoDUaVffgrThEBe2sl74kKG0/edit?usp=sharing"",""สุพรรณบุรี!S64"")+IMPORTRANGE(""https://docs.google.com/spreadsheets/d/1BmIruG_sIrJLYao_Pdr7zVArWsfoBt2692TMi6x_854/edit"&amp;"?usp=sharing"",""อ่างทอง!S64"")"),0)</f>
        <v>0</v>
      </c>
      <c r="T64" s="130">
        <f t="shared" ca="1" si="40"/>
        <v>0</v>
      </c>
      <c r="U64" s="130">
        <f t="shared" ca="1" si="41"/>
        <v>0</v>
      </c>
    </row>
    <row r="65" spans="1:21" ht="18.75" x14ac:dyDescent="0.25">
      <c r="A65" s="64"/>
      <c r="B65" s="65"/>
      <c r="C65" s="65"/>
      <c r="D65" s="66" t="s">
        <v>23</v>
      </c>
      <c r="E65" s="65"/>
      <c r="F65" s="65"/>
      <c r="G65" s="67"/>
      <c r="H65" s="68" t="s">
        <v>14</v>
      </c>
      <c r="I65" s="69"/>
      <c r="J65" s="69"/>
      <c r="K65" s="70"/>
      <c r="L65" s="86">
        <f t="shared" ref="L65:N65" ca="1" si="48">L66+L67</f>
        <v>3795500</v>
      </c>
      <c r="M65" s="86">
        <f t="shared" ca="1" si="48"/>
        <v>3459795</v>
      </c>
      <c r="N65" s="86">
        <f t="shared" ca="1" si="48"/>
        <v>3458685</v>
      </c>
      <c r="O65" s="86">
        <f t="shared" ca="1" si="37"/>
        <v>91.125938611513632</v>
      </c>
      <c r="P65" s="86">
        <f t="shared" ca="1" si="38"/>
        <v>99.967917174283443</v>
      </c>
      <c r="Q65" s="129">
        <f t="shared" ref="Q65:S65" ca="1" si="49">Q66+Q67</f>
        <v>0</v>
      </c>
      <c r="R65" s="130">
        <f t="shared" ca="1" si="49"/>
        <v>0</v>
      </c>
      <c r="S65" s="130">
        <f t="shared" ca="1" si="49"/>
        <v>0</v>
      </c>
      <c r="T65" s="130">
        <f t="shared" ca="1" si="40"/>
        <v>0</v>
      </c>
      <c r="U65" s="130">
        <f t="shared" ca="1" si="41"/>
        <v>0</v>
      </c>
    </row>
    <row r="66" spans="1:21" ht="18.75" hidden="1" x14ac:dyDescent="0.25">
      <c r="A66" s="64"/>
      <c r="B66" s="65"/>
      <c r="C66" s="65"/>
      <c r="D66" s="65"/>
      <c r="E66" s="73" t="s">
        <v>20</v>
      </c>
      <c r="F66" s="65"/>
      <c r="G66" s="67"/>
      <c r="H66" s="68" t="s">
        <v>14</v>
      </c>
      <c r="I66" s="69"/>
      <c r="J66" s="69"/>
      <c r="K66" s="70"/>
      <c r="L66" s="86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6" s="86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6" s="86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6" s="86">
        <f t="shared" ca="1" si="37"/>
        <v>0</v>
      </c>
      <c r="P66" s="86">
        <f t="shared" ca="1" si="38"/>
        <v>0</v>
      </c>
      <c r="Q66" s="74">
        <f ca="1">IFERROR(__xludf.DUMMYFUNCTION("IMPORTRANGE(""https://docs.google.com/spreadsheets/d/13wPX838HrBrQMCywv1BsuMkt4PEKTChp52zj44s2izQ/edit?usp=sharing"",""กาญจนบุรี!Q66"")+IMPORTRANGE(""https://docs.google.com/spreadsheets/d/1ddFKvqj1W1NEiWytbGlB1zMx_ykJDVtmfEQ-6-lIUBA/edit?usp=sharing"","""&amp;"จันทบุรี!Q66"")+IMPORTRANGE(""https://docs.google.com/spreadsheets/d/1T1PQvRODqOBZk8BRht_U031fIS1beLA0Ub2CEytj2q0/edit?usp=sharing"",""ฉะเชิงเทรา!Q66"")+IMPORTRANGE(""https://docs.google.com/spreadsheets/d/11tr1B-Bhyr79v2bkwVh5h_fR-PStkgjlZtkrZpYurG0/edit"&amp;"?usp=sharing"",""ชลบุรี!Q66"")+IMPORTRANGE(""https://docs.google.com/spreadsheets/d/1hh-FVnSX0vozXhGluamEcS54Dw9_zqW0N7qJUWgJ0Sw/edit?usp=sharing"",""ชัยนาท!Q66"")+IMPORTRANGE(""https://docs.google.com/spreadsheets/d/1jkqa6GXxSacMcY1eN8AHjMNJ_7dDXMJVRLDla"&amp;"FSOdPM/edit?usp=sharing"",""ตราด!Q66"")+IMPORTRANGE(""https://docs.google.com/spreadsheets/d/18hSgUJ3VwClqi_qtULmmW3cLr0oe3OKaSYoKzdpTsYQ/edit?usp=sharing"",""นครนายก!Q66"")+IMPORTRANGE(""https://docs.google.com/spreadsheets/d/1YTZo6WM2dQ6Ix6FSdnL5P7uVnVK"&amp;"u40sxZu975tgG10E/edit?usp=sharing"",""นครปฐม!Q66"")+IMPORTRANGE(""https://docs.google.com/spreadsheets/d/1OYoGg4WDg5RIzwGeB10padOxJF9E_Vljuvvct_M7RDo/edit?usp=sharing"",""ปทุมธานี!Q66"")+IMPORTRANGE(""https://docs.google.com/spreadsheets/d/1GbCIE4D4wk9FUo"&amp;"zzqk7SxfDMxDVBwVmI5zcaVUSzKAc/edit?usp=sharing"",""ประจวบคีรีขันธ์!Q66"")+IMPORTRANGE(""https://docs.google.com/spreadsheets/d/1vVf6wykvW_lAyu7Yo9L4hUTqHqIeP_qcVuxCtosJEbg/edit?usp=sharing"",""ปราจีนบุรี!Q66"")+IMPORTRANGE(""https://docs.google.com/spread"&amp;"sheets/d/1BIDqLLg5jk3v59G8NlR8rk5xfQDKne0sAvZHSj7TI6I/edit?usp=sharing"",""พระนครศรีอยุธยา!Q66"")+IMPORTRANGE(""https://docs.google.com/spreadsheets/d/1YXvxf8Yu6_rV4hTBrwMqAcAnv6DfhUxh5emyM3CJp_w/edit?usp=sharing"",""เพชรบุรี!Q66"")+IMPORTRANGE(""https://"&amp;"docs.google.com/spreadsheets/d/19KBlQQs7uwvsao6t2n-KvW3Ax8J8uRRfZPq1zPbXgKc/edit?usp=sharing"",""ระยอง!Q66"")+IMPORTRANGE(""https://docs.google.com/spreadsheets/d/1jQ6P4QcrGM89YfqcC_PxOHGCMq5ezhucwJd8ci-NHng/edit?usp=sharing"",""ราชบุรี!Q66"")+IMPORTRANGE"&amp;"(""https://docs.google.com/spreadsheets/d/1lufeA2cfFqM-elVq2hznhDzC6Pr7wkJ9ZG_sYNGCMCU/edit?usp=sharing"",""ลพบุรี!Q66"")+IMPORTRANGE(""https://docs.google.com/spreadsheets/d/10oOiF7loTyfsTkbd4MpaIm0HQ9SwB7IYHdIUvt-U1Uc/edit?usp=sharing"",""สระแก้ว!Q66"")"&amp;"+IMPORTRANGE(""https://docs.google.com/spreadsheets/d/1xmPlrr1QbdSIKvl1dWUl9K4PjAfSL9oeMr_37QVzcxc/edit?usp=sharing"",""สระบุรี!Q66"")+IMPORTRANGE(""https://docs.google.com/spreadsheets/d/1j51vR6CYVGhABJpv6tkstgok82RLpXieLzW1yOY5rHw/edit?usp=sharing"",""ส"&amp;"ิงห์บุรี!Q66"")+IMPORTRANGE(""https://docs.google.com/spreadsheets/d/1H1EalTWKUSzO4Z1-1CwzoDUaVffgrThEBe2sl74kKG0/edit?usp=sharing"",""สุพรรณบุรี!Q66"")+IMPORTRANGE(""https://docs.google.com/spreadsheets/d/1BmIruG_sIrJLYao_Pdr7zVArWsfoBt2692TMi6x_854/edit"&amp;"?usp=sharing"",""อ่างทอง!Q66"")"),0)</f>
        <v>0</v>
      </c>
      <c r="R66" s="75">
        <f ca="1">IFERROR(__xludf.DUMMYFUNCTION("IMPORTRANGE(""https://docs.google.com/spreadsheets/d/13wPX838HrBrQMCywv1BsuMkt4PEKTChp52zj44s2izQ/edit?usp=sharing"",""กาญจนบุรี!R66"")+IMPORTRANGE(""https://docs.google.com/spreadsheets/d/1ddFKvqj1W1NEiWytbGlB1zMx_ykJDVtmfEQ-6-lIUBA/edit?usp=sharing"","""&amp;"จันทบุรี!R66"")+IMPORTRANGE(""https://docs.google.com/spreadsheets/d/1T1PQvRODqOBZk8BRht_U031fIS1beLA0Ub2CEytj2q0/edit?usp=sharing"",""ฉะเชิงเทรา!R66"")+IMPORTRANGE(""https://docs.google.com/spreadsheets/d/11tr1B-Bhyr79v2bkwVh5h_fR-PStkgjlZtkrZpYurG0/edit"&amp;"?usp=sharing"",""ชลบุรี!R66"")+IMPORTRANGE(""https://docs.google.com/spreadsheets/d/1hh-FVnSX0vozXhGluamEcS54Dw9_zqW0N7qJUWgJ0Sw/edit?usp=sharing"",""ชัยนาท!R66"")+IMPORTRANGE(""https://docs.google.com/spreadsheets/d/1jkqa6GXxSacMcY1eN8AHjMNJ_7dDXMJVRLDla"&amp;"FSOdPM/edit?usp=sharing"",""ตราด!R66"")+IMPORTRANGE(""https://docs.google.com/spreadsheets/d/18hSgUJ3VwClqi_qtULmmW3cLr0oe3OKaSYoKzdpTsYQ/edit?usp=sharing"",""นครนายก!R66"")+IMPORTRANGE(""https://docs.google.com/spreadsheets/d/1YTZo6WM2dQ6Ix6FSdnL5P7uVnVK"&amp;"u40sxZu975tgG10E/edit?usp=sharing"",""นครปฐม!R66"")+IMPORTRANGE(""https://docs.google.com/spreadsheets/d/1OYoGg4WDg5RIzwGeB10padOxJF9E_Vljuvvct_M7RDo/edit?usp=sharing"",""ปทุมธานี!R66"")+IMPORTRANGE(""https://docs.google.com/spreadsheets/d/1GbCIE4D4wk9FUo"&amp;"zzqk7SxfDMxDVBwVmI5zcaVUSzKAc/edit?usp=sharing"",""ประจวบคีรีขันธ์!R66"")+IMPORTRANGE(""https://docs.google.com/spreadsheets/d/1vVf6wykvW_lAyu7Yo9L4hUTqHqIeP_qcVuxCtosJEbg/edit?usp=sharing"",""ปราจีนบุรี!R66"")+IMPORTRANGE(""https://docs.google.com/spread"&amp;"sheets/d/1BIDqLLg5jk3v59G8NlR8rk5xfQDKne0sAvZHSj7TI6I/edit?usp=sharing"",""พระนครศรีอยุธยา!R66"")+IMPORTRANGE(""https://docs.google.com/spreadsheets/d/1YXvxf8Yu6_rV4hTBrwMqAcAnv6DfhUxh5emyM3CJp_w/edit?usp=sharing"",""เพชรบุรี!R66"")+IMPORTRANGE(""https://"&amp;"docs.google.com/spreadsheets/d/19KBlQQs7uwvsao6t2n-KvW3Ax8J8uRRfZPq1zPbXgKc/edit?usp=sharing"",""ระยอง!R66"")+IMPORTRANGE(""https://docs.google.com/spreadsheets/d/1jQ6P4QcrGM89YfqcC_PxOHGCMq5ezhucwJd8ci-NHng/edit?usp=sharing"",""ราชบุรี!R66"")+IMPORTRANGE"&amp;"(""https://docs.google.com/spreadsheets/d/1lufeA2cfFqM-elVq2hznhDzC6Pr7wkJ9ZG_sYNGCMCU/edit?usp=sharing"",""ลพบุรี!R66"")+IMPORTRANGE(""https://docs.google.com/spreadsheets/d/10oOiF7loTyfsTkbd4MpaIm0HQ9SwB7IYHdIUvt-U1Uc/edit?usp=sharing"",""สระแก้ว!R66"")"&amp;"+IMPORTRANGE(""https://docs.google.com/spreadsheets/d/1xmPlrr1QbdSIKvl1dWUl9K4PjAfSL9oeMr_37QVzcxc/edit?usp=sharing"",""สระบุรี!R66"")+IMPORTRANGE(""https://docs.google.com/spreadsheets/d/1j51vR6CYVGhABJpv6tkstgok82RLpXieLzW1yOY5rHw/edit?usp=sharing"",""ส"&amp;"ิงห์บุรี!R66"")+IMPORTRANGE(""https://docs.google.com/spreadsheets/d/1H1EalTWKUSzO4Z1-1CwzoDUaVffgrThEBe2sl74kKG0/edit?usp=sharing"",""สุพรรณบุรี!R66"")+IMPORTRANGE(""https://docs.google.com/spreadsheets/d/1BmIruG_sIrJLYao_Pdr7zVArWsfoBt2692TMi6x_854/edit"&amp;"?usp=sharing"",""อ่างทอง!R66"")"),0)</f>
        <v>0</v>
      </c>
      <c r="S66" s="75">
        <f ca="1">IFERROR(__xludf.DUMMYFUNCTION("IMPORTRANGE(""https://docs.google.com/spreadsheets/d/13wPX838HrBrQMCywv1BsuMkt4PEKTChp52zj44s2izQ/edit?usp=sharing"",""กาญจนบุรี!S66"")+IMPORTRANGE(""https://docs.google.com/spreadsheets/d/1ddFKvqj1W1NEiWytbGlB1zMx_ykJDVtmfEQ-6-lIUBA/edit?usp=sharing"","""&amp;"จันทบุรี!S66"")+IMPORTRANGE(""https://docs.google.com/spreadsheets/d/1T1PQvRODqOBZk8BRht_U031fIS1beLA0Ub2CEytj2q0/edit?usp=sharing"",""ฉะเชิงเทรา!S66"")+IMPORTRANGE(""https://docs.google.com/spreadsheets/d/11tr1B-Bhyr79v2bkwVh5h_fR-PStkgjlZtkrZpYurG0/edit"&amp;"?usp=sharing"",""ชลบุรี!S66"")+IMPORTRANGE(""https://docs.google.com/spreadsheets/d/1hh-FVnSX0vozXhGluamEcS54Dw9_zqW0N7qJUWgJ0Sw/edit?usp=sharing"",""ชัยนาท!S66"")+IMPORTRANGE(""https://docs.google.com/spreadsheets/d/1jkqa6GXxSacMcY1eN8AHjMNJ_7dDXMJVRLDla"&amp;"FSOdPM/edit?usp=sharing"",""ตราด!S66"")+IMPORTRANGE(""https://docs.google.com/spreadsheets/d/18hSgUJ3VwClqi_qtULmmW3cLr0oe3OKaSYoKzdpTsYQ/edit?usp=sharing"",""นครนายก!S66"")+IMPORTRANGE(""https://docs.google.com/spreadsheets/d/1YTZo6WM2dQ6Ix6FSdnL5P7uVnVK"&amp;"u40sxZu975tgG10E/edit?usp=sharing"",""นครปฐม!S66"")+IMPORTRANGE(""https://docs.google.com/spreadsheets/d/1OYoGg4WDg5RIzwGeB10padOxJF9E_Vljuvvct_M7RDo/edit?usp=sharing"",""ปทุมธานี!S66"")+IMPORTRANGE(""https://docs.google.com/spreadsheets/d/1GbCIE4D4wk9FUo"&amp;"zzqk7SxfDMxDVBwVmI5zcaVUSzKAc/edit?usp=sharing"",""ประจวบคีรีขันธ์!S66"")+IMPORTRANGE(""https://docs.google.com/spreadsheets/d/1vVf6wykvW_lAyu7Yo9L4hUTqHqIeP_qcVuxCtosJEbg/edit?usp=sharing"",""ปราจีนบุรี!S66"")+IMPORTRANGE(""https://docs.google.com/spread"&amp;"sheets/d/1BIDqLLg5jk3v59G8NlR8rk5xfQDKne0sAvZHSj7TI6I/edit?usp=sharing"",""พระนครศรีอยุธยา!S66"")+IMPORTRANGE(""https://docs.google.com/spreadsheets/d/1YXvxf8Yu6_rV4hTBrwMqAcAnv6DfhUxh5emyM3CJp_w/edit?usp=sharing"",""เพชรบุรี!S66"")+IMPORTRANGE(""https://"&amp;"docs.google.com/spreadsheets/d/19KBlQQs7uwvsao6t2n-KvW3Ax8J8uRRfZPq1zPbXgKc/edit?usp=sharing"",""ระยอง!S66"")+IMPORTRANGE(""https://docs.google.com/spreadsheets/d/1jQ6P4QcrGM89YfqcC_PxOHGCMq5ezhucwJd8ci-NHng/edit?usp=sharing"",""ราชบุรี!S66"")+IMPORTRANGE"&amp;"(""https://docs.google.com/spreadsheets/d/1lufeA2cfFqM-elVq2hznhDzC6Pr7wkJ9ZG_sYNGCMCU/edit?usp=sharing"",""ลพบุรี!S66"")+IMPORTRANGE(""https://docs.google.com/spreadsheets/d/10oOiF7loTyfsTkbd4MpaIm0HQ9SwB7IYHdIUvt-U1Uc/edit?usp=sharing"",""สระแก้ว!S66"")"&amp;"+IMPORTRANGE(""https://docs.google.com/spreadsheets/d/1xmPlrr1QbdSIKvl1dWUl9K4PjAfSL9oeMr_37QVzcxc/edit?usp=sharing"",""สระบุรี!S66"")+IMPORTRANGE(""https://docs.google.com/spreadsheets/d/1j51vR6CYVGhABJpv6tkstgok82RLpXieLzW1yOY5rHw/edit?usp=sharing"",""ส"&amp;"ิงห์บุรี!S66"")+IMPORTRANGE(""https://docs.google.com/spreadsheets/d/1H1EalTWKUSzO4Z1-1CwzoDUaVffgrThEBe2sl74kKG0/edit?usp=sharing"",""สุพรรณบุรี!S66"")+IMPORTRANGE(""https://docs.google.com/spreadsheets/d/1BmIruG_sIrJLYao_Pdr7zVArWsfoBt2692TMi6x_854/edit"&amp;"?usp=sharing"",""อ่างทอง!S66"")"),0)</f>
        <v>0</v>
      </c>
      <c r="T66" s="131">
        <f t="shared" ca="1" si="40"/>
        <v>0</v>
      </c>
      <c r="U66" s="131">
        <f t="shared" ca="1" si="41"/>
        <v>0</v>
      </c>
    </row>
    <row r="67" spans="1:21" ht="18.75" hidden="1" x14ac:dyDescent="0.25">
      <c r="A67" s="172"/>
      <c r="B67" s="173"/>
      <c r="C67" s="173"/>
      <c r="D67" s="173"/>
      <c r="E67" s="174" t="s">
        <v>21</v>
      </c>
      <c r="F67" s="173"/>
      <c r="G67" s="175"/>
      <c r="H67" s="176" t="s">
        <v>14</v>
      </c>
      <c r="I67" s="177"/>
      <c r="J67" s="177"/>
      <c r="K67" s="178"/>
      <c r="L67" s="179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3795500)</f>
        <v>3795500</v>
      </c>
      <c r="M67" s="179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3459795)</f>
        <v>3459795</v>
      </c>
      <c r="N67" s="179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3458685)</f>
        <v>3458685</v>
      </c>
      <c r="O67" s="179">
        <f t="shared" ca="1" si="37"/>
        <v>91.125938611513632</v>
      </c>
      <c r="P67" s="179">
        <f t="shared" ca="1" si="38"/>
        <v>99.967917174283443</v>
      </c>
      <c r="Q67" s="180">
        <f ca="1">IFERROR(__xludf.DUMMYFUNCTION("IMPORTRANGE(""https://docs.google.com/spreadsheets/d/13wPX838HrBrQMCywv1BsuMkt4PEKTChp52zj44s2izQ/edit?usp=sharing"",""กาญจนบุรี!Q67"")+IMPORTRANGE(""https://docs.google.com/spreadsheets/d/1ddFKvqj1W1NEiWytbGlB1zMx_ykJDVtmfEQ-6-lIUBA/edit?usp=sharing"","""&amp;"จันทบุรี!Q67"")+IMPORTRANGE(""https://docs.google.com/spreadsheets/d/1T1PQvRODqOBZk8BRht_U031fIS1beLA0Ub2CEytj2q0/edit?usp=sharing"",""ฉะเชิงเทรา!Q67"")+IMPORTRANGE(""https://docs.google.com/spreadsheets/d/11tr1B-Bhyr79v2bkwVh5h_fR-PStkgjlZtkrZpYurG0/edit"&amp;"?usp=sharing"",""ชลบุรี!Q67"")+IMPORTRANGE(""https://docs.google.com/spreadsheets/d/1hh-FVnSX0vozXhGluamEcS54Dw9_zqW0N7qJUWgJ0Sw/edit?usp=sharing"",""ชัยนาท!Q67"")+IMPORTRANGE(""https://docs.google.com/spreadsheets/d/1jkqa6GXxSacMcY1eN8AHjMNJ_7dDXMJVRLDla"&amp;"FSOdPM/edit?usp=sharing"",""ตราด!Q67"")+IMPORTRANGE(""https://docs.google.com/spreadsheets/d/18hSgUJ3VwClqi_qtULmmW3cLr0oe3OKaSYoKzdpTsYQ/edit?usp=sharing"",""นครนายก!Q67"")+IMPORTRANGE(""https://docs.google.com/spreadsheets/d/1YTZo6WM2dQ6Ix6FSdnL5P7uVnVK"&amp;"u40sxZu975tgG10E/edit?usp=sharing"",""นครปฐม!Q67"")+IMPORTRANGE(""https://docs.google.com/spreadsheets/d/1OYoGg4WDg5RIzwGeB10padOxJF9E_Vljuvvct_M7RDo/edit?usp=sharing"",""ปทุมธานี!Q67"")+IMPORTRANGE(""https://docs.google.com/spreadsheets/d/1GbCIE4D4wk9FUo"&amp;"zzqk7SxfDMxDVBwVmI5zcaVUSzKAc/edit?usp=sharing"",""ประจวบคีรีขันธ์!Q67"")+IMPORTRANGE(""https://docs.google.com/spreadsheets/d/1vVf6wykvW_lAyu7Yo9L4hUTqHqIeP_qcVuxCtosJEbg/edit?usp=sharing"",""ปราจีนบุรี!Q67"")+IMPORTRANGE(""https://docs.google.com/spread"&amp;"sheets/d/1BIDqLLg5jk3v59G8NlR8rk5xfQDKne0sAvZHSj7TI6I/edit?usp=sharing"",""พระนครศรีอยุธยา!Q67"")+IMPORTRANGE(""https://docs.google.com/spreadsheets/d/1YXvxf8Yu6_rV4hTBrwMqAcAnv6DfhUxh5emyM3CJp_w/edit?usp=sharing"",""เพชรบุรี!Q67"")+IMPORTRANGE(""https://"&amp;"docs.google.com/spreadsheets/d/19KBlQQs7uwvsao6t2n-KvW3Ax8J8uRRfZPq1zPbXgKc/edit?usp=sharing"",""ระยอง!Q67"")+IMPORTRANGE(""https://docs.google.com/spreadsheets/d/1jQ6P4QcrGM89YfqcC_PxOHGCMq5ezhucwJd8ci-NHng/edit?usp=sharing"",""ราชบุรี!Q67"")+IMPORTRANGE"&amp;"(""https://docs.google.com/spreadsheets/d/1lufeA2cfFqM-elVq2hznhDzC6Pr7wkJ9ZG_sYNGCMCU/edit?usp=sharing"",""ลพบุรี!Q67"")+IMPORTRANGE(""https://docs.google.com/spreadsheets/d/10oOiF7loTyfsTkbd4MpaIm0HQ9SwB7IYHdIUvt-U1Uc/edit?usp=sharing"",""สระแก้ว!Q67"")"&amp;"+IMPORTRANGE(""https://docs.google.com/spreadsheets/d/1xmPlrr1QbdSIKvl1dWUl9K4PjAfSL9oeMr_37QVzcxc/edit?usp=sharing"",""สระบุรี!Q67"")+IMPORTRANGE(""https://docs.google.com/spreadsheets/d/1j51vR6CYVGhABJpv6tkstgok82RLpXieLzW1yOY5rHw/edit?usp=sharing"",""ส"&amp;"ิงห์บุรี!Q67"")+IMPORTRANGE(""https://docs.google.com/spreadsheets/d/1H1EalTWKUSzO4Z1-1CwzoDUaVffgrThEBe2sl74kKG0/edit?usp=sharing"",""สุพรรณบุรี!Q67"")+IMPORTRANGE(""https://docs.google.com/spreadsheets/d/1BmIruG_sIrJLYao_Pdr7zVArWsfoBt2692TMi6x_854/edit"&amp;"?usp=sharing"",""อ่างทอง!Q67"")"),0)</f>
        <v>0</v>
      </c>
      <c r="R67" s="181">
        <f ca="1">IFERROR(__xludf.DUMMYFUNCTION("IMPORTRANGE(""https://docs.google.com/spreadsheets/d/13wPX838HrBrQMCywv1BsuMkt4PEKTChp52zj44s2izQ/edit?usp=sharing"",""กาญจนบุรี!R67"")+IMPORTRANGE(""https://docs.google.com/spreadsheets/d/1ddFKvqj1W1NEiWytbGlB1zMx_ykJDVtmfEQ-6-lIUBA/edit?usp=sharing"","""&amp;"จันทบุรี!R67"")+IMPORTRANGE(""https://docs.google.com/spreadsheets/d/1T1PQvRODqOBZk8BRht_U031fIS1beLA0Ub2CEytj2q0/edit?usp=sharing"",""ฉะเชิงเทรา!R67"")+IMPORTRANGE(""https://docs.google.com/spreadsheets/d/11tr1B-Bhyr79v2bkwVh5h_fR-PStkgjlZtkrZpYurG0/edit"&amp;"?usp=sharing"",""ชลบุรี!R67"")+IMPORTRANGE(""https://docs.google.com/spreadsheets/d/1hh-FVnSX0vozXhGluamEcS54Dw9_zqW0N7qJUWgJ0Sw/edit?usp=sharing"",""ชัยนาท!R67"")+IMPORTRANGE(""https://docs.google.com/spreadsheets/d/1jkqa6GXxSacMcY1eN8AHjMNJ_7dDXMJVRLDla"&amp;"FSOdPM/edit?usp=sharing"",""ตราด!R67"")+IMPORTRANGE(""https://docs.google.com/spreadsheets/d/18hSgUJ3VwClqi_qtULmmW3cLr0oe3OKaSYoKzdpTsYQ/edit?usp=sharing"",""นครนายก!R67"")+IMPORTRANGE(""https://docs.google.com/spreadsheets/d/1YTZo6WM2dQ6Ix6FSdnL5P7uVnVK"&amp;"u40sxZu975tgG10E/edit?usp=sharing"",""นครปฐม!R67"")+IMPORTRANGE(""https://docs.google.com/spreadsheets/d/1OYoGg4WDg5RIzwGeB10padOxJF9E_Vljuvvct_M7RDo/edit?usp=sharing"",""ปทุมธานี!R67"")+IMPORTRANGE(""https://docs.google.com/spreadsheets/d/1GbCIE4D4wk9FUo"&amp;"zzqk7SxfDMxDVBwVmI5zcaVUSzKAc/edit?usp=sharing"",""ประจวบคีรีขันธ์!R67"")+IMPORTRANGE(""https://docs.google.com/spreadsheets/d/1vVf6wykvW_lAyu7Yo9L4hUTqHqIeP_qcVuxCtosJEbg/edit?usp=sharing"",""ปราจีนบุรี!R67"")+IMPORTRANGE(""https://docs.google.com/spread"&amp;"sheets/d/1BIDqLLg5jk3v59G8NlR8rk5xfQDKne0sAvZHSj7TI6I/edit?usp=sharing"",""พระนครศรีอยุธยา!R67"")+IMPORTRANGE(""https://docs.google.com/spreadsheets/d/1YXvxf8Yu6_rV4hTBrwMqAcAnv6DfhUxh5emyM3CJp_w/edit?usp=sharing"",""เพชรบุรี!R67"")+IMPORTRANGE(""https://"&amp;"docs.google.com/spreadsheets/d/19KBlQQs7uwvsao6t2n-KvW3Ax8J8uRRfZPq1zPbXgKc/edit?usp=sharing"",""ระยอง!R67"")+IMPORTRANGE(""https://docs.google.com/spreadsheets/d/1jQ6P4QcrGM89YfqcC_PxOHGCMq5ezhucwJd8ci-NHng/edit?usp=sharing"",""ราชบุรี!R67"")+IMPORTRANGE"&amp;"(""https://docs.google.com/spreadsheets/d/1lufeA2cfFqM-elVq2hznhDzC6Pr7wkJ9ZG_sYNGCMCU/edit?usp=sharing"",""ลพบุรี!R67"")+IMPORTRANGE(""https://docs.google.com/spreadsheets/d/10oOiF7loTyfsTkbd4MpaIm0HQ9SwB7IYHdIUvt-U1Uc/edit?usp=sharing"",""สระแก้ว!R67"")"&amp;"+IMPORTRANGE(""https://docs.google.com/spreadsheets/d/1xmPlrr1QbdSIKvl1dWUl9K4PjAfSL9oeMr_37QVzcxc/edit?usp=sharing"",""สระบุรี!R67"")+IMPORTRANGE(""https://docs.google.com/spreadsheets/d/1j51vR6CYVGhABJpv6tkstgok82RLpXieLzW1yOY5rHw/edit?usp=sharing"",""ส"&amp;"ิงห์บุรี!R67"")+IMPORTRANGE(""https://docs.google.com/spreadsheets/d/1H1EalTWKUSzO4Z1-1CwzoDUaVffgrThEBe2sl74kKG0/edit?usp=sharing"",""สุพรรณบุรี!R67"")+IMPORTRANGE(""https://docs.google.com/spreadsheets/d/1BmIruG_sIrJLYao_Pdr7zVArWsfoBt2692TMi6x_854/edit"&amp;"?usp=sharing"",""อ่างทอง!R67"")"),0)</f>
        <v>0</v>
      </c>
      <c r="S67" s="181">
        <f ca="1">IFERROR(__xludf.DUMMYFUNCTION("IMPORTRANGE(""https://docs.google.com/spreadsheets/d/13wPX838HrBrQMCywv1BsuMkt4PEKTChp52zj44s2izQ/edit?usp=sharing"",""กาญจนบุรี!S67"")+IMPORTRANGE(""https://docs.google.com/spreadsheets/d/1ddFKvqj1W1NEiWytbGlB1zMx_ykJDVtmfEQ-6-lIUBA/edit?usp=sharing"","""&amp;"จันทบุรี!S67"")+IMPORTRANGE(""https://docs.google.com/spreadsheets/d/1T1PQvRODqOBZk8BRht_U031fIS1beLA0Ub2CEytj2q0/edit?usp=sharing"",""ฉะเชิงเทรา!S67"")+IMPORTRANGE(""https://docs.google.com/spreadsheets/d/11tr1B-Bhyr79v2bkwVh5h_fR-PStkgjlZtkrZpYurG0/edit"&amp;"?usp=sharing"",""ชลบุรี!S67"")+IMPORTRANGE(""https://docs.google.com/spreadsheets/d/1hh-FVnSX0vozXhGluamEcS54Dw9_zqW0N7qJUWgJ0Sw/edit?usp=sharing"",""ชัยนาท!S67"")+IMPORTRANGE(""https://docs.google.com/spreadsheets/d/1jkqa6GXxSacMcY1eN8AHjMNJ_7dDXMJVRLDla"&amp;"FSOdPM/edit?usp=sharing"",""ตราด!S67"")+IMPORTRANGE(""https://docs.google.com/spreadsheets/d/18hSgUJ3VwClqi_qtULmmW3cLr0oe3OKaSYoKzdpTsYQ/edit?usp=sharing"",""นครนายก!S67"")+IMPORTRANGE(""https://docs.google.com/spreadsheets/d/1YTZo6WM2dQ6Ix6FSdnL5P7uVnVK"&amp;"u40sxZu975tgG10E/edit?usp=sharing"",""นครปฐม!S67"")+IMPORTRANGE(""https://docs.google.com/spreadsheets/d/1OYoGg4WDg5RIzwGeB10padOxJF9E_Vljuvvct_M7RDo/edit?usp=sharing"",""ปทุมธานี!S67"")+IMPORTRANGE(""https://docs.google.com/spreadsheets/d/1GbCIE4D4wk9FUo"&amp;"zzqk7SxfDMxDVBwVmI5zcaVUSzKAc/edit?usp=sharing"",""ประจวบคีรีขันธ์!S67"")+IMPORTRANGE(""https://docs.google.com/spreadsheets/d/1vVf6wykvW_lAyu7Yo9L4hUTqHqIeP_qcVuxCtosJEbg/edit?usp=sharing"",""ปราจีนบุรี!S67"")+IMPORTRANGE(""https://docs.google.com/spread"&amp;"sheets/d/1BIDqLLg5jk3v59G8NlR8rk5xfQDKne0sAvZHSj7TI6I/edit?usp=sharing"",""พระนครศรีอยุธยา!S67"")+IMPORTRANGE(""https://docs.google.com/spreadsheets/d/1YXvxf8Yu6_rV4hTBrwMqAcAnv6DfhUxh5emyM3CJp_w/edit?usp=sharing"",""เพชรบุรี!S67"")+IMPORTRANGE(""https://"&amp;"docs.google.com/spreadsheets/d/19KBlQQs7uwvsao6t2n-KvW3Ax8J8uRRfZPq1zPbXgKc/edit?usp=sharing"",""ระยอง!S67"")+IMPORTRANGE(""https://docs.google.com/spreadsheets/d/1jQ6P4QcrGM89YfqcC_PxOHGCMq5ezhucwJd8ci-NHng/edit?usp=sharing"",""ราชบุรี!S67"")+IMPORTRANGE"&amp;"(""https://docs.google.com/spreadsheets/d/1lufeA2cfFqM-elVq2hznhDzC6Pr7wkJ9ZG_sYNGCMCU/edit?usp=sharing"",""ลพบุรี!S67"")+IMPORTRANGE(""https://docs.google.com/spreadsheets/d/10oOiF7loTyfsTkbd4MpaIm0HQ9SwB7IYHdIUvt-U1Uc/edit?usp=sharing"",""สระแก้ว!S67"")"&amp;"+IMPORTRANGE(""https://docs.google.com/spreadsheets/d/1xmPlrr1QbdSIKvl1dWUl9K4PjAfSL9oeMr_37QVzcxc/edit?usp=sharing"",""สระบุรี!S67"")+IMPORTRANGE(""https://docs.google.com/spreadsheets/d/1j51vR6CYVGhABJpv6tkstgok82RLpXieLzW1yOY5rHw/edit?usp=sharing"",""ส"&amp;"ิงห์บุรี!S67"")+IMPORTRANGE(""https://docs.google.com/spreadsheets/d/1H1EalTWKUSzO4Z1-1CwzoDUaVffgrThEBe2sl74kKG0/edit?usp=sharing"",""สุพรรณบุรี!S67"")+IMPORTRANGE(""https://docs.google.com/spreadsheets/d/1BmIruG_sIrJLYao_Pdr7zVArWsfoBt2692TMi6x_854/edit"&amp;"?usp=sharing"",""อ่างทอง!S67"")"),0)</f>
        <v>0</v>
      </c>
      <c r="T67" s="182">
        <f t="shared" ca="1" si="40"/>
        <v>0</v>
      </c>
      <c r="U67" s="182">
        <f t="shared" ca="1" si="41"/>
        <v>0</v>
      </c>
    </row>
    <row r="68" spans="1:21" ht="19.5" x14ac:dyDescent="0.3">
      <c r="A68" s="183" t="s">
        <v>31</v>
      </c>
      <c r="B68" s="184"/>
      <c r="C68" s="184"/>
      <c r="D68" s="184"/>
      <c r="E68" s="185"/>
      <c r="F68" s="185"/>
      <c r="G68" s="185"/>
      <c r="H68" s="185"/>
      <c r="I68" s="186"/>
      <c r="J68" s="186"/>
      <c r="K68" s="187"/>
      <c r="L68" s="187"/>
      <c r="M68" s="187"/>
      <c r="N68" s="187"/>
      <c r="O68" s="187"/>
      <c r="P68" s="188"/>
      <c r="Q68" s="189"/>
      <c r="R68" s="190"/>
      <c r="S68" s="190"/>
      <c r="T68" s="190"/>
      <c r="U68" s="191"/>
    </row>
    <row r="69" spans="1:21" ht="19.5" x14ac:dyDescent="0.3">
      <c r="A69" s="192" t="s">
        <v>32</v>
      </c>
      <c r="B69" s="193"/>
      <c r="C69" s="194"/>
      <c r="D69" s="193"/>
      <c r="E69" s="193"/>
      <c r="F69" s="193"/>
      <c r="G69" s="195"/>
      <c r="H69" s="195"/>
      <c r="I69" s="196"/>
      <c r="J69" s="196"/>
      <c r="K69" s="197"/>
      <c r="L69" s="197"/>
      <c r="M69" s="197"/>
      <c r="N69" s="197"/>
      <c r="O69" s="197"/>
      <c r="P69" s="197"/>
      <c r="Q69" s="198"/>
      <c r="R69" s="199"/>
      <c r="S69" s="199"/>
      <c r="T69" s="199"/>
      <c r="U69" s="199"/>
    </row>
    <row r="70" spans="1:21" ht="19.5" x14ac:dyDescent="0.3">
      <c r="A70" s="200"/>
      <c r="B70" s="48" t="s">
        <v>33</v>
      </c>
      <c r="C70" s="47"/>
      <c r="D70" s="201"/>
      <c r="E70" s="47"/>
      <c r="F70" s="47"/>
      <c r="G70" s="50"/>
      <c r="H70" s="202" t="s">
        <v>34</v>
      </c>
      <c r="I70" s="203">
        <f t="shared" ref="I70:J70" ca="1" si="50">I82</f>
        <v>7</v>
      </c>
      <c r="J70" s="203">
        <f t="shared" ca="1" si="50"/>
        <v>4</v>
      </c>
      <c r="K70" s="204">
        <f t="shared" ref="K70:K71" ca="1" si="51">IF(I70&gt;0,J70*100/I70,0)</f>
        <v>57.142857142857146</v>
      </c>
      <c r="L70" s="53"/>
      <c r="M70" s="53"/>
      <c r="N70" s="53"/>
      <c r="O70" s="53"/>
      <c r="P70" s="53"/>
      <c r="Q70" s="205"/>
      <c r="R70" s="206"/>
      <c r="S70" s="206"/>
      <c r="T70" s="206"/>
      <c r="U70" s="206"/>
    </row>
    <row r="71" spans="1:21" ht="19.5" x14ac:dyDescent="0.3">
      <c r="A71" s="200"/>
      <c r="B71" s="47"/>
      <c r="C71" s="47"/>
      <c r="D71" s="201"/>
      <c r="E71" s="47"/>
      <c r="F71" s="47"/>
      <c r="G71" s="50"/>
      <c r="H71" s="202" t="s">
        <v>35</v>
      </c>
      <c r="I71" s="203">
        <f t="shared" ref="I71:J71" ca="1" si="52">I83</f>
        <v>340</v>
      </c>
      <c r="J71" s="203">
        <f t="shared" ca="1" si="52"/>
        <v>196</v>
      </c>
      <c r="K71" s="204">
        <f t="shared" ca="1" si="51"/>
        <v>57.647058823529413</v>
      </c>
      <c r="L71" s="53"/>
      <c r="M71" s="53"/>
      <c r="N71" s="53"/>
      <c r="O71" s="53"/>
      <c r="P71" s="53"/>
      <c r="Q71" s="205"/>
      <c r="R71" s="206"/>
      <c r="S71" s="206"/>
      <c r="T71" s="206"/>
      <c r="U71" s="206"/>
    </row>
    <row r="72" spans="1:21" ht="19.5" x14ac:dyDescent="0.3">
      <c r="A72" s="207"/>
      <c r="B72" s="65"/>
      <c r="C72" s="208" t="s">
        <v>18</v>
      </c>
      <c r="D72" s="209" t="s">
        <v>19</v>
      </c>
      <c r="E72" s="65"/>
      <c r="F72" s="65"/>
      <c r="G72" s="67"/>
      <c r="H72" s="210" t="s">
        <v>14</v>
      </c>
      <c r="I72" s="69"/>
      <c r="J72" s="69"/>
      <c r="K72" s="70"/>
      <c r="L72" s="211">
        <f t="shared" ref="L72:N72" ca="1" si="53">L73+L74</f>
        <v>1496300</v>
      </c>
      <c r="M72" s="211">
        <f t="shared" ca="1" si="53"/>
        <v>1496300</v>
      </c>
      <c r="N72" s="211">
        <f t="shared" ca="1" si="53"/>
        <v>1197876.2</v>
      </c>
      <c r="O72" s="211">
        <f t="shared" ref="O72:O80" ca="1" si="54">IF(L72&gt;0,N72*100/L72,0)</f>
        <v>80.055884515137336</v>
      </c>
      <c r="P72" s="211">
        <f t="shared" ref="P72:P80" ca="1" si="55">IF(M72&gt;0,N72*100/M72,0)</f>
        <v>80.055884515137336</v>
      </c>
      <c r="Q72" s="212">
        <f t="shared" ref="Q72:S72" ca="1" si="56">Q73+Q74</f>
        <v>4339380</v>
      </c>
      <c r="R72" s="213">
        <f t="shared" ca="1" si="56"/>
        <v>4342620</v>
      </c>
      <c r="S72" s="213">
        <f t="shared" ca="1" si="56"/>
        <v>1404776</v>
      </c>
      <c r="T72" s="213">
        <f t="shared" ref="T72:T80" ca="1" si="57">IF(Q72&gt;0,S72*100/Q72,0)</f>
        <v>32.372735275546276</v>
      </c>
      <c r="U72" s="213">
        <f t="shared" ref="U72:U80" ca="1" si="58">IF(R72&gt;0,S72*100/R72,0)</f>
        <v>32.348582192317082</v>
      </c>
    </row>
    <row r="73" spans="1:21" ht="18.75" hidden="1" x14ac:dyDescent="0.25">
      <c r="A73" s="207"/>
      <c r="B73" s="65"/>
      <c r="C73" s="65"/>
      <c r="D73" s="65"/>
      <c r="E73" s="73" t="s">
        <v>20</v>
      </c>
      <c r="F73" s="65"/>
      <c r="G73" s="67"/>
      <c r="H73" s="214" t="s">
        <v>14</v>
      </c>
      <c r="I73" s="69"/>
      <c r="J73" s="69"/>
      <c r="K73" s="70"/>
      <c r="L73" s="86">
        <f t="shared" ref="L73:N73" ca="1" si="59">L76+L79</f>
        <v>0</v>
      </c>
      <c r="M73" s="86">
        <f t="shared" ca="1" si="59"/>
        <v>0</v>
      </c>
      <c r="N73" s="86">
        <f t="shared" ca="1" si="59"/>
        <v>0</v>
      </c>
      <c r="O73" s="86">
        <f t="shared" ca="1" si="54"/>
        <v>0</v>
      </c>
      <c r="P73" s="86">
        <f t="shared" ca="1" si="55"/>
        <v>0</v>
      </c>
      <c r="Q73" s="215">
        <f t="shared" ref="Q73:S73" ca="1" si="60">Q76+Q79</f>
        <v>0</v>
      </c>
      <c r="R73" s="131">
        <f t="shared" ca="1" si="60"/>
        <v>0</v>
      </c>
      <c r="S73" s="131">
        <f t="shared" ca="1" si="60"/>
        <v>0</v>
      </c>
      <c r="T73" s="131">
        <f t="shared" ca="1" si="57"/>
        <v>0</v>
      </c>
      <c r="U73" s="131">
        <f t="shared" ca="1" si="58"/>
        <v>0</v>
      </c>
    </row>
    <row r="74" spans="1:21" ht="18.75" hidden="1" x14ac:dyDescent="0.25">
      <c r="A74" s="207"/>
      <c r="B74" s="65"/>
      <c r="C74" s="65"/>
      <c r="D74" s="65"/>
      <c r="E74" s="73" t="s">
        <v>21</v>
      </c>
      <c r="F74" s="65"/>
      <c r="G74" s="67"/>
      <c r="H74" s="214" t="s">
        <v>14</v>
      </c>
      <c r="I74" s="69"/>
      <c r="J74" s="69"/>
      <c r="K74" s="70"/>
      <c r="L74" s="86">
        <f t="shared" ref="L74:N74" ca="1" si="61">L77+L80</f>
        <v>1496300</v>
      </c>
      <c r="M74" s="86">
        <f t="shared" ca="1" si="61"/>
        <v>1496300</v>
      </c>
      <c r="N74" s="86">
        <f t="shared" ca="1" si="61"/>
        <v>1197876.2</v>
      </c>
      <c r="O74" s="86">
        <f t="shared" ca="1" si="54"/>
        <v>80.055884515137336</v>
      </c>
      <c r="P74" s="86">
        <f t="shared" ca="1" si="55"/>
        <v>80.055884515137336</v>
      </c>
      <c r="Q74" s="129">
        <f t="shared" ref="Q74:S74" ca="1" si="62">Q77+Q80</f>
        <v>4339380</v>
      </c>
      <c r="R74" s="130">
        <f t="shared" ca="1" si="62"/>
        <v>4342620</v>
      </c>
      <c r="S74" s="130">
        <f t="shared" ca="1" si="62"/>
        <v>1404776</v>
      </c>
      <c r="T74" s="130">
        <f t="shared" ca="1" si="57"/>
        <v>32.372735275546276</v>
      </c>
      <c r="U74" s="130">
        <f t="shared" ca="1" si="58"/>
        <v>32.348582192317082</v>
      </c>
    </row>
    <row r="75" spans="1:21" ht="18.75" x14ac:dyDescent="0.25">
      <c r="A75" s="207"/>
      <c r="B75" s="65"/>
      <c r="C75" s="65"/>
      <c r="D75" s="66" t="s">
        <v>22</v>
      </c>
      <c r="E75" s="65"/>
      <c r="F75" s="65"/>
      <c r="G75" s="67"/>
      <c r="H75" s="216" t="s">
        <v>14</v>
      </c>
      <c r="I75" s="217"/>
      <c r="J75" s="217"/>
      <c r="K75" s="218"/>
      <c r="L75" s="86">
        <f t="shared" ref="L75:N75" ca="1" si="63">L76+L77</f>
        <v>1496300</v>
      </c>
      <c r="M75" s="86">
        <f t="shared" ca="1" si="63"/>
        <v>1496300</v>
      </c>
      <c r="N75" s="86">
        <f t="shared" ca="1" si="63"/>
        <v>1197876.2</v>
      </c>
      <c r="O75" s="86">
        <f t="shared" ca="1" si="54"/>
        <v>80.055884515137336</v>
      </c>
      <c r="P75" s="86">
        <f t="shared" ca="1" si="55"/>
        <v>80.055884515137336</v>
      </c>
      <c r="Q75" s="129">
        <f t="shared" ref="Q75:S75" ca="1" si="64">Q76+Q77</f>
        <v>3430380</v>
      </c>
      <c r="R75" s="130">
        <f t="shared" ca="1" si="64"/>
        <v>3433620</v>
      </c>
      <c r="S75" s="130">
        <f t="shared" ca="1" si="64"/>
        <v>1404776</v>
      </c>
      <c r="T75" s="130">
        <f t="shared" ca="1" si="57"/>
        <v>40.951031664130504</v>
      </c>
      <c r="U75" s="130">
        <f t="shared" ca="1" si="58"/>
        <v>40.912389839294974</v>
      </c>
    </row>
    <row r="76" spans="1:21" ht="18.75" hidden="1" x14ac:dyDescent="0.25">
      <c r="A76" s="207"/>
      <c r="B76" s="65"/>
      <c r="C76" s="65"/>
      <c r="D76" s="65"/>
      <c r="E76" s="73" t="s">
        <v>36</v>
      </c>
      <c r="F76" s="65"/>
      <c r="G76" s="67"/>
      <c r="H76" s="216" t="s">
        <v>14</v>
      </c>
      <c r="I76" s="217"/>
      <c r="J76" s="217"/>
      <c r="K76" s="218"/>
      <c r="L76" s="86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6" s="86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6" s="86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6" s="86">
        <f t="shared" ca="1" si="54"/>
        <v>0</v>
      </c>
      <c r="P76" s="86">
        <f t="shared" ca="1" si="55"/>
        <v>0</v>
      </c>
      <c r="Q76" s="74">
        <f ca="1">IFERROR(__xludf.DUMMYFUNCTION("IMPORTRANGE(""https://docs.google.com/spreadsheets/d/13wPX838HrBrQMCywv1BsuMkt4PEKTChp52zj44s2izQ/edit?usp=sharing"",""กาญจนบุรี!Q76"")+IMPORTRANGE(""https://docs.google.com/spreadsheets/d/1ddFKvqj1W1NEiWytbGlB1zMx_ykJDVtmfEQ-6-lIUBA/edit?usp=sharing"","""&amp;"จันทบุรี!Q76"")+IMPORTRANGE(""https://docs.google.com/spreadsheets/d/1T1PQvRODqOBZk8BRht_U031fIS1beLA0Ub2CEytj2q0/edit?usp=sharing"",""ฉะเชิงเทรา!Q76"")+IMPORTRANGE(""https://docs.google.com/spreadsheets/d/11tr1B-Bhyr79v2bkwVh5h_fR-PStkgjlZtkrZpYurG0/edit"&amp;"?usp=sharing"",""ชลบุรี!Q76"")+IMPORTRANGE(""https://docs.google.com/spreadsheets/d/1hh-FVnSX0vozXhGluamEcS54Dw9_zqW0N7qJUWgJ0Sw/edit?usp=sharing"",""ชัยนาท!Q76"")+IMPORTRANGE(""https://docs.google.com/spreadsheets/d/1jkqa6GXxSacMcY1eN8AHjMNJ_7dDXMJVRLDla"&amp;"FSOdPM/edit?usp=sharing"",""ตราด!Q76"")+IMPORTRANGE(""https://docs.google.com/spreadsheets/d/18hSgUJ3VwClqi_qtULmmW3cLr0oe3OKaSYoKzdpTsYQ/edit?usp=sharing"",""นครนายก!Q76"")+IMPORTRANGE(""https://docs.google.com/spreadsheets/d/1YTZo6WM2dQ6Ix6FSdnL5P7uVnVK"&amp;"u40sxZu975tgG10E/edit?usp=sharing"",""นครปฐม!Q76"")+IMPORTRANGE(""https://docs.google.com/spreadsheets/d/1OYoGg4WDg5RIzwGeB10padOxJF9E_Vljuvvct_M7RDo/edit?usp=sharing"",""ปทุมธานี!Q76"")+IMPORTRANGE(""https://docs.google.com/spreadsheets/d/1GbCIE4D4wk9FUo"&amp;"zzqk7SxfDMxDVBwVmI5zcaVUSzKAc/edit?usp=sharing"",""ประจวบคีรีขันธ์!Q76"")+IMPORTRANGE(""https://docs.google.com/spreadsheets/d/1vVf6wykvW_lAyu7Yo9L4hUTqHqIeP_qcVuxCtosJEbg/edit?usp=sharing"",""ปราจีนบุรี!Q76"")+IMPORTRANGE(""https://docs.google.com/spread"&amp;"sheets/d/1BIDqLLg5jk3v59G8NlR8rk5xfQDKne0sAvZHSj7TI6I/edit?usp=sharing"",""พระนครศรีอยุธยา!Q76"")+IMPORTRANGE(""https://docs.google.com/spreadsheets/d/1YXvxf8Yu6_rV4hTBrwMqAcAnv6DfhUxh5emyM3CJp_w/edit?usp=sharing"",""เพชรบุรี!Q76"")+IMPORTRANGE(""https://"&amp;"docs.google.com/spreadsheets/d/19KBlQQs7uwvsao6t2n-KvW3Ax8J8uRRfZPq1zPbXgKc/edit?usp=sharing"",""ระยอง!Q76"")+IMPORTRANGE(""https://docs.google.com/spreadsheets/d/1jQ6P4QcrGM89YfqcC_PxOHGCMq5ezhucwJd8ci-NHng/edit?usp=sharing"",""ราชบุรี!Q76"")+IMPORTRANGE"&amp;"(""https://docs.google.com/spreadsheets/d/1lufeA2cfFqM-elVq2hznhDzC6Pr7wkJ9ZG_sYNGCMCU/edit?usp=sharing"",""ลพบุรี!Q76"")+IMPORTRANGE(""https://docs.google.com/spreadsheets/d/10oOiF7loTyfsTkbd4MpaIm0HQ9SwB7IYHdIUvt-U1Uc/edit?usp=sharing"",""สระแก้ว!Q76"")"&amp;"+IMPORTRANGE(""https://docs.google.com/spreadsheets/d/1xmPlrr1QbdSIKvl1dWUl9K4PjAfSL9oeMr_37QVzcxc/edit?usp=sharing"",""สระบุรี!Q76"")+IMPORTRANGE(""https://docs.google.com/spreadsheets/d/1j51vR6CYVGhABJpv6tkstgok82RLpXieLzW1yOY5rHw/edit?usp=sharing"",""ส"&amp;"ิงห์บุรี!Q76"")+IMPORTRANGE(""https://docs.google.com/spreadsheets/d/1H1EalTWKUSzO4Z1-1CwzoDUaVffgrThEBe2sl74kKG0/edit?usp=sharing"",""สุพรรณบุรี!Q76"")+IMPORTRANGE(""https://docs.google.com/spreadsheets/d/1BmIruG_sIrJLYao_Pdr7zVArWsfoBt2692TMi6x_854/edit"&amp;"?usp=sharing"",""อ่างทอง!Q76"")"),0)</f>
        <v>0</v>
      </c>
      <c r="R76" s="75">
        <f ca="1">IFERROR(__xludf.DUMMYFUNCTION("IMPORTRANGE(""https://docs.google.com/spreadsheets/d/13wPX838HrBrQMCywv1BsuMkt4PEKTChp52zj44s2izQ/edit?usp=sharing"",""กาญจนบุรี!R76"")+IMPORTRANGE(""https://docs.google.com/spreadsheets/d/1ddFKvqj1W1NEiWytbGlB1zMx_ykJDVtmfEQ-6-lIUBA/edit?usp=sharing"","""&amp;"จันทบุรี!R76"")+IMPORTRANGE(""https://docs.google.com/spreadsheets/d/1T1PQvRODqOBZk8BRht_U031fIS1beLA0Ub2CEytj2q0/edit?usp=sharing"",""ฉะเชิงเทรา!R76"")+IMPORTRANGE(""https://docs.google.com/spreadsheets/d/11tr1B-Bhyr79v2bkwVh5h_fR-PStkgjlZtkrZpYurG0/edit"&amp;"?usp=sharing"",""ชลบุรี!R76"")+IMPORTRANGE(""https://docs.google.com/spreadsheets/d/1hh-FVnSX0vozXhGluamEcS54Dw9_zqW0N7qJUWgJ0Sw/edit?usp=sharing"",""ชัยนาท!R76"")+IMPORTRANGE(""https://docs.google.com/spreadsheets/d/1jkqa6GXxSacMcY1eN8AHjMNJ_7dDXMJVRLDla"&amp;"FSOdPM/edit?usp=sharing"",""ตราด!R76"")+IMPORTRANGE(""https://docs.google.com/spreadsheets/d/18hSgUJ3VwClqi_qtULmmW3cLr0oe3OKaSYoKzdpTsYQ/edit?usp=sharing"",""นครนายก!R76"")+IMPORTRANGE(""https://docs.google.com/spreadsheets/d/1YTZo6WM2dQ6Ix6FSdnL5P7uVnVK"&amp;"u40sxZu975tgG10E/edit?usp=sharing"",""นครปฐม!R76"")+IMPORTRANGE(""https://docs.google.com/spreadsheets/d/1OYoGg4WDg5RIzwGeB10padOxJF9E_Vljuvvct_M7RDo/edit?usp=sharing"",""ปทุมธานี!R76"")+IMPORTRANGE(""https://docs.google.com/spreadsheets/d/1GbCIE4D4wk9FUo"&amp;"zzqk7SxfDMxDVBwVmI5zcaVUSzKAc/edit?usp=sharing"",""ประจวบคีรีขันธ์!R76"")+IMPORTRANGE(""https://docs.google.com/spreadsheets/d/1vVf6wykvW_lAyu7Yo9L4hUTqHqIeP_qcVuxCtosJEbg/edit?usp=sharing"",""ปราจีนบุรี!R76"")+IMPORTRANGE(""https://docs.google.com/spread"&amp;"sheets/d/1BIDqLLg5jk3v59G8NlR8rk5xfQDKne0sAvZHSj7TI6I/edit?usp=sharing"",""พระนครศรีอยุธยา!R76"")+IMPORTRANGE(""https://docs.google.com/spreadsheets/d/1YXvxf8Yu6_rV4hTBrwMqAcAnv6DfhUxh5emyM3CJp_w/edit?usp=sharing"",""เพชรบุรี!R76"")+IMPORTRANGE(""https://"&amp;"docs.google.com/spreadsheets/d/19KBlQQs7uwvsao6t2n-KvW3Ax8J8uRRfZPq1zPbXgKc/edit?usp=sharing"",""ระยอง!R76"")+IMPORTRANGE(""https://docs.google.com/spreadsheets/d/1jQ6P4QcrGM89YfqcC_PxOHGCMq5ezhucwJd8ci-NHng/edit?usp=sharing"",""ราชบุรี!R76"")+IMPORTRANGE"&amp;"(""https://docs.google.com/spreadsheets/d/1lufeA2cfFqM-elVq2hznhDzC6Pr7wkJ9ZG_sYNGCMCU/edit?usp=sharing"",""ลพบุรี!R76"")+IMPORTRANGE(""https://docs.google.com/spreadsheets/d/10oOiF7loTyfsTkbd4MpaIm0HQ9SwB7IYHdIUvt-U1Uc/edit?usp=sharing"",""สระแก้ว!R76"")"&amp;"+IMPORTRANGE(""https://docs.google.com/spreadsheets/d/1xmPlrr1QbdSIKvl1dWUl9K4PjAfSL9oeMr_37QVzcxc/edit?usp=sharing"",""สระบุรี!R76"")+IMPORTRANGE(""https://docs.google.com/spreadsheets/d/1j51vR6CYVGhABJpv6tkstgok82RLpXieLzW1yOY5rHw/edit?usp=sharing"",""ส"&amp;"ิงห์บุรี!R76"")+IMPORTRANGE(""https://docs.google.com/spreadsheets/d/1H1EalTWKUSzO4Z1-1CwzoDUaVffgrThEBe2sl74kKG0/edit?usp=sharing"",""สุพรรณบุรี!R76"")+IMPORTRANGE(""https://docs.google.com/spreadsheets/d/1BmIruG_sIrJLYao_Pdr7zVArWsfoBt2692TMi6x_854/edit"&amp;"?usp=sharing"",""อ่างทอง!R76"")"),0)</f>
        <v>0</v>
      </c>
      <c r="S76" s="75">
        <f ca="1">IFERROR(__xludf.DUMMYFUNCTION("IMPORTRANGE(""https://docs.google.com/spreadsheets/d/13wPX838HrBrQMCywv1BsuMkt4PEKTChp52zj44s2izQ/edit?usp=sharing"",""กาญจนบุรี!S76"")+IMPORTRANGE(""https://docs.google.com/spreadsheets/d/1ddFKvqj1W1NEiWytbGlB1zMx_ykJDVtmfEQ-6-lIUBA/edit?usp=sharing"","""&amp;"จันทบุรี!S76"")+IMPORTRANGE(""https://docs.google.com/spreadsheets/d/1T1PQvRODqOBZk8BRht_U031fIS1beLA0Ub2CEytj2q0/edit?usp=sharing"",""ฉะเชิงเทรา!S76"")+IMPORTRANGE(""https://docs.google.com/spreadsheets/d/11tr1B-Bhyr79v2bkwVh5h_fR-PStkgjlZtkrZpYurG0/edit"&amp;"?usp=sharing"",""ชลบุรี!S76"")+IMPORTRANGE(""https://docs.google.com/spreadsheets/d/1hh-FVnSX0vozXhGluamEcS54Dw9_zqW0N7qJUWgJ0Sw/edit?usp=sharing"",""ชัยนาท!S76"")+IMPORTRANGE(""https://docs.google.com/spreadsheets/d/1jkqa6GXxSacMcY1eN8AHjMNJ_7dDXMJVRLDla"&amp;"FSOdPM/edit?usp=sharing"",""ตราด!S76"")+IMPORTRANGE(""https://docs.google.com/spreadsheets/d/18hSgUJ3VwClqi_qtULmmW3cLr0oe3OKaSYoKzdpTsYQ/edit?usp=sharing"",""นครนายก!S76"")+IMPORTRANGE(""https://docs.google.com/spreadsheets/d/1YTZo6WM2dQ6Ix6FSdnL5P7uVnVK"&amp;"u40sxZu975tgG10E/edit?usp=sharing"",""นครปฐม!S76"")+IMPORTRANGE(""https://docs.google.com/spreadsheets/d/1OYoGg4WDg5RIzwGeB10padOxJF9E_Vljuvvct_M7RDo/edit?usp=sharing"",""ปทุมธานี!S76"")+IMPORTRANGE(""https://docs.google.com/spreadsheets/d/1GbCIE4D4wk9FUo"&amp;"zzqk7SxfDMxDVBwVmI5zcaVUSzKAc/edit?usp=sharing"",""ประจวบคีรีขันธ์!S76"")+IMPORTRANGE(""https://docs.google.com/spreadsheets/d/1vVf6wykvW_lAyu7Yo9L4hUTqHqIeP_qcVuxCtosJEbg/edit?usp=sharing"",""ปราจีนบุรี!S76"")+IMPORTRANGE(""https://docs.google.com/spread"&amp;"sheets/d/1BIDqLLg5jk3v59G8NlR8rk5xfQDKne0sAvZHSj7TI6I/edit?usp=sharing"",""พระนครศรีอยุธยา!S76"")+IMPORTRANGE(""https://docs.google.com/spreadsheets/d/1YXvxf8Yu6_rV4hTBrwMqAcAnv6DfhUxh5emyM3CJp_w/edit?usp=sharing"",""เพชรบุรี!S76"")+IMPORTRANGE(""https://"&amp;"docs.google.com/spreadsheets/d/19KBlQQs7uwvsao6t2n-KvW3Ax8J8uRRfZPq1zPbXgKc/edit?usp=sharing"",""ระยอง!S76"")+IMPORTRANGE(""https://docs.google.com/spreadsheets/d/1jQ6P4QcrGM89YfqcC_PxOHGCMq5ezhucwJd8ci-NHng/edit?usp=sharing"",""ราชบุรี!S76"")+IMPORTRANGE"&amp;"(""https://docs.google.com/spreadsheets/d/1lufeA2cfFqM-elVq2hznhDzC6Pr7wkJ9ZG_sYNGCMCU/edit?usp=sharing"",""ลพบุรี!S76"")+IMPORTRANGE(""https://docs.google.com/spreadsheets/d/10oOiF7loTyfsTkbd4MpaIm0HQ9SwB7IYHdIUvt-U1Uc/edit?usp=sharing"",""สระแก้ว!S76"")"&amp;"+IMPORTRANGE(""https://docs.google.com/spreadsheets/d/1xmPlrr1QbdSIKvl1dWUl9K4PjAfSL9oeMr_37QVzcxc/edit?usp=sharing"",""สระบุรี!S76"")+IMPORTRANGE(""https://docs.google.com/spreadsheets/d/1j51vR6CYVGhABJpv6tkstgok82RLpXieLzW1yOY5rHw/edit?usp=sharing"",""ส"&amp;"ิงห์บุรี!S76"")+IMPORTRANGE(""https://docs.google.com/spreadsheets/d/1H1EalTWKUSzO4Z1-1CwzoDUaVffgrThEBe2sl74kKG0/edit?usp=sharing"",""สุพรรณบุรี!S76"")+IMPORTRANGE(""https://docs.google.com/spreadsheets/d/1BmIruG_sIrJLYao_Pdr7zVArWsfoBt2692TMi6x_854/edit"&amp;"?usp=sharing"",""อ่างทอง!S76"")"),0)</f>
        <v>0</v>
      </c>
      <c r="T76" s="131">
        <f t="shared" ca="1" si="57"/>
        <v>0</v>
      </c>
      <c r="U76" s="131">
        <f t="shared" ca="1" si="58"/>
        <v>0</v>
      </c>
    </row>
    <row r="77" spans="1:21" ht="18.75" hidden="1" x14ac:dyDescent="0.25">
      <c r="A77" s="207"/>
      <c r="B77" s="65"/>
      <c r="C77" s="65"/>
      <c r="D77" s="65"/>
      <c r="E77" s="73" t="s">
        <v>37</v>
      </c>
      <c r="F77" s="65"/>
      <c r="G77" s="67"/>
      <c r="H77" s="216" t="s">
        <v>14</v>
      </c>
      <c r="I77" s="217"/>
      <c r="J77" s="217"/>
      <c r="K77" s="218"/>
      <c r="L77" s="86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1496300)</f>
        <v>1496300</v>
      </c>
      <c r="M77" s="86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1496300)</f>
        <v>1496300</v>
      </c>
      <c r="N77" s="86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1197876.2)</f>
        <v>1197876.2</v>
      </c>
      <c r="O77" s="86">
        <f t="shared" ca="1" si="54"/>
        <v>80.055884515137336</v>
      </c>
      <c r="P77" s="86">
        <f t="shared" ca="1" si="55"/>
        <v>80.055884515137336</v>
      </c>
      <c r="Q77" s="129">
        <f ca="1">IFERROR(__xludf.DUMMYFUNCTION("IMPORTRANGE(""https://docs.google.com/spreadsheets/d/13wPX838HrBrQMCywv1BsuMkt4PEKTChp52zj44s2izQ/edit?usp=sharing"",""กาญจนบุรี!Q77"")+IMPORTRANGE(""https://docs.google.com/spreadsheets/d/1ddFKvqj1W1NEiWytbGlB1zMx_ykJDVtmfEQ-6-lIUBA/edit?usp=sharing"","""&amp;"จันทบุรี!Q77"")+IMPORTRANGE(""https://docs.google.com/spreadsheets/d/1T1PQvRODqOBZk8BRht_U031fIS1beLA0Ub2CEytj2q0/edit?usp=sharing"",""ฉะเชิงเทรา!Q77"")+IMPORTRANGE(""https://docs.google.com/spreadsheets/d/11tr1B-Bhyr79v2bkwVh5h_fR-PStkgjlZtkrZpYurG0/edit"&amp;"?usp=sharing"",""ชลบุรี!Q77"")+IMPORTRANGE(""https://docs.google.com/spreadsheets/d/1hh-FVnSX0vozXhGluamEcS54Dw9_zqW0N7qJUWgJ0Sw/edit?usp=sharing"",""ชัยนาท!Q77"")+IMPORTRANGE(""https://docs.google.com/spreadsheets/d/1jkqa6GXxSacMcY1eN8AHjMNJ_7dDXMJVRLDla"&amp;"FSOdPM/edit?usp=sharing"",""ตราด!Q77"")+IMPORTRANGE(""https://docs.google.com/spreadsheets/d/18hSgUJ3VwClqi_qtULmmW3cLr0oe3OKaSYoKzdpTsYQ/edit?usp=sharing"",""นครนายก!Q77"")+IMPORTRANGE(""https://docs.google.com/spreadsheets/d/1YTZo6WM2dQ6Ix6FSdnL5P7uVnVK"&amp;"u40sxZu975tgG10E/edit?usp=sharing"",""นครปฐม!Q77"")+IMPORTRANGE(""https://docs.google.com/spreadsheets/d/1OYoGg4WDg5RIzwGeB10padOxJF9E_Vljuvvct_M7RDo/edit?usp=sharing"",""ปทุมธานี!Q77"")+IMPORTRANGE(""https://docs.google.com/spreadsheets/d/1GbCIE4D4wk9FUo"&amp;"zzqk7SxfDMxDVBwVmI5zcaVUSzKAc/edit?usp=sharing"",""ประจวบคีรีขันธ์!Q77"")+IMPORTRANGE(""https://docs.google.com/spreadsheets/d/1vVf6wykvW_lAyu7Yo9L4hUTqHqIeP_qcVuxCtosJEbg/edit?usp=sharing"",""ปราจีนบุรี!Q77"")+IMPORTRANGE(""https://docs.google.com/spread"&amp;"sheets/d/1BIDqLLg5jk3v59G8NlR8rk5xfQDKne0sAvZHSj7TI6I/edit?usp=sharing"",""พระนครศรีอยุธยา!Q77"")+IMPORTRANGE(""https://docs.google.com/spreadsheets/d/1YXvxf8Yu6_rV4hTBrwMqAcAnv6DfhUxh5emyM3CJp_w/edit?usp=sharing"",""เพชรบุรี!Q77"")+IMPORTRANGE(""https://"&amp;"docs.google.com/spreadsheets/d/19KBlQQs7uwvsao6t2n-KvW3Ax8J8uRRfZPq1zPbXgKc/edit?usp=sharing"",""ระยอง!Q77"")+IMPORTRANGE(""https://docs.google.com/spreadsheets/d/1jQ6P4QcrGM89YfqcC_PxOHGCMq5ezhucwJd8ci-NHng/edit?usp=sharing"",""ราชบุรี!Q77"")+IMPORTRANGE"&amp;"(""https://docs.google.com/spreadsheets/d/1lufeA2cfFqM-elVq2hznhDzC6Pr7wkJ9ZG_sYNGCMCU/edit?usp=sharing"",""ลพบุรี!Q77"")+IMPORTRANGE(""https://docs.google.com/spreadsheets/d/10oOiF7loTyfsTkbd4MpaIm0HQ9SwB7IYHdIUvt-U1Uc/edit?usp=sharing"",""สระแก้ว!Q77"")"&amp;"+IMPORTRANGE(""https://docs.google.com/spreadsheets/d/1xmPlrr1QbdSIKvl1dWUl9K4PjAfSL9oeMr_37QVzcxc/edit?usp=sharing"",""สระบุรี!Q77"")+IMPORTRANGE(""https://docs.google.com/spreadsheets/d/1j51vR6CYVGhABJpv6tkstgok82RLpXieLzW1yOY5rHw/edit?usp=sharing"",""ส"&amp;"ิงห์บุรี!Q77"")+IMPORTRANGE(""https://docs.google.com/spreadsheets/d/1H1EalTWKUSzO4Z1-1CwzoDUaVffgrThEBe2sl74kKG0/edit?usp=sharing"",""สุพรรณบุรี!Q77"")+IMPORTRANGE(""https://docs.google.com/spreadsheets/d/1BmIruG_sIrJLYao_Pdr7zVArWsfoBt2692TMi6x_854/edit"&amp;"?usp=sharing"",""อ่างทอง!Q77"")"),3430380)</f>
        <v>3430380</v>
      </c>
      <c r="R77" s="130">
        <f ca="1">IFERROR(__xludf.DUMMYFUNCTION("IMPORTRANGE(""https://docs.google.com/spreadsheets/d/13wPX838HrBrQMCywv1BsuMkt4PEKTChp52zj44s2izQ/edit?usp=sharing"",""กาญจนบุรี!R77"")+IMPORTRANGE(""https://docs.google.com/spreadsheets/d/1ddFKvqj1W1NEiWytbGlB1zMx_ykJDVtmfEQ-6-lIUBA/edit?usp=sharing"","""&amp;"จันทบุรี!R77"")+IMPORTRANGE(""https://docs.google.com/spreadsheets/d/1T1PQvRODqOBZk8BRht_U031fIS1beLA0Ub2CEytj2q0/edit?usp=sharing"",""ฉะเชิงเทรา!R77"")+IMPORTRANGE(""https://docs.google.com/spreadsheets/d/11tr1B-Bhyr79v2bkwVh5h_fR-PStkgjlZtkrZpYurG0/edit"&amp;"?usp=sharing"",""ชลบุรี!R77"")+IMPORTRANGE(""https://docs.google.com/spreadsheets/d/1hh-FVnSX0vozXhGluamEcS54Dw9_zqW0N7qJUWgJ0Sw/edit?usp=sharing"",""ชัยนาท!R77"")+IMPORTRANGE(""https://docs.google.com/spreadsheets/d/1jkqa6GXxSacMcY1eN8AHjMNJ_7dDXMJVRLDla"&amp;"FSOdPM/edit?usp=sharing"",""ตราด!R77"")+IMPORTRANGE(""https://docs.google.com/spreadsheets/d/18hSgUJ3VwClqi_qtULmmW3cLr0oe3OKaSYoKzdpTsYQ/edit?usp=sharing"",""นครนายก!R77"")+IMPORTRANGE(""https://docs.google.com/spreadsheets/d/1YTZo6WM2dQ6Ix6FSdnL5P7uVnVK"&amp;"u40sxZu975tgG10E/edit?usp=sharing"",""นครปฐม!R77"")+IMPORTRANGE(""https://docs.google.com/spreadsheets/d/1OYoGg4WDg5RIzwGeB10padOxJF9E_Vljuvvct_M7RDo/edit?usp=sharing"",""ปทุมธานี!R77"")+IMPORTRANGE(""https://docs.google.com/spreadsheets/d/1GbCIE4D4wk9FUo"&amp;"zzqk7SxfDMxDVBwVmI5zcaVUSzKAc/edit?usp=sharing"",""ประจวบคีรีขันธ์!R77"")+IMPORTRANGE(""https://docs.google.com/spreadsheets/d/1vVf6wykvW_lAyu7Yo9L4hUTqHqIeP_qcVuxCtosJEbg/edit?usp=sharing"",""ปราจีนบุรี!R77"")+IMPORTRANGE(""https://docs.google.com/spread"&amp;"sheets/d/1BIDqLLg5jk3v59G8NlR8rk5xfQDKne0sAvZHSj7TI6I/edit?usp=sharing"",""พระนครศรีอยุธยา!R77"")+IMPORTRANGE(""https://docs.google.com/spreadsheets/d/1YXvxf8Yu6_rV4hTBrwMqAcAnv6DfhUxh5emyM3CJp_w/edit?usp=sharing"",""เพชรบุรี!R77"")+IMPORTRANGE(""https://"&amp;"docs.google.com/spreadsheets/d/19KBlQQs7uwvsao6t2n-KvW3Ax8J8uRRfZPq1zPbXgKc/edit?usp=sharing"",""ระยอง!R77"")+IMPORTRANGE(""https://docs.google.com/spreadsheets/d/1jQ6P4QcrGM89YfqcC_PxOHGCMq5ezhucwJd8ci-NHng/edit?usp=sharing"",""ราชบุรี!R77"")+IMPORTRANGE"&amp;"(""https://docs.google.com/spreadsheets/d/1lufeA2cfFqM-elVq2hznhDzC6Pr7wkJ9ZG_sYNGCMCU/edit?usp=sharing"",""ลพบุรี!R77"")+IMPORTRANGE(""https://docs.google.com/spreadsheets/d/10oOiF7loTyfsTkbd4MpaIm0HQ9SwB7IYHdIUvt-U1Uc/edit?usp=sharing"",""สระแก้ว!R77"")"&amp;"+IMPORTRANGE(""https://docs.google.com/spreadsheets/d/1xmPlrr1QbdSIKvl1dWUl9K4PjAfSL9oeMr_37QVzcxc/edit?usp=sharing"",""สระบุรี!R77"")+IMPORTRANGE(""https://docs.google.com/spreadsheets/d/1j51vR6CYVGhABJpv6tkstgok82RLpXieLzW1yOY5rHw/edit?usp=sharing"",""ส"&amp;"ิงห์บุรี!R77"")+IMPORTRANGE(""https://docs.google.com/spreadsheets/d/1H1EalTWKUSzO4Z1-1CwzoDUaVffgrThEBe2sl74kKG0/edit?usp=sharing"",""สุพรรณบุรี!R77"")+IMPORTRANGE(""https://docs.google.com/spreadsheets/d/1BmIruG_sIrJLYao_Pdr7zVArWsfoBt2692TMi6x_854/edit"&amp;"?usp=sharing"",""อ่างทอง!R77"")"),3433620)</f>
        <v>3433620</v>
      </c>
      <c r="S77" s="130">
        <f ca="1">IFERROR(__xludf.DUMMYFUNCTION("IMPORTRANGE(""https://docs.google.com/spreadsheets/d/13wPX838HrBrQMCywv1BsuMkt4PEKTChp52zj44s2izQ/edit?usp=sharing"",""กาญจนบุรี!S77"")+IMPORTRANGE(""https://docs.google.com/spreadsheets/d/1ddFKvqj1W1NEiWytbGlB1zMx_ykJDVtmfEQ-6-lIUBA/edit?usp=sharing"","""&amp;"จันทบุรี!S77"")+IMPORTRANGE(""https://docs.google.com/spreadsheets/d/1T1PQvRODqOBZk8BRht_U031fIS1beLA0Ub2CEytj2q0/edit?usp=sharing"",""ฉะเชิงเทรา!S77"")+IMPORTRANGE(""https://docs.google.com/spreadsheets/d/11tr1B-Bhyr79v2bkwVh5h_fR-PStkgjlZtkrZpYurG0/edit"&amp;"?usp=sharing"",""ชลบุรี!S77"")+IMPORTRANGE(""https://docs.google.com/spreadsheets/d/1hh-FVnSX0vozXhGluamEcS54Dw9_zqW0N7qJUWgJ0Sw/edit?usp=sharing"",""ชัยนาท!S77"")+IMPORTRANGE(""https://docs.google.com/spreadsheets/d/1jkqa6GXxSacMcY1eN8AHjMNJ_7dDXMJVRLDla"&amp;"FSOdPM/edit?usp=sharing"",""ตราด!S77"")+IMPORTRANGE(""https://docs.google.com/spreadsheets/d/18hSgUJ3VwClqi_qtULmmW3cLr0oe3OKaSYoKzdpTsYQ/edit?usp=sharing"",""นครนายก!S77"")+IMPORTRANGE(""https://docs.google.com/spreadsheets/d/1YTZo6WM2dQ6Ix6FSdnL5P7uVnVK"&amp;"u40sxZu975tgG10E/edit?usp=sharing"",""นครปฐม!S77"")+IMPORTRANGE(""https://docs.google.com/spreadsheets/d/1OYoGg4WDg5RIzwGeB10padOxJF9E_Vljuvvct_M7RDo/edit?usp=sharing"",""ปทุมธานี!S77"")+IMPORTRANGE(""https://docs.google.com/spreadsheets/d/1GbCIE4D4wk9FUo"&amp;"zzqk7SxfDMxDVBwVmI5zcaVUSzKAc/edit?usp=sharing"",""ประจวบคีรีขันธ์!S77"")+IMPORTRANGE(""https://docs.google.com/spreadsheets/d/1vVf6wykvW_lAyu7Yo9L4hUTqHqIeP_qcVuxCtosJEbg/edit?usp=sharing"",""ปราจีนบุรี!S77"")+IMPORTRANGE(""https://docs.google.com/spread"&amp;"sheets/d/1BIDqLLg5jk3v59G8NlR8rk5xfQDKne0sAvZHSj7TI6I/edit?usp=sharing"",""พระนครศรีอยุธยา!S77"")+IMPORTRANGE(""https://docs.google.com/spreadsheets/d/1YXvxf8Yu6_rV4hTBrwMqAcAnv6DfhUxh5emyM3CJp_w/edit?usp=sharing"",""เพชรบุรี!S77"")+IMPORTRANGE(""https://"&amp;"docs.google.com/spreadsheets/d/19KBlQQs7uwvsao6t2n-KvW3Ax8J8uRRfZPq1zPbXgKc/edit?usp=sharing"",""ระยอง!S77"")+IMPORTRANGE(""https://docs.google.com/spreadsheets/d/1jQ6P4QcrGM89YfqcC_PxOHGCMq5ezhucwJd8ci-NHng/edit?usp=sharing"",""ราชบุรี!S77"")+IMPORTRANGE"&amp;"(""https://docs.google.com/spreadsheets/d/1lufeA2cfFqM-elVq2hznhDzC6Pr7wkJ9ZG_sYNGCMCU/edit?usp=sharing"",""ลพบุรี!S77"")+IMPORTRANGE(""https://docs.google.com/spreadsheets/d/10oOiF7loTyfsTkbd4MpaIm0HQ9SwB7IYHdIUvt-U1Uc/edit?usp=sharing"",""สระแก้ว!S77"")"&amp;"+IMPORTRANGE(""https://docs.google.com/spreadsheets/d/1xmPlrr1QbdSIKvl1dWUl9K4PjAfSL9oeMr_37QVzcxc/edit?usp=sharing"",""สระบุรี!S77"")+IMPORTRANGE(""https://docs.google.com/spreadsheets/d/1j51vR6CYVGhABJpv6tkstgok82RLpXieLzW1yOY5rHw/edit?usp=sharing"",""ส"&amp;"ิงห์บุรี!S77"")+IMPORTRANGE(""https://docs.google.com/spreadsheets/d/1H1EalTWKUSzO4Z1-1CwzoDUaVffgrThEBe2sl74kKG0/edit?usp=sharing"",""สุพรรณบุรี!S77"")+IMPORTRANGE(""https://docs.google.com/spreadsheets/d/1BmIruG_sIrJLYao_Pdr7zVArWsfoBt2692TMi6x_854/edit"&amp;"?usp=sharing"",""อ่างทอง!S77"")"),1404776)</f>
        <v>1404776</v>
      </c>
      <c r="T77" s="130">
        <f t="shared" ca="1" si="57"/>
        <v>40.951031664130504</v>
      </c>
      <c r="U77" s="130">
        <f t="shared" ca="1" si="58"/>
        <v>40.912389839294974</v>
      </c>
    </row>
    <row r="78" spans="1:21" ht="18.75" x14ac:dyDescent="0.25">
      <c r="A78" s="207"/>
      <c r="B78" s="65"/>
      <c r="C78" s="65"/>
      <c r="D78" s="66" t="s">
        <v>23</v>
      </c>
      <c r="E78" s="65"/>
      <c r="F78" s="65"/>
      <c r="G78" s="67"/>
      <c r="H78" s="219" t="s">
        <v>14</v>
      </c>
      <c r="I78" s="217"/>
      <c r="J78" s="217"/>
      <c r="K78" s="218"/>
      <c r="L78" s="86">
        <f t="shared" ref="L78:N78" ca="1" si="65">L79+L80</f>
        <v>0</v>
      </c>
      <c r="M78" s="86">
        <f t="shared" ca="1" si="65"/>
        <v>0</v>
      </c>
      <c r="N78" s="86">
        <f t="shared" ca="1" si="65"/>
        <v>0</v>
      </c>
      <c r="O78" s="86">
        <f t="shared" ca="1" si="54"/>
        <v>0</v>
      </c>
      <c r="P78" s="86">
        <f t="shared" ca="1" si="55"/>
        <v>0</v>
      </c>
      <c r="Q78" s="129">
        <f t="shared" ref="Q78:S78" ca="1" si="66">Q79+Q80</f>
        <v>909000</v>
      </c>
      <c r="R78" s="130">
        <f t="shared" ca="1" si="66"/>
        <v>909000</v>
      </c>
      <c r="S78" s="130">
        <f t="shared" ca="1" si="66"/>
        <v>0</v>
      </c>
      <c r="T78" s="130">
        <f t="shared" ca="1" si="57"/>
        <v>0</v>
      </c>
      <c r="U78" s="130">
        <f t="shared" ca="1" si="58"/>
        <v>0</v>
      </c>
    </row>
    <row r="79" spans="1:21" ht="18.75" hidden="1" x14ac:dyDescent="0.25">
      <c r="A79" s="207"/>
      <c r="B79" s="65"/>
      <c r="C79" s="65"/>
      <c r="D79" s="65"/>
      <c r="E79" s="73" t="s">
        <v>20</v>
      </c>
      <c r="F79" s="65"/>
      <c r="G79" s="67"/>
      <c r="H79" s="216" t="s">
        <v>14</v>
      </c>
      <c r="I79" s="217"/>
      <c r="J79" s="217"/>
      <c r="K79" s="218"/>
      <c r="L79" s="86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79" s="86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79" s="86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79" s="86">
        <f t="shared" ca="1" si="54"/>
        <v>0</v>
      </c>
      <c r="P79" s="86">
        <f t="shared" ca="1" si="55"/>
        <v>0</v>
      </c>
      <c r="Q79" s="74">
        <f ca="1">IFERROR(__xludf.DUMMYFUNCTION("IMPORTRANGE(""https://docs.google.com/spreadsheets/d/13wPX838HrBrQMCywv1BsuMkt4PEKTChp52zj44s2izQ/edit?usp=sharing"",""กาญจนบุรี!Q79"")+IMPORTRANGE(""https://docs.google.com/spreadsheets/d/1ddFKvqj1W1NEiWytbGlB1zMx_ykJDVtmfEQ-6-lIUBA/edit?usp=sharing"","""&amp;"จันทบุรี!Q79"")+IMPORTRANGE(""https://docs.google.com/spreadsheets/d/1T1PQvRODqOBZk8BRht_U031fIS1beLA0Ub2CEytj2q0/edit?usp=sharing"",""ฉะเชิงเทรา!Q79"")+IMPORTRANGE(""https://docs.google.com/spreadsheets/d/11tr1B-Bhyr79v2bkwVh5h_fR-PStkgjlZtkrZpYurG0/edit"&amp;"?usp=sharing"",""ชลบุรี!Q79"")+IMPORTRANGE(""https://docs.google.com/spreadsheets/d/1hh-FVnSX0vozXhGluamEcS54Dw9_zqW0N7qJUWgJ0Sw/edit?usp=sharing"",""ชัยนาท!Q79"")+IMPORTRANGE(""https://docs.google.com/spreadsheets/d/1jkqa6GXxSacMcY1eN8AHjMNJ_7dDXMJVRLDla"&amp;"FSOdPM/edit?usp=sharing"",""ตราด!Q79"")+IMPORTRANGE(""https://docs.google.com/spreadsheets/d/18hSgUJ3VwClqi_qtULmmW3cLr0oe3OKaSYoKzdpTsYQ/edit?usp=sharing"",""นครนายก!Q79"")+IMPORTRANGE(""https://docs.google.com/spreadsheets/d/1YTZo6WM2dQ6Ix6FSdnL5P7uVnVK"&amp;"u40sxZu975tgG10E/edit?usp=sharing"",""นครปฐม!Q79"")+IMPORTRANGE(""https://docs.google.com/spreadsheets/d/1OYoGg4WDg5RIzwGeB10padOxJF9E_Vljuvvct_M7RDo/edit?usp=sharing"",""ปทุมธานี!Q79"")+IMPORTRANGE(""https://docs.google.com/spreadsheets/d/1GbCIE4D4wk9FUo"&amp;"zzqk7SxfDMxDVBwVmI5zcaVUSzKAc/edit?usp=sharing"",""ประจวบคีรีขันธ์!Q79"")+IMPORTRANGE(""https://docs.google.com/spreadsheets/d/1vVf6wykvW_lAyu7Yo9L4hUTqHqIeP_qcVuxCtosJEbg/edit?usp=sharing"",""ปราจีนบุรี!Q79"")+IMPORTRANGE(""https://docs.google.com/spread"&amp;"sheets/d/1BIDqLLg5jk3v59G8NlR8rk5xfQDKne0sAvZHSj7TI6I/edit?usp=sharing"",""พระนครศรีอยุธยา!Q79"")+IMPORTRANGE(""https://docs.google.com/spreadsheets/d/1YXvxf8Yu6_rV4hTBrwMqAcAnv6DfhUxh5emyM3CJp_w/edit?usp=sharing"",""เพชรบุรี!Q79"")+IMPORTRANGE(""https://"&amp;"docs.google.com/spreadsheets/d/19KBlQQs7uwvsao6t2n-KvW3Ax8J8uRRfZPq1zPbXgKc/edit?usp=sharing"",""ระยอง!Q79"")+IMPORTRANGE(""https://docs.google.com/spreadsheets/d/1jQ6P4QcrGM89YfqcC_PxOHGCMq5ezhucwJd8ci-NHng/edit?usp=sharing"",""ราชบุรี!Q79"")+IMPORTRANGE"&amp;"(""https://docs.google.com/spreadsheets/d/1lufeA2cfFqM-elVq2hznhDzC6Pr7wkJ9ZG_sYNGCMCU/edit?usp=sharing"",""ลพบุรี!Q79"")+IMPORTRANGE(""https://docs.google.com/spreadsheets/d/10oOiF7loTyfsTkbd4MpaIm0HQ9SwB7IYHdIUvt-U1Uc/edit?usp=sharing"",""สระแก้ว!Q79"")"&amp;"+IMPORTRANGE(""https://docs.google.com/spreadsheets/d/1xmPlrr1QbdSIKvl1dWUl9K4PjAfSL9oeMr_37QVzcxc/edit?usp=sharing"",""สระบุรี!Q79"")+IMPORTRANGE(""https://docs.google.com/spreadsheets/d/1j51vR6CYVGhABJpv6tkstgok82RLpXieLzW1yOY5rHw/edit?usp=sharing"",""ส"&amp;"ิงห์บุรี!Q79"")+IMPORTRANGE(""https://docs.google.com/spreadsheets/d/1H1EalTWKUSzO4Z1-1CwzoDUaVffgrThEBe2sl74kKG0/edit?usp=sharing"",""สุพรรณบุรี!Q79"")+IMPORTRANGE(""https://docs.google.com/spreadsheets/d/1BmIruG_sIrJLYao_Pdr7zVArWsfoBt2692TMi6x_854/edit"&amp;"?usp=sharing"",""อ่างทอง!Q79"")"),0)</f>
        <v>0</v>
      </c>
      <c r="R79" s="72">
        <f ca="1">IFERROR(__xludf.DUMMYFUNCTION("IMPORTRANGE(""https://docs.google.com/spreadsheets/d/13wPX838HrBrQMCywv1BsuMkt4PEKTChp52zj44s2izQ/edit?usp=sharing"",""กาญจนบุรี!R79"")+IMPORTRANGE(""https://docs.google.com/spreadsheets/d/1ddFKvqj1W1NEiWytbGlB1zMx_ykJDVtmfEQ-6-lIUBA/edit?usp=sharing"","""&amp;"จันทบุรี!R79"")+IMPORTRANGE(""https://docs.google.com/spreadsheets/d/1T1PQvRODqOBZk8BRht_U031fIS1beLA0Ub2CEytj2q0/edit?usp=sharing"",""ฉะเชิงเทรา!R79"")+IMPORTRANGE(""https://docs.google.com/spreadsheets/d/11tr1B-Bhyr79v2bkwVh5h_fR-PStkgjlZtkrZpYurG0/edit"&amp;"?usp=sharing"",""ชลบุรี!R79"")+IMPORTRANGE(""https://docs.google.com/spreadsheets/d/1hh-FVnSX0vozXhGluamEcS54Dw9_zqW0N7qJUWgJ0Sw/edit?usp=sharing"",""ชัยนาท!R79"")+IMPORTRANGE(""https://docs.google.com/spreadsheets/d/1jkqa6GXxSacMcY1eN8AHjMNJ_7dDXMJVRLDla"&amp;"FSOdPM/edit?usp=sharing"",""ตราด!R79"")+IMPORTRANGE(""https://docs.google.com/spreadsheets/d/18hSgUJ3VwClqi_qtULmmW3cLr0oe3OKaSYoKzdpTsYQ/edit?usp=sharing"",""นครนายก!R79"")+IMPORTRANGE(""https://docs.google.com/spreadsheets/d/1YTZo6WM2dQ6Ix6FSdnL5P7uVnVK"&amp;"u40sxZu975tgG10E/edit?usp=sharing"",""นครปฐม!R79"")+IMPORTRANGE(""https://docs.google.com/spreadsheets/d/1OYoGg4WDg5RIzwGeB10padOxJF9E_Vljuvvct_M7RDo/edit?usp=sharing"",""ปทุมธานี!R79"")+IMPORTRANGE(""https://docs.google.com/spreadsheets/d/1GbCIE4D4wk9FUo"&amp;"zzqk7SxfDMxDVBwVmI5zcaVUSzKAc/edit?usp=sharing"",""ประจวบคีรีขันธ์!R79"")+IMPORTRANGE(""https://docs.google.com/spreadsheets/d/1vVf6wykvW_lAyu7Yo9L4hUTqHqIeP_qcVuxCtosJEbg/edit?usp=sharing"",""ปราจีนบุรี!R79"")+IMPORTRANGE(""https://docs.google.com/spread"&amp;"sheets/d/1BIDqLLg5jk3v59G8NlR8rk5xfQDKne0sAvZHSj7TI6I/edit?usp=sharing"",""พระนครศรีอยุธยา!R79"")+IMPORTRANGE(""https://docs.google.com/spreadsheets/d/1YXvxf8Yu6_rV4hTBrwMqAcAnv6DfhUxh5emyM3CJp_w/edit?usp=sharing"",""เพชรบุรี!R79"")+IMPORTRANGE(""https://"&amp;"docs.google.com/spreadsheets/d/19KBlQQs7uwvsao6t2n-KvW3Ax8J8uRRfZPq1zPbXgKc/edit?usp=sharing"",""ระยอง!R79"")+IMPORTRANGE(""https://docs.google.com/spreadsheets/d/1jQ6P4QcrGM89YfqcC_PxOHGCMq5ezhucwJd8ci-NHng/edit?usp=sharing"",""ราชบุรี!R79"")+IMPORTRANGE"&amp;"(""https://docs.google.com/spreadsheets/d/1lufeA2cfFqM-elVq2hznhDzC6Pr7wkJ9ZG_sYNGCMCU/edit?usp=sharing"",""ลพบุรี!R79"")+IMPORTRANGE(""https://docs.google.com/spreadsheets/d/10oOiF7loTyfsTkbd4MpaIm0HQ9SwB7IYHdIUvt-U1Uc/edit?usp=sharing"",""สระแก้ว!R79"")"&amp;"+IMPORTRANGE(""https://docs.google.com/spreadsheets/d/1xmPlrr1QbdSIKvl1dWUl9K4PjAfSL9oeMr_37QVzcxc/edit?usp=sharing"",""สระบุรี!R79"")+IMPORTRANGE(""https://docs.google.com/spreadsheets/d/1j51vR6CYVGhABJpv6tkstgok82RLpXieLzW1yOY5rHw/edit?usp=sharing"",""ส"&amp;"ิงห์บุรี!R79"")+IMPORTRANGE(""https://docs.google.com/spreadsheets/d/1H1EalTWKUSzO4Z1-1CwzoDUaVffgrThEBe2sl74kKG0/edit?usp=sharing"",""สุพรรณบุรี!R79"")+IMPORTRANGE(""https://docs.google.com/spreadsheets/d/1BmIruG_sIrJLYao_Pdr7zVArWsfoBt2692TMi6x_854/edit"&amp;"?usp=sharing"",""อ่างทอง!R79"")"),0)</f>
        <v>0</v>
      </c>
      <c r="S79" s="72">
        <f ca="1">IFERROR(__xludf.DUMMYFUNCTION("IMPORTRANGE(""https://docs.google.com/spreadsheets/d/13wPX838HrBrQMCywv1BsuMkt4PEKTChp52zj44s2izQ/edit?usp=sharing"",""กาญจนบุรี!S79"")+IMPORTRANGE(""https://docs.google.com/spreadsheets/d/1ddFKvqj1W1NEiWytbGlB1zMx_ykJDVtmfEQ-6-lIUBA/edit?usp=sharing"","""&amp;"จันทบุรี!S79"")+IMPORTRANGE(""https://docs.google.com/spreadsheets/d/1T1PQvRODqOBZk8BRht_U031fIS1beLA0Ub2CEytj2q0/edit?usp=sharing"",""ฉะเชิงเทรา!S79"")+IMPORTRANGE(""https://docs.google.com/spreadsheets/d/11tr1B-Bhyr79v2bkwVh5h_fR-PStkgjlZtkrZpYurG0/edit"&amp;"?usp=sharing"",""ชลบุรี!S79"")+IMPORTRANGE(""https://docs.google.com/spreadsheets/d/1hh-FVnSX0vozXhGluamEcS54Dw9_zqW0N7qJUWgJ0Sw/edit?usp=sharing"",""ชัยนาท!S79"")+IMPORTRANGE(""https://docs.google.com/spreadsheets/d/1jkqa6GXxSacMcY1eN8AHjMNJ_7dDXMJVRLDla"&amp;"FSOdPM/edit?usp=sharing"",""ตราด!S79"")+IMPORTRANGE(""https://docs.google.com/spreadsheets/d/18hSgUJ3VwClqi_qtULmmW3cLr0oe3OKaSYoKzdpTsYQ/edit?usp=sharing"",""นครนายก!S79"")+IMPORTRANGE(""https://docs.google.com/spreadsheets/d/1YTZo6WM2dQ6Ix6FSdnL5P7uVnVK"&amp;"u40sxZu975tgG10E/edit?usp=sharing"",""นครปฐม!S79"")+IMPORTRANGE(""https://docs.google.com/spreadsheets/d/1OYoGg4WDg5RIzwGeB10padOxJF9E_Vljuvvct_M7RDo/edit?usp=sharing"",""ปทุมธานี!S79"")+IMPORTRANGE(""https://docs.google.com/spreadsheets/d/1GbCIE4D4wk9FUo"&amp;"zzqk7SxfDMxDVBwVmI5zcaVUSzKAc/edit?usp=sharing"",""ประจวบคีรีขันธ์!S79"")+IMPORTRANGE(""https://docs.google.com/spreadsheets/d/1vVf6wykvW_lAyu7Yo9L4hUTqHqIeP_qcVuxCtosJEbg/edit?usp=sharing"",""ปราจีนบุรี!S79"")+IMPORTRANGE(""https://docs.google.com/spread"&amp;"sheets/d/1BIDqLLg5jk3v59G8NlR8rk5xfQDKne0sAvZHSj7TI6I/edit?usp=sharing"",""พระนครศรีอยุธยา!S79"")+IMPORTRANGE(""https://docs.google.com/spreadsheets/d/1YXvxf8Yu6_rV4hTBrwMqAcAnv6DfhUxh5emyM3CJp_w/edit?usp=sharing"",""เพชรบุรี!S79"")+IMPORTRANGE(""https://"&amp;"docs.google.com/spreadsheets/d/19KBlQQs7uwvsao6t2n-KvW3Ax8J8uRRfZPq1zPbXgKc/edit?usp=sharing"",""ระยอง!S79"")+IMPORTRANGE(""https://docs.google.com/spreadsheets/d/1jQ6P4QcrGM89YfqcC_PxOHGCMq5ezhucwJd8ci-NHng/edit?usp=sharing"",""ราชบุรี!S79"")+IMPORTRANGE"&amp;"(""https://docs.google.com/spreadsheets/d/1lufeA2cfFqM-elVq2hznhDzC6Pr7wkJ9ZG_sYNGCMCU/edit?usp=sharing"",""ลพบุรี!S79"")+IMPORTRANGE(""https://docs.google.com/spreadsheets/d/10oOiF7loTyfsTkbd4MpaIm0HQ9SwB7IYHdIUvt-U1Uc/edit?usp=sharing"",""สระแก้ว!S79"")"&amp;"+IMPORTRANGE(""https://docs.google.com/spreadsheets/d/1xmPlrr1QbdSIKvl1dWUl9K4PjAfSL9oeMr_37QVzcxc/edit?usp=sharing"",""สระบุรี!S79"")+IMPORTRANGE(""https://docs.google.com/spreadsheets/d/1j51vR6CYVGhABJpv6tkstgok82RLpXieLzW1yOY5rHw/edit?usp=sharing"",""ส"&amp;"ิงห์บุรี!S79"")+IMPORTRANGE(""https://docs.google.com/spreadsheets/d/1H1EalTWKUSzO4Z1-1CwzoDUaVffgrThEBe2sl74kKG0/edit?usp=sharing"",""สุพรรณบุรี!S79"")+IMPORTRANGE(""https://docs.google.com/spreadsheets/d/1BmIruG_sIrJLYao_Pdr7zVArWsfoBt2692TMi6x_854/edit"&amp;"?usp=sharing"",""อ่างทอง!S79"")"),0)</f>
        <v>0</v>
      </c>
      <c r="T79" s="131">
        <f t="shared" ca="1" si="57"/>
        <v>0</v>
      </c>
      <c r="U79" s="131">
        <f t="shared" ca="1" si="58"/>
        <v>0</v>
      </c>
    </row>
    <row r="80" spans="1:21" ht="18.75" hidden="1" x14ac:dyDescent="0.25">
      <c r="A80" s="207"/>
      <c r="B80" s="65"/>
      <c r="C80" s="65"/>
      <c r="D80" s="65"/>
      <c r="E80" s="73" t="s">
        <v>21</v>
      </c>
      <c r="F80" s="65"/>
      <c r="G80" s="67"/>
      <c r="H80" s="219" t="s">
        <v>14</v>
      </c>
      <c r="I80" s="217"/>
      <c r="J80" s="217"/>
      <c r="K80" s="218"/>
      <c r="L80" s="86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0" s="86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0" s="86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0" s="86">
        <f t="shared" ca="1" si="54"/>
        <v>0</v>
      </c>
      <c r="P80" s="86">
        <f t="shared" ca="1" si="55"/>
        <v>0</v>
      </c>
      <c r="Q80" s="71">
        <f ca="1">IFERROR(__xludf.DUMMYFUNCTION("IMPORTRANGE(""https://docs.google.com/spreadsheets/d/13wPX838HrBrQMCywv1BsuMkt4PEKTChp52zj44s2izQ/edit?usp=sharing"",""กาญจนบุรี!Q80"")+IMPORTRANGE(""https://docs.google.com/spreadsheets/d/1ddFKvqj1W1NEiWytbGlB1zMx_ykJDVtmfEQ-6-lIUBA/edit?usp=sharing"","""&amp;"จันทบุรี!Q80"")+IMPORTRANGE(""https://docs.google.com/spreadsheets/d/1T1PQvRODqOBZk8BRht_U031fIS1beLA0Ub2CEytj2q0/edit?usp=sharing"",""ฉะเชิงเทรา!Q80"")+IMPORTRANGE(""https://docs.google.com/spreadsheets/d/11tr1B-Bhyr79v2bkwVh5h_fR-PStkgjlZtkrZpYurG0/edit"&amp;"?usp=sharing"",""ชลบุรี!Q80"")+IMPORTRANGE(""https://docs.google.com/spreadsheets/d/1hh-FVnSX0vozXhGluamEcS54Dw9_zqW0N7qJUWgJ0Sw/edit?usp=sharing"",""ชัยนาท!Q80"")+IMPORTRANGE(""https://docs.google.com/spreadsheets/d/1jkqa6GXxSacMcY1eN8AHjMNJ_7dDXMJVRLDla"&amp;"FSOdPM/edit?usp=sharing"",""ตราด!Q80"")+IMPORTRANGE(""https://docs.google.com/spreadsheets/d/18hSgUJ3VwClqi_qtULmmW3cLr0oe3OKaSYoKzdpTsYQ/edit?usp=sharing"",""นครนายก!Q80"")+IMPORTRANGE(""https://docs.google.com/spreadsheets/d/1YTZo6WM2dQ6Ix6FSdnL5P7uVnVK"&amp;"u40sxZu975tgG10E/edit?usp=sharing"",""นครปฐม!Q80"")+IMPORTRANGE(""https://docs.google.com/spreadsheets/d/1OYoGg4WDg5RIzwGeB10padOxJF9E_Vljuvvct_M7RDo/edit?usp=sharing"",""ปทุมธานี!Q80"")+IMPORTRANGE(""https://docs.google.com/spreadsheets/d/1GbCIE4D4wk9FUo"&amp;"zzqk7SxfDMxDVBwVmI5zcaVUSzKAc/edit?usp=sharing"",""ประจวบคีรีขันธ์!Q80"")+IMPORTRANGE(""https://docs.google.com/spreadsheets/d/1vVf6wykvW_lAyu7Yo9L4hUTqHqIeP_qcVuxCtosJEbg/edit?usp=sharing"",""ปราจีนบุรี!Q80"")+IMPORTRANGE(""https://docs.google.com/spread"&amp;"sheets/d/1BIDqLLg5jk3v59G8NlR8rk5xfQDKne0sAvZHSj7TI6I/edit?usp=sharing"",""พระนครศรีอยุธยา!Q80"")+IMPORTRANGE(""https://docs.google.com/spreadsheets/d/1YXvxf8Yu6_rV4hTBrwMqAcAnv6DfhUxh5emyM3CJp_w/edit?usp=sharing"",""เพชรบุรี!Q80"")+IMPORTRANGE(""https://"&amp;"docs.google.com/spreadsheets/d/19KBlQQs7uwvsao6t2n-KvW3Ax8J8uRRfZPq1zPbXgKc/edit?usp=sharing"",""ระยอง!Q80"")+IMPORTRANGE(""https://docs.google.com/spreadsheets/d/1jQ6P4QcrGM89YfqcC_PxOHGCMq5ezhucwJd8ci-NHng/edit?usp=sharing"",""ราชบุรี!Q80"")+IMPORTRANGE"&amp;"(""https://docs.google.com/spreadsheets/d/1lufeA2cfFqM-elVq2hznhDzC6Pr7wkJ9ZG_sYNGCMCU/edit?usp=sharing"",""ลพบุรี!Q80"")+IMPORTRANGE(""https://docs.google.com/spreadsheets/d/10oOiF7loTyfsTkbd4MpaIm0HQ9SwB7IYHdIUvt-U1Uc/edit?usp=sharing"",""สระแก้ว!Q80"")"&amp;"+IMPORTRANGE(""https://docs.google.com/spreadsheets/d/1xmPlrr1QbdSIKvl1dWUl9K4PjAfSL9oeMr_37QVzcxc/edit?usp=sharing"",""สระบุรี!Q80"")+IMPORTRANGE(""https://docs.google.com/spreadsheets/d/1j51vR6CYVGhABJpv6tkstgok82RLpXieLzW1yOY5rHw/edit?usp=sharing"",""ส"&amp;"ิงห์บุรี!Q80"")+IMPORTRANGE(""https://docs.google.com/spreadsheets/d/1H1EalTWKUSzO4Z1-1CwzoDUaVffgrThEBe2sl74kKG0/edit?usp=sharing"",""สุพรรณบุรี!Q80"")+IMPORTRANGE(""https://docs.google.com/spreadsheets/d/1BmIruG_sIrJLYao_Pdr7zVArWsfoBt2692TMi6x_854/edit"&amp;"?usp=sharing"",""อ่างทอง!Q80"")"),909000)</f>
        <v>909000</v>
      </c>
      <c r="R80" s="72">
        <f ca="1">IFERROR(__xludf.DUMMYFUNCTION("IMPORTRANGE(""https://docs.google.com/spreadsheets/d/13wPX838HrBrQMCywv1BsuMkt4PEKTChp52zj44s2izQ/edit?usp=sharing"",""กาญจนบุรี!R80"")+IMPORTRANGE(""https://docs.google.com/spreadsheets/d/1ddFKvqj1W1NEiWytbGlB1zMx_ykJDVtmfEQ-6-lIUBA/edit?usp=sharing"","""&amp;"จันทบุรี!R80"")+IMPORTRANGE(""https://docs.google.com/spreadsheets/d/1T1PQvRODqOBZk8BRht_U031fIS1beLA0Ub2CEytj2q0/edit?usp=sharing"",""ฉะเชิงเทรา!R80"")+IMPORTRANGE(""https://docs.google.com/spreadsheets/d/11tr1B-Bhyr79v2bkwVh5h_fR-PStkgjlZtkrZpYurG0/edit"&amp;"?usp=sharing"",""ชลบุรี!R80"")+IMPORTRANGE(""https://docs.google.com/spreadsheets/d/1hh-FVnSX0vozXhGluamEcS54Dw9_zqW0N7qJUWgJ0Sw/edit?usp=sharing"",""ชัยนาท!R80"")+IMPORTRANGE(""https://docs.google.com/spreadsheets/d/1jkqa6GXxSacMcY1eN8AHjMNJ_7dDXMJVRLDla"&amp;"FSOdPM/edit?usp=sharing"",""ตราด!R80"")+IMPORTRANGE(""https://docs.google.com/spreadsheets/d/18hSgUJ3VwClqi_qtULmmW3cLr0oe3OKaSYoKzdpTsYQ/edit?usp=sharing"",""นครนายก!R80"")+IMPORTRANGE(""https://docs.google.com/spreadsheets/d/1YTZo6WM2dQ6Ix6FSdnL5P7uVnVK"&amp;"u40sxZu975tgG10E/edit?usp=sharing"",""นครปฐม!R80"")+IMPORTRANGE(""https://docs.google.com/spreadsheets/d/1OYoGg4WDg5RIzwGeB10padOxJF9E_Vljuvvct_M7RDo/edit?usp=sharing"",""ปทุมธานี!R80"")+IMPORTRANGE(""https://docs.google.com/spreadsheets/d/1GbCIE4D4wk9FUo"&amp;"zzqk7SxfDMxDVBwVmI5zcaVUSzKAc/edit?usp=sharing"",""ประจวบคีรีขันธ์!R80"")+IMPORTRANGE(""https://docs.google.com/spreadsheets/d/1vVf6wykvW_lAyu7Yo9L4hUTqHqIeP_qcVuxCtosJEbg/edit?usp=sharing"",""ปราจีนบุรี!R80"")+IMPORTRANGE(""https://docs.google.com/spread"&amp;"sheets/d/1BIDqLLg5jk3v59G8NlR8rk5xfQDKne0sAvZHSj7TI6I/edit?usp=sharing"",""พระนครศรีอยุธยา!R80"")+IMPORTRANGE(""https://docs.google.com/spreadsheets/d/1YXvxf8Yu6_rV4hTBrwMqAcAnv6DfhUxh5emyM3CJp_w/edit?usp=sharing"",""เพชรบุรี!R80"")+IMPORTRANGE(""https://"&amp;"docs.google.com/spreadsheets/d/19KBlQQs7uwvsao6t2n-KvW3Ax8J8uRRfZPq1zPbXgKc/edit?usp=sharing"",""ระยอง!R80"")+IMPORTRANGE(""https://docs.google.com/spreadsheets/d/1jQ6P4QcrGM89YfqcC_PxOHGCMq5ezhucwJd8ci-NHng/edit?usp=sharing"",""ราชบุรี!R80"")+IMPORTRANGE"&amp;"(""https://docs.google.com/spreadsheets/d/1lufeA2cfFqM-elVq2hznhDzC6Pr7wkJ9ZG_sYNGCMCU/edit?usp=sharing"",""ลพบุรี!R80"")+IMPORTRANGE(""https://docs.google.com/spreadsheets/d/10oOiF7loTyfsTkbd4MpaIm0HQ9SwB7IYHdIUvt-U1Uc/edit?usp=sharing"",""สระแก้ว!R80"")"&amp;"+IMPORTRANGE(""https://docs.google.com/spreadsheets/d/1xmPlrr1QbdSIKvl1dWUl9K4PjAfSL9oeMr_37QVzcxc/edit?usp=sharing"",""สระบุรี!R80"")+IMPORTRANGE(""https://docs.google.com/spreadsheets/d/1j51vR6CYVGhABJpv6tkstgok82RLpXieLzW1yOY5rHw/edit?usp=sharing"",""ส"&amp;"ิงห์บุรี!R80"")+IMPORTRANGE(""https://docs.google.com/spreadsheets/d/1H1EalTWKUSzO4Z1-1CwzoDUaVffgrThEBe2sl74kKG0/edit?usp=sharing"",""สุพรรณบุรี!R80"")+IMPORTRANGE(""https://docs.google.com/spreadsheets/d/1BmIruG_sIrJLYao_Pdr7zVArWsfoBt2692TMi6x_854/edit"&amp;"?usp=sharing"",""อ่างทอง!R80"")"),909000)</f>
        <v>909000</v>
      </c>
      <c r="S80" s="72">
        <f ca="1">IFERROR(__xludf.DUMMYFUNCTION("IMPORTRANGE(""https://docs.google.com/spreadsheets/d/13wPX838HrBrQMCywv1BsuMkt4PEKTChp52zj44s2izQ/edit?usp=sharing"",""กาญจนบุรี!S80"")+IMPORTRANGE(""https://docs.google.com/spreadsheets/d/1ddFKvqj1W1NEiWytbGlB1zMx_ykJDVtmfEQ-6-lIUBA/edit?usp=sharing"","""&amp;"จันทบุรี!S80"")+IMPORTRANGE(""https://docs.google.com/spreadsheets/d/1T1PQvRODqOBZk8BRht_U031fIS1beLA0Ub2CEytj2q0/edit?usp=sharing"",""ฉะเชิงเทรา!S80"")+IMPORTRANGE(""https://docs.google.com/spreadsheets/d/11tr1B-Bhyr79v2bkwVh5h_fR-PStkgjlZtkrZpYurG0/edit"&amp;"?usp=sharing"",""ชลบุรี!S80"")+IMPORTRANGE(""https://docs.google.com/spreadsheets/d/1hh-FVnSX0vozXhGluamEcS54Dw9_zqW0N7qJUWgJ0Sw/edit?usp=sharing"",""ชัยนาท!S80"")+IMPORTRANGE(""https://docs.google.com/spreadsheets/d/1jkqa6GXxSacMcY1eN8AHjMNJ_7dDXMJVRLDla"&amp;"FSOdPM/edit?usp=sharing"",""ตราด!S80"")+IMPORTRANGE(""https://docs.google.com/spreadsheets/d/18hSgUJ3VwClqi_qtULmmW3cLr0oe3OKaSYoKzdpTsYQ/edit?usp=sharing"",""นครนายก!S80"")+IMPORTRANGE(""https://docs.google.com/spreadsheets/d/1YTZo6WM2dQ6Ix6FSdnL5P7uVnVK"&amp;"u40sxZu975tgG10E/edit?usp=sharing"",""นครปฐม!S80"")+IMPORTRANGE(""https://docs.google.com/spreadsheets/d/1OYoGg4WDg5RIzwGeB10padOxJF9E_Vljuvvct_M7RDo/edit?usp=sharing"",""ปทุมธานี!S80"")+IMPORTRANGE(""https://docs.google.com/spreadsheets/d/1GbCIE4D4wk9FUo"&amp;"zzqk7SxfDMxDVBwVmI5zcaVUSzKAc/edit?usp=sharing"",""ประจวบคีรีขันธ์!S80"")+IMPORTRANGE(""https://docs.google.com/spreadsheets/d/1vVf6wykvW_lAyu7Yo9L4hUTqHqIeP_qcVuxCtosJEbg/edit?usp=sharing"",""ปราจีนบุรี!S80"")+IMPORTRANGE(""https://docs.google.com/spread"&amp;"sheets/d/1BIDqLLg5jk3v59G8NlR8rk5xfQDKne0sAvZHSj7TI6I/edit?usp=sharing"",""พระนครศรีอยุธยา!S80"")+IMPORTRANGE(""https://docs.google.com/spreadsheets/d/1YXvxf8Yu6_rV4hTBrwMqAcAnv6DfhUxh5emyM3CJp_w/edit?usp=sharing"",""เพชรบุรี!S80"")+IMPORTRANGE(""https://"&amp;"docs.google.com/spreadsheets/d/19KBlQQs7uwvsao6t2n-KvW3Ax8J8uRRfZPq1zPbXgKc/edit?usp=sharing"",""ระยอง!S80"")+IMPORTRANGE(""https://docs.google.com/spreadsheets/d/1jQ6P4QcrGM89YfqcC_PxOHGCMq5ezhucwJd8ci-NHng/edit?usp=sharing"",""ราชบุรี!S80"")+IMPORTRANGE"&amp;"(""https://docs.google.com/spreadsheets/d/1lufeA2cfFqM-elVq2hznhDzC6Pr7wkJ9ZG_sYNGCMCU/edit?usp=sharing"",""ลพบุรี!S80"")+IMPORTRANGE(""https://docs.google.com/spreadsheets/d/10oOiF7loTyfsTkbd4MpaIm0HQ9SwB7IYHdIUvt-U1Uc/edit?usp=sharing"",""สระแก้ว!S80"")"&amp;"+IMPORTRANGE(""https://docs.google.com/spreadsheets/d/1xmPlrr1QbdSIKvl1dWUl9K4PjAfSL9oeMr_37QVzcxc/edit?usp=sharing"",""สระบุรี!S80"")+IMPORTRANGE(""https://docs.google.com/spreadsheets/d/1j51vR6CYVGhABJpv6tkstgok82RLpXieLzW1yOY5rHw/edit?usp=sharing"",""ส"&amp;"ิงห์บุรี!S80"")+IMPORTRANGE(""https://docs.google.com/spreadsheets/d/1H1EalTWKUSzO4Z1-1CwzoDUaVffgrThEBe2sl74kKG0/edit?usp=sharing"",""สุพรรณบุรี!S80"")+IMPORTRANGE(""https://docs.google.com/spreadsheets/d/1BmIruG_sIrJLYao_Pdr7zVArWsfoBt2692TMi6x_854/edit"&amp;"?usp=sharing"",""อ่างทอง!S80"")"),0)</f>
        <v>0</v>
      </c>
      <c r="T80" s="130">
        <f t="shared" ca="1" si="57"/>
        <v>0</v>
      </c>
      <c r="U80" s="130">
        <f t="shared" ca="1" si="58"/>
        <v>0</v>
      </c>
    </row>
    <row r="81" spans="1:21" ht="19.5" x14ac:dyDescent="0.3">
      <c r="A81" s="220"/>
      <c r="B81" s="221"/>
      <c r="C81" s="208" t="s">
        <v>18</v>
      </c>
      <c r="D81" s="222" t="s">
        <v>38</v>
      </c>
      <c r="E81" s="223"/>
      <c r="F81" s="223"/>
      <c r="G81" s="224"/>
      <c r="H81" s="225"/>
      <c r="I81" s="217"/>
      <c r="J81" s="217"/>
      <c r="K81" s="218"/>
      <c r="L81" s="218"/>
      <c r="M81" s="218"/>
      <c r="N81" s="218"/>
      <c r="O81" s="218"/>
      <c r="P81" s="218"/>
      <c r="Q81" s="226"/>
      <c r="R81" s="227"/>
      <c r="S81" s="227"/>
      <c r="T81" s="227"/>
      <c r="U81" s="227"/>
    </row>
    <row r="82" spans="1:21" ht="19.5" x14ac:dyDescent="0.3">
      <c r="A82" s="220"/>
      <c r="B82" s="221"/>
      <c r="C82" s="221"/>
      <c r="D82" s="228" t="s">
        <v>39</v>
      </c>
      <c r="E82" s="229"/>
      <c r="F82" s="229"/>
      <c r="G82" s="225"/>
      <c r="H82" s="230" t="s">
        <v>34</v>
      </c>
      <c r="I82" s="231">
        <f t="shared" ref="I82:J82" ca="1" si="67">I84+I86+I88</f>
        <v>7</v>
      </c>
      <c r="J82" s="231">
        <f t="shared" ca="1" si="67"/>
        <v>4</v>
      </c>
      <c r="K82" s="232">
        <f t="shared" ref="K82:K90" ca="1" si="68">IF(I82&gt;0,J82*100/I82,0)</f>
        <v>57.142857142857146</v>
      </c>
      <c r="L82" s="218"/>
      <c r="M82" s="218"/>
      <c r="N82" s="218"/>
      <c r="O82" s="218"/>
      <c r="P82" s="218"/>
      <c r="Q82" s="226"/>
      <c r="R82" s="227"/>
      <c r="S82" s="227"/>
      <c r="T82" s="227"/>
      <c r="U82" s="227"/>
    </row>
    <row r="83" spans="1:21" ht="19.5" x14ac:dyDescent="0.3">
      <c r="A83" s="220"/>
      <c r="B83" s="221"/>
      <c r="C83" s="221"/>
      <c r="D83" s="221"/>
      <c r="E83" s="229"/>
      <c r="F83" s="229"/>
      <c r="G83" s="225"/>
      <c r="H83" s="230" t="s">
        <v>35</v>
      </c>
      <c r="I83" s="233">
        <f t="shared" ref="I83:J83" ca="1" si="69">I85+I87+I89</f>
        <v>340</v>
      </c>
      <c r="J83" s="231">
        <f t="shared" ca="1" si="69"/>
        <v>196</v>
      </c>
      <c r="K83" s="232">
        <f t="shared" ca="1" si="68"/>
        <v>57.647058823529413</v>
      </c>
      <c r="L83" s="218"/>
      <c r="M83" s="218"/>
      <c r="N83" s="218"/>
      <c r="O83" s="218"/>
      <c r="P83" s="218"/>
      <c r="Q83" s="226"/>
      <c r="R83" s="227"/>
      <c r="S83" s="227"/>
      <c r="T83" s="227"/>
      <c r="U83" s="227"/>
    </row>
    <row r="84" spans="1:21" ht="18.75" x14ac:dyDescent="0.25">
      <c r="A84" s="220"/>
      <c r="B84" s="221"/>
      <c r="C84" s="221"/>
      <c r="D84" s="221"/>
      <c r="E84" s="234" t="s">
        <v>40</v>
      </c>
      <c r="F84" s="229"/>
      <c r="G84" s="225"/>
      <c r="H84" s="235" t="s">
        <v>34</v>
      </c>
      <c r="I84" s="236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1)</f>
        <v>1</v>
      </c>
      <c r="J84" s="237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2)</f>
        <v>2</v>
      </c>
      <c r="K84" s="238">
        <f t="shared" ca="1" si="68"/>
        <v>200</v>
      </c>
      <c r="L84" s="218"/>
      <c r="M84" s="218"/>
      <c r="N84" s="218"/>
      <c r="O84" s="218"/>
      <c r="P84" s="218"/>
      <c r="Q84" s="226"/>
      <c r="R84" s="227"/>
      <c r="S84" s="227"/>
      <c r="T84" s="227"/>
      <c r="U84" s="227"/>
    </row>
    <row r="85" spans="1:21" ht="18.75" x14ac:dyDescent="0.25">
      <c r="A85" s="220"/>
      <c r="B85" s="221"/>
      <c r="C85" s="221"/>
      <c r="D85" s="221"/>
      <c r="E85" s="229"/>
      <c r="F85" s="229"/>
      <c r="G85" s="225"/>
      <c r="H85" s="235" t="s">
        <v>35</v>
      </c>
      <c r="I85" s="239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50)</f>
        <v>50</v>
      </c>
      <c r="J85" s="237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111)</f>
        <v>111</v>
      </c>
      <c r="K85" s="238">
        <f t="shared" ca="1" si="68"/>
        <v>222</v>
      </c>
      <c r="L85" s="218"/>
      <c r="M85" s="218"/>
      <c r="N85" s="218"/>
      <c r="O85" s="218"/>
      <c r="P85" s="218"/>
      <c r="Q85" s="226"/>
      <c r="R85" s="227"/>
      <c r="S85" s="227"/>
      <c r="T85" s="227"/>
      <c r="U85" s="227"/>
    </row>
    <row r="86" spans="1:21" ht="18.75" x14ac:dyDescent="0.25">
      <c r="A86" s="220"/>
      <c r="B86" s="221"/>
      <c r="C86" s="221"/>
      <c r="D86" s="221"/>
      <c r="E86" s="234" t="s">
        <v>41</v>
      </c>
      <c r="F86" s="229"/>
      <c r="G86" s="225"/>
      <c r="H86" s="235" t="s">
        <v>34</v>
      </c>
      <c r="I86" s="239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4)</f>
        <v>4</v>
      </c>
      <c r="J86" s="237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1)</f>
        <v>1</v>
      </c>
      <c r="K86" s="238">
        <f t="shared" ca="1" si="68"/>
        <v>25</v>
      </c>
      <c r="L86" s="218"/>
      <c r="M86" s="218"/>
      <c r="N86" s="218"/>
      <c r="O86" s="218"/>
      <c r="P86" s="218"/>
      <c r="Q86" s="226"/>
      <c r="R86" s="227"/>
      <c r="S86" s="227"/>
      <c r="T86" s="227"/>
      <c r="U86" s="227"/>
    </row>
    <row r="87" spans="1:21" ht="18.75" x14ac:dyDescent="0.25">
      <c r="A87" s="220"/>
      <c r="B87" s="221"/>
      <c r="C87" s="221"/>
      <c r="D87" s="221"/>
      <c r="E87" s="229"/>
      <c r="F87" s="229"/>
      <c r="G87" s="225"/>
      <c r="H87" s="235" t="s">
        <v>35</v>
      </c>
      <c r="I87" s="239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170)</f>
        <v>170</v>
      </c>
      <c r="J87" s="237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34)</f>
        <v>34</v>
      </c>
      <c r="K87" s="238">
        <f t="shared" ca="1" si="68"/>
        <v>20</v>
      </c>
      <c r="L87" s="218"/>
      <c r="M87" s="218"/>
      <c r="N87" s="218"/>
      <c r="O87" s="218"/>
      <c r="P87" s="218"/>
      <c r="Q87" s="226"/>
      <c r="R87" s="227"/>
      <c r="S87" s="227"/>
      <c r="T87" s="227"/>
      <c r="U87" s="227"/>
    </row>
    <row r="88" spans="1:21" ht="18.75" x14ac:dyDescent="0.25">
      <c r="A88" s="220"/>
      <c r="B88" s="221"/>
      <c r="C88" s="221"/>
      <c r="D88" s="221"/>
      <c r="E88" s="234" t="s">
        <v>42</v>
      </c>
      <c r="F88" s="229"/>
      <c r="G88" s="225"/>
      <c r="H88" s="235" t="s">
        <v>34</v>
      </c>
      <c r="I88" s="239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8" s="237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1)</f>
        <v>1</v>
      </c>
      <c r="K88" s="238">
        <f t="shared" ca="1" si="68"/>
        <v>50</v>
      </c>
      <c r="L88" s="218"/>
      <c r="M88" s="218"/>
      <c r="N88" s="218"/>
      <c r="O88" s="218"/>
      <c r="P88" s="218"/>
      <c r="Q88" s="226"/>
      <c r="R88" s="227"/>
      <c r="S88" s="227"/>
      <c r="T88" s="227"/>
      <c r="U88" s="227"/>
    </row>
    <row r="89" spans="1:21" ht="18.75" x14ac:dyDescent="0.25">
      <c r="A89" s="220"/>
      <c r="B89" s="221"/>
      <c r="C89" s="221"/>
      <c r="D89" s="221"/>
      <c r="E89" s="229"/>
      <c r="F89" s="229"/>
      <c r="G89" s="225"/>
      <c r="H89" s="235" t="s">
        <v>35</v>
      </c>
      <c r="I89" s="239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89" s="237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51)</f>
        <v>51</v>
      </c>
      <c r="K89" s="238">
        <f t="shared" ca="1" si="68"/>
        <v>42.5</v>
      </c>
      <c r="L89" s="218"/>
      <c r="M89" s="218"/>
      <c r="N89" s="218"/>
      <c r="O89" s="218"/>
      <c r="P89" s="218"/>
      <c r="Q89" s="226"/>
      <c r="R89" s="227"/>
      <c r="S89" s="227"/>
      <c r="T89" s="227"/>
      <c r="U89" s="227"/>
    </row>
    <row r="90" spans="1:21" ht="18.75" x14ac:dyDescent="0.25">
      <c r="A90" s="220"/>
      <c r="B90" s="221"/>
      <c r="C90" s="221"/>
      <c r="D90" s="228" t="s">
        <v>43</v>
      </c>
      <c r="E90" s="229"/>
      <c r="F90" s="229"/>
      <c r="G90" s="225"/>
      <c r="H90" s="240" t="s">
        <v>34</v>
      </c>
      <c r="I90" s="239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7)</f>
        <v>7</v>
      </c>
      <c r="J90" s="237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1)</f>
        <v>1</v>
      </c>
      <c r="K90" s="238">
        <f t="shared" ca="1" si="68"/>
        <v>14.285714285714286</v>
      </c>
      <c r="L90" s="218"/>
      <c r="M90" s="218"/>
      <c r="N90" s="218"/>
      <c r="O90" s="218"/>
      <c r="P90" s="218"/>
      <c r="Q90" s="226"/>
      <c r="R90" s="227"/>
      <c r="S90" s="227"/>
      <c r="T90" s="227"/>
      <c r="U90" s="227"/>
    </row>
    <row r="91" spans="1:21" ht="19.5" x14ac:dyDescent="0.3">
      <c r="A91" s="241" t="s">
        <v>44</v>
      </c>
      <c r="B91" s="242"/>
      <c r="C91" s="243"/>
      <c r="D91" s="242"/>
      <c r="E91" s="242"/>
      <c r="F91" s="242"/>
      <c r="G91" s="244"/>
      <c r="H91" s="245"/>
      <c r="I91" s="246"/>
      <c r="J91" s="246"/>
      <c r="K91" s="247"/>
      <c r="L91" s="247"/>
      <c r="M91" s="247"/>
      <c r="N91" s="247"/>
      <c r="O91" s="247"/>
      <c r="P91" s="247"/>
      <c r="Q91" s="198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t="shared" ref="I92:J92" ca="1" si="70">I108</f>
        <v>381</v>
      </c>
      <c r="J92" s="254">
        <f t="shared" ca="1" si="70"/>
        <v>183</v>
      </c>
      <c r="K92" s="57">
        <f t="shared" ref="K92:K93" ca="1" si="71">IF(I92&gt;0,J92*100/I92,0)</f>
        <v>48.031496062992126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t="shared" ref="I93:J93" ca="1" si="72">I109</f>
        <v>127</v>
      </c>
      <c r="J93" s="254">
        <f t="shared" ca="1" si="72"/>
        <v>61</v>
      </c>
      <c r="K93" s="57">
        <f t="shared" ca="1" si="71"/>
        <v>48.031496062992126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t="shared" ref="L94:N94" ca="1" si="73">L95+L96</f>
        <v>215620</v>
      </c>
      <c r="M94" s="262">
        <f t="shared" ca="1" si="73"/>
        <v>215620</v>
      </c>
      <c r="N94" s="262">
        <f t="shared" ca="1" si="73"/>
        <v>178419.5</v>
      </c>
      <c r="O94" s="262">
        <f t="shared" ref="O94:O102" ca="1" si="74">IF(L94&gt;0,N94*100/L94,0)</f>
        <v>82.747194137835081</v>
      </c>
      <c r="P94" s="262">
        <f t="shared" ref="P94:P102" ca="1" si="75">IF(M94&gt;0,N94*100/M94,0)</f>
        <v>82.747194137835081</v>
      </c>
      <c r="Q94" s="212">
        <f t="shared" ref="Q94:S94" ca="1" si="76">Q95+Q96</f>
        <v>985954</v>
      </c>
      <c r="R94" s="213">
        <f t="shared" ca="1" si="76"/>
        <v>985954</v>
      </c>
      <c r="S94" s="213">
        <f t="shared" ca="1" si="76"/>
        <v>383345</v>
      </c>
      <c r="T94" s="213">
        <f t="shared" ref="T94:T102" ca="1" si="77">IF(Q94&gt;0,S94*100/Q94,0)</f>
        <v>38.880617148467373</v>
      </c>
      <c r="U94" s="213">
        <f t="shared" ref="U94:U102" ca="1" si="78">IF(R94&gt;0,S94*100/R94,0)</f>
        <v>38.880617148467373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 t="shared" ref="L95:N95" ca="1" si="79">L98+L101</f>
        <v>0</v>
      </c>
      <c r="M95" s="75">
        <f t="shared" ca="1" si="79"/>
        <v>0</v>
      </c>
      <c r="N95" s="75">
        <f t="shared" ca="1" si="79"/>
        <v>0</v>
      </c>
      <c r="O95" s="75">
        <f t="shared" ca="1" si="74"/>
        <v>0</v>
      </c>
      <c r="P95" s="75">
        <f t="shared" ca="1" si="75"/>
        <v>0</v>
      </c>
      <c r="Q95" s="215">
        <f t="shared" ref="Q95:S95" ca="1" si="80">Q98+Q101</f>
        <v>0</v>
      </c>
      <c r="R95" s="131">
        <f t="shared" ca="1" si="80"/>
        <v>0</v>
      </c>
      <c r="S95" s="131">
        <f t="shared" ca="1" si="80"/>
        <v>0</v>
      </c>
      <c r="T95" s="131">
        <f t="shared" ca="1" si="77"/>
        <v>0</v>
      </c>
      <c r="U95" s="131">
        <f t="shared" ca="1" si="78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t="shared" ref="L96:N96" ca="1" si="81">L99+L102</f>
        <v>215620</v>
      </c>
      <c r="M96" s="72">
        <f t="shared" ca="1" si="81"/>
        <v>215620</v>
      </c>
      <c r="N96" s="72">
        <f t="shared" ca="1" si="81"/>
        <v>178419.5</v>
      </c>
      <c r="O96" s="72">
        <f t="shared" ca="1" si="74"/>
        <v>82.747194137835081</v>
      </c>
      <c r="P96" s="72">
        <f t="shared" ca="1" si="75"/>
        <v>82.747194137835081</v>
      </c>
      <c r="Q96" s="129">
        <f t="shared" ref="Q96:S96" ca="1" si="82">Q99+Q102</f>
        <v>985954</v>
      </c>
      <c r="R96" s="130">
        <f t="shared" ca="1" si="82"/>
        <v>985954</v>
      </c>
      <c r="S96" s="130">
        <f t="shared" ca="1" si="82"/>
        <v>383345</v>
      </c>
      <c r="T96" s="130">
        <f t="shared" ca="1" si="77"/>
        <v>38.880617148467373</v>
      </c>
      <c r="U96" s="130">
        <f t="shared" ca="1" si="78"/>
        <v>38.880617148467373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t="shared" ref="L97:N97" ca="1" si="83">L98+L99</f>
        <v>215620</v>
      </c>
      <c r="M97" s="72">
        <f t="shared" ca="1" si="83"/>
        <v>215620</v>
      </c>
      <c r="N97" s="72">
        <f t="shared" ca="1" si="83"/>
        <v>178419.5</v>
      </c>
      <c r="O97" s="72">
        <f t="shared" ca="1" si="74"/>
        <v>82.747194137835081</v>
      </c>
      <c r="P97" s="72">
        <f t="shared" ca="1" si="75"/>
        <v>82.747194137835081</v>
      </c>
      <c r="Q97" s="129">
        <f t="shared" ref="Q97:S97" ca="1" si="84">Q98+Q99</f>
        <v>985954</v>
      </c>
      <c r="R97" s="130">
        <f t="shared" ca="1" si="84"/>
        <v>985954</v>
      </c>
      <c r="S97" s="130">
        <f t="shared" ca="1" si="84"/>
        <v>383345</v>
      </c>
      <c r="T97" s="130">
        <f t="shared" ca="1" si="77"/>
        <v>38.880617148467373</v>
      </c>
      <c r="U97" s="130">
        <f t="shared" ca="1" si="78"/>
        <v>38.880617148467373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8" s="75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8" s="75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8" s="75">
        <f t="shared" ca="1" si="74"/>
        <v>0</v>
      </c>
      <c r="P98" s="75">
        <f t="shared" ca="1" si="75"/>
        <v>0</v>
      </c>
      <c r="Q98" s="74">
        <f ca="1">IFERROR(__xludf.DUMMYFUNCTION("IMPORTRANGE(""https://docs.google.com/spreadsheets/d/13wPX838HrBrQMCywv1BsuMkt4PEKTChp52zj44s2izQ/edit?usp=sharing"",""กาญจนบุรี!Q98"")+IMPORTRANGE(""https://docs.google.com/spreadsheets/d/1ddFKvqj1W1NEiWytbGlB1zMx_ykJDVtmfEQ-6-lIUBA/edit?usp=sharing"","""&amp;"จันทบุรี!Q98"")+IMPORTRANGE(""https://docs.google.com/spreadsheets/d/1T1PQvRODqOBZk8BRht_U031fIS1beLA0Ub2CEytj2q0/edit?usp=sharing"",""ฉะเชิงเทรา!Q98"")+IMPORTRANGE(""https://docs.google.com/spreadsheets/d/11tr1B-Bhyr79v2bkwVh5h_fR-PStkgjlZtkrZpYurG0/edit"&amp;"?usp=sharing"",""ชลบุรี!Q98"")+IMPORTRANGE(""https://docs.google.com/spreadsheets/d/1hh-FVnSX0vozXhGluamEcS54Dw9_zqW0N7qJUWgJ0Sw/edit?usp=sharing"",""ชัยนาท!Q98"")+IMPORTRANGE(""https://docs.google.com/spreadsheets/d/1jkqa6GXxSacMcY1eN8AHjMNJ_7dDXMJVRLDla"&amp;"FSOdPM/edit?usp=sharing"",""ตราด!Q98"")+IMPORTRANGE(""https://docs.google.com/spreadsheets/d/18hSgUJ3VwClqi_qtULmmW3cLr0oe3OKaSYoKzdpTsYQ/edit?usp=sharing"",""นครนายก!Q98"")+IMPORTRANGE(""https://docs.google.com/spreadsheets/d/1YTZo6WM2dQ6Ix6FSdnL5P7uVnVK"&amp;"u40sxZu975tgG10E/edit?usp=sharing"",""นครปฐม!Q98"")+IMPORTRANGE(""https://docs.google.com/spreadsheets/d/1OYoGg4WDg5RIzwGeB10padOxJF9E_Vljuvvct_M7RDo/edit?usp=sharing"",""ปทุมธานี!Q98"")+IMPORTRANGE(""https://docs.google.com/spreadsheets/d/1GbCIE4D4wk9FUo"&amp;"zzqk7SxfDMxDVBwVmI5zcaVUSzKAc/edit?usp=sharing"",""ประจวบคีรีขันธ์!Q98"")+IMPORTRANGE(""https://docs.google.com/spreadsheets/d/1vVf6wykvW_lAyu7Yo9L4hUTqHqIeP_qcVuxCtosJEbg/edit?usp=sharing"",""ปราจีนบุรี!Q98"")+IMPORTRANGE(""https://docs.google.com/spread"&amp;"sheets/d/1BIDqLLg5jk3v59G8NlR8rk5xfQDKne0sAvZHSj7TI6I/edit?usp=sharing"",""พระนครศรีอยุธยา!Q98"")+IMPORTRANGE(""https://docs.google.com/spreadsheets/d/1YXvxf8Yu6_rV4hTBrwMqAcAnv6DfhUxh5emyM3CJp_w/edit?usp=sharing"",""เพชรบุรี!Q98"")+IMPORTRANGE(""https://"&amp;"docs.google.com/spreadsheets/d/19KBlQQs7uwvsao6t2n-KvW3Ax8J8uRRfZPq1zPbXgKc/edit?usp=sharing"",""ระยอง!Q98"")+IMPORTRANGE(""https://docs.google.com/spreadsheets/d/1jQ6P4QcrGM89YfqcC_PxOHGCMq5ezhucwJd8ci-NHng/edit?usp=sharing"",""ราชบุรี!Q98"")+IMPORTRANGE"&amp;"(""https://docs.google.com/spreadsheets/d/1lufeA2cfFqM-elVq2hznhDzC6Pr7wkJ9ZG_sYNGCMCU/edit?usp=sharing"",""ลพบุรี!Q98"")+IMPORTRANGE(""https://docs.google.com/spreadsheets/d/10oOiF7loTyfsTkbd4MpaIm0HQ9SwB7IYHdIUvt-U1Uc/edit?usp=sharing"",""สระแก้ว!Q98"")"&amp;"+IMPORTRANGE(""https://docs.google.com/spreadsheets/d/1xmPlrr1QbdSIKvl1dWUl9K4PjAfSL9oeMr_37QVzcxc/edit?usp=sharing"",""สระบุรี!Q98"")+IMPORTRANGE(""https://docs.google.com/spreadsheets/d/1j51vR6CYVGhABJpv6tkstgok82RLpXieLzW1yOY5rHw/edit?usp=sharing"",""ส"&amp;"ิงห์บุรี!Q98"")+IMPORTRANGE(""https://docs.google.com/spreadsheets/d/1H1EalTWKUSzO4Z1-1CwzoDUaVffgrThEBe2sl74kKG0/edit?usp=sharing"",""สุพรรณบุรี!Q98"")+IMPORTRANGE(""https://docs.google.com/spreadsheets/d/1BmIruG_sIrJLYao_Pdr7zVArWsfoBt2692TMi6x_854/edit"&amp;"?usp=sharing"",""อ่างทอง!Q98"")"),0)</f>
        <v>0</v>
      </c>
      <c r="R98" s="75">
        <f ca="1">IFERROR(__xludf.DUMMYFUNCTION("IMPORTRANGE(""https://docs.google.com/spreadsheets/d/13wPX838HrBrQMCywv1BsuMkt4PEKTChp52zj44s2izQ/edit?usp=sharing"",""กาญจนบุรี!R98"")+IMPORTRANGE(""https://docs.google.com/spreadsheets/d/1ddFKvqj1W1NEiWytbGlB1zMx_ykJDVtmfEQ-6-lIUBA/edit?usp=sharing"","""&amp;"จันทบุรี!R98"")+IMPORTRANGE(""https://docs.google.com/spreadsheets/d/1T1PQvRODqOBZk8BRht_U031fIS1beLA0Ub2CEytj2q0/edit?usp=sharing"",""ฉะเชิงเทรา!R98"")+IMPORTRANGE(""https://docs.google.com/spreadsheets/d/11tr1B-Bhyr79v2bkwVh5h_fR-PStkgjlZtkrZpYurG0/edit"&amp;"?usp=sharing"",""ชลบุรี!R98"")+IMPORTRANGE(""https://docs.google.com/spreadsheets/d/1hh-FVnSX0vozXhGluamEcS54Dw9_zqW0N7qJUWgJ0Sw/edit?usp=sharing"",""ชัยนาท!R98"")+IMPORTRANGE(""https://docs.google.com/spreadsheets/d/1jkqa6GXxSacMcY1eN8AHjMNJ_7dDXMJVRLDla"&amp;"FSOdPM/edit?usp=sharing"",""ตราด!R98"")+IMPORTRANGE(""https://docs.google.com/spreadsheets/d/18hSgUJ3VwClqi_qtULmmW3cLr0oe3OKaSYoKzdpTsYQ/edit?usp=sharing"",""นครนายก!R98"")+IMPORTRANGE(""https://docs.google.com/spreadsheets/d/1YTZo6WM2dQ6Ix6FSdnL5P7uVnVK"&amp;"u40sxZu975tgG10E/edit?usp=sharing"",""นครปฐม!R98"")+IMPORTRANGE(""https://docs.google.com/spreadsheets/d/1OYoGg4WDg5RIzwGeB10padOxJF9E_Vljuvvct_M7RDo/edit?usp=sharing"",""ปทุมธานี!R98"")+IMPORTRANGE(""https://docs.google.com/spreadsheets/d/1GbCIE4D4wk9FUo"&amp;"zzqk7SxfDMxDVBwVmI5zcaVUSzKAc/edit?usp=sharing"",""ประจวบคีรีขันธ์!R98"")+IMPORTRANGE(""https://docs.google.com/spreadsheets/d/1vVf6wykvW_lAyu7Yo9L4hUTqHqIeP_qcVuxCtosJEbg/edit?usp=sharing"",""ปราจีนบุรี!R98"")+IMPORTRANGE(""https://docs.google.com/spread"&amp;"sheets/d/1BIDqLLg5jk3v59G8NlR8rk5xfQDKne0sAvZHSj7TI6I/edit?usp=sharing"",""พระนครศรีอยุธยา!R98"")+IMPORTRANGE(""https://docs.google.com/spreadsheets/d/1YXvxf8Yu6_rV4hTBrwMqAcAnv6DfhUxh5emyM3CJp_w/edit?usp=sharing"",""เพชรบุรี!R98"")+IMPORTRANGE(""https://"&amp;"docs.google.com/spreadsheets/d/19KBlQQs7uwvsao6t2n-KvW3Ax8J8uRRfZPq1zPbXgKc/edit?usp=sharing"",""ระยอง!R98"")+IMPORTRANGE(""https://docs.google.com/spreadsheets/d/1jQ6P4QcrGM89YfqcC_PxOHGCMq5ezhucwJd8ci-NHng/edit?usp=sharing"",""ราชบุรี!R98"")+IMPORTRANGE"&amp;"(""https://docs.google.com/spreadsheets/d/1lufeA2cfFqM-elVq2hznhDzC6Pr7wkJ9ZG_sYNGCMCU/edit?usp=sharing"",""ลพบุรี!R98"")+IMPORTRANGE(""https://docs.google.com/spreadsheets/d/10oOiF7loTyfsTkbd4MpaIm0HQ9SwB7IYHdIUvt-U1Uc/edit?usp=sharing"",""สระแก้ว!R98"")"&amp;"+IMPORTRANGE(""https://docs.google.com/spreadsheets/d/1xmPlrr1QbdSIKvl1dWUl9K4PjAfSL9oeMr_37QVzcxc/edit?usp=sharing"",""สระบุรี!R98"")+IMPORTRANGE(""https://docs.google.com/spreadsheets/d/1j51vR6CYVGhABJpv6tkstgok82RLpXieLzW1yOY5rHw/edit?usp=sharing"",""ส"&amp;"ิงห์บุรี!R98"")+IMPORTRANGE(""https://docs.google.com/spreadsheets/d/1H1EalTWKUSzO4Z1-1CwzoDUaVffgrThEBe2sl74kKG0/edit?usp=sharing"",""สุพรรณบุรี!R98"")+IMPORTRANGE(""https://docs.google.com/spreadsheets/d/1BmIruG_sIrJLYao_Pdr7zVArWsfoBt2692TMi6x_854/edit"&amp;"?usp=sharing"",""อ่างทอง!R98"")"),0)</f>
        <v>0</v>
      </c>
      <c r="S98" s="75">
        <f ca="1">IFERROR(__xludf.DUMMYFUNCTION("IMPORTRANGE(""https://docs.google.com/spreadsheets/d/13wPX838HrBrQMCywv1BsuMkt4PEKTChp52zj44s2izQ/edit?usp=sharing"",""กาญจนบุรี!S98"")+IMPORTRANGE(""https://docs.google.com/spreadsheets/d/1ddFKvqj1W1NEiWytbGlB1zMx_ykJDVtmfEQ-6-lIUBA/edit?usp=sharing"","""&amp;"จันทบุรี!S98"")+IMPORTRANGE(""https://docs.google.com/spreadsheets/d/1T1PQvRODqOBZk8BRht_U031fIS1beLA0Ub2CEytj2q0/edit?usp=sharing"",""ฉะเชิงเทรา!S98"")+IMPORTRANGE(""https://docs.google.com/spreadsheets/d/11tr1B-Bhyr79v2bkwVh5h_fR-PStkgjlZtkrZpYurG0/edit"&amp;"?usp=sharing"",""ชลบุรี!S98"")+IMPORTRANGE(""https://docs.google.com/spreadsheets/d/1hh-FVnSX0vozXhGluamEcS54Dw9_zqW0N7qJUWgJ0Sw/edit?usp=sharing"",""ชัยนาท!S98"")+IMPORTRANGE(""https://docs.google.com/spreadsheets/d/1jkqa6GXxSacMcY1eN8AHjMNJ_7dDXMJVRLDla"&amp;"FSOdPM/edit?usp=sharing"",""ตราด!S98"")+IMPORTRANGE(""https://docs.google.com/spreadsheets/d/18hSgUJ3VwClqi_qtULmmW3cLr0oe3OKaSYoKzdpTsYQ/edit?usp=sharing"",""นครนายก!S98"")+IMPORTRANGE(""https://docs.google.com/spreadsheets/d/1YTZo6WM2dQ6Ix6FSdnL5P7uVnVK"&amp;"u40sxZu975tgG10E/edit?usp=sharing"",""นครปฐม!S98"")+IMPORTRANGE(""https://docs.google.com/spreadsheets/d/1OYoGg4WDg5RIzwGeB10padOxJF9E_Vljuvvct_M7RDo/edit?usp=sharing"",""ปทุมธานี!S98"")+IMPORTRANGE(""https://docs.google.com/spreadsheets/d/1GbCIE4D4wk9FUo"&amp;"zzqk7SxfDMxDVBwVmI5zcaVUSzKAc/edit?usp=sharing"",""ประจวบคีรีขันธ์!S98"")+IMPORTRANGE(""https://docs.google.com/spreadsheets/d/1vVf6wykvW_lAyu7Yo9L4hUTqHqIeP_qcVuxCtosJEbg/edit?usp=sharing"",""ปราจีนบุรี!S98"")+IMPORTRANGE(""https://docs.google.com/spread"&amp;"sheets/d/1BIDqLLg5jk3v59G8NlR8rk5xfQDKne0sAvZHSj7TI6I/edit?usp=sharing"",""พระนครศรีอยุธยา!S98"")+IMPORTRANGE(""https://docs.google.com/spreadsheets/d/1YXvxf8Yu6_rV4hTBrwMqAcAnv6DfhUxh5emyM3CJp_w/edit?usp=sharing"",""เพชรบุรี!S98"")+IMPORTRANGE(""https://"&amp;"docs.google.com/spreadsheets/d/19KBlQQs7uwvsao6t2n-KvW3Ax8J8uRRfZPq1zPbXgKc/edit?usp=sharing"",""ระยอง!S98"")+IMPORTRANGE(""https://docs.google.com/spreadsheets/d/1jQ6P4QcrGM89YfqcC_PxOHGCMq5ezhucwJd8ci-NHng/edit?usp=sharing"",""ราชบุรี!S98"")+IMPORTRANGE"&amp;"(""https://docs.google.com/spreadsheets/d/1lufeA2cfFqM-elVq2hznhDzC6Pr7wkJ9ZG_sYNGCMCU/edit?usp=sharing"",""ลพบุรี!S98"")+IMPORTRANGE(""https://docs.google.com/spreadsheets/d/10oOiF7loTyfsTkbd4MpaIm0HQ9SwB7IYHdIUvt-U1Uc/edit?usp=sharing"",""สระแก้ว!S98"")"&amp;"+IMPORTRANGE(""https://docs.google.com/spreadsheets/d/1xmPlrr1QbdSIKvl1dWUl9K4PjAfSL9oeMr_37QVzcxc/edit?usp=sharing"",""สระบุรี!S98"")+IMPORTRANGE(""https://docs.google.com/spreadsheets/d/1j51vR6CYVGhABJpv6tkstgok82RLpXieLzW1yOY5rHw/edit?usp=sharing"",""ส"&amp;"ิงห์บุรี!S98"")+IMPORTRANGE(""https://docs.google.com/spreadsheets/d/1H1EalTWKUSzO4Z1-1CwzoDUaVffgrThEBe2sl74kKG0/edit?usp=sharing"",""สุพรรณบุรี!S98"")+IMPORTRANGE(""https://docs.google.com/spreadsheets/d/1BmIruG_sIrJLYao_Pdr7zVArWsfoBt2692TMi6x_854/edit"&amp;"?usp=sharing"",""อ่างทอง!S98"")"),0)</f>
        <v>0</v>
      </c>
      <c r="T98" s="131">
        <f t="shared" ca="1" si="77"/>
        <v>0</v>
      </c>
      <c r="U98" s="131">
        <f t="shared" ca="1" si="78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215620)</f>
        <v>215620</v>
      </c>
      <c r="M99" s="72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215620)</f>
        <v>215620</v>
      </c>
      <c r="N99" s="72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178419.5)</f>
        <v>178419.5</v>
      </c>
      <c r="O99" s="72">
        <f t="shared" ca="1" si="74"/>
        <v>82.747194137835081</v>
      </c>
      <c r="P99" s="72">
        <f t="shared" ca="1" si="75"/>
        <v>82.747194137835081</v>
      </c>
      <c r="Q99" s="129">
        <f ca="1">IFERROR(__xludf.DUMMYFUNCTION("IMPORTRANGE(""https://docs.google.com/spreadsheets/d/13wPX838HrBrQMCywv1BsuMkt4PEKTChp52zj44s2izQ/edit?usp=sharing"",""กาญจนบุรี!Q99"")+IMPORTRANGE(""https://docs.google.com/spreadsheets/d/1ddFKvqj1W1NEiWytbGlB1zMx_ykJDVtmfEQ-6-lIUBA/edit?usp=sharing"","""&amp;"จันทบุรี!Q99"")+IMPORTRANGE(""https://docs.google.com/spreadsheets/d/1T1PQvRODqOBZk8BRht_U031fIS1beLA0Ub2CEytj2q0/edit?usp=sharing"",""ฉะเชิงเทรา!Q99"")+IMPORTRANGE(""https://docs.google.com/spreadsheets/d/11tr1B-Bhyr79v2bkwVh5h_fR-PStkgjlZtkrZpYurG0/edit"&amp;"?usp=sharing"",""ชลบุรี!Q99"")+IMPORTRANGE(""https://docs.google.com/spreadsheets/d/1hh-FVnSX0vozXhGluamEcS54Dw9_zqW0N7qJUWgJ0Sw/edit?usp=sharing"",""ชัยนาท!Q99"")+IMPORTRANGE(""https://docs.google.com/spreadsheets/d/1jkqa6GXxSacMcY1eN8AHjMNJ_7dDXMJVRLDla"&amp;"FSOdPM/edit?usp=sharing"",""ตราด!Q99"")+IMPORTRANGE(""https://docs.google.com/spreadsheets/d/18hSgUJ3VwClqi_qtULmmW3cLr0oe3OKaSYoKzdpTsYQ/edit?usp=sharing"",""นครนายก!Q99"")+IMPORTRANGE(""https://docs.google.com/spreadsheets/d/1YTZo6WM2dQ6Ix6FSdnL5P7uVnVK"&amp;"u40sxZu975tgG10E/edit?usp=sharing"",""นครปฐม!Q99"")+IMPORTRANGE(""https://docs.google.com/spreadsheets/d/1OYoGg4WDg5RIzwGeB10padOxJF9E_Vljuvvct_M7RDo/edit?usp=sharing"",""ปทุมธานี!Q99"")+IMPORTRANGE(""https://docs.google.com/spreadsheets/d/1GbCIE4D4wk9FUo"&amp;"zzqk7SxfDMxDVBwVmI5zcaVUSzKAc/edit?usp=sharing"",""ประจวบคีรีขันธ์!Q99"")+IMPORTRANGE(""https://docs.google.com/spreadsheets/d/1vVf6wykvW_lAyu7Yo9L4hUTqHqIeP_qcVuxCtosJEbg/edit?usp=sharing"",""ปราจีนบุรี!Q99"")+IMPORTRANGE(""https://docs.google.com/spread"&amp;"sheets/d/1BIDqLLg5jk3v59G8NlR8rk5xfQDKne0sAvZHSj7TI6I/edit?usp=sharing"",""พระนครศรีอยุธยา!Q99"")+IMPORTRANGE(""https://docs.google.com/spreadsheets/d/1YXvxf8Yu6_rV4hTBrwMqAcAnv6DfhUxh5emyM3CJp_w/edit?usp=sharing"",""เพชรบุรี!Q99"")+IMPORTRANGE(""https://"&amp;"docs.google.com/spreadsheets/d/19KBlQQs7uwvsao6t2n-KvW3Ax8J8uRRfZPq1zPbXgKc/edit?usp=sharing"",""ระยอง!Q99"")+IMPORTRANGE(""https://docs.google.com/spreadsheets/d/1jQ6P4QcrGM89YfqcC_PxOHGCMq5ezhucwJd8ci-NHng/edit?usp=sharing"",""ราชบุรี!Q99"")+IMPORTRANGE"&amp;"(""https://docs.google.com/spreadsheets/d/1lufeA2cfFqM-elVq2hznhDzC6Pr7wkJ9ZG_sYNGCMCU/edit?usp=sharing"",""ลพบุรี!Q99"")+IMPORTRANGE(""https://docs.google.com/spreadsheets/d/10oOiF7loTyfsTkbd4MpaIm0HQ9SwB7IYHdIUvt-U1Uc/edit?usp=sharing"",""สระแก้ว!Q99"")"&amp;"+IMPORTRANGE(""https://docs.google.com/spreadsheets/d/1xmPlrr1QbdSIKvl1dWUl9K4PjAfSL9oeMr_37QVzcxc/edit?usp=sharing"",""สระบุรี!Q99"")+IMPORTRANGE(""https://docs.google.com/spreadsheets/d/1j51vR6CYVGhABJpv6tkstgok82RLpXieLzW1yOY5rHw/edit?usp=sharing"",""ส"&amp;"ิงห์บุรี!Q99"")+IMPORTRANGE(""https://docs.google.com/spreadsheets/d/1H1EalTWKUSzO4Z1-1CwzoDUaVffgrThEBe2sl74kKG0/edit?usp=sharing"",""สุพรรณบุรี!Q99"")+IMPORTRANGE(""https://docs.google.com/spreadsheets/d/1BmIruG_sIrJLYao_Pdr7zVArWsfoBt2692TMi6x_854/edit"&amp;"?usp=sharing"",""อ่างทอง!Q99"")"),985954)</f>
        <v>985954</v>
      </c>
      <c r="R99" s="130">
        <f ca="1">IFERROR(__xludf.DUMMYFUNCTION("IMPORTRANGE(""https://docs.google.com/spreadsheets/d/13wPX838HrBrQMCywv1BsuMkt4PEKTChp52zj44s2izQ/edit?usp=sharing"",""กาญจนบุรี!R99"")+IMPORTRANGE(""https://docs.google.com/spreadsheets/d/1ddFKvqj1W1NEiWytbGlB1zMx_ykJDVtmfEQ-6-lIUBA/edit?usp=sharing"","""&amp;"จันทบุรี!R99"")+IMPORTRANGE(""https://docs.google.com/spreadsheets/d/1T1PQvRODqOBZk8BRht_U031fIS1beLA0Ub2CEytj2q0/edit?usp=sharing"",""ฉะเชิงเทรา!R99"")+IMPORTRANGE(""https://docs.google.com/spreadsheets/d/11tr1B-Bhyr79v2bkwVh5h_fR-PStkgjlZtkrZpYurG0/edit"&amp;"?usp=sharing"",""ชลบุรี!R99"")+IMPORTRANGE(""https://docs.google.com/spreadsheets/d/1hh-FVnSX0vozXhGluamEcS54Dw9_zqW0N7qJUWgJ0Sw/edit?usp=sharing"",""ชัยนาท!R99"")+IMPORTRANGE(""https://docs.google.com/spreadsheets/d/1jkqa6GXxSacMcY1eN8AHjMNJ_7dDXMJVRLDla"&amp;"FSOdPM/edit?usp=sharing"",""ตราด!R99"")+IMPORTRANGE(""https://docs.google.com/spreadsheets/d/18hSgUJ3VwClqi_qtULmmW3cLr0oe3OKaSYoKzdpTsYQ/edit?usp=sharing"",""นครนายก!R99"")+IMPORTRANGE(""https://docs.google.com/spreadsheets/d/1YTZo6WM2dQ6Ix6FSdnL5P7uVnVK"&amp;"u40sxZu975tgG10E/edit?usp=sharing"",""นครปฐม!R99"")+IMPORTRANGE(""https://docs.google.com/spreadsheets/d/1OYoGg4WDg5RIzwGeB10padOxJF9E_Vljuvvct_M7RDo/edit?usp=sharing"",""ปทุมธานี!R99"")+IMPORTRANGE(""https://docs.google.com/spreadsheets/d/1GbCIE4D4wk9FUo"&amp;"zzqk7SxfDMxDVBwVmI5zcaVUSzKAc/edit?usp=sharing"",""ประจวบคีรีขันธ์!R99"")+IMPORTRANGE(""https://docs.google.com/spreadsheets/d/1vVf6wykvW_lAyu7Yo9L4hUTqHqIeP_qcVuxCtosJEbg/edit?usp=sharing"",""ปราจีนบุรี!R99"")+IMPORTRANGE(""https://docs.google.com/spread"&amp;"sheets/d/1BIDqLLg5jk3v59G8NlR8rk5xfQDKne0sAvZHSj7TI6I/edit?usp=sharing"",""พระนครศรีอยุธยา!R99"")+IMPORTRANGE(""https://docs.google.com/spreadsheets/d/1YXvxf8Yu6_rV4hTBrwMqAcAnv6DfhUxh5emyM3CJp_w/edit?usp=sharing"",""เพชรบุรี!R99"")+IMPORTRANGE(""https://"&amp;"docs.google.com/spreadsheets/d/19KBlQQs7uwvsao6t2n-KvW3Ax8J8uRRfZPq1zPbXgKc/edit?usp=sharing"",""ระยอง!R99"")+IMPORTRANGE(""https://docs.google.com/spreadsheets/d/1jQ6P4QcrGM89YfqcC_PxOHGCMq5ezhucwJd8ci-NHng/edit?usp=sharing"",""ราชบุรี!R99"")+IMPORTRANGE"&amp;"(""https://docs.google.com/spreadsheets/d/1lufeA2cfFqM-elVq2hznhDzC6Pr7wkJ9ZG_sYNGCMCU/edit?usp=sharing"",""ลพบุรี!R99"")+IMPORTRANGE(""https://docs.google.com/spreadsheets/d/10oOiF7loTyfsTkbd4MpaIm0HQ9SwB7IYHdIUvt-U1Uc/edit?usp=sharing"",""สระแก้ว!R99"")"&amp;"+IMPORTRANGE(""https://docs.google.com/spreadsheets/d/1xmPlrr1QbdSIKvl1dWUl9K4PjAfSL9oeMr_37QVzcxc/edit?usp=sharing"",""สระบุรี!R99"")+IMPORTRANGE(""https://docs.google.com/spreadsheets/d/1j51vR6CYVGhABJpv6tkstgok82RLpXieLzW1yOY5rHw/edit?usp=sharing"",""ส"&amp;"ิงห์บุรี!R99"")+IMPORTRANGE(""https://docs.google.com/spreadsheets/d/1H1EalTWKUSzO4Z1-1CwzoDUaVffgrThEBe2sl74kKG0/edit?usp=sharing"",""สุพรรณบุรี!R99"")+IMPORTRANGE(""https://docs.google.com/spreadsheets/d/1BmIruG_sIrJLYao_Pdr7zVArWsfoBt2692TMi6x_854/edit"&amp;"?usp=sharing"",""อ่างทอง!R99"")"),985954)</f>
        <v>985954</v>
      </c>
      <c r="S99" s="130">
        <f ca="1">IFERROR(__xludf.DUMMYFUNCTION("IMPORTRANGE(""https://docs.google.com/spreadsheets/d/13wPX838HrBrQMCywv1BsuMkt4PEKTChp52zj44s2izQ/edit?usp=sharing"",""กาญจนบุรี!S99"")+IMPORTRANGE(""https://docs.google.com/spreadsheets/d/1ddFKvqj1W1NEiWytbGlB1zMx_ykJDVtmfEQ-6-lIUBA/edit?usp=sharing"","""&amp;"จันทบุรี!S99"")+IMPORTRANGE(""https://docs.google.com/spreadsheets/d/1T1PQvRODqOBZk8BRht_U031fIS1beLA0Ub2CEytj2q0/edit?usp=sharing"",""ฉะเชิงเทรา!S99"")+IMPORTRANGE(""https://docs.google.com/spreadsheets/d/11tr1B-Bhyr79v2bkwVh5h_fR-PStkgjlZtkrZpYurG0/edit"&amp;"?usp=sharing"",""ชลบุรี!S99"")+IMPORTRANGE(""https://docs.google.com/spreadsheets/d/1hh-FVnSX0vozXhGluamEcS54Dw9_zqW0N7qJUWgJ0Sw/edit?usp=sharing"",""ชัยนาท!S99"")+IMPORTRANGE(""https://docs.google.com/spreadsheets/d/1jkqa6GXxSacMcY1eN8AHjMNJ_7dDXMJVRLDla"&amp;"FSOdPM/edit?usp=sharing"",""ตราด!S99"")+IMPORTRANGE(""https://docs.google.com/spreadsheets/d/18hSgUJ3VwClqi_qtULmmW3cLr0oe3OKaSYoKzdpTsYQ/edit?usp=sharing"",""นครนายก!S99"")+IMPORTRANGE(""https://docs.google.com/spreadsheets/d/1YTZo6WM2dQ6Ix6FSdnL5P7uVnVK"&amp;"u40sxZu975tgG10E/edit?usp=sharing"",""นครปฐม!S99"")+IMPORTRANGE(""https://docs.google.com/spreadsheets/d/1OYoGg4WDg5RIzwGeB10padOxJF9E_Vljuvvct_M7RDo/edit?usp=sharing"",""ปทุมธานี!S99"")+IMPORTRANGE(""https://docs.google.com/spreadsheets/d/1GbCIE4D4wk9FUo"&amp;"zzqk7SxfDMxDVBwVmI5zcaVUSzKAc/edit?usp=sharing"",""ประจวบคีรีขันธ์!S99"")+IMPORTRANGE(""https://docs.google.com/spreadsheets/d/1vVf6wykvW_lAyu7Yo9L4hUTqHqIeP_qcVuxCtosJEbg/edit?usp=sharing"",""ปราจีนบุรี!S99"")+IMPORTRANGE(""https://docs.google.com/spread"&amp;"sheets/d/1BIDqLLg5jk3v59G8NlR8rk5xfQDKne0sAvZHSj7TI6I/edit?usp=sharing"",""พระนครศรีอยุธยา!S99"")+IMPORTRANGE(""https://docs.google.com/spreadsheets/d/1YXvxf8Yu6_rV4hTBrwMqAcAnv6DfhUxh5emyM3CJp_w/edit?usp=sharing"",""เพชรบุรี!S99"")+IMPORTRANGE(""https://"&amp;"docs.google.com/spreadsheets/d/19KBlQQs7uwvsao6t2n-KvW3Ax8J8uRRfZPq1zPbXgKc/edit?usp=sharing"",""ระยอง!S99"")+IMPORTRANGE(""https://docs.google.com/spreadsheets/d/1jQ6P4QcrGM89YfqcC_PxOHGCMq5ezhucwJd8ci-NHng/edit?usp=sharing"",""ราชบุรี!S99"")+IMPORTRANGE"&amp;"(""https://docs.google.com/spreadsheets/d/1lufeA2cfFqM-elVq2hznhDzC6Pr7wkJ9ZG_sYNGCMCU/edit?usp=sharing"",""ลพบุรี!S99"")+IMPORTRANGE(""https://docs.google.com/spreadsheets/d/10oOiF7loTyfsTkbd4MpaIm0HQ9SwB7IYHdIUvt-U1Uc/edit?usp=sharing"",""สระแก้ว!S99"")"&amp;"+IMPORTRANGE(""https://docs.google.com/spreadsheets/d/1xmPlrr1QbdSIKvl1dWUl9K4PjAfSL9oeMr_37QVzcxc/edit?usp=sharing"",""สระบุรี!S99"")+IMPORTRANGE(""https://docs.google.com/spreadsheets/d/1j51vR6CYVGhABJpv6tkstgok82RLpXieLzW1yOY5rHw/edit?usp=sharing"",""ส"&amp;"ิงห์บุรี!S99"")+IMPORTRANGE(""https://docs.google.com/spreadsheets/d/1H1EalTWKUSzO4Z1-1CwzoDUaVffgrThEBe2sl74kKG0/edit?usp=sharing"",""สุพรรณบุรี!S99"")+IMPORTRANGE(""https://docs.google.com/spreadsheets/d/1BmIruG_sIrJLYao_Pdr7zVArWsfoBt2692TMi6x_854/edit"&amp;"?usp=sharing"",""อ่างทอง!S99"")"),383345)</f>
        <v>383345</v>
      </c>
      <c r="T99" s="130">
        <f t="shared" ca="1" si="77"/>
        <v>38.880617148467373</v>
      </c>
      <c r="U99" s="130">
        <f t="shared" ca="1" si="78"/>
        <v>38.880617148467373</v>
      </c>
    </row>
    <row r="100" spans="1:21" ht="18.75" x14ac:dyDescent="0.25">
      <c r="A100" s="255"/>
      <c r="B100" s="267"/>
      <c r="C100" s="267"/>
      <c r="D100" s="27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t="shared" ref="L100:N100" ca="1" si="85">L101+L102</f>
        <v>0</v>
      </c>
      <c r="M100" s="72">
        <f t="shared" ca="1" si="85"/>
        <v>0</v>
      </c>
      <c r="N100" s="72">
        <f t="shared" ca="1" si="85"/>
        <v>0</v>
      </c>
      <c r="O100" s="72">
        <f t="shared" ca="1" si="74"/>
        <v>0</v>
      </c>
      <c r="P100" s="72">
        <f t="shared" ca="1" si="75"/>
        <v>0</v>
      </c>
      <c r="Q100" s="129">
        <f t="shared" ref="Q100:S100" ca="1" si="86">Q101+Q102</f>
        <v>0</v>
      </c>
      <c r="R100" s="130">
        <f t="shared" ca="1" si="86"/>
        <v>0</v>
      </c>
      <c r="S100" s="130">
        <f t="shared" ca="1" si="86"/>
        <v>0</v>
      </c>
      <c r="T100" s="130">
        <f t="shared" ca="1" si="77"/>
        <v>0</v>
      </c>
      <c r="U100" s="130">
        <f t="shared" ca="1" si="78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1" s="75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1" s="75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1" s="75">
        <f t="shared" ca="1" si="74"/>
        <v>0</v>
      </c>
      <c r="P101" s="75">
        <f t="shared" ca="1" si="75"/>
        <v>0</v>
      </c>
      <c r="Q101" s="74">
        <f ca="1">IFERROR(__xludf.DUMMYFUNCTION("IMPORTRANGE(""https://docs.google.com/spreadsheets/d/13wPX838HrBrQMCywv1BsuMkt4PEKTChp52zj44s2izQ/edit?usp=sharing"",""กาญจนบุรี!Q101"")+IMPORTRANGE(""https://docs.google.com/spreadsheets/d/1ddFKvqj1W1NEiWytbGlB1zMx_ykJDVtmfEQ-6-lIUBA/edit?usp=sharing"","&amp;"""จันทบุรี!Q101"")+IMPORTRANGE(""https://docs.google.com/spreadsheets/d/1T1PQvRODqOBZk8BRht_U031fIS1beLA0Ub2CEytj2q0/edit?usp=sharing"",""ฉะเชิงเทรา!Q101"")+IMPORTRANGE(""https://docs.google.com/spreadsheets/d/11tr1B-Bhyr79v2bkwVh5h_fR-PStkgjlZtkrZpYurG0/"&amp;"edit?usp=sharing"",""ชลบุรี!Q101"")+IMPORTRANGE(""https://docs.google.com/spreadsheets/d/1hh-FVnSX0vozXhGluamEcS54Dw9_zqW0N7qJUWgJ0Sw/edit?usp=sharing"",""ชัยนาท!Q101"")+IMPORTRANGE(""https://docs.google.com/spreadsheets/d/1jkqa6GXxSacMcY1eN8AHjMNJ_7dDXMJ"&amp;"VRLDlaFSOdPM/edit?usp=sharing"",""ตราด!Q101"")+IMPORTRANGE(""https://docs.google.com/spreadsheets/d/18hSgUJ3VwClqi_qtULmmW3cLr0oe3OKaSYoKzdpTsYQ/edit?usp=sharing"",""นครนายก!Q101"")+IMPORTRANGE(""https://docs.google.com/spreadsheets/d/1YTZo6WM2dQ6Ix6FSdnL"&amp;"5P7uVnVKu40sxZu975tgG10E/edit?usp=sharing"",""นครปฐม!Q101"")+IMPORTRANGE(""https://docs.google.com/spreadsheets/d/1OYoGg4WDg5RIzwGeB10padOxJF9E_Vljuvvct_M7RDo/edit?usp=sharing"",""ปทุมธานี!Q101"")+IMPORTRANGE(""https://docs.google.com/spreadsheets/d/1GbCI"&amp;"E4D4wk9FUozzqk7SxfDMxDVBwVmI5zcaVUSzKAc/edit?usp=sharing"",""ประจวบคีรีขันธ์!Q101"")+IMPORTRANGE(""https://docs.google.com/spreadsheets/d/1vVf6wykvW_lAyu7Yo9L4hUTqHqIeP_qcVuxCtosJEbg/edit?usp=sharing"",""ปราจีนบุรี!Q101"")+IMPORTRANGE(""https://docs.googl"&amp;"e.com/spreadsheets/d/1BIDqLLg5jk3v59G8NlR8rk5xfQDKne0sAvZHSj7TI6I/edit?usp=sharing"",""พระนครศรีอยุธยา!Q101"")+IMPORTRANGE(""https://docs.google.com/spreadsheets/d/1YXvxf8Yu6_rV4hTBrwMqAcAnv6DfhUxh5emyM3CJp_w/edit?usp=sharing"",""เพชรบุรี!Q101"")+IMPORTRA"&amp;"NGE(""https://docs.google.com/spreadsheets/d/19KBlQQs7uwvsao6t2n-KvW3Ax8J8uRRfZPq1zPbXgKc/edit?usp=sharing"",""ระยอง!Q101"")+IMPORTRANGE(""https://docs.google.com/spreadsheets/d/1jQ6P4QcrGM89YfqcC_PxOHGCMq5ezhucwJd8ci-NHng/edit?usp=sharing"",""ราชบุรี!Q10"&amp;"1"")+IMPORTRANGE(""https://docs.google.com/spreadsheets/d/1lufeA2cfFqM-elVq2hznhDzC6Pr7wkJ9ZG_sYNGCMCU/edit?usp=sharing"",""ลพบุรี!Q101"")+IMPORTRANGE(""https://docs.google.com/spreadsheets/d/10oOiF7loTyfsTkbd4MpaIm0HQ9SwB7IYHdIUvt-U1Uc/edit?usp=sharing"""&amp;",""สระแก้ว!Q101"")+IMPORTRANGE(""https://docs.google.com/spreadsheets/d/1xmPlrr1QbdSIKvl1dWUl9K4PjAfSL9oeMr_37QVzcxc/edit?usp=sharing"",""สระบุรี!Q101"")+IMPORTRANGE(""https://docs.google.com/spreadsheets/d/1j51vR6CYVGhABJpv6tkstgok82RLpXieLzW1yOY5rHw/edi"&amp;"t?usp=sharing"",""สิงห์บุรี!Q101"")+IMPORTRANGE(""https://docs.google.com/spreadsheets/d/1H1EalTWKUSzO4Z1-1CwzoDUaVffgrThEBe2sl74kKG0/edit?usp=sharing"",""สุพรรณบุรี!Q101"")+IMPORTRANGE(""https://docs.google.com/spreadsheets/d/1BmIruG_sIrJLYao_Pdr7zVArWsf"&amp;"oBt2692TMi6x_854/edit?usp=sharing"",""อ่างทอง!Q101"")"),0)</f>
        <v>0</v>
      </c>
      <c r="R101" s="75">
        <f ca="1">IFERROR(__xludf.DUMMYFUNCTION("IMPORTRANGE(""https://docs.google.com/spreadsheets/d/13wPX838HrBrQMCywv1BsuMkt4PEKTChp52zj44s2izQ/edit?usp=sharing"",""กาญจนบุรี!R101"")+IMPORTRANGE(""https://docs.google.com/spreadsheets/d/1ddFKvqj1W1NEiWytbGlB1zMx_ykJDVtmfEQ-6-lIUBA/edit?usp=sharing"","&amp;"""จันทบุรี!R101"")+IMPORTRANGE(""https://docs.google.com/spreadsheets/d/1T1PQvRODqOBZk8BRht_U031fIS1beLA0Ub2CEytj2q0/edit?usp=sharing"",""ฉะเชิงเทรา!R101"")+IMPORTRANGE(""https://docs.google.com/spreadsheets/d/11tr1B-Bhyr79v2bkwVh5h_fR-PStkgjlZtkrZpYurG0/"&amp;"edit?usp=sharing"",""ชลบุรี!R101"")+IMPORTRANGE(""https://docs.google.com/spreadsheets/d/1hh-FVnSX0vozXhGluamEcS54Dw9_zqW0N7qJUWgJ0Sw/edit?usp=sharing"",""ชัยนาท!R101"")+IMPORTRANGE(""https://docs.google.com/spreadsheets/d/1jkqa6GXxSacMcY1eN8AHjMNJ_7dDXMJ"&amp;"VRLDlaFSOdPM/edit?usp=sharing"",""ตราด!R101"")+IMPORTRANGE(""https://docs.google.com/spreadsheets/d/18hSgUJ3VwClqi_qtULmmW3cLr0oe3OKaSYoKzdpTsYQ/edit?usp=sharing"",""นครนายก!R101"")+IMPORTRANGE(""https://docs.google.com/spreadsheets/d/1YTZo6WM2dQ6Ix6FSdnL"&amp;"5P7uVnVKu40sxZu975tgG10E/edit?usp=sharing"",""นครปฐม!R101"")+IMPORTRANGE(""https://docs.google.com/spreadsheets/d/1OYoGg4WDg5RIzwGeB10padOxJF9E_Vljuvvct_M7RDo/edit?usp=sharing"",""ปทุมธานี!R101"")+IMPORTRANGE(""https://docs.google.com/spreadsheets/d/1GbCI"&amp;"E4D4wk9FUozzqk7SxfDMxDVBwVmI5zcaVUSzKAc/edit?usp=sharing"",""ประจวบคีรีขันธ์!R101"")+IMPORTRANGE(""https://docs.google.com/spreadsheets/d/1vVf6wykvW_lAyu7Yo9L4hUTqHqIeP_qcVuxCtosJEbg/edit?usp=sharing"",""ปราจีนบุรี!R101"")+IMPORTRANGE(""https://docs.googl"&amp;"e.com/spreadsheets/d/1BIDqLLg5jk3v59G8NlR8rk5xfQDKne0sAvZHSj7TI6I/edit?usp=sharing"",""พระนครศรีอยุธยา!R101"")+IMPORTRANGE(""https://docs.google.com/spreadsheets/d/1YXvxf8Yu6_rV4hTBrwMqAcAnv6DfhUxh5emyM3CJp_w/edit?usp=sharing"",""เพชรบุรี!R101"")+IMPORTRA"&amp;"NGE(""https://docs.google.com/spreadsheets/d/19KBlQQs7uwvsao6t2n-KvW3Ax8J8uRRfZPq1zPbXgKc/edit?usp=sharing"",""ระยอง!R101"")+IMPORTRANGE(""https://docs.google.com/spreadsheets/d/1jQ6P4QcrGM89YfqcC_PxOHGCMq5ezhucwJd8ci-NHng/edit?usp=sharing"",""ราชบุรี!R10"&amp;"1"")+IMPORTRANGE(""https://docs.google.com/spreadsheets/d/1lufeA2cfFqM-elVq2hznhDzC6Pr7wkJ9ZG_sYNGCMCU/edit?usp=sharing"",""ลพบุรี!R101"")+IMPORTRANGE(""https://docs.google.com/spreadsheets/d/10oOiF7loTyfsTkbd4MpaIm0HQ9SwB7IYHdIUvt-U1Uc/edit?usp=sharing"""&amp;",""สระแก้ว!R101"")+IMPORTRANGE(""https://docs.google.com/spreadsheets/d/1xmPlrr1QbdSIKvl1dWUl9K4PjAfSL9oeMr_37QVzcxc/edit?usp=sharing"",""สระบุรี!R101"")+IMPORTRANGE(""https://docs.google.com/spreadsheets/d/1j51vR6CYVGhABJpv6tkstgok82RLpXieLzW1yOY5rHw/edi"&amp;"t?usp=sharing"",""สิงห์บุรี!R101"")+IMPORTRANGE(""https://docs.google.com/spreadsheets/d/1H1EalTWKUSzO4Z1-1CwzoDUaVffgrThEBe2sl74kKG0/edit?usp=sharing"",""สุพรรณบุรี!R101"")+IMPORTRANGE(""https://docs.google.com/spreadsheets/d/1BmIruG_sIrJLYao_Pdr7zVArWsf"&amp;"oBt2692TMi6x_854/edit?usp=sharing"",""อ่างทอง!R101"")"),0)</f>
        <v>0</v>
      </c>
      <c r="S101" s="75">
        <f ca="1">IFERROR(__xludf.DUMMYFUNCTION("IMPORTRANGE(""https://docs.google.com/spreadsheets/d/13wPX838HrBrQMCywv1BsuMkt4PEKTChp52zj44s2izQ/edit?usp=sharing"",""กาญจนบุรี!S101"")+IMPORTRANGE(""https://docs.google.com/spreadsheets/d/1ddFKvqj1W1NEiWytbGlB1zMx_ykJDVtmfEQ-6-lIUBA/edit?usp=sharing"","&amp;"""จันทบุรี!S101"")+IMPORTRANGE(""https://docs.google.com/spreadsheets/d/1T1PQvRODqOBZk8BRht_U031fIS1beLA0Ub2CEytj2q0/edit?usp=sharing"",""ฉะเชิงเทรา!S101"")+IMPORTRANGE(""https://docs.google.com/spreadsheets/d/11tr1B-Bhyr79v2bkwVh5h_fR-PStkgjlZtkrZpYurG0/"&amp;"edit?usp=sharing"",""ชลบุรี!S101"")+IMPORTRANGE(""https://docs.google.com/spreadsheets/d/1hh-FVnSX0vozXhGluamEcS54Dw9_zqW0N7qJUWgJ0Sw/edit?usp=sharing"",""ชัยนาท!S101"")+IMPORTRANGE(""https://docs.google.com/spreadsheets/d/1jkqa6GXxSacMcY1eN8AHjMNJ_7dDXMJ"&amp;"VRLDlaFSOdPM/edit?usp=sharing"",""ตราด!S101"")+IMPORTRANGE(""https://docs.google.com/spreadsheets/d/18hSgUJ3VwClqi_qtULmmW3cLr0oe3OKaSYoKzdpTsYQ/edit?usp=sharing"",""นครนายก!S101"")+IMPORTRANGE(""https://docs.google.com/spreadsheets/d/1YTZo6WM2dQ6Ix6FSdnL"&amp;"5P7uVnVKu40sxZu975tgG10E/edit?usp=sharing"",""นครปฐม!S101"")+IMPORTRANGE(""https://docs.google.com/spreadsheets/d/1OYoGg4WDg5RIzwGeB10padOxJF9E_Vljuvvct_M7RDo/edit?usp=sharing"",""ปทุมธานี!S101"")+IMPORTRANGE(""https://docs.google.com/spreadsheets/d/1GbCI"&amp;"E4D4wk9FUozzqk7SxfDMxDVBwVmI5zcaVUSzKAc/edit?usp=sharing"",""ประจวบคีรีขันธ์!S101"")+IMPORTRANGE(""https://docs.google.com/spreadsheets/d/1vVf6wykvW_lAyu7Yo9L4hUTqHqIeP_qcVuxCtosJEbg/edit?usp=sharing"",""ปราจีนบุรี!S101"")+IMPORTRANGE(""https://docs.googl"&amp;"e.com/spreadsheets/d/1BIDqLLg5jk3v59G8NlR8rk5xfQDKne0sAvZHSj7TI6I/edit?usp=sharing"",""พระนครศรีอยุธยา!S101"")+IMPORTRANGE(""https://docs.google.com/spreadsheets/d/1YXvxf8Yu6_rV4hTBrwMqAcAnv6DfhUxh5emyM3CJp_w/edit?usp=sharing"",""เพชรบุรี!S101"")+IMPORTRA"&amp;"NGE(""https://docs.google.com/spreadsheets/d/19KBlQQs7uwvsao6t2n-KvW3Ax8J8uRRfZPq1zPbXgKc/edit?usp=sharing"",""ระยอง!S101"")+IMPORTRANGE(""https://docs.google.com/spreadsheets/d/1jQ6P4QcrGM89YfqcC_PxOHGCMq5ezhucwJd8ci-NHng/edit?usp=sharing"",""ราชบุรี!S10"&amp;"1"")+IMPORTRANGE(""https://docs.google.com/spreadsheets/d/1lufeA2cfFqM-elVq2hznhDzC6Pr7wkJ9ZG_sYNGCMCU/edit?usp=sharing"",""ลพบุรี!S101"")+IMPORTRANGE(""https://docs.google.com/spreadsheets/d/10oOiF7loTyfsTkbd4MpaIm0HQ9SwB7IYHdIUvt-U1Uc/edit?usp=sharing"""&amp;",""สระแก้ว!S101"")+IMPORTRANGE(""https://docs.google.com/spreadsheets/d/1xmPlrr1QbdSIKvl1dWUl9K4PjAfSL9oeMr_37QVzcxc/edit?usp=sharing"",""สระบุรี!S101"")+IMPORTRANGE(""https://docs.google.com/spreadsheets/d/1j51vR6CYVGhABJpv6tkstgok82RLpXieLzW1yOY5rHw/edi"&amp;"t?usp=sharing"",""สิงห์บุรี!S101"")+IMPORTRANGE(""https://docs.google.com/spreadsheets/d/1H1EalTWKUSzO4Z1-1CwzoDUaVffgrThEBe2sl74kKG0/edit?usp=sharing"",""สุพรรณบุรี!S101"")+IMPORTRANGE(""https://docs.google.com/spreadsheets/d/1BmIruG_sIrJLYao_Pdr7zVArWsf"&amp;"oBt2692TMi6x_854/edit?usp=sharing"",""อ่างทอง!S101"")"),0)</f>
        <v>0</v>
      </c>
      <c r="T101" s="131">
        <f t="shared" ca="1" si="77"/>
        <v>0</v>
      </c>
      <c r="U101" s="131">
        <f t="shared" ca="1" si="78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2" s="72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2" s="72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2" s="72">
        <f t="shared" ca="1" si="74"/>
        <v>0</v>
      </c>
      <c r="P102" s="72">
        <f t="shared" ca="1" si="75"/>
        <v>0</v>
      </c>
      <c r="Q102" s="71">
        <f ca="1">IFERROR(__xludf.DUMMYFUNCTION("IMPORTRANGE(""https://docs.google.com/spreadsheets/d/13wPX838HrBrQMCywv1BsuMkt4PEKTChp52zj44s2izQ/edit?usp=sharing"",""กาญจนบุรี!Q102"")+IMPORTRANGE(""https://docs.google.com/spreadsheets/d/1ddFKvqj1W1NEiWytbGlB1zMx_ykJDVtmfEQ-6-lIUBA/edit?usp=sharing"","&amp;"""จันทบุรี!Q102"")+IMPORTRANGE(""https://docs.google.com/spreadsheets/d/1T1PQvRODqOBZk8BRht_U031fIS1beLA0Ub2CEytj2q0/edit?usp=sharing"",""ฉะเชิงเทรา!Q102"")+IMPORTRANGE(""https://docs.google.com/spreadsheets/d/11tr1B-Bhyr79v2bkwVh5h_fR-PStkgjlZtkrZpYurG0/"&amp;"edit?usp=sharing"",""ชลบุรี!Q102"")+IMPORTRANGE(""https://docs.google.com/spreadsheets/d/1hh-FVnSX0vozXhGluamEcS54Dw9_zqW0N7qJUWgJ0Sw/edit?usp=sharing"",""ชัยนาท!Q102"")+IMPORTRANGE(""https://docs.google.com/spreadsheets/d/1jkqa6GXxSacMcY1eN8AHjMNJ_7dDXMJ"&amp;"VRLDlaFSOdPM/edit?usp=sharing"",""ตราด!Q102"")+IMPORTRANGE(""https://docs.google.com/spreadsheets/d/18hSgUJ3VwClqi_qtULmmW3cLr0oe3OKaSYoKzdpTsYQ/edit?usp=sharing"",""นครนายก!Q102"")+IMPORTRANGE(""https://docs.google.com/spreadsheets/d/1YTZo6WM2dQ6Ix6FSdnL"&amp;"5P7uVnVKu40sxZu975tgG10E/edit?usp=sharing"",""นครปฐม!Q102"")+IMPORTRANGE(""https://docs.google.com/spreadsheets/d/1OYoGg4WDg5RIzwGeB10padOxJF9E_Vljuvvct_M7RDo/edit?usp=sharing"",""ปทุมธานี!Q102"")+IMPORTRANGE(""https://docs.google.com/spreadsheets/d/1GbCI"&amp;"E4D4wk9FUozzqk7SxfDMxDVBwVmI5zcaVUSzKAc/edit?usp=sharing"",""ประจวบคีรีขันธ์!Q102"")+IMPORTRANGE(""https://docs.google.com/spreadsheets/d/1vVf6wykvW_lAyu7Yo9L4hUTqHqIeP_qcVuxCtosJEbg/edit?usp=sharing"",""ปราจีนบุรี!Q102"")+IMPORTRANGE(""https://docs.googl"&amp;"e.com/spreadsheets/d/1BIDqLLg5jk3v59G8NlR8rk5xfQDKne0sAvZHSj7TI6I/edit?usp=sharing"",""พระนครศรีอยุธยา!Q102"")+IMPORTRANGE(""https://docs.google.com/spreadsheets/d/1YXvxf8Yu6_rV4hTBrwMqAcAnv6DfhUxh5emyM3CJp_w/edit?usp=sharing"",""เพชรบุรี!Q102"")+IMPORTRA"&amp;"NGE(""https://docs.google.com/spreadsheets/d/19KBlQQs7uwvsao6t2n-KvW3Ax8J8uRRfZPq1zPbXgKc/edit?usp=sharing"",""ระยอง!Q102"")+IMPORTRANGE(""https://docs.google.com/spreadsheets/d/1jQ6P4QcrGM89YfqcC_PxOHGCMq5ezhucwJd8ci-NHng/edit?usp=sharing"",""ราชบุรี!Q10"&amp;"2"")+IMPORTRANGE(""https://docs.google.com/spreadsheets/d/1lufeA2cfFqM-elVq2hznhDzC6Pr7wkJ9ZG_sYNGCMCU/edit?usp=sharing"",""ลพบุรี!Q102"")+IMPORTRANGE(""https://docs.google.com/spreadsheets/d/10oOiF7loTyfsTkbd4MpaIm0HQ9SwB7IYHdIUvt-U1Uc/edit?usp=sharing"""&amp;",""สระแก้ว!Q102"")+IMPORTRANGE(""https://docs.google.com/spreadsheets/d/1xmPlrr1QbdSIKvl1dWUl9K4PjAfSL9oeMr_37QVzcxc/edit?usp=sharing"",""สระบุรี!Q102"")+IMPORTRANGE(""https://docs.google.com/spreadsheets/d/1j51vR6CYVGhABJpv6tkstgok82RLpXieLzW1yOY5rHw/edi"&amp;"t?usp=sharing"",""สิงห์บุรี!Q102"")+IMPORTRANGE(""https://docs.google.com/spreadsheets/d/1H1EalTWKUSzO4Z1-1CwzoDUaVffgrThEBe2sl74kKG0/edit?usp=sharing"",""สุพรรณบุรี!Q102"")+IMPORTRANGE(""https://docs.google.com/spreadsheets/d/1BmIruG_sIrJLYao_Pdr7zVArWsf"&amp;"oBt2692TMi6x_854/edit?usp=sharing"",""อ่างทอง!Q102"")"),0)</f>
        <v>0</v>
      </c>
      <c r="R102" s="72">
        <f ca="1">IFERROR(__xludf.DUMMYFUNCTION("IMPORTRANGE(""https://docs.google.com/spreadsheets/d/13wPX838HrBrQMCywv1BsuMkt4PEKTChp52zj44s2izQ/edit?usp=sharing"",""กาญจนบุรี!R102"")+IMPORTRANGE(""https://docs.google.com/spreadsheets/d/1ddFKvqj1W1NEiWytbGlB1zMx_ykJDVtmfEQ-6-lIUBA/edit?usp=sharing"","&amp;"""จันทบุรี!R102"")+IMPORTRANGE(""https://docs.google.com/spreadsheets/d/1T1PQvRODqOBZk8BRht_U031fIS1beLA0Ub2CEytj2q0/edit?usp=sharing"",""ฉะเชิงเทรา!R102"")+IMPORTRANGE(""https://docs.google.com/spreadsheets/d/11tr1B-Bhyr79v2bkwVh5h_fR-PStkgjlZtkrZpYurG0/"&amp;"edit?usp=sharing"",""ชลบุรี!R102"")+IMPORTRANGE(""https://docs.google.com/spreadsheets/d/1hh-FVnSX0vozXhGluamEcS54Dw9_zqW0N7qJUWgJ0Sw/edit?usp=sharing"",""ชัยนาท!R102"")+IMPORTRANGE(""https://docs.google.com/spreadsheets/d/1jkqa6GXxSacMcY1eN8AHjMNJ_7dDXMJ"&amp;"VRLDlaFSOdPM/edit?usp=sharing"",""ตราด!R102"")+IMPORTRANGE(""https://docs.google.com/spreadsheets/d/18hSgUJ3VwClqi_qtULmmW3cLr0oe3OKaSYoKzdpTsYQ/edit?usp=sharing"",""นครนายก!R102"")+IMPORTRANGE(""https://docs.google.com/spreadsheets/d/1YTZo6WM2dQ6Ix6FSdnL"&amp;"5P7uVnVKu40sxZu975tgG10E/edit?usp=sharing"",""นครปฐม!R102"")+IMPORTRANGE(""https://docs.google.com/spreadsheets/d/1OYoGg4WDg5RIzwGeB10padOxJF9E_Vljuvvct_M7RDo/edit?usp=sharing"",""ปทุมธานี!R102"")+IMPORTRANGE(""https://docs.google.com/spreadsheets/d/1GbCI"&amp;"E4D4wk9FUozzqk7SxfDMxDVBwVmI5zcaVUSzKAc/edit?usp=sharing"",""ประจวบคีรีขันธ์!R102"")+IMPORTRANGE(""https://docs.google.com/spreadsheets/d/1vVf6wykvW_lAyu7Yo9L4hUTqHqIeP_qcVuxCtosJEbg/edit?usp=sharing"",""ปราจีนบุรี!R102"")+IMPORTRANGE(""https://docs.googl"&amp;"e.com/spreadsheets/d/1BIDqLLg5jk3v59G8NlR8rk5xfQDKne0sAvZHSj7TI6I/edit?usp=sharing"",""พระนครศรีอยุธยา!R102"")+IMPORTRANGE(""https://docs.google.com/spreadsheets/d/1YXvxf8Yu6_rV4hTBrwMqAcAnv6DfhUxh5emyM3CJp_w/edit?usp=sharing"",""เพชรบุรี!R102"")+IMPORTRA"&amp;"NGE(""https://docs.google.com/spreadsheets/d/19KBlQQs7uwvsao6t2n-KvW3Ax8J8uRRfZPq1zPbXgKc/edit?usp=sharing"",""ระยอง!R102"")+IMPORTRANGE(""https://docs.google.com/spreadsheets/d/1jQ6P4QcrGM89YfqcC_PxOHGCMq5ezhucwJd8ci-NHng/edit?usp=sharing"",""ราชบุรี!R10"&amp;"2"")+IMPORTRANGE(""https://docs.google.com/spreadsheets/d/1lufeA2cfFqM-elVq2hznhDzC6Pr7wkJ9ZG_sYNGCMCU/edit?usp=sharing"",""ลพบุรี!R102"")+IMPORTRANGE(""https://docs.google.com/spreadsheets/d/10oOiF7loTyfsTkbd4MpaIm0HQ9SwB7IYHdIUvt-U1Uc/edit?usp=sharing"""&amp;",""สระแก้ว!R102"")+IMPORTRANGE(""https://docs.google.com/spreadsheets/d/1xmPlrr1QbdSIKvl1dWUl9K4PjAfSL9oeMr_37QVzcxc/edit?usp=sharing"",""สระบุรี!R102"")+IMPORTRANGE(""https://docs.google.com/spreadsheets/d/1j51vR6CYVGhABJpv6tkstgok82RLpXieLzW1yOY5rHw/edi"&amp;"t?usp=sharing"",""สิงห์บุรี!R102"")+IMPORTRANGE(""https://docs.google.com/spreadsheets/d/1H1EalTWKUSzO4Z1-1CwzoDUaVffgrThEBe2sl74kKG0/edit?usp=sharing"",""สุพรรณบุรี!R102"")+IMPORTRANGE(""https://docs.google.com/spreadsheets/d/1BmIruG_sIrJLYao_Pdr7zVArWsf"&amp;"oBt2692TMi6x_854/edit?usp=sharing"",""อ่างทอง!R102"")"),0)</f>
        <v>0</v>
      </c>
      <c r="S102" s="72">
        <f ca="1">IFERROR(__xludf.DUMMYFUNCTION("IMPORTRANGE(""https://docs.google.com/spreadsheets/d/13wPX838HrBrQMCywv1BsuMkt4PEKTChp52zj44s2izQ/edit?usp=sharing"",""กาญจนบุรี!S102"")+IMPORTRANGE(""https://docs.google.com/spreadsheets/d/1ddFKvqj1W1NEiWytbGlB1zMx_ykJDVtmfEQ-6-lIUBA/edit?usp=sharing"","&amp;"""จันทบุรี!S102"")+IMPORTRANGE(""https://docs.google.com/spreadsheets/d/1T1PQvRODqOBZk8BRht_U031fIS1beLA0Ub2CEytj2q0/edit?usp=sharing"",""ฉะเชิงเทรา!S102"")+IMPORTRANGE(""https://docs.google.com/spreadsheets/d/11tr1B-Bhyr79v2bkwVh5h_fR-PStkgjlZtkrZpYurG0/"&amp;"edit?usp=sharing"",""ชลบุรี!S102"")+IMPORTRANGE(""https://docs.google.com/spreadsheets/d/1hh-FVnSX0vozXhGluamEcS54Dw9_zqW0N7qJUWgJ0Sw/edit?usp=sharing"",""ชัยนาท!S102"")+IMPORTRANGE(""https://docs.google.com/spreadsheets/d/1jkqa6GXxSacMcY1eN8AHjMNJ_7dDXMJ"&amp;"VRLDlaFSOdPM/edit?usp=sharing"",""ตราด!S102"")+IMPORTRANGE(""https://docs.google.com/spreadsheets/d/18hSgUJ3VwClqi_qtULmmW3cLr0oe3OKaSYoKzdpTsYQ/edit?usp=sharing"",""นครนายก!S102"")+IMPORTRANGE(""https://docs.google.com/spreadsheets/d/1YTZo6WM2dQ6Ix6FSdnL"&amp;"5P7uVnVKu40sxZu975tgG10E/edit?usp=sharing"",""นครปฐม!S102"")+IMPORTRANGE(""https://docs.google.com/spreadsheets/d/1OYoGg4WDg5RIzwGeB10padOxJF9E_Vljuvvct_M7RDo/edit?usp=sharing"",""ปทุมธานี!S102"")+IMPORTRANGE(""https://docs.google.com/spreadsheets/d/1GbCI"&amp;"E4D4wk9FUozzqk7SxfDMxDVBwVmI5zcaVUSzKAc/edit?usp=sharing"",""ประจวบคีรีขันธ์!S102"")+IMPORTRANGE(""https://docs.google.com/spreadsheets/d/1vVf6wykvW_lAyu7Yo9L4hUTqHqIeP_qcVuxCtosJEbg/edit?usp=sharing"",""ปราจีนบุรี!S102"")+IMPORTRANGE(""https://docs.googl"&amp;"e.com/spreadsheets/d/1BIDqLLg5jk3v59G8NlR8rk5xfQDKne0sAvZHSj7TI6I/edit?usp=sharing"",""พระนครศรีอยุธยา!S102"")+IMPORTRANGE(""https://docs.google.com/spreadsheets/d/1YXvxf8Yu6_rV4hTBrwMqAcAnv6DfhUxh5emyM3CJp_w/edit?usp=sharing"",""เพชรบุรี!S102"")+IMPORTRA"&amp;"NGE(""https://docs.google.com/spreadsheets/d/19KBlQQs7uwvsao6t2n-KvW3Ax8J8uRRfZPq1zPbXgKc/edit?usp=sharing"",""ระยอง!S102"")+IMPORTRANGE(""https://docs.google.com/spreadsheets/d/1jQ6P4QcrGM89YfqcC_PxOHGCMq5ezhucwJd8ci-NHng/edit?usp=sharing"",""ราชบุรี!S10"&amp;"2"")+IMPORTRANGE(""https://docs.google.com/spreadsheets/d/1lufeA2cfFqM-elVq2hznhDzC6Pr7wkJ9ZG_sYNGCMCU/edit?usp=sharing"",""ลพบุรี!S102"")+IMPORTRANGE(""https://docs.google.com/spreadsheets/d/10oOiF7loTyfsTkbd4MpaIm0HQ9SwB7IYHdIUvt-U1Uc/edit?usp=sharing"""&amp;",""สระแก้ว!S102"")+IMPORTRANGE(""https://docs.google.com/spreadsheets/d/1xmPlrr1QbdSIKvl1dWUl9K4PjAfSL9oeMr_37QVzcxc/edit?usp=sharing"",""สระบุรี!S102"")+IMPORTRANGE(""https://docs.google.com/spreadsheets/d/1j51vR6CYVGhABJpv6tkstgok82RLpXieLzW1yOY5rHw/edi"&amp;"t?usp=sharing"",""สิงห์บุรี!S102"")+IMPORTRANGE(""https://docs.google.com/spreadsheets/d/1H1EalTWKUSzO4Z1-1CwzoDUaVffgrThEBe2sl74kKG0/edit?usp=sharing"",""สุพรรณบุรี!S102"")+IMPORTRANGE(""https://docs.google.com/spreadsheets/d/1BmIruG_sIrJLYao_Pdr7zVArWsf"&amp;"oBt2692TMi6x_854/edit?usp=sharing"",""อ่างทอง!S102"")"),0)</f>
        <v>0</v>
      </c>
      <c r="T102" s="130">
        <f t="shared" ca="1" si="77"/>
        <v>0</v>
      </c>
      <c r="U102" s="130">
        <f t="shared" ca="1" si="78"/>
        <v>0</v>
      </c>
    </row>
    <row r="103" spans="1:21" ht="19.5" x14ac:dyDescent="0.3">
      <c r="A103" s="274"/>
      <c r="B103" s="275"/>
      <c r="C103" s="276" t="s">
        <v>18</v>
      </c>
      <c r="D103" s="277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381)</f>
        <v>381</v>
      </c>
      <c r="J108" s="292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183)</f>
        <v>183</v>
      </c>
      <c r="K108" s="72">
        <f t="shared" ref="K108:K109" ca="1" si="87">IF(I108&gt;0,J108*100/I108,0)</f>
        <v>48.031496062992126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127)</f>
        <v>127</v>
      </c>
      <c r="J109" s="292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61)</f>
        <v>61</v>
      </c>
      <c r="K109" s="72">
        <f t="shared" ca="1" si="87"/>
        <v>48.031496062992126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8.75" x14ac:dyDescent="0.25">
      <c r="A113" s="274"/>
      <c r="B113" s="275"/>
      <c r="C113" s="275"/>
      <c r="D113" s="289" t="s">
        <v>50</v>
      </c>
      <c r="E113" s="288"/>
      <c r="F113" s="288"/>
      <c r="G113" s="280"/>
      <c r="H113" s="293" t="s">
        <v>46</v>
      </c>
      <c r="I113" s="294">
        <f ca="1">IFERROR(__xludf.DUMMYFUNCTION("IMPORTRANGE(""https://docs.google.com/spreadsheets/d/13wPX838HrBrQMCywv1BsuMkt4PEKTChp52zj44s2izQ/edit?usp=sharing"",""กาญจนบุรี!I113"")+IMPORTRANGE(""https://docs.google.com/spreadsheets/d/1ddFKvqj1W1NEiWytbGlB1zMx_ykJDVtmfEQ-6-lIUBA/edit?usp=sharing"","&amp;"""จันทบุรี!I113"")+IMPORTRANGE(""https://docs.google.com/spreadsheets/d/1T1PQvRODqOBZk8BRht_U031fIS1beLA0Ub2CEytj2q0/edit?usp=sharing"",""ฉะเชิงเทรา!I113"")+IMPORTRANGE(""https://docs.google.com/spreadsheets/d/11tr1B-Bhyr79v2bkwVh5h_fR-PStkgjlZtkrZpYurG0/"&amp;"edit?usp=sharing"",""ชลบุรี!I113"")+IMPORTRANGE(""https://docs.google.com/spreadsheets/d/1hh-FVnSX0vozXhGluamEcS54Dw9_zqW0N7qJUWgJ0Sw/edit?usp=sharing"",""ชัยนาท!I113"")+IMPORTRANGE(""https://docs.google.com/spreadsheets/d/1jkqa6GXxSacMcY1eN8AHjMNJ_7dDXMJ"&amp;"VRLDlaFSOdPM/edit?usp=sharing"",""ตราด!I113"")+IMPORTRANGE(""https://docs.google.com/spreadsheets/d/18hSgUJ3VwClqi_qtULmmW3cLr0oe3OKaSYoKzdpTsYQ/edit?usp=sharing"",""นครนายก!I113"")+IMPORTRANGE(""https://docs.google.com/spreadsheets/d/1YTZo6WM2dQ6Ix6FSdnL"&amp;"5P7uVnVKu40sxZu975tgG10E/edit?usp=sharing"",""นครปฐม!I113"")+IMPORTRANGE(""https://docs.google.com/spreadsheets/d/1OYoGg4WDg5RIzwGeB10padOxJF9E_Vljuvvct_M7RDo/edit?usp=sharing"",""ปทุมธานี!I113"")+IMPORTRANGE(""https://docs.google.com/spreadsheets/d/1GbCI"&amp;"E4D4wk9FUozzqk7SxfDMxDVBwVmI5zcaVUSzKAc/edit?usp=sharing"",""ประจวบคีรีขันธ์!I113"")+IMPORTRANGE(""https://docs.google.com/spreadsheets/d/1vVf6wykvW_lAyu7Yo9L4hUTqHqIeP_qcVuxCtosJEbg/edit?usp=sharing"",""ปราจีนบุรี!I113"")+IMPORTRANGE(""https://docs.googl"&amp;"e.com/spreadsheets/d/1BIDqLLg5jk3v59G8NlR8rk5xfQDKne0sAvZHSj7TI6I/edit?usp=sharing"",""พระนครศรีอยุธยา!I113"")+IMPORTRANGE(""https://docs.google.com/spreadsheets/d/1YXvxf8Yu6_rV4hTBrwMqAcAnv6DfhUxh5emyM3CJp_w/edit?usp=sharing"",""เพชรบุรี!I113"")+IMPORTRA"&amp;"NGE(""https://docs.google.com/spreadsheets/d/19KBlQQs7uwvsao6t2n-KvW3Ax8J8uRRfZPq1zPbXgKc/edit?usp=sharing"",""ระยอง!I113"")+IMPORTRANGE(""https://docs.google.com/spreadsheets/d/1jQ6P4QcrGM89YfqcC_PxOHGCMq5ezhucwJd8ci-NHng/edit?usp=sharing"",""ราชบุรี!I11"&amp;"3"")+IMPORTRANGE(""https://docs.google.com/spreadsheets/d/1lufeA2cfFqM-elVq2hznhDzC6Pr7wkJ9ZG_sYNGCMCU/edit?usp=sharing"",""ลพบุรี!I113"")+IMPORTRANGE(""https://docs.google.com/spreadsheets/d/10oOiF7loTyfsTkbd4MpaIm0HQ9SwB7IYHdIUvt-U1Uc/edit?usp=sharing"""&amp;",""สระแก้ว!I113"")+IMPORTRANGE(""https://docs.google.com/spreadsheets/d/1xmPlrr1QbdSIKvl1dWUl9K4PjAfSL9oeMr_37QVzcxc/edit?usp=sharing"",""สระบุรี!I113"")+IMPORTRANGE(""https://docs.google.com/spreadsheets/d/1j51vR6CYVGhABJpv6tkstgok82RLpXieLzW1yOY5rHw/edi"&amp;"t?usp=sharing"",""สิงห์บุรี!I113"")+IMPORTRANGE(""https://docs.google.com/spreadsheets/d/1H1EalTWKUSzO4Z1-1CwzoDUaVffgrThEBe2sl74kKG0/edit?usp=sharing"",""สุพรรณบุรี!I113"")+IMPORTRANGE(""https://docs.google.com/spreadsheets/d/1BmIruG_sIrJLYao_Pdr7zVArWsf"&amp;"oBt2692TMi6x_854/edit?usp=sharing"",""อ่างทอง!I113"")"),381)</f>
        <v>381</v>
      </c>
      <c r="J113" s="292">
        <f ca="1">IFERROR(__xludf.DUMMYFUNCTION("IMPORTRANGE(""https://docs.google.com/spreadsheets/d/13wPX838HrBrQMCywv1BsuMkt4PEKTChp52zj44s2izQ/edit?usp=sharing"",""กาญจนบุรี!J113"")+IMPORTRANGE(""https://docs.google.com/spreadsheets/d/1ddFKvqj1W1NEiWytbGlB1zMx_ykJDVtmfEQ-6-lIUBA/edit?usp=sharing"","&amp;"""จันทบุรี!J113"")+IMPORTRANGE(""https://docs.google.com/spreadsheets/d/1T1PQvRODqOBZk8BRht_U031fIS1beLA0Ub2CEytj2q0/edit?usp=sharing"",""ฉะเชิงเทรา!J113"")+IMPORTRANGE(""https://docs.google.com/spreadsheets/d/11tr1B-Bhyr79v2bkwVh5h_fR-PStkgjlZtkrZpYurG0/"&amp;"edit?usp=sharing"",""ชลบุรี!J113"")+IMPORTRANGE(""https://docs.google.com/spreadsheets/d/1hh-FVnSX0vozXhGluamEcS54Dw9_zqW0N7qJUWgJ0Sw/edit?usp=sharing"",""ชัยนาท!J113"")+IMPORTRANGE(""https://docs.google.com/spreadsheets/d/1jkqa6GXxSacMcY1eN8AHjMNJ_7dDXMJ"&amp;"VRLDlaFSOdPM/edit?usp=sharing"",""ตราด!J113"")+IMPORTRANGE(""https://docs.google.com/spreadsheets/d/18hSgUJ3VwClqi_qtULmmW3cLr0oe3OKaSYoKzdpTsYQ/edit?usp=sharing"",""นครนายก!J113"")+IMPORTRANGE(""https://docs.google.com/spreadsheets/d/1YTZo6WM2dQ6Ix6FSdnL"&amp;"5P7uVnVKu40sxZu975tgG10E/edit?usp=sharing"",""นครปฐม!J113"")+IMPORTRANGE(""https://docs.google.com/spreadsheets/d/1OYoGg4WDg5RIzwGeB10padOxJF9E_Vljuvvct_M7RDo/edit?usp=sharing"",""ปทุมธานี!J113"")+IMPORTRANGE(""https://docs.google.com/spreadsheets/d/1GbCI"&amp;"E4D4wk9FUozzqk7SxfDMxDVBwVmI5zcaVUSzKAc/edit?usp=sharing"",""ประจวบคีรีขันธ์!J113"")+IMPORTRANGE(""https://docs.google.com/spreadsheets/d/1vVf6wykvW_lAyu7Yo9L4hUTqHqIeP_qcVuxCtosJEbg/edit?usp=sharing"",""ปราจีนบุรี!J113"")+IMPORTRANGE(""https://docs.googl"&amp;"e.com/spreadsheets/d/1BIDqLLg5jk3v59G8NlR8rk5xfQDKne0sAvZHSj7TI6I/edit?usp=sharing"",""พระนครศรีอยุธยา!J113"")+IMPORTRANGE(""https://docs.google.com/spreadsheets/d/1YXvxf8Yu6_rV4hTBrwMqAcAnv6DfhUxh5emyM3CJp_w/edit?usp=sharing"",""เพชรบุรี!J113"")+IMPORTRA"&amp;"NGE(""https://docs.google.com/spreadsheets/d/19KBlQQs7uwvsao6t2n-KvW3Ax8J8uRRfZPq1zPbXgKc/edit?usp=sharing"",""ระยอง!J113"")+IMPORTRANGE(""https://docs.google.com/spreadsheets/d/1jQ6P4QcrGM89YfqcC_PxOHGCMq5ezhucwJd8ci-NHng/edit?usp=sharing"",""ราชบุรี!J11"&amp;"3"")+IMPORTRANGE(""https://docs.google.com/spreadsheets/d/1lufeA2cfFqM-elVq2hznhDzC6Pr7wkJ9ZG_sYNGCMCU/edit?usp=sharing"",""ลพบุรี!J113"")+IMPORTRANGE(""https://docs.google.com/spreadsheets/d/10oOiF7loTyfsTkbd4MpaIm0HQ9SwB7IYHdIUvt-U1Uc/edit?usp=sharing"""&amp;",""สระแก้ว!J113"")+IMPORTRANGE(""https://docs.google.com/spreadsheets/d/1xmPlrr1QbdSIKvl1dWUl9K4PjAfSL9oeMr_37QVzcxc/edit?usp=sharing"",""สระบุรี!J113"")+IMPORTRANGE(""https://docs.google.com/spreadsheets/d/1j51vR6CYVGhABJpv6tkstgok82RLpXieLzW1yOY5rHw/edi"&amp;"t?usp=sharing"",""สิงห์บุรี!J113"")+IMPORTRANGE(""https://docs.google.com/spreadsheets/d/1H1EalTWKUSzO4Z1-1CwzoDUaVffgrThEBe2sl74kKG0/edit?usp=sharing"",""สุพรรณบุรี!J113"")+IMPORTRANGE(""https://docs.google.com/spreadsheets/d/1BmIruG_sIrJLYao_Pdr7zVArWsf"&amp;"oBt2692TMi6x_854/edit?usp=sharing"",""อ่างทอง!J113"")"),183)</f>
        <v>183</v>
      </c>
      <c r="K113" s="72">
        <f t="shared" ref="K113:K114" ca="1" si="88">IF(I113&gt;0,J113*100/I113,0)</f>
        <v>48.031496062992126</v>
      </c>
      <c r="L113" s="85"/>
      <c r="M113" s="85"/>
      <c r="N113" s="85"/>
      <c r="O113" s="227"/>
      <c r="P113" s="227"/>
      <c r="Q113" s="84"/>
      <c r="R113" s="85"/>
      <c r="S113" s="85"/>
      <c r="T113" s="227"/>
      <c r="U113" s="227"/>
    </row>
    <row r="114" spans="1:21" ht="18.75" x14ac:dyDescent="0.25">
      <c r="A114" s="274"/>
      <c r="B114" s="275"/>
      <c r="C114" s="275"/>
      <c r="D114" s="289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13wPX838HrBrQMCywv1BsuMkt4PEKTChp52zj44s2izQ/edit?usp=sharing"",""กาญจนบุรี!I114"")+IMPORTRANGE(""https://docs.google.com/spreadsheets/d/1ddFKvqj1W1NEiWytbGlB1zMx_ykJDVtmfEQ-6-lIUBA/edit?usp=sharing"","&amp;"""จันทบุรี!I114"")+IMPORTRANGE(""https://docs.google.com/spreadsheets/d/1T1PQvRODqOBZk8BRht_U031fIS1beLA0Ub2CEytj2q0/edit?usp=sharing"",""ฉะเชิงเทรา!I114"")+IMPORTRANGE(""https://docs.google.com/spreadsheets/d/11tr1B-Bhyr79v2bkwVh5h_fR-PStkgjlZtkrZpYurG0/"&amp;"edit?usp=sharing"",""ชลบุรี!I114"")+IMPORTRANGE(""https://docs.google.com/spreadsheets/d/1hh-FVnSX0vozXhGluamEcS54Dw9_zqW0N7qJUWgJ0Sw/edit?usp=sharing"",""ชัยนาท!I114"")+IMPORTRANGE(""https://docs.google.com/spreadsheets/d/1jkqa6GXxSacMcY1eN8AHjMNJ_7dDXMJ"&amp;"VRLDlaFSOdPM/edit?usp=sharing"",""ตราด!I114"")+IMPORTRANGE(""https://docs.google.com/spreadsheets/d/18hSgUJ3VwClqi_qtULmmW3cLr0oe3OKaSYoKzdpTsYQ/edit?usp=sharing"",""นครนายก!I114"")+IMPORTRANGE(""https://docs.google.com/spreadsheets/d/1YTZo6WM2dQ6Ix6FSdnL"&amp;"5P7uVnVKu40sxZu975tgG10E/edit?usp=sharing"",""นครปฐม!I114"")+IMPORTRANGE(""https://docs.google.com/spreadsheets/d/1OYoGg4WDg5RIzwGeB10padOxJF9E_Vljuvvct_M7RDo/edit?usp=sharing"",""ปทุมธานี!I114"")+IMPORTRANGE(""https://docs.google.com/spreadsheets/d/1GbCI"&amp;"E4D4wk9FUozzqk7SxfDMxDVBwVmI5zcaVUSzKAc/edit?usp=sharing"",""ประจวบคีรีขันธ์!I114"")+IMPORTRANGE(""https://docs.google.com/spreadsheets/d/1vVf6wykvW_lAyu7Yo9L4hUTqHqIeP_qcVuxCtosJEbg/edit?usp=sharing"",""ปราจีนบุรี!I114"")+IMPORTRANGE(""https://docs.googl"&amp;"e.com/spreadsheets/d/1BIDqLLg5jk3v59G8NlR8rk5xfQDKne0sAvZHSj7TI6I/edit?usp=sharing"",""พระนครศรีอยุธยา!I114"")+IMPORTRANGE(""https://docs.google.com/spreadsheets/d/1YXvxf8Yu6_rV4hTBrwMqAcAnv6DfhUxh5emyM3CJp_w/edit?usp=sharing"",""เพชรบุรี!I114"")+IMPORTRA"&amp;"NGE(""https://docs.google.com/spreadsheets/d/19KBlQQs7uwvsao6t2n-KvW3Ax8J8uRRfZPq1zPbXgKc/edit?usp=sharing"",""ระยอง!I114"")+IMPORTRANGE(""https://docs.google.com/spreadsheets/d/1jQ6P4QcrGM89YfqcC_PxOHGCMq5ezhucwJd8ci-NHng/edit?usp=sharing"",""ราชบุรี!I11"&amp;"4"")+IMPORTRANGE(""https://docs.google.com/spreadsheets/d/1lufeA2cfFqM-elVq2hznhDzC6Pr7wkJ9ZG_sYNGCMCU/edit?usp=sharing"",""ลพบุรี!I114"")+IMPORTRANGE(""https://docs.google.com/spreadsheets/d/10oOiF7loTyfsTkbd4MpaIm0HQ9SwB7IYHdIUvt-U1Uc/edit?usp=sharing"""&amp;",""สระแก้ว!I114"")+IMPORTRANGE(""https://docs.google.com/spreadsheets/d/1xmPlrr1QbdSIKvl1dWUl9K4PjAfSL9oeMr_37QVzcxc/edit?usp=sharing"",""สระบุรี!I114"")+IMPORTRANGE(""https://docs.google.com/spreadsheets/d/1j51vR6CYVGhABJpv6tkstgok82RLpXieLzW1yOY5rHw/edi"&amp;"t?usp=sharing"",""สิงห์บุรี!I114"")+IMPORTRANGE(""https://docs.google.com/spreadsheets/d/1H1EalTWKUSzO4Z1-1CwzoDUaVffgrThEBe2sl74kKG0/edit?usp=sharing"",""สุพรรณบุรี!I114"")+IMPORTRANGE(""https://docs.google.com/spreadsheets/d/1BmIruG_sIrJLYao_Pdr7zVArWsf"&amp;"oBt2692TMi6x_854/edit?usp=sharing"",""อ่างทอง!I114"")"),127)</f>
        <v>127</v>
      </c>
      <c r="J114" s="292">
        <f ca="1">IFERROR(__xludf.DUMMYFUNCTION("IMPORTRANGE(""https://docs.google.com/spreadsheets/d/13wPX838HrBrQMCywv1BsuMkt4PEKTChp52zj44s2izQ/edit?usp=sharing"",""กาญจนบุรี!J114"")+IMPORTRANGE(""https://docs.google.com/spreadsheets/d/1ddFKvqj1W1NEiWytbGlB1zMx_ykJDVtmfEQ-6-lIUBA/edit?usp=sharing"","&amp;"""จันทบุรี!J114"")+IMPORTRANGE(""https://docs.google.com/spreadsheets/d/1T1PQvRODqOBZk8BRht_U031fIS1beLA0Ub2CEytj2q0/edit?usp=sharing"",""ฉะเชิงเทรา!J114"")+IMPORTRANGE(""https://docs.google.com/spreadsheets/d/11tr1B-Bhyr79v2bkwVh5h_fR-PStkgjlZtkrZpYurG0/"&amp;"edit?usp=sharing"",""ชลบุรี!J114"")+IMPORTRANGE(""https://docs.google.com/spreadsheets/d/1hh-FVnSX0vozXhGluamEcS54Dw9_zqW0N7qJUWgJ0Sw/edit?usp=sharing"",""ชัยนาท!J114"")+IMPORTRANGE(""https://docs.google.com/spreadsheets/d/1jkqa6GXxSacMcY1eN8AHjMNJ_7dDXMJ"&amp;"VRLDlaFSOdPM/edit?usp=sharing"",""ตราด!J114"")+IMPORTRANGE(""https://docs.google.com/spreadsheets/d/18hSgUJ3VwClqi_qtULmmW3cLr0oe3OKaSYoKzdpTsYQ/edit?usp=sharing"",""นครนายก!J114"")+IMPORTRANGE(""https://docs.google.com/spreadsheets/d/1YTZo6WM2dQ6Ix6FSdnL"&amp;"5P7uVnVKu40sxZu975tgG10E/edit?usp=sharing"",""นครปฐม!J114"")+IMPORTRANGE(""https://docs.google.com/spreadsheets/d/1OYoGg4WDg5RIzwGeB10padOxJF9E_Vljuvvct_M7RDo/edit?usp=sharing"",""ปทุมธานี!J114"")+IMPORTRANGE(""https://docs.google.com/spreadsheets/d/1GbCI"&amp;"E4D4wk9FUozzqk7SxfDMxDVBwVmI5zcaVUSzKAc/edit?usp=sharing"",""ประจวบคีรีขันธ์!J114"")+IMPORTRANGE(""https://docs.google.com/spreadsheets/d/1vVf6wykvW_lAyu7Yo9L4hUTqHqIeP_qcVuxCtosJEbg/edit?usp=sharing"",""ปราจีนบุรี!J114"")+IMPORTRANGE(""https://docs.googl"&amp;"e.com/spreadsheets/d/1BIDqLLg5jk3v59G8NlR8rk5xfQDKne0sAvZHSj7TI6I/edit?usp=sharing"",""พระนครศรีอยุธยา!J114"")+IMPORTRANGE(""https://docs.google.com/spreadsheets/d/1YXvxf8Yu6_rV4hTBrwMqAcAnv6DfhUxh5emyM3CJp_w/edit?usp=sharing"",""เพชรบุรี!J114"")+IMPORTRA"&amp;"NGE(""https://docs.google.com/spreadsheets/d/19KBlQQs7uwvsao6t2n-KvW3Ax8J8uRRfZPq1zPbXgKc/edit?usp=sharing"",""ระยอง!J114"")+IMPORTRANGE(""https://docs.google.com/spreadsheets/d/1jQ6P4QcrGM89YfqcC_PxOHGCMq5ezhucwJd8ci-NHng/edit?usp=sharing"",""ราชบุรี!J11"&amp;"4"")+IMPORTRANGE(""https://docs.google.com/spreadsheets/d/1lufeA2cfFqM-elVq2hznhDzC6Pr7wkJ9ZG_sYNGCMCU/edit?usp=sharing"",""ลพบุรี!J114"")+IMPORTRANGE(""https://docs.google.com/spreadsheets/d/10oOiF7loTyfsTkbd4MpaIm0HQ9SwB7IYHdIUvt-U1Uc/edit?usp=sharing"""&amp;",""สระแก้ว!J114"")+IMPORTRANGE(""https://docs.google.com/spreadsheets/d/1xmPlrr1QbdSIKvl1dWUl9K4PjAfSL9oeMr_37QVzcxc/edit?usp=sharing"",""สระบุรี!J114"")+IMPORTRANGE(""https://docs.google.com/spreadsheets/d/1j51vR6CYVGhABJpv6tkstgok82RLpXieLzW1yOY5rHw/edi"&amp;"t?usp=sharing"",""สิงห์บุรี!J114"")+IMPORTRANGE(""https://docs.google.com/spreadsheets/d/1H1EalTWKUSzO4Z1-1CwzoDUaVffgrThEBe2sl74kKG0/edit?usp=sharing"",""สุพรรณบุรี!J114"")+IMPORTRANGE(""https://docs.google.com/spreadsheets/d/1BmIruG_sIrJLYao_Pdr7zVArWsf"&amp;"oBt2692TMi6x_854/edit?usp=sharing"",""อ่างทอง!J114"")"),61)</f>
        <v>61</v>
      </c>
      <c r="K114" s="72">
        <f t="shared" ca="1" si="88"/>
        <v>48.031496062992126</v>
      </c>
      <c r="L114" s="85"/>
      <c r="M114" s="85"/>
      <c r="N114" s="85"/>
      <c r="O114" s="227"/>
      <c r="P114" s="227"/>
      <c r="Q114" s="84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247"/>
      <c r="M115" s="247"/>
      <c r="N115" s="247"/>
      <c r="O115" s="247"/>
      <c r="P115" s="247"/>
      <c r="Q115" s="198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t="shared" ref="I116:J116" ca="1" si="89">I127</f>
        <v>421</v>
      </c>
      <c r="J116" s="254">
        <f t="shared" ca="1" si="89"/>
        <v>406</v>
      </c>
      <c r="K116" s="57">
        <f ca="1">IF(I116&gt;0,J116*100/I116,0)</f>
        <v>96.437054631828985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67"/>
      <c r="C117" s="27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t="shared" ref="L117:N117" ca="1" si="90">L118+L119</f>
        <v>0</v>
      </c>
      <c r="M117" s="262">
        <f t="shared" ca="1" si="90"/>
        <v>0</v>
      </c>
      <c r="N117" s="262">
        <f t="shared" ca="1" si="90"/>
        <v>0</v>
      </c>
      <c r="O117" s="262">
        <f t="shared" ref="O117:O125" ca="1" si="91">IF(L117&gt;0,N117*100/L117,0)</f>
        <v>0</v>
      </c>
      <c r="P117" s="262">
        <f t="shared" ref="P117:P125" ca="1" si="92">IF(M117&gt;0,N117*100/M117,0)</f>
        <v>0</v>
      </c>
      <c r="Q117" s="212">
        <f t="shared" ref="Q117:S117" ca="1" si="93">Q118+Q119</f>
        <v>4203090</v>
      </c>
      <c r="R117" s="213">
        <f t="shared" ca="1" si="93"/>
        <v>4203090</v>
      </c>
      <c r="S117" s="213">
        <f t="shared" ca="1" si="93"/>
        <v>2744499.41</v>
      </c>
      <c r="T117" s="213">
        <f t="shared" ref="T117:T125" ca="1" si="94">IF(Q117&gt;0,S117*100/Q117,0)</f>
        <v>65.297183976550585</v>
      </c>
      <c r="U117" s="213">
        <f t="shared" ref="U117:U125" ca="1" si="95">IF(R117&gt;0,S117*100/R117,0)</f>
        <v>65.297183976550585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 t="shared" ref="L118:N118" ca="1" si="96">L121+L124</f>
        <v>0</v>
      </c>
      <c r="M118" s="75">
        <f t="shared" ca="1" si="96"/>
        <v>0</v>
      </c>
      <c r="N118" s="75">
        <f t="shared" ca="1" si="96"/>
        <v>0</v>
      </c>
      <c r="O118" s="75">
        <f t="shared" ca="1" si="91"/>
        <v>0</v>
      </c>
      <c r="P118" s="75">
        <f t="shared" ca="1" si="92"/>
        <v>0</v>
      </c>
      <c r="Q118" s="215">
        <f t="shared" ref="Q118:S118" ca="1" si="97">Q121+Q124</f>
        <v>0</v>
      </c>
      <c r="R118" s="131">
        <f t="shared" ca="1" si="97"/>
        <v>0</v>
      </c>
      <c r="S118" s="131">
        <f t="shared" ca="1" si="97"/>
        <v>0</v>
      </c>
      <c r="T118" s="131">
        <f t="shared" ca="1" si="94"/>
        <v>0</v>
      </c>
      <c r="U118" s="131">
        <f t="shared" ca="1" si="95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t="shared" ref="L119:N119" ca="1" si="98">L122+L125</f>
        <v>0</v>
      </c>
      <c r="M119" s="72">
        <f t="shared" ca="1" si="98"/>
        <v>0</v>
      </c>
      <c r="N119" s="72">
        <f t="shared" ca="1" si="98"/>
        <v>0</v>
      </c>
      <c r="O119" s="72">
        <f t="shared" ca="1" si="91"/>
        <v>0</v>
      </c>
      <c r="P119" s="72">
        <f t="shared" ca="1" si="92"/>
        <v>0</v>
      </c>
      <c r="Q119" s="129">
        <f t="shared" ref="Q119:S119" ca="1" si="99">Q122+Q125</f>
        <v>4203090</v>
      </c>
      <c r="R119" s="130">
        <f t="shared" ca="1" si="99"/>
        <v>4203090</v>
      </c>
      <c r="S119" s="130">
        <f t="shared" ca="1" si="99"/>
        <v>2744499.41</v>
      </c>
      <c r="T119" s="130">
        <f t="shared" ca="1" si="94"/>
        <v>65.297183976550585</v>
      </c>
      <c r="U119" s="130">
        <f t="shared" ca="1" si="95"/>
        <v>65.297183976550585</v>
      </c>
    </row>
    <row r="120" spans="1:21" ht="18.75" x14ac:dyDescent="0.25">
      <c r="A120" s="255"/>
      <c r="B120" s="267"/>
      <c r="C120" s="301"/>
      <c r="D120" s="27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t="shared" ref="L120:N120" ca="1" si="100">L121+L122</f>
        <v>0</v>
      </c>
      <c r="M120" s="72">
        <f t="shared" ca="1" si="100"/>
        <v>0</v>
      </c>
      <c r="N120" s="72">
        <f t="shared" ca="1" si="100"/>
        <v>0</v>
      </c>
      <c r="O120" s="72">
        <f t="shared" ca="1" si="91"/>
        <v>0</v>
      </c>
      <c r="P120" s="72">
        <f t="shared" ca="1" si="92"/>
        <v>0</v>
      </c>
      <c r="Q120" s="129">
        <f t="shared" ref="Q120:S120" ca="1" si="101">Q121+Q122</f>
        <v>4203090</v>
      </c>
      <c r="R120" s="130">
        <f t="shared" ca="1" si="101"/>
        <v>4203090</v>
      </c>
      <c r="S120" s="130">
        <f t="shared" ca="1" si="101"/>
        <v>2744499.41</v>
      </c>
      <c r="T120" s="130">
        <f t="shared" ca="1" si="94"/>
        <v>65.297183976550585</v>
      </c>
      <c r="U120" s="130">
        <f t="shared" ca="1" si="95"/>
        <v>65.297183976550585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f ca="1">IFERROR(__xludf.DUMMYFUNCTION("IMPORTRANGE(""https://docs.google.com/spreadsheets/d/13wPX838HrBrQMCywv1BsuMkt4PEKTChp52zj44s2izQ/edit?usp=sharing"",""กาญจนบุรี!L121"")+IMPORTRANGE(""https://docs.google.com/spreadsheets/d/1ddFKvqj1W1NEiWytbGlB1zMx_ykJDVtmfEQ-6-lIUBA/edit?usp=sharing"","&amp;"""จันทบุรี!L121"")+IMPORTRANGE(""https://docs.google.com/spreadsheets/d/1T1PQvRODqOBZk8BRht_U031fIS1beLA0Ub2CEytj2q0/edit?usp=sharing"",""ฉะเชิงเทรา!L121"")+IMPORTRANGE(""https://docs.google.com/spreadsheets/d/11tr1B-Bhyr79v2bkwVh5h_fR-PStkgjlZtkrZpYurG0/"&amp;"edit?usp=sharing"",""ชลบุรี!L121"")+IMPORTRANGE(""https://docs.google.com/spreadsheets/d/1hh-FVnSX0vozXhGluamEcS54Dw9_zqW0N7qJUWgJ0Sw/edit?usp=sharing"",""ชัยนาท!L121"")+IMPORTRANGE(""https://docs.google.com/spreadsheets/d/1jkqa6GXxSacMcY1eN8AHjMNJ_7dDXMJ"&amp;"VRLDlaFSOdPM/edit?usp=sharing"",""ตราด!L121"")+IMPORTRANGE(""https://docs.google.com/spreadsheets/d/18hSgUJ3VwClqi_qtULmmW3cLr0oe3OKaSYoKzdpTsYQ/edit?usp=sharing"",""นครนายก!L121"")+IMPORTRANGE(""https://docs.google.com/spreadsheets/d/1YTZo6WM2dQ6Ix6FSdnL"&amp;"5P7uVnVKu40sxZu975tgG10E/edit?usp=sharing"",""นครปฐม!L121"")+IMPORTRANGE(""https://docs.google.com/spreadsheets/d/1OYoGg4WDg5RIzwGeB10padOxJF9E_Vljuvvct_M7RDo/edit?usp=sharing"",""ปทุมธานี!L121"")+IMPORTRANGE(""https://docs.google.com/spreadsheets/d/1GbCI"&amp;"E4D4wk9FUozzqk7SxfDMxDVBwVmI5zcaVUSzKAc/edit?usp=sharing"",""ประจวบคีรีขันธ์!L121"")+IMPORTRANGE(""https://docs.google.com/spreadsheets/d/1vVf6wykvW_lAyu7Yo9L4hUTqHqIeP_qcVuxCtosJEbg/edit?usp=sharing"",""ปราจีนบุรี!L121"")+IMPORTRANGE(""https://docs.googl"&amp;"e.com/spreadsheets/d/1BIDqLLg5jk3v59G8NlR8rk5xfQDKne0sAvZHSj7TI6I/edit?usp=sharing"",""พระนครศรีอยุธยา!L121"")+IMPORTRANGE(""https://docs.google.com/spreadsheets/d/1YXvxf8Yu6_rV4hTBrwMqAcAnv6DfhUxh5emyM3CJp_w/edit?usp=sharing"",""เพชรบุรี!L121"")+IMPORTRA"&amp;"NGE(""https://docs.google.com/spreadsheets/d/19KBlQQs7uwvsao6t2n-KvW3Ax8J8uRRfZPq1zPbXgKc/edit?usp=sharing"",""ระยอง!L121"")+IMPORTRANGE(""https://docs.google.com/spreadsheets/d/1jQ6P4QcrGM89YfqcC_PxOHGCMq5ezhucwJd8ci-NHng/edit?usp=sharing"",""ราชบุรี!L12"&amp;"1"")+IMPORTRANGE(""https://docs.google.com/spreadsheets/d/1lufeA2cfFqM-elVq2hznhDzC6Pr7wkJ9ZG_sYNGCMCU/edit?usp=sharing"",""ลพบุรี!L121"")+IMPORTRANGE(""https://docs.google.com/spreadsheets/d/10oOiF7loTyfsTkbd4MpaIm0HQ9SwB7IYHdIUvt-U1Uc/edit?usp=sharing"""&amp;",""สระแก้ว!L121"")+IMPORTRANGE(""https://docs.google.com/spreadsheets/d/1xmPlrr1QbdSIKvl1dWUl9K4PjAfSL9oeMr_37QVzcxc/edit?usp=sharing"",""สระบุรี!L121"")+IMPORTRANGE(""https://docs.google.com/spreadsheets/d/1j51vR6CYVGhABJpv6tkstgok82RLpXieLzW1yOY5rHw/edi"&amp;"t?usp=sharing"",""สิงห์บุรี!L121"")+IMPORTRANGE(""https://docs.google.com/spreadsheets/d/1H1EalTWKUSzO4Z1-1CwzoDUaVffgrThEBe2sl74kKG0/edit?usp=sharing"",""สุพรรณบุรี!L121"")+IMPORTRANGE(""https://docs.google.com/spreadsheets/d/1BmIruG_sIrJLYao_Pdr7zVArWsf"&amp;"oBt2692TMi6x_854/edit?usp=sharing"",""อ่างทอง!L121"")"),0)</f>
        <v>0</v>
      </c>
      <c r="M121" s="75">
        <f ca="1">IFERROR(__xludf.DUMMYFUNCTION("IMPORTRANGE(""https://docs.google.com/spreadsheets/d/13wPX838HrBrQMCywv1BsuMkt4PEKTChp52zj44s2izQ/edit?usp=sharing"",""กาญจนบุรี!M121"")+IMPORTRANGE(""https://docs.google.com/spreadsheets/d/1ddFKvqj1W1NEiWytbGlB1zMx_ykJDVtmfEQ-6-lIUBA/edit?usp=sharing"","&amp;"""จันทบุรี!M121"")+IMPORTRANGE(""https://docs.google.com/spreadsheets/d/1T1PQvRODqOBZk8BRht_U031fIS1beLA0Ub2CEytj2q0/edit?usp=sharing"",""ฉะเชิงเทรา!M121"")+IMPORTRANGE(""https://docs.google.com/spreadsheets/d/11tr1B-Bhyr79v2bkwVh5h_fR-PStkgjlZtkrZpYurG0/"&amp;"edit?usp=sharing"",""ชลบุรี!M121"")+IMPORTRANGE(""https://docs.google.com/spreadsheets/d/1hh-FVnSX0vozXhGluamEcS54Dw9_zqW0N7qJUWgJ0Sw/edit?usp=sharing"",""ชัยนาท!M121"")+IMPORTRANGE(""https://docs.google.com/spreadsheets/d/1jkqa6GXxSacMcY1eN8AHjMNJ_7dDXMJ"&amp;"VRLDlaFSOdPM/edit?usp=sharing"",""ตราด!M121"")+IMPORTRANGE(""https://docs.google.com/spreadsheets/d/18hSgUJ3VwClqi_qtULmmW3cLr0oe3OKaSYoKzdpTsYQ/edit?usp=sharing"",""นครนายก!M121"")+IMPORTRANGE(""https://docs.google.com/spreadsheets/d/1YTZo6WM2dQ6Ix6FSdnL"&amp;"5P7uVnVKu40sxZu975tgG10E/edit?usp=sharing"",""นครปฐม!M121"")+IMPORTRANGE(""https://docs.google.com/spreadsheets/d/1OYoGg4WDg5RIzwGeB10padOxJF9E_Vljuvvct_M7RDo/edit?usp=sharing"",""ปทุมธานี!M121"")+IMPORTRANGE(""https://docs.google.com/spreadsheets/d/1GbCI"&amp;"E4D4wk9FUozzqk7SxfDMxDVBwVmI5zcaVUSzKAc/edit?usp=sharing"",""ประจวบคีรีขันธ์!M121"")+IMPORTRANGE(""https://docs.google.com/spreadsheets/d/1vVf6wykvW_lAyu7Yo9L4hUTqHqIeP_qcVuxCtosJEbg/edit?usp=sharing"",""ปราจีนบุรี!M121"")+IMPORTRANGE(""https://docs.googl"&amp;"e.com/spreadsheets/d/1BIDqLLg5jk3v59G8NlR8rk5xfQDKne0sAvZHSj7TI6I/edit?usp=sharing"",""พระนครศรีอยุธยา!M121"")+IMPORTRANGE(""https://docs.google.com/spreadsheets/d/1YXvxf8Yu6_rV4hTBrwMqAcAnv6DfhUxh5emyM3CJp_w/edit?usp=sharing"",""เพชรบุรี!M121"")+IMPORTRA"&amp;"NGE(""https://docs.google.com/spreadsheets/d/19KBlQQs7uwvsao6t2n-KvW3Ax8J8uRRfZPq1zPbXgKc/edit?usp=sharing"",""ระยอง!M121"")+IMPORTRANGE(""https://docs.google.com/spreadsheets/d/1jQ6P4QcrGM89YfqcC_PxOHGCMq5ezhucwJd8ci-NHng/edit?usp=sharing"",""ราชบุรี!M12"&amp;"1"")+IMPORTRANGE(""https://docs.google.com/spreadsheets/d/1lufeA2cfFqM-elVq2hznhDzC6Pr7wkJ9ZG_sYNGCMCU/edit?usp=sharing"",""ลพบุรี!M121"")+IMPORTRANGE(""https://docs.google.com/spreadsheets/d/10oOiF7loTyfsTkbd4MpaIm0HQ9SwB7IYHdIUvt-U1Uc/edit?usp=sharing"""&amp;",""สระแก้ว!M121"")+IMPORTRANGE(""https://docs.google.com/spreadsheets/d/1xmPlrr1QbdSIKvl1dWUl9K4PjAfSL9oeMr_37QVzcxc/edit?usp=sharing"",""สระบุรี!M121"")+IMPORTRANGE(""https://docs.google.com/spreadsheets/d/1j51vR6CYVGhABJpv6tkstgok82RLpXieLzW1yOY5rHw/edi"&amp;"t?usp=sharing"",""สิงห์บุรี!M121"")+IMPORTRANGE(""https://docs.google.com/spreadsheets/d/1H1EalTWKUSzO4Z1-1CwzoDUaVffgrThEBe2sl74kKG0/edit?usp=sharing"",""สุพรรณบุรี!M121"")+IMPORTRANGE(""https://docs.google.com/spreadsheets/d/1BmIruG_sIrJLYao_Pdr7zVArWsf"&amp;"oBt2692TMi6x_854/edit?usp=sharing"",""อ่างทอง!M121"")"),0)</f>
        <v>0</v>
      </c>
      <c r="N121" s="75">
        <f ca="1">IFERROR(__xludf.DUMMYFUNCTION("IMPORTRANGE(""https://docs.google.com/spreadsheets/d/13wPX838HrBrQMCywv1BsuMkt4PEKTChp52zj44s2izQ/edit?usp=sharing"",""กาญจนบุรี!N121"")+IMPORTRANGE(""https://docs.google.com/spreadsheets/d/1ddFKvqj1W1NEiWytbGlB1zMx_ykJDVtmfEQ-6-lIUBA/edit?usp=sharing"","&amp;"""จันทบุรี!N121"")+IMPORTRANGE(""https://docs.google.com/spreadsheets/d/1T1PQvRODqOBZk8BRht_U031fIS1beLA0Ub2CEytj2q0/edit?usp=sharing"",""ฉะเชิงเทรา!N121"")+IMPORTRANGE(""https://docs.google.com/spreadsheets/d/11tr1B-Bhyr79v2bkwVh5h_fR-PStkgjlZtkrZpYurG0/"&amp;"edit?usp=sharing"",""ชลบุรี!N121"")+IMPORTRANGE(""https://docs.google.com/spreadsheets/d/1hh-FVnSX0vozXhGluamEcS54Dw9_zqW0N7qJUWgJ0Sw/edit?usp=sharing"",""ชัยนาท!N121"")+IMPORTRANGE(""https://docs.google.com/spreadsheets/d/1jkqa6GXxSacMcY1eN8AHjMNJ_7dDXMJ"&amp;"VRLDlaFSOdPM/edit?usp=sharing"",""ตราด!N121"")+IMPORTRANGE(""https://docs.google.com/spreadsheets/d/18hSgUJ3VwClqi_qtULmmW3cLr0oe3OKaSYoKzdpTsYQ/edit?usp=sharing"",""นครนายก!N121"")+IMPORTRANGE(""https://docs.google.com/spreadsheets/d/1YTZo6WM2dQ6Ix6FSdnL"&amp;"5P7uVnVKu40sxZu975tgG10E/edit?usp=sharing"",""นครปฐม!N121"")+IMPORTRANGE(""https://docs.google.com/spreadsheets/d/1OYoGg4WDg5RIzwGeB10padOxJF9E_Vljuvvct_M7RDo/edit?usp=sharing"",""ปทุมธานี!N121"")+IMPORTRANGE(""https://docs.google.com/spreadsheets/d/1GbCI"&amp;"E4D4wk9FUozzqk7SxfDMxDVBwVmI5zcaVUSzKAc/edit?usp=sharing"",""ประจวบคีรีขันธ์!N121"")+IMPORTRANGE(""https://docs.google.com/spreadsheets/d/1vVf6wykvW_lAyu7Yo9L4hUTqHqIeP_qcVuxCtosJEbg/edit?usp=sharing"",""ปราจีนบุรี!N121"")+IMPORTRANGE(""https://docs.googl"&amp;"e.com/spreadsheets/d/1BIDqLLg5jk3v59G8NlR8rk5xfQDKne0sAvZHSj7TI6I/edit?usp=sharing"",""พระนครศรีอยุธยา!N121"")+IMPORTRANGE(""https://docs.google.com/spreadsheets/d/1YXvxf8Yu6_rV4hTBrwMqAcAnv6DfhUxh5emyM3CJp_w/edit?usp=sharing"",""เพชรบุรี!N121"")+IMPORTRA"&amp;"NGE(""https://docs.google.com/spreadsheets/d/19KBlQQs7uwvsao6t2n-KvW3Ax8J8uRRfZPq1zPbXgKc/edit?usp=sharing"",""ระยอง!N121"")+IMPORTRANGE(""https://docs.google.com/spreadsheets/d/1jQ6P4QcrGM89YfqcC_PxOHGCMq5ezhucwJd8ci-NHng/edit?usp=sharing"",""ราชบุรี!N12"&amp;"1"")+IMPORTRANGE(""https://docs.google.com/spreadsheets/d/1lufeA2cfFqM-elVq2hznhDzC6Pr7wkJ9ZG_sYNGCMCU/edit?usp=sharing"",""ลพบุรี!N121"")+IMPORTRANGE(""https://docs.google.com/spreadsheets/d/10oOiF7loTyfsTkbd4MpaIm0HQ9SwB7IYHdIUvt-U1Uc/edit?usp=sharing"""&amp;",""สระแก้ว!N121"")+IMPORTRANGE(""https://docs.google.com/spreadsheets/d/1xmPlrr1QbdSIKvl1dWUl9K4PjAfSL9oeMr_37QVzcxc/edit?usp=sharing"",""สระบุรี!N121"")+IMPORTRANGE(""https://docs.google.com/spreadsheets/d/1j51vR6CYVGhABJpv6tkstgok82RLpXieLzW1yOY5rHw/edi"&amp;"t?usp=sharing"",""สิงห์บุรี!N121"")+IMPORTRANGE(""https://docs.google.com/spreadsheets/d/1H1EalTWKUSzO4Z1-1CwzoDUaVffgrThEBe2sl74kKG0/edit?usp=sharing"",""สุพรรณบุรี!N121"")+IMPORTRANGE(""https://docs.google.com/spreadsheets/d/1BmIruG_sIrJLYao_Pdr7zVArWsf"&amp;"oBt2692TMi6x_854/edit?usp=sharing"",""อ่างทอง!N121"")"),0)</f>
        <v>0</v>
      </c>
      <c r="O121" s="75">
        <f t="shared" ca="1" si="91"/>
        <v>0</v>
      </c>
      <c r="P121" s="75">
        <f t="shared" ca="1" si="92"/>
        <v>0</v>
      </c>
      <c r="Q121" s="74">
        <f ca="1">IFERROR(__xludf.DUMMYFUNCTION("IMPORTRANGE(""https://docs.google.com/spreadsheets/d/13wPX838HrBrQMCywv1BsuMkt4PEKTChp52zj44s2izQ/edit?usp=sharing"",""กาญจนบุรี!Q121"")+IMPORTRANGE(""https://docs.google.com/spreadsheets/d/1ddFKvqj1W1NEiWytbGlB1zMx_ykJDVtmfEQ-6-lIUBA/edit?usp=sharing"","&amp;"""จันทบุรี!Q121"")+IMPORTRANGE(""https://docs.google.com/spreadsheets/d/1T1PQvRODqOBZk8BRht_U031fIS1beLA0Ub2CEytj2q0/edit?usp=sharing"",""ฉะเชิงเทรา!Q121"")+IMPORTRANGE(""https://docs.google.com/spreadsheets/d/11tr1B-Bhyr79v2bkwVh5h_fR-PStkgjlZtkrZpYurG0/"&amp;"edit?usp=sharing"",""ชลบุรี!Q121"")+IMPORTRANGE(""https://docs.google.com/spreadsheets/d/1hh-FVnSX0vozXhGluamEcS54Dw9_zqW0N7qJUWgJ0Sw/edit?usp=sharing"",""ชัยนาท!Q121"")+IMPORTRANGE(""https://docs.google.com/spreadsheets/d/1jkqa6GXxSacMcY1eN8AHjMNJ_7dDXMJ"&amp;"VRLDlaFSOdPM/edit?usp=sharing"",""ตราด!Q121"")+IMPORTRANGE(""https://docs.google.com/spreadsheets/d/18hSgUJ3VwClqi_qtULmmW3cLr0oe3OKaSYoKzdpTsYQ/edit?usp=sharing"",""นครนายก!Q121"")+IMPORTRANGE(""https://docs.google.com/spreadsheets/d/1YTZo6WM2dQ6Ix6FSdnL"&amp;"5P7uVnVKu40sxZu975tgG10E/edit?usp=sharing"",""นครปฐม!Q121"")+IMPORTRANGE(""https://docs.google.com/spreadsheets/d/1OYoGg4WDg5RIzwGeB10padOxJF9E_Vljuvvct_M7RDo/edit?usp=sharing"",""ปทุมธานี!Q121"")+IMPORTRANGE(""https://docs.google.com/spreadsheets/d/1GbCI"&amp;"E4D4wk9FUozzqk7SxfDMxDVBwVmI5zcaVUSzKAc/edit?usp=sharing"",""ประจวบคีรีขันธ์!Q121"")+IMPORTRANGE(""https://docs.google.com/spreadsheets/d/1vVf6wykvW_lAyu7Yo9L4hUTqHqIeP_qcVuxCtosJEbg/edit?usp=sharing"",""ปราจีนบุรี!Q121"")+IMPORTRANGE(""https://docs.googl"&amp;"e.com/spreadsheets/d/1BIDqLLg5jk3v59G8NlR8rk5xfQDKne0sAvZHSj7TI6I/edit?usp=sharing"",""พระนครศรีอยุธยา!Q121"")+IMPORTRANGE(""https://docs.google.com/spreadsheets/d/1YXvxf8Yu6_rV4hTBrwMqAcAnv6DfhUxh5emyM3CJp_w/edit?usp=sharing"",""เพชรบุรี!Q121"")+IMPORTRA"&amp;"NGE(""https://docs.google.com/spreadsheets/d/19KBlQQs7uwvsao6t2n-KvW3Ax8J8uRRfZPq1zPbXgKc/edit?usp=sharing"",""ระยอง!Q121"")+IMPORTRANGE(""https://docs.google.com/spreadsheets/d/1jQ6P4QcrGM89YfqcC_PxOHGCMq5ezhucwJd8ci-NHng/edit?usp=sharing"",""ราชบุรี!Q12"&amp;"1"")+IMPORTRANGE(""https://docs.google.com/spreadsheets/d/1lufeA2cfFqM-elVq2hznhDzC6Pr7wkJ9ZG_sYNGCMCU/edit?usp=sharing"",""ลพบุรี!Q121"")+IMPORTRANGE(""https://docs.google.com/spreadsheets/d/10oOiF7loTyfsTkbd4MpaIm0HQ9SwB7IYHdIUvt-U1Uc/edit?usp=sharing"""&amp;",""สระแก้ว!Q121"")+IMPORTRANGE(""https://docs.google.com/spreadsheets/d/1xmPlrr1QbdSIKvl1dWUl9K4PjAfSL9oeMr_37QVzcxc/edit?usp=sharing"",""สระบุรี!Q121"")+IMPORTRANGE(""https://docs.google.com/spreadsheets/d/1j51vR6CYVGhABJpv6tkstgok82RLpXieLzW1yOY5rHw/edi"&amp;"t?usp=sharing"",""สิงห์บุรี!Q121"")+IMPORTRANGE(""https://docs.google.com/spreadsheets/d/1H1EalTWKUSzO4Z1-1CwzoDUaVffgrThEBe2sl74kKG0/edit?usp=sharing"",""สุพรรณบุรี!Q121"")+IMPORTRANGE(""https://docs.google.com/spreadsheets/d/1BmIruG_sIrJLYao_Pdr7zVArWsf"&amp;"oBt2692TMi6x_854/edit?usp=sharing"",""อ่างทอง!Q121"")"),0)</f>
        <v>0</v>
      </c>
      <c r="R121" s="75">
        <f ca="1">IFERROR(__xludf.DUMMYFUNCTION("IMPORTRANGE(""https://docs.google.com/spreadsheets/d/13wPX838HrBrQMCywv1BsuMkt4PEKTChp52zj44s2izQ/edit?usp=sharing"",""กาญจนบุรี!R121"")+IMPORTRANGE(""https://docs.google.com/spreadsheets/d/1ddFKvqj1W1NEiWytbGlB1zMx_ykJDVtmfEQ-6-lIUBA/edit?usp=sharing"","&amp;"""จันทบุรี!R121"")+IMPORTRANGE(""https://docs.google.com/spreadsheets/d/1T1PQvRODqOBZk8BRht_U031fIS1beLA0Ub2CEytj2q0/edit?usp=sharing"",""ฉะเชิงเทรา!R121"")+IMPORTRANGE(""https://docs.google.com/spreadsheets/d/11tr1B-Bhyr79v2bkwVh5h_fR-PStkgjlZtkrZpYurG0/"&amp;"edit?usp=sharing"",""ชลบุรี!R121"")+IMPORTRANGE(""https://docs.google.com/spreadsheets/d/1hh-FVnSX0vozXhGluamEcS54Dw9_zqW0N7qJUWgJ0Sw/edit?usp=sharing"",""ชัยนาท!R121"")+IMPORTRANGE(""https://docs.google.com/spreadsheets/d/1jkqa6GXxSacMcY1eN8AHjMNJ_7dDXMJ"&amp;"VRLDlaFSOdPM/edit?usp=sharing"",""ตราด!R121"")+IMPORTRANGE(""https://docs.google.com/spreadsheets/d/18hSgUJ3VwClqi_qtULmmW3cLr0oe3OKaSYoKzdpTsYQ/edit?usp=sharing"",""นครนายก!R121"")+IMPORTRANGE(""https://docs.google.com/spreadsheets/d/1YTZo6WM2dQ6Ix6FSdnL"&amp;"5P7uVnVKu40sxZu975tgG10E/edit?usp=sharing"",""นครปฐม!R121"")+IMPORTRANGE(""https://docs.google.com/spreadsheets/d/1OYoGg4WDg5RIzwGeB10padOxJF9E_Vljuvvct_M7RDo/edit?usp=sharing"",""ปทุมธานี!R121"")+IMPORTRANGE(""https://docs.google.com/spreadsheets/d/1GbCI"&amp;"E4D4wk9FUozzqk7SxfDMxDVBwVmI5zcaVUSzKAc/edit?usp=sharing"",""ประจวบคีรีขันธ์!R121"")+IMPORTRANGE(""https://docs.google.com/spreadsheets/d/1vVf6wykvW_lAyu7Yo9L4hUTqHqIeP_qcVuxCtosJEbg/edit?usp=sharing"",""ปราจีนบุรี!R121"")+IMPORTRANGE(""https://docs.googl"&amp;"e.com/spreadsheets/d/1BIDqLLg5jk3v59G8NlR8rk5xfQDKne0sAvZHSj7TI6I/edit?usp=sharing"",""พระนครศรีอยุธยา!R121"")+IMPORTRANGE(""https://docs.google.com/spreadsheets/d/1YXvxf8Yu6_rV4hTBrwMqAcAnv6DfhUxh5emyM3CJp_w/edit?usp=sharing"",""เพชรบุรี!R121"")+IMPORTRA"&amp;"NGE(""https://docs.google.com/spreadsheets/d/19KBlQQs7uwvsao6t2n-KvW3Ax8J8uRRfZPq1zPbXgKc/edit?usp=sharing"",""ระยอง!R121"")+IMPORTRANGE(""https://docs.google.com/spreadsheets/d/1jQ6P4QcrGM89YfqcC_PxOHGCMq5ezhucwJd8ci-NHng/edit?usp=sharing"",""ราชบุรี!R12"&amp;"1"")+IMPORTRANGE(""https://docs.google.com/spreadsheets/d/1lufeA2cfFqM-elVq2hznhDzC6Pr7wkJ9ZG_sYNGCMCU/edit?usp=sharing"",""ลพบุรี!R121"")+IMPORTRANGE(""https://docs.google.com/spreadsheets/d/10oOiF7loTyfsTkbd4MpaIm0HQ9SwB7IYHdIUvt-U1Uc/edit?usp=sharing"""&amp;",""สระแก้ว!R121"")+IMPORTRANGE(""https://docs.google.com/spreadsheets/d/1xmPlrr1QbdSIKvl1dWUl9K4PjAfSL9oeMr_37QVzcxc/edit?usp=sharing"",""สระบุรี!R121"")+IMPORTRANGE(""https://docs.google.com/spreadsheets/d/1j51vR6CYVGhABJpv6tkstgok82RLpXieLzW1yOY5rHw/edi"&amp;"t?usp=sharing"",""สิงห์บุรี!R121"")+IMPORTRANGE(""https://docs.google.com/spreadsheets/d/1H1EalTWKUSzO4Z1-1CwzoDUaVffgrThEBe2sl74kKG0/edit?usp=sharing"",""สุพรรณบุรี!R121"")+IMPORTRANGE(""https://docs.google.com/spreadsheets/d/1BmIruG_sIrJLYao_Pdr7zVArWsf"&amp;"oBt2692TMi6x_854/edit?usp=sharing"",""อ่างทอง!R121"")"),0)</f>
        <v>0</v>
      </c>
      <c r="S121" s="75">
        <f ca="1">IFERROR(__xludf.DUMMYFUNCTION("IMPORTRANGE(""https://docs.google.com/spreadsheets/d/13wPX838HrBrQMCywv1BsuMkt4PEKTChp52zj44s2izQ/edit?usp=sharing"",""กาญจนบุรี!S121"")+IMPORTRANGE(""https://docs.google.com/spreadsheets/d/1ddFKvqj1W1NEiWytbGlB1zMx_ykJDVtmfEQ-6-lIUBA/edit?usp=sharing"","&amp;"""จันทบุรี!S121"")+IMPORTRANGE(""https://docs.google.com/spreadsheets/d/1T1PQvRODqOBZk8BRht_U031fIS1beLA0Ub2CEytj2q0/edit?usp=sharing"",""ฉะเชิงเทรา!S121"")+IMPORTRANGE(""https://docs.google.com/spreadsheets/d/11tr1B-Bhyr79v2bkwVh5h_fR-PStkgjlZtkrZpYurG0/"&amp;"edit?usp=sharing"",""ชลบุรี!S121"")+IMPORTRANGE(""https://docs.google.com/spreadsheets/d/1hh-FVnSX0vozXhGluamEcS54Dw9_zqW0N7qJUWgJ0Sw/edit?usp=sharing"",""ชัยนาท!S121"")+IMPORTRANGE(""https://docs.google.com/spreadsheets/d/1jkqa6GXxSacMcY1eN8AHjMNJ_7dDXMJ"&amp;"VRLDlaFSOdPM/edit?usp=sharing"",""ตราด!S121"")+IMPORTRANGE(""https://docs.google.com/spreadsheets/d/18hSgUJ3VwClqi_qtULmmW3cLr0oe3OKaSYoKzdpTsYQ/edit?usp=sharing"",""นครนายก!S121"")+IMPORTRANGE(""https://docs.google.com/spreadsheets/d/1YTZo6WM2dQ6Ix6FSdnL"&amp;"5P7uVnVKu40sxZu975tgG10E/edit?usp=sharing"",""นครปฐม!S121"")+IMPORTRANGE(""https://docs.google.com/spreadsheets/d/1OYoGg4WDg5RIzwGeB10padOxJF9E_Vljuvvct_M7RDo/edit?usp=sharing"",""ปทุมธานี!S121"")+IMPORTRANGE(""https://docs.google.com/spreadsheets/d/1GbCI"&amp;"E4D4wk9FUozzqk7SxfDMxDVBwVmI5zcaVUSzKAc/edit?usp=sharing"",""ประจวบคีรีขันธ์!S121"")+IMPORTRANGE(""https://docs.google.com/spreadsheets/d/1vVf6wykvW_lAyu7Yo9L4hUTqHqIeP_qcVuxCtosJEbg/edit?usp=sharing"",""ปราจีนบุรี!S121"")+IMPORTRANGE(""https://docs.googl"&amp;"e.com/spreadsheets/d/1BIDqLLg5jk3v59G8NlR8rk5xfQDKne0sAvZHSj7TI6I/edit?usp=sharing"",""พระนครศรีอยุธยา!S121"")+IMPORTRANGE(""https://docs.google.com/spreadsheets/d/1YXvxf8Yu6_rV4hTBrwMqAcAnv6DfhUxh5emyM3CJp_w/edit?usp=sharing"",""เพชรบุรี!S121"")+IMPORTRA"&amp;"NGE(""https://docs.google.com/spreadsheets/d/19KBlQQs7uwvsao6t2n-KvW3Ax8J8uRRfZPq1zPbXgKc/edit?usp=sharing"",""ระยอง!S121"")+IMPORTRANGE(""https://docs.google.com/spreadsheets/d/1jQ6P4QcrGM89YfqcC_PxOHGCMq5ezhucwJd8ci-NHng/edit?usp=sharing"",""ราชบุรี!S12"&amp;"1"")+IMPORTRANGE(""https://docs.google.com/spreadsheets/d/1lufeA2cfFqM-elVq2hznhDzC6Pr7wkJ9ZG_sYNGCMCU/edit?usp=sharing"",""ลพบุรี!S121"")+IMPORTRANGE(""https://docs.google.com/spreadsheets/d/10oOiF7loTyfsTkbd4MpaIm0HQ9SwB7IYHdIUvt-U1Uc/edit?usp=sharing"""&amp;",""สระแก้ว!S121"")+IMPORTRANGE(""https://docs.google.com/spreadsheets/d/1xmPlrr1QbdSIKvl1dWUl9K4PjAfSL9oeMr_37QVzcxc/edit?usp=sharing"",""สระบุรี!S121"")+IMPORTRANGE(""https://docs.google.com/spreadsheets/d/1j51vR6CYVGhABJpv6tkstgok82RLpXieLzW1yOY5rHw/edi"&amp;"t?usp=sharing"",""สิงห์บุรี!S121"")+IMPORTRANGE(""https://docs.google.com/spreadsheets/d/1H1EalTWKUSzO4Z1-1CwzoDUaVffgrThEBe2sl74kKG0/edit?usp=sharing"",""สุพรรณบุรี!S121"")+IMPORTRANGE(""https://docs.google.com/spreadsheets/d/1BmIruG_sIrJLYao_Pdr7zVArWsf"&amp;"oBt2692TMi6x_854/edit?usp=sharing"",""อ่างทอง!S121"")"),0)</f>
        <v>0</v>
      </c>
      <c r="T121" s="131">
        <f t="shared" ca="1" si="94"/>
        <v>0</v>
      </c>
      <c r="U121" s="131">
        <f t="shared" ca="1" si="95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13wPX838HrBrQMCywv1BsuMkt4PEKTChp52zj44s2izQ/edit?usp=sharing"",""กาญจนบุรี!L122"")+IMPORTRANGE(""https://docs.google.com/spreadsheets/d/1ddFKvqj1W1NEiWytbGlB1zMx_ykJDVtmfEQ-6-lIUBA/edit?usp=sharing"","&amp;"""จันทบุรี!L122"")+IMPORTRANGE(""https://docs.google.com/spreadsheets/d/1T1PQvRODqOBZk8BRht_U031fIS1beLA0Ub2CEytj2q0/edit?usp=sharing"",""ฉะเชิงเทรา!L122"")+IMPORTRANGE(""https://docs.google.com/spreadsheets/d/11tr1B-Bhyr79v2bkwVh5h_fR-PStkgjlZtkrZpYurG0/"&amp;"edit?usp=sharing"",""ชลบุรี!L122"")+IMPORTRANGE(""https://docs.google.com/spreadsheets/d/1hh-FVnSX0vozXhGluamEcS54Dw9_zqW0N7qJUWgJ0Sw/edit?usp=sharing"",""ชัยนาท!L122"")+IMPORTRANGE(""https://docs.google.com/spreadsheets/d/1jkqa6GXxSacMcY1eN8AHjMNJ_7dDXMJ"&amp;"VRLDlaFSOdPM/edit?usp=sharing"",""ตราด!L122"")+IMPORTRANGE(""https://docs.google.com/spreadsheets/d/18hSgUJ3VwClqi_qtULmmW3cLr0oe3OKaSYoKzdpTsYQ/edit?usp=sharing"",""นครนายก!L122"")+IMPORTRANGE(""https://docs.google.com/spreadsheets/d/1YTZo6WM2dQ6Ix6FSdnL"&amp;"5P7uVnVKu40sxZu975tgG10E/edit?usp=sharing"",""นครปฐม!L122"")+IMPORTRANGE(""https://docs.google.com/spreadsheets/d/1OYoGg4WDg5RIzwGeB10padOxJF9E_Vljuvvct_M7RDo/edit?usp=sharing"",""ปทุมธานี!L122"")+IMPORTRANGE(""https://docs.google.com/spreadsheets/d/1GbCI"&amp;"E4D4wk9FUozzqk7SxfDMxDVBwVmI5zcaVUSzKAc/edit?usp=sharing"",""ประจวบคีรีขันธ์!L122"")+IMPORTRANGE(""https://docs.google.com/spreadsheets/d/1vVf6wykvW_lAyu7Yo9L4hUTqHqIeP_qcVuxCtosJEbg/edit?usp=sharing"",""ปราจีนบุรี!L122"")+IMPORTRANGE(""https://docs.googl"&amp;"e.com/spreadsheets/d/1BIDqLLg5jk3v59G8NlR8rk5xfQDKne0sAvZHSj7TI6I/edit?usp=sharing"",""พระนครศรีอยุธยา!L122"")+IMPORTRANGE(""https://docs.google.com/spreadsheets/d/1YXvxf8Yu6_rV4hTBrwMqAcAnv6DfhUxh5emyM3CJp_w/edit?usp=sharing"",""เพชรบุรี!L122"")+IMPORTRA"&amp;"NGE(""https://docs.google.com/spreadsheets/d/19KBlQQs7uwvsao6t2n-KvW3Ax8J8uRRfZPq1zPbXgKc/edit?usp=sharing"",""ระยอง!L122"")+IMPORTRANGE(""https://docs.google.com/spreadsheets/d/1jQ6P4QcrGM89YfqcC_PxOHGCMq5ezhucwJd8ci-NHng/edit?usp=sharing"",""ราชบุรี!L12"&amp;"2"")+IMPORTRANGE(""https://docs.google.com/spreadsheets/d/1lufeA2cfFqM-elVq2hznhDzC6Pr7wkJ9ZG_sYNGCMCU/edit?usp=sharing"",""ลพบุรี!L122"")+IMPORTRANGE(""https://docs.google.com/spreadsheets/d/10oOiF7loTyfsTkbd4MpaIm0HQ9SwB7IYHdIUvt-U1Uc/edit?usp=sharing"""&amp;",""สระแก้ว!L122"")+IMPORTRANGE(""https://docs.google.com/spreadsheets/d/1xmPlrr1QbdSIKvl1dWUl9K4PjAfSL9oeMr_37QVzcxc/edit?usp=sharing"",""สระบุรี!L122"")+IMPORTRANGE(""https://docs.google.com/spreadsheets/d/1j51vR6CYVGhABJpv6tkstgok82RLpXieLzW1yOY5rHw/edi"&amp;"t?usp=sharing"",""สิงห์บุรี!L122"")+IMPORTRANGE(""https://docs.google.com/spreadsheets/d/1H1EalTWKUSzO4Z1-1CwzoDUaVffgrThEBe2sl74kKG0/edit?usp=sharing"",""สุพรรณบุรี!L122"")+IMPORTRANGE(""https://docs.google.com/spreadsheets/d/1BmIruG_sIrJLYao_Pdr7zVArWsf"&amp;"oBt2692TMi6x_854/edit?usp=sharing"",""อ่างทอง!L122"")"),0)</f>
        <v>0</v>
      </c>
      <c r="M122" s="72">
        <f ca="1">IFERROR(__xludf.DUMMYFUNCTION("IMPORTRANGE(""https://docs.google.com/spreadsheets/d/13wPX838HrBrQMCywv1BsuMkt4PEKTChp52zj44s2izQ/edit?usp=sharing"",""กาญจนบุรี!M122"")+IMPORTRANGE(""https://docs.google.com/spreadsheets/d/1ddFKvqj1W1NEiWytbGlB1zMx_ykJDVtmfEQ-6-lIUBA/edit?usp=sharing"","&amp;"""จันทบุรี!M122"")+IMPORTRANGE(""https://docs.google.com/spreadsheets/d/1T1PQvRODqOBZk8BRht_U031fIS1beLA0Ub2CEytj2q0/edit?usp=sharing"",""ฉะเชิงเทรา!M122"")+IMPORTRANGE(""https://docs.google.com/spreadsheets/d/11tr1B-Bhyr79v2bkwVh5h_fR-PStkgjlZtkrZpYurG0/"&amp;"edit?usp=sharing"",""ชลบุรี!M122"")+IMPORTRANGE(""https://docs.google.com/spreadsheets/d/1hh-FVnSX0vozXhGluamEcS54Dw9_zqW0N7qJUWgJ0Sw/edit?usp=sharing"",""ชัยนาท!M122"")+IMPORTRANGE(""https://docs.google.com/spreadsheets/d/1jkqa6GXxSacMcY1eN8AHjMNJ_7dDXMJ"&amp;"VRLDlaFSOdPM/edit?usp=sharing"",""ตราด!M122"")+IMPORTRANGE(""https://docs.google.com/spreadsheets/d/18hSgUJ3VwClqi_qtULmmW3cLr0oe3OKaSYoKzdpTsYQ/edit?usp=sharing"",""นครนายก!M122"")+IMPORTRANGE(""https://docs.google.com/spreadsheets/d/1YTZo6WM2dQ6Ix6FSdnL"&amp;"5P7uVnVKu40sxZu975tgG10E/edit?usp=sharing"",""นครปฐม!M122"")+IMPORTRANGE(""https://docs.google.com/spreadsheets/d/1OYoGg4WDg5RIzwGeB10padOxJF9E_Vljuvvct_M7RDo/edit?usp=sharing"",""ปทุมธานี!M122"")+IMPORTRANGE(""https://docs.google.com/spreadsheets/d/1GbCI"&amp;"E4D4wk9FUozzqk7SxfDMxDVBwVmI5zcaVUSzKAc/edit?usp=sharing"",""ประจวบคีรีขันธ์!M122"")+IMPORTRANGE(""https://docs.google.com/spreadsheets/d/1vVf6wykvW_lAyu7Yo9L4hUTqHqIeP_qcVuxCtosJEbg/edit?usp=sharing"",""ปราจีนบุรี!M122"")+IMPORTRANGE(""https://docs.googl"&amp;"e.com/spreadsheets/d/1BIDqLLg5jk3v59G8NlR8rk5xfQDKne0sAvZHSj7TI6I/edit?usp=sharing"",""พระนครศรีอยุธยา!M122"")+IMPORTRANGE(""https://docs.google.com/spreadsheets/d/1YXvxf8Yu6_rV4hTBrwMqAcAnv6DfhUxh5emyM3CJp_w/edit?usp=sharing"",""เพชรบุรี!M122"")+IMPORTRA"&amp;"NGE(""https://docs.google.com/spreadsheets/d/19KBlQQs7uwvsao6t2n-KvW3Ax8J8uRRfZPq1zPbXgKc/edit?usp=sharing"",""ระยอง!M122"")+IMPORTRANGE(""https://docs.google.com/spreadsheets/d/1jQ6P4QcrGM89YfqcC_PxOHGCMq5ezhucwJd8ci-NHng/edit?usp=sharing"",""ราชบุรี!M12"&amp;"2"")+IMPORTRANGE(""https://docs.google.com/spreadsheets/d/1lufeA2cfFqM-elVq2hznhDzC6Pr7wkJ9ZG_sYNGCMCU/edit?usp=sharing"",""ลพบุรี!M122"")+IMPORTRANGE(""https://docs.google.com/spreadsheets/d/10oOiF7loTyfsTkbd4MpaIm0HQ9SwB7IYHdIUvt-U1Uc/edit?usp=sharing"""&amp;",""สระแก้ว!M122"")+IMPORTRANGE(""https://docs.google.com/spreadsheets/d/1xmPlrr1QbdSIKvl1dWUl9K4PjAfSL9oeMr_37QVzcxc/edit?usp=sharing"",""สระบุรี!M122"")+IMPORTRANGE(""https://docs.google.com/spreadsheets/d/1j51vR6CYVGhABJpv6tkstgok82RLpXieLzW1yOY5rHw/edi"&amp;"t?usp=sharing"",""สิงห์บุรี!M122"")+IMPORTRANGE(""https://docs.google.com/spreadsheets/d/1H1EalTWKUSzO4Z1-1CwzoDUaVffgrThEBe2sl74kKG0/edit?usp=sharing"",""สุพรรณบุรี!M122"")+IMPORTRANGE(""https://docs.google.com/spreadsheets/d/1BmIruG_sIrJLYao_Pdr7zVArWsf"&amp;"oBt2692TMi6x_854/edit?usp=sharing"",""อ่างทอง!M122"")"),0)</f>
        <v>0</v>
      </c>
      <c r="N122" s="72">
        <f ca="1">IFERROR(__xludf.DUMMYFUNCTION("IMPORTRANGE(""https://docs.google.com/spreadsheets/d/13wPX838HrBrQMCywv1BsuMkt4PEKTChp52zj44s2izQ/edit?usp=sharing"",""กาญจนบุรี!N122"")+IMPORTRANGE(""https://docs.google.com/spreadsheets/d/1ddFKvqj1W1NEiWytbGlB1zMx_ykJDVtmfEQ-6-lIUBA/edit?usp=sharing"","&amp;"""จันทบุรี!N122"")+IMPORTRANGE(""https://docs.google.com/spreadsheets/d/1T1PQvRODqOBZk8BRht_U031fIS1beLA0Ub2CEytj2q0/edit?usp=sharing"",""ฉะเชิงเทรา!N122"")+IMPORTRANGE(""https://docs.google.com/spreadsheets/d/11tr1B-Bhyr79v2bkwVh5h_fR-PStkgjlZtkrZpYurG0/"&amp;"edit?usp=sharing"",""ชลบุรี!N122"")+IMPORTRANGE(""https://docs.google.com/spreadsheets/d/1hh-FVnSX0vozXhGluamEcS54Dw9_zqW0N7qJUWgJ0Sw/edit?usp=sharing"",""ชัยนาท!N122"")+IMPORTRANGE(""https://docs.google.com/spreadsheets/d/1jkqa6GXxSacMcY1eN8AHjMNJ_7dDXMJ"&amp;"VRLDlaFSOdPM/edit?usp=sharing"",""ตราด!N122"")+IMPORTRANGE(""https://docs.google.com/spreadsheets/d/18hSgUJ3VwClqi_qtULmmW3cLr0oe3OKaSYoKzdpTsYQ/edit?usp=sharing"",""นครนายก!N122"")+IMPORTRANGE(""https://docs.google.com/spreadsheets/d/1YTZo6WM2dQ6Ix6FSdnL"&amp;"5P7uVnVKu40sxZu975tgG10E/edit?usp=sharing"",""นครปฐม!N122"")+IMPORTRANGE(""https://docs.google.com/spreadsheets/d/1OYoGg4WDg5RIzwGeB10padOxJF9E_Vljuvvct_M7RDo/edit?usp=sharing"",""ปทุมธานี!N122"")+IMPORTRANGE(""https://docs.google.com/spreadsheets/d/1GbCI"&amp;"E4D4wk9FUozzqk7SxfDMxDVBwVmI5zcaVUSzKAc/edit?usp=sharing"",""ประจวบคีรีขันธ์!N122"")+IMPORTRANGE(""https://docs.google.com/spreadsheets/d/1vVf6wykvW_lAyu7Yo9L4hUTqHqIeP_qcVuxCtosJEbg/edit?usp=sharing"",""ปราจีนบุรี!N122"")+IMPORTRANGE(""https://docs.googl"&amp;"e.com/spreadsheets/d/1BIDqLLg5jk3v59G8NlR8rk5xfQDKne0sAvZHSj7TI6I/edit?usp=sharing"",""พระนครศรีอยุธยา!N122"")+IMPORTRANGE(""https://docs.google.com/spreadsheets/d/1YXvxf8Yu6_rV4hTBrwMqAcAnv6DfhUxh5emyM3CJp_w/edit?usp=sharing"",""เพชรบุรี!N122"")+IMPORTRA"&amp;"NGE(""https://docs.google.com/spreadsheets/d/19KBlQQs7uwvsao6t2n-KvW3Ax8J8uRRfZPq1zPbXgKc/edit?usp=sharing"",""ระยอง!N122"")+IMPORTRANGE(""https://docs.google.com/spreadsheets/d/1jQ6P4QcrGM89YfqcC_PxOHGCMq5ezhucwJd8ci-NHng/edit?usp=sharing"",""ราชบุรี!N12"&amp;"2"")+IMPORTRANGE(""https://docs.google.com/spreadsheets/d/1lufeA2cfFqM-elVq2hznhDzC6Pr7wkJ9ZG_sYNGCMCU/edit?usp=sharing"",""ลพบุรี!N122"")+IMPORTRANGE(""https://docs.google.com/spreadsheets/d/10oOiF7loTyfsTkbd4MpaIm0HQ9SwB7IYHdIUvt-U1Uc/edit?usp=sharing"""&amp;",""สระแก้ว!N122"")+IMPORTRANGE(""https://docs.google.com/spreadsheets/d/1xmPlrr1QbdSIKvl1dWUl9K4PjAfSL9oeMr_37QVzcxc/edit?usp=sharing"",""สระบุรี!N122"")+IMPORTRANGE(""https://docs.google.com/spreadsheets/d/1j51vR6CYVGhABJpv6tkstgok82RLpXieLzW1yOY5rHw/edi"&amp;"t?usp=sharing"",""สิงห์บุรี!N122"")+IMPORTRANGE(""https://docs.google.com/spreadsheets/d/1H1EalTWKUSzO4Z1-1CwzoDUaVffgrThEBe2sl74kKG0/edit?usp=sharing"",""สุพรรณบุรี!N122"")+IMPORTRANGE(""https://docs.google.com/spreadsheets/d/1BmIruG_sIrJLYao_Pdr7zVArWsf"&amp;"oBt2692TMi6x_854/edit?usp=sharing"",""อ่างทอง!N122"")"),0)</f>
        <v>0</v>
      </c>
      <c r="O122" s="72">
        <f t="shared" ca="1" si="91"/>
        <v>0</v>
      </c>
      <c r="P122" s="72">
        <f t="shared" ca="1" si="92"/>
        <v>0</v>
      </c>
      <c r="Q122" s="129">
        <f ca="1">IFERROR(__xludf.DUMMYFUNCTION("IMPORTRANGE(""https://docs.google.com/spreadsheets/d/13wPX838HrBrQMCywv1BsuMkt4PEKTChp52zj44s2izQ/edit?usp=sharing"",""กาญจนบุรี!Q122"")+IMPORTRANGE(""https://docs.google.com/spreadsheets/d/1ddFKvqj1W1NEiWytbGlB1zMx_ykJDVtmfEQ-6-lIUBA/edit?usp=sharing"","&amp;"""จันทบุรี!Q122"")+IMPORTRANGE(""https://docs.google.com/spreadsheets/d/1T1PQvRODqOBZk8BRht_U031fIS1beLA0Ub2CEytj2q0/edit?usp=sharing"",""ฉะเชิงเทรา!Q122"")+IMPORTRANGE(""https://docs.google.com/spreadsheets/d/11tr1B-Bhyr79v2bkwVh5h_fR-PStkgjlZtkrZpYurG0/"&amp;"edit?usp=sharing"",""ชลบุรี!Q122"")+IMPORTRANGE(""https://docs.google.com/spreadsheets/d/1hh-FVnSX0vozXhGluamEcS54Dw9_zqW0N7qJUWgJ0Sw/edit?usp=sharing"",""ชัยนาท!Q122"")+IMPORTRANGE(""https://docs.google.com/spreadsheets/d/1jkqa6GXxSacMcY1eN8AHjMNJ_7dDXMJ"&amp;"VRLDlaFSOdPM/edit?usp=sharing"",""ตราด!Q122"")+IMPORTRANGE(""https://docs.google.com/spreadsheets/d/18hSgUJ3VwClqi_qtULmmW3cLr0oe3OKaSYoKzdpTsYQ/edit?usp=sharing"",""นครนายก!Q122"")+IMPORTRANGE(""https://docs.google.com/spreadsheets/d/1YTZo6WM2dQ6Ix6FSdnL"&amp;"5P7uVnVKu40sxZu975tgG10E/edit?usp=sharing"",""นครปฐม!Q122"")+IMPORTRANGE(""https://docs.google.com/spreadsheets/d/1OYoGg4WDg5RIzwGeB10padOxJF9E_Vljuvvct_M7RDo/edit?usp=sharing"",""ปทุมธานี!Q122"")+IMPORTRANGE(""https://docs.google.com/spreadsheets/d/1GbCI"&amp;"E4D4wk9FUozzqk7SxfDMxDVBwVmI5zcaVUSzKAc/edit?usp=sharing"",""ประจวบคีรีขันธ์!Q122"")+IMPORTRANGE(""https://docs.google.com/spreadsheets/d/1vVf6wykvW_lAyu7Yo9L4hUTqHqIeP_qcVuxCtosJEbg/edit?usp=sharing"",""ปราจีนบุรี!Q122"")+IMPORTRANGE(""https://docs.googl"&amp;"e.com/spreadsheets/d/1BIDqLLg5jk3v59G8NlR8rk5xfQDKne0sAvZHSj7TI6I/edit?usp=sharing"",""พระนครศรีอยุธยา!Q122"")+IMPORTRANGE(""https://docs.google.com/spreadsheets/d/1YXvxf8Yu6_rV4hTBrwMqAcAnv6DfhUxh5emyM3CJp_w/edit?usp=sharing"",""เพชรบุรี!Q122"")+IMPORTRA"&amp;"NGE(""https://docs.google.com/spreadsheets/d/19KBlQQs7uwvsao6t2n-KvW3Ax8J8uRRfZPq1zPbXgKc/edit?usp=sharing"",""ระยอง!Q122"")+IMPORTRANGE(""https://docs.google.com/spreadsheets/d/1jQ6P4QcrGM89YfqcC_PxOHGCMq5ezhucwJd8ci-NHng/edit?usp=sharing"",""ราชบุรี!Q12"&amp;"2"")+IMPORTRANGE(""https://docs.google.com/spreadsheets/d/1lufeA2cfFqM-elVq2hznhDzC6Pr7wkJ9ZG_sYNGCMCU/edit?usp=sharing"",""ลพบุรี!Q122"")+IMPORTRANGE(""https://docs.google.com/spreadsheets/d/10oOiF7loTyfsTkbd4MpaIm0HQ9SwB7IYHdIUvt-U1Uc/edit?usp=sharing"""&amp;",""สระแก้ว!Q122"")+IMPORTRANGE(""https://docs.google.com/spreadsheets/d/1xmPlrr1QbdSIKvl1dWUl9K4PjAfSL9oeMr_37QVzcxc/edit?usp=sharing"",""สระบุรี!Q122"")+IMPORTRANGE(""https://docs.google.com/spreadsheets/d/1j51vR6CYVGhABJpv6tkstgok82RLpXieLzW1yOY5rHw/edi"&amp;"t?usp=sharing"",""สิงห์บุรี!Q122"")+IMPORTRANGE(""https://docs.google.com/spreadsheets/d/1H1EalTWKUSzO4Z1-1CwzoDUaVffgrThEBe2sl74kKG0/edit?usp=sharing"",""สุพรรณบุรี!Q122"")+IMPORTRANGE(""https://docs.google.com/spreadsheets/d/1BmIruG_sIrJLYao_Pdr7zVArWsf"&amp;"oBt2692TMi6x_854/edit?usp=sharing"",""อ่างทอง!Q122"")"),4203090)</f>
        <v>4203090</v>
      </c>
      <c r="R122" s="130">
        <f ca="1">IFERROR(__xludf.DUMMYFUNCTION("IMPORTRANGE(""https://docs.google.com/spreadsheets/d/13wPX838HrBrQMCywv1BsuMkt4PEKTChp52zj44s2izQ/edit?usp=sharing"",""กาญจนบุรี!R122"")+IMPORTRANGE(""https://docs.google.com/spreadsheets/d/1ddFKvqj1W1NEiWytbGlB1zMx_ykJDVtmfEQ-6-lIUBA/edit?usp=sharing"","&amp;"""จันทบุรี!R122"")+IMPORTRANGE(""https://docs.google.com/spreadsheets/d/1T1PQvRODqOBZk8BRht_U031fIS1beLA0Ub2CEytj2q0/edit?usp=sharing"",""ฉะเชิงเทรา!R122"")+IMPORTRANGE(""https://docs.google.com/spreadsheets/d/11tr1B-Bhyr79v2bkwVh5h_fR-PStkgjlZtkrZpYurG0/"&amp;"edit?usp=sharing"",""ชลบุรี!R122"")+IMPORTRANGE(""https://docs.google.com/spreadsheets/d/1hh-FVnSX0vozXhGluamEcS54Dw9_zqW0N7qJUWgJ0Sw/edit?usp=sharing"",""ชัยนาท!R122"")+IMPORTRANGE(""https://docs.google.com/spreadsheets/d/1jkqa6GXxSacMcY1eN8AHjMNJ_7dDXMJ"&amp;"VRLDlaFSOdPM/edit?usp=sharing"",""ตราด!R122"")+IMPORTRANGE(""https://docs.google.com/spreadsheets/d/18hSgUJ3VwClqi_qtULmmW3cLr0oe3OKaSYoKzdpTsYQ/edit?usp=sharing"",""นครนายก!R122"")+IMPORTRANGE(""https://docs.google.com/spreadsheets/d/1YTZo6WM2dQ6Ix6FSdnL"&amp;"5P7uVnVKu40sxZu975tgG10E/edit?usp=sharing"",""นครปฐม!R122"")+IMPORTRANGE(""https://docs.google.com/spreadsheets/d/1OYoGg4WDg5RIzwGeB10padOxJF9E_Vljuvvct_M7RDo/edit?usp=sharing"",""ปทุมธานี!R122"")+IMPORTRANGE(""https://docs.google.com/spreadsheets/d/1GbCI"&amp;"E4D4wk9FUozzqk7SxfDMxDVBwVmI5zcaVUSzKAc/edit?usp=sharing"",""ประจวบคีรีขันธ์!R122"")+IMPORTRANGE(""https://docs.google.com/spreadsheets/d/1vVf6wykvW_lAyu7Yo9L4hUTqHqIeP_qcVuxCtosJEbg/edit?usp=sharing"",""ปราจีนบุรี!R122"")+IMPORTRANGE(""https://docs.googl"&amp;"e.com/spreadsheets/d/1BIDqLLg5jk3v59G8NlR8rk5xfQDKne0sAvZHSj7TI6I/edit?usp=sharing"",""พระนครศรีอยุธยา!R122"")+IMPORTRANGE(""https://docs.google.com/spreadsheets/d/1YXvxf8Yu6_rV4hTBrwMqAcAnv6DfhUxh5emyM3CJp_w/edit?usp=sharing"",""เพชรบุรี!R122"")+IMPORTRA"&amp;"NGE(""https://docs.google.com/spreadsheets/d/19KBlQQs7uwvsao6t2n-KvW3Ax8J8uRRfZPq1zPbXgKc/edit?usp=sharing"",""ระยอง!R122"")+IMPORTRANGE(""https://docs.google.com/spreadsheets/d/1jQ6P4QcrGM89YfqcC_PxOHGCMq5ezhucwJd8ci-NHng/edit?usp=sharing"",""ราชบุรี!R12"&amp;"2"")+IMPORTRANGE(""https://docs.google.com/spreadsheets/d/1lufeA2cfFqM-elVq2hznhDzC6Pr7wkJ9ZG_sYNGCMCU/edit?usp=sharing"",""ลพบุรี!R122"")+IMPORTRANGE(""https://docs.google.com/spreadsheets/d/10oOiF7loTyfsTkbd4MpaIm0HQ9SwB7IYHdIUvt-U1Uc/edit?usp=sharing"""&amp;",""สระแก้ว!R122"")+IMPORTRANGE(""https://docs.google.com/spreadsheets/d/1xmPlrr1QbdSIKvl1dWUl9K4PjAfSL9oeMr_37QVzcxc/edit?usp=sharing"",""สระบุรี!R122"")+IMPORTRANGE(""https://docs.google.com/spreadsheets/d/1j51vR6CYVGhABJpv6tkstgok82RLpXieLzW1yOY5rHw/edi"&amp;"t?usp=sharing"",""สิงห์บุรี!R122"")+IMPORTRANGE(""https://docs.google.com/spreadsheets/d/1H1EalTWKUSzO4Z1-1CwzoDUaVffgrThEBe2sl74kKG0/edit?usp=sharing"",""สุพรรณบุรี!R122"")+IMPORTRANGE(""https://docs.google.com/spreadsheets/d/1BmIruG_sIrJLYao_Pdr7zVArWsf"&amp;"oBt2692TMi6x_854/edit?usp=sharing"",""อ่างทอง!R122"")"),4203090)</f>
        <v>4203090</v>
      </c>
      <c r="S122" s="130">
        <f ca="1">IFERROR(__xludf.DUMMYFUNCTION("IMPORTRANGE(""https://docs.google.com/spreadsheets/d/13wPX838HrBrQMCywv1BsuMkt4PEKTChp52zj44s2izQ/edit?usp=sharing"",""กาญจนบุรี!S122"")+IMPORTRANGE(""https://docs.google.com/spreadsheets/d/1ddFKvqj1W1NEiWytbGlB1zMx_ykJDVtmfEQ-6-lIUBA/edit?usp=sharing"","&amp;"""จันทบุรี!S122"")+IMPORTRANGE(""https://docs.google.com/spreadsheets/d/1T1PQvRODqOBZk8BRht_U031fIS1beLA0Ub2CEytj2q0/edit?usp=sharing"",""ฉะเชิงเทรา!S122"")+IMPORTRANGE(""https://docs.google.com/spreadsheets/d/11tr1B-Bhyr79v2bkwVh5h_fR-PStkgjlZtkrZpYurG0/"&amp;"edit?usp=sharing"",""ชลบุรี!S122"")+IMPORTRANGE(""https://docs.google.com/spreadsheets/d/1hh-FVnSX0vozXhGluamEcS54Dw9_zqW0N7qJUWgJ0Sw/edit?usp=sharing"",""ชัยนาท!S122"")+IMPORTRANGE(""https://docs.google.com/spreadsheets/d/1jkqa6GXxSacMcY1eN8AHjMNJ_7dDXMJ"&amp;"VRLDlaFSOdPM/edit?usp=sharing"",""ตราด!S122"")+IMPORTRANGE(""https://docs.google.com/spreadsheets/d/18hSgUJ3VwClqi_qtULmmW3cLr0oe3OKaSYoKzdpTsYQ/edit?usp=sharing"",""นครนายก!S122"")+IMPORTRANGE(""https://docs.google.com/spreadsheets/d/1YTZo6WM2dQ6Ix6FSdnL"&amp;"5P7uVnVKu40sxZu975tgG10E/edit?usp=sharing"",""นครปฐม!S122"")+IMPORTRANGE(""https://docs.google.com/spreadsheets/d/1OYoGg4WDg5RIzwGeB10padOxJF9E_Vljuvvct_M7RDo/edit?usp=sharing"",""ปทุมธานี!S122"")+IMPORTRANGE(""https://docs.google.com/spreadsheets/d/1GbCI"&amp;"E4D4wk9FUozzqk7SxfDMxDVBwVmI5zcaVUSzKAc/edit?usp=sharing"",""ประจวบคีรีขันธ์!S122"")+IMPORTRANGE(""https://docs.google.com/spreadsheets/d/1vVf6wykvW_lAyu7Yo9L4hUTqHqIeP_qcVuxCtosJEbg/edit?usp=sharing"",""ปราจีนบุรี!S122"")+IMPORTRANGE(""https://docs.googl"&amp;"e.com/spreadsheets/d/1BIDqLLg5jk3v59G8NlR8rk5xfQDKne0sAvZHSj7TI6I/edit?usp=sharing"",""พระนครศรีอยุธยา!S122"")+IMPORTRANGE(""https://docs.google.com/spreadsheets/d/1YXvxf8Yu6_rV4hTBrwMqAcAnv6DfhUxh5emyM3CJp_w/edit?usp=sharing"",""เพชรบุรี!S122"")+IMPORTRA"&amp;"NGE(""https://docs.google.com/spreadsheets/d/19KBlQQs7uwvsao6t2n-KvW3Ax8J8uRRfZPq1zPbXgKc/edit?usp=sharing"",""ระยอง!S122"")+IMPORTRANGE(""https://docs.google.com/spreadsheets/d/1jQ6P4QcrGM89YfqcC_PxOHGCMq5ezhucwJd8ci-NHng/edit?usp=sharing"",""ราชบุรี!S12"&amp;"2"")+IMPORTRANGE(""https://docs.google.com/spreadsheets/d/1lufeA2cfFqM-elVq2hznhDzC6Pr7wkJ9ZG_sYNGCMCU/edit?usp=sharing"",""ลพบุรี!S122"")+IMPORTRANGE(""https://docs.google.com/spreadsheets/d/10oOiF7loTyfsTkbd4MpaIm0HQ9SwB7IYHdIUvt-U1Uc/edit?usp=sharing"""&amp;",""สระแก้ว!S122"")+IMPORTRANGE(""https://docs.google.com/spreadsheets/d/1xmPlrr1QbdSIKvl1dWUl9K4PjAfSL9oeMr_37QVzcxc/edit?usp=sharing"",""สระบุรี!S122"")+IMPORTRANGE(""https://docs.google.com/spreadsheets/d/1j51vR6CYVGhABJpv6tkstgok82RLpXieLzW1yOY5rHw/edi"&amp;"t?usp=sharing"",""สิงห์บุรี!S122"")+IMPORTRANGE(""https://docs.google.com/spreadsheets/d/1H1EalTWKUSzO4Z1-1CwzoDUaVffgrThEBe2sl74kKG0/edit?usp=sharing"",""สุพรรณบุรี!S122"")+IMPORTRANGE(""https://docs.google.com/spreadsheets/d/1BmIruG_sIrJLYao_Pdr7zVArWsf"&amp;"oBt2692TMi6x_854/edit?usp=sharing"",""อ่างทอง!S122"")"),2744499.41)</f>
        <v>2744499.41</v>
      </c>
      <c r="T122" s="130">
        <f t="shared" ca="1" si="94"/>
        <v>65.297183976550585</v>
      </c>
      <c r="U122" s="130">
        <f t="shared" ca="1" si="95"/>
        <v>65.297183976550585</v>
      </c>
    </row>
    <row r="123" spans="1:21" ht="18.75" x14ac:dyDescent="0.25">
      <c r="A123" s="255"/>
      <c r="B123" s="256"/>
      <c r="C123" s="301"/>
      <c r="D123" s="27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t="shared" ref="L123:N123" ca="1" si="102">L124+L125</f>
        <v>0</v>
      </c>
      <c r="M123" s="72">
        <f t="shared" ca="1" si="102"/>
        <v>0</v>
      </c>
      <c r="N123" s="72">
        <f t="shared" ca="1" si="102"/>
        <v>0</v>
      </c>
      <c r="O123" s="72">
        <f t="shared" ca="1" si="91"/>
        <v>0</v>
      </c>
      <c r="P123" s="72">
        <f t="shared" ca="1" si="92"/>
        <v>0</v>
      </c>
      <c r="Q123" s="129">
        <f t="shared" ref="Q123:S123" ca="1" si="103">Q124+Q125</f>
        <v>0</v>
      </c>
      <c r="R123" s="130">
        <f t="shared" ca="1" si="103"/>
        <v>0</v>
      </c>
      <c r="S123" s="130">
        <f t="shared" ca="1" si="103"/>
        <v>0</v>
      </c>
      <c r="T123" s="130">
        <f t="shared" ca="1" si="94"/>
        <v>0</v>
      </c>
      <c r="U123" s="130">
        <f t="shared" ca="1" si="95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f ca="1">IFERROR(__xludf.DUMMYFUNCTION("IMPORTRANGE(""https://docs.google.com/spreadsheets/d/13wPX838HrBrQMCywv1BsuMkt4PEKTChp52zj44s2izQ/edit?usp=sharing"",""กาญจนบุรี!L124"")+IMPORTRANGE(""https://docs.google.com/spreadsheets/d/1ddFKvqj1W1NEiWytbGlB1zMx_ykJDVtmfEQ-6-lIUBA/edit?usp=sharing"","&amp;"""จันทบุรี!L124"")+IMPORTRANGE(""https://docs.google.com/spreadsheets/d/1T1PQvRODqOBZk8BRht_U031fIS1beLA0Ub2CEytj2q0/edit?usp=sharing"",""ฉะเชิงเทรา!L124"")+IMPORTRANGE(""https://docs.google.com/spreadsheets/d/11tr1B-Bhyr79v2bkwVh5h_fR-PStkgjlZtkrZpYurG0/"&amp;"edit?usp=sharing"",""ชลบุรี!L124"")+IMPORTRANGE(""https://docs.google.com/spreadsheets/d/1hh-FVnSX0vozXhGluamEcS54Dw9_zqW0N7qJUWgJ0Sw/edit?usp=sharing"",""ชัยนาท!L124"")+IMPORTRANGE(""https://docs.google.com/spreadsheets/d/1jkqa6GXxSacMcY1eN8AHjMNJ_7dDXMJ"&amp;"VRLDlaFSOdPM/edit?usp=sharing"",""ตราด!L124"")+IMPORTRANGE(""https://docs.google.com/spreadsheets/d/18hSgUJ3VwClqi_qtULmmW3cLr0oe3OKaSYoKzdpTsYQ/edit?usp=sharing"",""นครนายก!L124"")+IMPORTRANGE(""https://docs.google.com/spreadsheets/d/1YTZo6WM2dQ6Ix6FSdnL"&amp;"5P7uVnVKu40sxZu975tgG10E/edit?usp=sharing"",""นครปฐม!L124"")+IMPORTRANGE(""https://docs.google.com/spreadsheets/d/1OYoGg4WDg5RIzwGeB10padOxJF9E_Vljuvvct_M7RDo/edit?usp=sharing"",""ปทุมธานี!L124"")+IMPORTRANGE(""https://docs.google.com/spreadsheets/d/1GbCI"&amp;"E4D4wk9FUozzqk7SxfDMxDVBwVmI5zcaVUSzKAc/edit?usp=sharing"",""ประจวบคีรีขันธ์!L124"")+IMPORTRANGE(""https://docs.google.com/spreadsheets/d/1vVf6wykvW_lAyu7Yo9L4hUTqHqIeP_qcVuxCtosJEbg/edit?usp=sharing"",""ปราจีนบุรี!L124"")+IMPORTRANGE(""https://docs.googl"&amp;"e.com/spreadsheets/d/1BIDqLLg5jk3v59G8NlR8rk5xfQDKne0sAvZHSj7TI6I/edit?usp=sharing"",""พระนครศรีอยุธยา!L124"")+IMPORTRANGE(""https://docs.google.com/spreadsheets/d/1YXvxf8Yu6_rV4hTBrwMqAcAnv6DfhUxh5emyM3CJp_w/edit?usp=sharing"",""เพชรบุรี!L124"")+IMPORTRA"&amp;"NGE(""https://docs.google.com/spreadsheets/d/19KBlQQs7uwvsao6t2n-KvW3Ax8J8uRRfZPq1zPbXgKc/edit?usp=sharing"",""ระยอง!L124"")+IMPORTRANGE(""https://docs.google.com/spreadsheets/d/1jQ6P4QcrGM89YfqcC_PxOHGCMq5ezhucwJd8ci-NHng/edit?usp=sharing"",""ราชบุรี!L12"&amp;"4"")+IMPORTRANGE(""https://docs.google.com/spreadsheets/d/1lufeA2cfFqM-elVq2hznhDzC6Pr7wkJ9ZG_sYNGCMCU/edit?usp=sharing"",""ลพบุรี!L124"")+IMPORTRANGE(""https://docs.google.com/spreadsheets/d/10oOiF7loTyfsTkbd4MpaIm0HQ9SwB7IYHdIUvt-U1Uc/edit?usp=sharing"""&amp;",""สระแก้ว!L124"")+IMPORTRANGE(""https://docs.google.com/spreadsheets/d/1xmPlrr1QbdSIKvl1dWUl9K4PjAfSL9oeMr_37QVzcxc/edit?usp=sharing"",""สระบุรี!L124"")+IMPORTRANGE(""https://docs.google.com/spreadsheets/d/1j51vR6CYVGhABJpv6tkstgok82RLpXieLzW1yOY5rHw/edi"&amp;"t?usp=sharing"",""สิงห์บุรี!L124"")+IMPORTRANGE(""https://docs.google.com/spreadsheets/d/1H1EalTWKUSzO4Z1-1CwzoDUaVffgrThEBe2sl74kKG0/edit?usp=sharing"",""สุพรรณบุรี!L124"")+IMPORTRANGE(""https://docs.google.com/spreadsheets/d/1BmIruG_sIrJLYao_Pdr7zVArWsf"&amp;"oBt2692TMi6x_854/edit?usp=sharing"",""อ่างทอง!L124"")"),0)</f>
        <v>0</v>
      </c>
      <c r="M124" s="75">
        <f ca="1">IFERROR(__xludf.DUMMYFUNCTION("IMPORTRANGE(""https://docs.google.com/spreadsheets/d/13wPX838HrBrQMCywv1BsuMkt4PEKTChp52zj44s2izQ/edit?usp=sharing"",""กาญจนบุรี!M124"")+IMPORTRANGE(""https://docs.google.com/spreadsheets/d/1ddFKvqj1W1NEiWytbGlB1zMx_ykJDVtmfEQ-6-lIUBA/edit?usp=sharing"","&amp;"""จันทบุรี!M124"")+IMPORTRANGE(""https://docs.google.com/spreadsheets/d/1T1PQvRODqOBZk8BRht_U031fIS1beLA0Ub2CEytj2q0/edit?usp=sharing"",""ฉะเชิงเทรา!M124"")+IMPORTRANGE(""https://docs.google.com/spreadsheets/d/11tr1B-Bhyr79v2bkwVh5h_fR-PStkgjlZtkrZpYurG0/"&amp;"edit?usp=sharing"",""ชลบุรี!M124"")+IMPORTRANGE(""https://docs.google.com/spreadsheets/d/1hh-FVnSX0vozXhGluamEcS54Dw9_zqW0N7qJUWgJ0Sw/edit?usp=sharing"",""ชัยนาท!M124"")+IMPORTRANGE(""https://docs.google.com/spreadsheets/d/1jkqa6GXxSacMcY1eN8AHjMNJ_7dDXMJ"&amp;"VRLDlaFSOdPM/edit?usp=sharing"",""ตราด!M124"")+IMPORTRANGE(""https://docs.google.com/spreadsheets/d/18hSgUJ3VwClqi_qtULmmW3cLr0oe3OKaSYoKzdpTsYQ/edit?usp=sharing"",""นครนายก!M124"")+IMPORTRANGE(""https://docs.google.com/spreadsheets/d/1YTZo6WM2dQ6Ix6FSdnL"&amp;"5P7uVnVKu40sxZu975tgG10E/edit?usp=sharing"",""นครปฐม!M124"")+IMPORTRANGE(""https://docs.google.com/spreadsheets/d/1OYoGg4WDg5RIzwGeB10padOxJF9E_Vljuvvct_M7RDo/edit?usp=sharing"",""ปทุมธานี!M124"")+IMPORTRANGE(""https://docs.google.com/spreadsheets/d/1GbCI"&amp;"E4D4wk9FUozzqk7SxfDMxDVBwVmI5zcaVUSzKAc/edit?usp=sharing"",""ประจวบคีรีขันธ์!M124"")+IMPORTRANGE(""https://docs.google.com/spreadsheets/d/1vVf6wykvW_lAyu7Yo9L4hUTqHqIeP_qcVuxCtosJEbg/edit?usp=sharing"",""ปราจีนบุรี!M124"")+IMPORTRANGE(""https://docs.googl"&amp;"e.com/spreadsheets/d/1BIDqLLg5jk3v59G8NlR8rk5xfQDKne0sAvZHSj7TI6I/edit?usp=sharing"",""พระนครศรีอยุธยา!M124"")+IMPORTRANGE(""https://docs.google.com/spreadsheets/d/1YXvxf8Yu6_rV4hTBrwMqAcAnv6DfhUxh5emyM3CJp_w/edit?usp=sharing"",""เพชรบุรี!M124"")+IMPORTRA"&amp;"NGE(""https://docs.google.com/spreadsheets/d/19KBlQQs7uwvsao6t2n-KvW3Ax8J8uRRfZPq1zPbXgKc/edit?usp=sharing"",""ระยอง!M124"")+IMPORTRANGE(""https://docs.google.com/spreadsheets/d/1jQ6P4QcrGM89YfqcC_PxOHGCMq5ezhucwJd8ci-NHng/edit?usp=sharing"",""ราชบุรี!M12"&amp;"4"")+IMPORTRANGE(""https://docs.google.com/spreadsheets/d/1lufeA2cfFqM-elVq2hznhDzC6Pr7wkJ9ZG_sYNGCMCU/edit?usp=sharing"",""ลพบุรี!M124"")+IMPORTRANGE(""https://docs.google.com/spreadsheets/d/10oOiF7loTyfsTkbd4MpaIm0HQ9SwB7IYHdIUvt-U1Uc/edit?usp=sharing"""&amp;",""สระแก้ว!M124"")+IMPORTRANGE(""https://docs.google.com/spreadsheets/d/1xmPlrr1QbdSIKvl1dWUl9K4PjAfSL9oeMr_37QVzcxc/edit?usp=sharing"",""สระบุรี!M124"")+IMPORTRANGE(""https://docs.google.com/spreadsheets/d/1j51vR6CYVGhABJpv6tkstgok82RLpXieLzW1yOY5rHw/edi"&amp;"t?usp=sharing"",""สิงห์บุรี!M124"")+IMPORTRANGE(""https://docs.google.com/spreadsheets/d/1H1EalTWKUSzO4Z1-1CwzoDUaVffgrThEBe2sl74kKG0/edit?usp=sharing"",""สุพรรณบุรี!M124"")+IMPORTRANGE(""https://docs.google.com/spreadsheets/d/1BmIruG_sIrJLYao_Pdr7zVArWsf"&amp;"oBt2692TMi6x_854/edit?usp=sharing"",""อ่างทอง!M124"")"),0)</f>
        <v>0</v>
      </c>
      <c r="N124" s="75">
        <f ca="1">IFERROR(__xludf.DUMMYFUNCTION("IMPORTRANGE(""https://docs.google.com/spreadsheets/d/13wPX838HrBrQMCywv1BsuMkt4PEKTChp52zj44s2izQ/edit?usp=sharing"",""กาญจนบุรี!N124"")+IMPORTRANGE(""https://docs.google.com/spreadsheets/d/1ddFKvqj1W1NEiWytbGlB1zMx_ykJDVtmfEQ-6-lIUBA/edit?usp=sharing"","&amp;"""จันทบุรี!N124"")+IMPORTRANGE(""https://docs.google.com/spreadsheets/d/1T1PQvRODqOBZk8BRht_U031fIS1beLA0Ub2CEytj2q0/edit?usp=sharing"",""ฉะเชิงเทรา!N124"")+IMPORTRANGE(""https://docs.google.com/spreadsheets/d/11tr1B-Bhyr79v2bkwVh5h_fR-PStkgjlZtkrZpYurG0/"&amp;"edit?usp=sharing"",""ชลบุรี!N124"")+IMPORTRANGE(""https://docs.google.com/spreadsheets/d/1hh-FVnSX0vozXhGluamEcS54Dw9_zqW0N7qJUWgJ0Sw/edit?usp=sharing"",""ชัยนาท!N124"")+IMPORTRANGE(""https://docs.google.com/spreadsheets/d/1jkqa6GXxSacMcY1eN8AHjMNJ_7dDXMJ"&amp;"VRLDlaFSOdPM/edit?usp=sharing"",""ตราด!N124"")+IMPORTRANGE(""https://docs.google.com/spreadsheets/d/18hSgUJ3VwClqi_qtULmmW3cLr0oe3OKaSYoKzdpTsYQ/edit?usp=sharing"",""นครนายก!N124"")+IMPORTRANGE(""https://docs.google.com/spreadsheets/d/1YTZo6WM2dQ6Ix6FSdnL"&amp;"5P7uVnVKu40sxZu975tgG10E/edit?usp=sharing"",""นครปฐม!N124"")+IMPORTRANGE(""https://docs.google.com/spreadsheets/d/1OYoGg4WDg5RIzwGeB10padOxJF9E_Vljuvvct_M7RDo/edit?usp=sharing"",""ปทุมธานี!N124"")+IMPORTRANGE(""https://docs.google.com/spreadsheets/d/1GbCI"&amp;"E4D4wk9FUozzqk7SxfDMxDVBwVmI5zcaVUSzKAc/edit?usp=sharing"",""ประจวบคีรีขันธ์!N124"")+IMPORTRANGE(""https://docs.google.com/spreadsheets/d/1vVf6wykvW_lAyu7Yo9L4hUTqHqIeP_qcVuxCtosJEbg/edit?usp=sharing"",""ปราจีนบุรี!N124"")+IMPORTRANGE(""https://docs.googl"&amp;"e.com/spreadsheets/d/1BIDqLLg5jk3v59G8NlR8rk5xfQDKne0sAvZHSj7TI6I/edit?usp=sharing"",""พระนครศรีอยุธยา!N124"")+IMPORTRANGE(""https://docs.google.com/spreadsheets/d/1YXvxf8Yu6_rV4hTBrwMqAcAnv6DfhUxh5emyM3CJp_w/edit?usp=sharing"",""เพชรบุรี!N124"")+IMPORTRA"&amp;"NGE(""https://docs.google.com/spreadsheets/d/19KBlQQs7uwvsao6t2n-KvW3Ax8J8uRRfZPq1zPbXgKc/edit?usp=sharing"",""ระยอง!N124"")+IMPORTRANGE(""https://docs.google.com/spreadsheets/d/1jQ6P4QcrGM89YfqcC_PxOHGCMq5ezhucwJd8ci-NHng/edit?usp=sharing"",""ราชบุรี!N12"&amp;"4"")+IMPORTRANGE(""https://docs.google.com/spreadsheets/d/1lufeA2cfFqM-elVq2hznhDzC6Pr7wkJ9ZG_sYNGCMCU/edit?usp=sharing"",""ลพบุรี!N124"")+IMPORTRANGE(""https://docs.google.com/spreadsheets/d/10oOiF7loTyfsTkbd4MpaIm0HQ9SwB7IYHdIUvt-U1Uc/edit?usp=sharing"""&amp;",""สระแก้ว!N124"")+IMPORTRANGE(""https://docs.google.com/spreadsheets/d/1xmPlrr1QbdSIKvl1dWUl9K4PjAfSL9oeMr_37QVzcxc/edit?usp=sharing"",""สระบุรี!N124"")+IMPORTRANGE(""https://docs.google.com/spreadsheets/d/1j51vR6CYVGhABJpv6tkstgok82RLpXieLzW1yOY5rHw/edi"&amp;"t?usp=sharing"",""สิงห์บุรี!N124"")+IMPORTRANGE(""https://docs.google.com/spreadsheets/d/1H1EalTWKUSzO4Z1-1CwzoDUaVffgrThEBe2sl74kKG0/edit?usp=sharing"",""สุพรรณบุรี!N124"")+IMPORTRANGE(""https://docs.google.com/spreadsheets/d/1BmIruG_sIrJLYao_Pdr7zVArWsf"&amp;"oBt2692TMi6x_854/edit?usp=sharing"",""อ่างทอง!N124"")"),0)</f>
        <v>0</v>
      </c>
      <c r="O124" s="75">
        <f t="shared" ca="1" si="91"/>
        <v>0</v>
      </c>
      <c r="P124" s="75">
        <f t="shared" ca="1" si="92"/>
        <v>0</v>
      </c>
      <c r="Q124" s="74">
        <f ca="1">IFERROR(__xludf.DUMMYFUNCTION("IMPORTRANGE(""https://docs.google.com/spreadsheets/d/13wPX838HrBrQMCywv1BsuMkt4PEKTChp52zj44s2izQ/edit?usp=sharing"",""กาญจนบุรี!Q124"")+IMPORTRANGE(""https://docs.google.com/spreadsheets/d/1ddFKvqj1W1NEiWytbGlB1zMx_ykJDVtmfEQ-6-lIUBA/edit?usp=sharing"","&amp;"""จันทบุรี!Q124"")+IMPORTRANGE(""https://docs.google.com/spreadsheets/d/1T1PQvRODqOBZk8BRht_U031fIS1beLA0Ub2CEytj2q0/edit?usp=sharing"",""ฉะเชิงเทรา!Q124"")+IMPORTRANGE(""https://docs.google.com/spreadsheets/d/11tr1B-Bhyr79v2bkwVh5h_fR-PStkgjlZtkrZpYurG0/"&amp;"edit?usp=sharing"",""ชลบุรี!Q124"")+IMPORTRANGE(""https://docs.google.com/spreadsheets/d/1hh-FVnSX0vozXhGluamEcS54Dw9_zqW0N7qJUWgJ0Sw/edit?usp=sharing"",""ชัยนาท!Q124"")+IMPORTRANGE(""https://docs.google.com/spreadsheets/d/1jkqa6GXxSacMcY1eN8AHjMNJ_7dDXMJ"&amp;"VRLDlaFSOdPM/edit?usp=sharing"",""ตราด!Q124"")+IMPORTRANGE(""https://docs.google.com/spreadsheets/d/18hSgUJ3VwClqi_qtULmmW3cLr0oe3OKaSYoKzdpTsYQ/edit?usp=sharing"",""นครนายก!Q124"")+IMPORTRANGE(""https://docs.google.com/spreadsheets/d/1YTZo6WM2dQ6Ix6FSdnL"&amp;"5P7uVnVKu40sxZu975tgG10E/edit?usp=sharing"",""นครปฐม!Q124"")+IMPORTRANGE(""https://docs.google.com/spreadsheets/d/1OYoGg4WDg5RIzwGeB10padOxJF9E_Vljuvvct_M7RDo/edit?usp=sharing"",""ปทุมธานี!Q124"")+IMPORTRANGE(""https://docs.google.com/spreadsheets/d/1GbCI"&amp;"E4D4wk9FUozzqk7SxfDMxDVBwVmI5zcaVUSzKAc/edit?usp=sharing"",""ประจวบคีรีขันธ์!Q124"")+IMPORTRANGE(""https://docs.google.com/spreadsheets/d/1vVf6wykvW_lAyu7Yo9L4hUTqHqIeP_qcVuxCtosJEbg/edit?usp=sharing"",""ปราจีนบุรี!Q124"")+IMPORTRANGE(""https://docs.googl"&amp;"e.com/spreadsheets/d/1BIDqLLg5jk3v59G8NlR8rk5xfQDKne0sAvZHSj7TI6I/edit?usp=sharing"",""พระนครศรีอยุธยา!Q124"")+IMPORTRANGE(""https://docs.google.com/spreadsheets/d/1YXvxf8Yu6_rV4hTBrwMqAcAnv6DfhUxh5emyM3CJp_w/edit?usp=sharing"",""เพชรบุรี!Q124"")+IMPORTRA"&amp;"NGE(""https://docs.google.com/spreadsheets/d/19KBlQQs7uwvsao6t2n-KvW3Ax8J8uRRfZPq1zPbXgKc/edit?usp=sharing"",""ระยอง!Q124"")+IMPORTRANGE(""https://docs.google.com/spreadsheets/d/1jQ6P4QcrGM89YfqcC_PxOHGCMq5ezhucwJd8ci-NHng/edit?usp=sharing"",""ราชบุรี!Q12"&amp;"4"")+IMPORTRANGE(""https://docs.google.com/spreadsheets/d/1lufeA2cfFqM-elVq2hznhDzC6Pr7wkJ9ZG_sYNGCMCU/edit?usp=sharing"",""ลพบุรี!Q124"")+IMPORTRANGE(""https://docs.google.com/spreadsheets/d/10oOiF7loTyfsTkbd4MpaIm0HQ9SwB7IYHdIUvt-U1Uc/edit?usp=sharing"""&amp;",""สระแก้ว!Q124"")+IMPORTRANGE(""https://docs.google.com/spreadsheets/d/1xmPlrr1QbdSIKvl1dWUl9K4PjAfSL9oeMr_37QVzcxc/edit?usp=sharing"",""สระบุรี!Q124"")+IMPORTRANGE(""https://docs.google.com/spreadsheets/d/1j51vR6CYVGhABJpv6tkstgok82RLpXieLzW1yOY5rHw/edi"&amp;"t?usp=sharing"",""สิงห์บุรี!Q124"")+IMPORTRANGE(""https://docs.google.com/spreadsheets/d/1H1EalTWKUSzO4Z1-1CwzoDUaVffgrThEBe2sl74kKG0/edit?usp=sharing"",""สุพรรณบุรี!Q124"")+IMPORTRANGE(""https://docs.google.com/spreadsheets/d/1BmIruG_sIrJLYao_Pdr7zVArWsf"&amp;"oBt2692TMi6x_854/edit?usp=sharing"",""อ่างทอง!Q124"")"),0)</f>
        <v>0</v>
      </c>
      <c r="R124" s="75">
        <f ca="1">IFERROR(__xludf.DUMMYFUNCTION("IMPORTRANGE(""https://docs.google.com/spreadsheets/d/13wPX838HrBrQMCywv1BsuMkt4PEKTChp52zj44s2izQ/edit?usp=sharing"",""กาญจนบุรี!R124"")+IMPORTRANGE(""https://docs.google.com/spreadsheets/d/1ddFKvqj1W1NEiWytbGlB1zMx_ykJDVtmfEQ-6-lIUBA/edit?usp=sharing"","&amp;"""จันทบุรี!R124"")+IMPORTRANGE(""https://docs.google.com/spreadsheets/d/1T1PQvRODqOBZk8BRht_U031fIS1beLA0Ub2CEytj2q0/edit?usp=sharing"",""ฉะเชิงเทรา!R124"")+IMPORTRANGE(""https://docs.google.com/spreadsheets/d/11tr1B-Bhyr79v2bkwVh5h_fR-PStkgjlZtkrZpYurG0/"&amp;"edit?usp=sharing"",""ชลบุรี!R124"")+IMPORTRANGE(""https://docs.google.com/spreadsheets/d/1hh-FVnSX0vozXhGluamEcS54Dw9_zqW0N7qJUWgJ0Sw/edit?usp=sharing"",""ชัยนาท!R124"")+IMPORTRANGE(""https://docs.google.com/spreadsheets/d/1jkqa6GXxSacMcY1eN8AHjMNJ_7dDXMJ"&amp;"VRLDlaFSOdPM/edit?usp=sharing"",""ตราด!R124"")+IMPORTRANGE(""https://docs.google.com/spreadsheets/d/18hSgUJ3VwClqi_qtULmmW3cLr0oe3OKaSYoKzdpTsYQ/edit?usp=sharing"",""นครนายก!R124"")+IMPORTRANGE(""https://docs.google.com/spreadsheets/d/1YTZo6WM2dQ6Ix6FSdnL"&amp;"5P7uVnVKu40sxZu975tgG10E/edit?usp=sharing"",""นครปฐม!R124"")+IMPORTRANGE(""https://docs.google.com/spreadsheets/d/1OYoGg4WDg5RIzwGeB10padOxJF9E_Vljuvvct_M7RDo/edit?usp=sharing"",""ปทุมธานี!R124"")+IMPORTRANGE(""https://docs.google.com/spreadsheets/d/1GbCI"&amp;"E4D4wk9FUozzqk7SxfDMxDVBwVmI5zcaVUSzKAc/edit?usp=sharing"",""ประจวบคีรีขันธ์!R124"")+IMPORTRANGE(""https://docs.google.com/spreadsheets/d/1vVf6wykvW_lAyu7Yo9L4hUTqHqIeP_qcVuxCtosJEbg/edit?usp=sharing"",""ปราจีนบุรี!R124"")+IMPORTRANGE(""https://docs.googl"&amp;"e.com/spreadsheets/d/1BIDqLLg5jk3v59G8NlR8rk5xfQDKne0sAvZHSj7TI6I/edit?usp=sharing"",""พระนครศรีอยุธยา!R124"")+IMPORTRANGE(""https://docs.google.com/spreadsheets/d/1YXvxf8Yu6_rV4hTBrwMqAcAnv6DfhUxh5emyM3CJp_w/edit?usp=sharing"",""เพชรบุรี!R124"")+IMPORTRA"&amp;"NGE(""https://docs.google.com/spreadsheets/d/19KBlQQs7uwvsao6t2n-KvW3Ax8J8uRRfZPq1zPbXgKc/edit?usp=sharing"",""ระยอง!R124"")+IMPORTRANGE(""https://docs.google.com/spreadsheets/d/1jQ6P4QcrGM89YfqcC_PxOHGCMq5ezhucwJd8ci-NHng/edit?usp=sharing"",""ราชบุรี!R12"&amp;"4"")+IMPORTRANGE(""https://docs.google.com/spreadsheets/d/1lufeA2cfFqM-elVq2hznhDzC6Pr7wkJ9ZG_sYNGCMCU/edit?usp=sharing"",""ลพบุรี!R124"")+IMPORTRANGE(""https://docs.google.com/spreadsheets/d/10oOiF7loTyfsTkbd4MpaIm0HQ9SwB7IYHdIUvt-U1Uc/edit?usp=sharing"""&amp;",""สระแก้ว!R124"")+IMPORTRANGE(""https://docs.google.com/spreadsheets/d/1xmPlrr1QbdSIKvl1dWUl9K4PjAfSL9oeMr_37QVzcxc/edit?usp=sharing"",""สระบุรี!R124"")+IMPORTRANGE(""https://docs.google.com/spreadsheets/d/1j51vR6CYVGhABJpv6tkstgok82RLpXieLzW1yOY5rHw/edi"&amp;"t?usp=sharing"",""สิงห์บุรี!R124"")+IMPORTRANGE(""https://docs.google.com/spreadsheets/d/1H1EalTWKUSzO4Z1-1CwzoDUaVffgrThEBe2sl74kKG0/edit?usp=sharing"",""สุพรรณบุรี!R124"")+IMPORTRANGE(""https://docs.google.com/spreadsheets/d/1BmIruG_sIrJLYao_Pdr7zVArWsf"&amp;"oBt2692TMi6x_854/edit?usp=sharing"",""อ่างทอง!R124"")"),0)</f>
        <v>0</v>
      </c>
      <c r="S124" s="75">
        <f ca="1">IFERROR(__xludf.DUMMYFUNCTION("IMPORTRANGE(""https://docs.google.com/spreadsheets/d/13wPX838HrBrQMCywv1BsuMkt4PEKTChp52zj44s2izQ/edit?usp=sharing"",""กาญจนบุรี!S124"")+IMPORTRANGE(""https://docs.google.com/spreadsheets/d/1ddFKvqj1W1NEiWytbGlB1zMx_ykJDVtmfEQ-6-lIUBA/edit?usp=sharing"","&amp;"""จันทบุรี!S124"")+IMPORTRANGE(""https://docs.google.com/spreadsheets/d/1T1PQvRODqOBZk8BRht_U031fIS1beLA0Ub2CEytj2q0/edit?usp=sharing"",""ฉะเชิงเทรา!S124"")+IMPORTRANGE(""https://docs.google.com/spreadsheets/d/11tr1B-Bhyr79v2bkwVh5h_fR-PStkgjlZtkrZpYurG0/"&amp;"edit?usp=sharing"",""ชลบุรี!S124"")+IMPORTRANGE(""https://docs.google.com/spreadsheets/d/1hh-FVnSX0vozXhGluamEcS54Dw9_zqW0N7qJUWgJ0Sw/edit?usp=sharing"",""ชัยนาท!S124"")+IMPORTRANGE(""https://docs.google.com/spreadsheets/d/1jkqa6GXxSacMcY1eN8AHjMNJ_7dDXMJ"&amp;"VRLDlaFSOdPM/edit?usp=sharing"",""ตราด!S124"")+IMPORTRANGE(""https://docs.google.com/spreadsheets/d/18hSgUJ3VwClqi_qtULmmW3cLr0oe3OKaSYoKzdpTsYQ/edit?usp=sharing"",""นครนายก!S124"")+IMPORTRANGE(""https://docs.google.com/spreadsheets/d/1YTZo6WM2dQ6Ix6FSdnL"&amp;"5P7uVnVKu40sxZu975tgG10E/edit?usp=sharing"",""นครปฐม!S124"")+IMPORTRANGE(""https://docs.google.com/spreadsheets/d/1OYoGg4WDg5RIzwGeB10padOxJF9E_Vljuvvct_M7RDo/edit?usp=sharing"",""ปทุมธานี!S124"")+IMPORTRANGE(""https://docs.google.com/spreadsheets/d/1GbCI"&amp;"E4D4wk9FUozzqk7SxfDMxDVBwVmI5zcaVUSzKAc/edit?usp=sharing"",""ประจวบคีรีขันธ์!S124"")+IMPORTRANGE(""https://docs.google.com/spreadsheets/d/1vVf6wykvW_lAyu7Yo9L4hUTqHqIeP_qcVuxCtosJEbg/edit?usp=sharing"",""ปราจีนบุรี!S124"")+IMPORTRANGE(""https://docs.googl"&amp;"e.com/spreadsheets/d/1BIDqLLg5jk3v59G8NlR8rk5xfQDKne0sAvZHSj7TI6I/edit?usp=sharing"",""พระนครศรีอยุธยา!S124"")+IMPORTRANGE(""https://docs.google.com/spreadsheets/d/1YXvxf8Yu6_rV4hTBrwMqAcAnv6DfhUxh5emyM3CJp_w/edit?usp=sharing"",""เพชรบุรี!S124"")+IMPORTRA"&amp;"NGE(""https://docs.google.com/spreadsheets/d/19KBlQQs7uwvsao6t2n-KvW3Ax8J8uRRfZPq1zPbXgKc/edit?usp=sharing"",""ระยอง!S124"")+IMPORTRANGE(""https://docs.google.com/spreadsheets/d/1jQ6P4QcrGM89YfqcC_PxOHGCMq5ezhucwJd8ci-NHng/edit?usp=sharing"",""ราชบุรี!S12"&amp;"4"")+IMPORTRANGE(""https://docs.google.com/spreadsheets/d/1lufeA2cfFqM-elVq2hznhDzC6Pr7wkJ9ZG_sYNGCMCU/edit?usp=sharing"",""ลพบุรี!S124"")+IMPORTRANGE(""https://docs.google.com/spreadsheets/d/10oOiF7loTyfsTkbd4MpaIm0HQ9SwB7IYHdIUvt-U1Uc/edit?usp=sharing"""&amp;",""สระแก้ว!S124"")+IMPORTRANGE(""https://docs.google.com/spreadsheets/d/1xmPlrr1QbdSIKvl1dWUl9K4PjAfSL9oeMr_37QVzcxc/edit?usp=sharing"",""สระบุรี!S124"")+IMPORTRANGE(""https://docs.google.com/spreadsheets/d/1j51vR6CYVGhABJpv6tkstgok82RLpXieLzW1yOY5rHw/edi"&amp;"t?usp=sharing"",""สิงห์บุรี!S124"")+IMPORTRANGE(""https://docs.google.com/spreadsheets/d/1H1EalTWKUSzO4Z1-1CwzoDUaVffgrThEBe2sl74kKG0/edit?usp=sharing"",""สุพรรณบุรี!S124"")+IMPORTRANGE(""https://docs.google.com/spreadsheets/d/1BmIruG_sIrJLYao_Pdr7zVArWsf"&amp;"oBt2692TMi6x_854/edit?usp=sharing"",""อ่างทอง!S124"")"),0)</f>
        <v>0</v>
      </c>
      <c r="T124" s="131">
        <f t="shared" ca="1" si="94"/>
        <v>0</v>
      </c>
      <c r="U124" s="131">
        <f t="shared" ca="1" si="95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13wPX838HrBrQMCywv1BsuMkt4PEKTChp52zj44s2izQ/edit?usp=sharing"",""กาญจนบุรี!L125"")+IMPORTRANGE(""https://docs.google.com/spreadsheets/d/1ddFKvqj1W1NEiWytbGlB1zMx_ykJDVtmfEQ-6-lIUBA/edit?usp=sharing"","&amp;"""จันทบุรี!L125"")+IMPORTRANGE(""https://docs.google.com/spreadsheets/d/1T1PQvRODqOBZk8BRht_U031fIS1beLA0Ub2CEytj2q0/edit?usp=sharing"",""ฉะเชิงเทรา!L125"")+IMPORTRANGE(""https://docs.google.com/spreadsheets/d/11tr1B-Bhyr79v2bkwVh5h_fR-PStkgjlZtkrZpYurG0/"&amp;"edit?usp=sharing"",""ชลบุรี!L125"")+IMPORTRANGE(""https://docs.google.com/spreadsheets/d/1hh-FVnSX0vozXhGluamEcS54Dw9_zqW0N7qJUWgJ0Sw/edit?usp=sharing"",""ชัยนาท!L125"")+IMPORTRANGE(""https://docs.google.com/spreadsheets/d/1jkqa6GXxSacMcY1eN8AHjMNJ_7dDXMJ"&amp;"VRLDlaFSOdPM/edit?usp=sharing"",""ตราด!L125"")+IMPORTRANGE(""https://docs.google.com/spreadsheets/d/18hSgUJ3VwClqi_qtULmmW3cLr0oe3OKaSYoKzdpTsYQ/edit?usp=sharing"",""นครนายก!L125"")+IMPORTRANGE(""https://docs.google.com/spreadsheets/d/1YTZo6WM2dQ6Ix6FSdnL"&amp;"5P7uVnVKu40sxZu975tgG10E/edit?usp=sharing"",""นครปฐม!L125"")+IMPORTRANGE(""https://docs.google.com/spreadsheets/d/1OYoGg4WDg5RIzwGeB10padOxJF9E_Vljuvvct_M7RDo/edit?usp=sharing"",""ปทุมธานี!L125"")+IMPORTRANGE(""https://docs.google.com/spreadsheets/d/1GbCI"&amp;"E4D4wk9FUozzqk7SxfDMxDVBwVmI5zcaVUSzKAc/edit?usp=sharing"",""ประจวบคีรีขันธ์!L125"")+IMPORTRANGE(""https://docs.google.com/spreadsheets/d/1vVf6wykvW_lAyu7Yo9L4hUTqHqIeP_qcVuxCtosJEbg/edit?usp=sharing"",""ปราจีนบุรี!L125"")+IMPORTRANGE(""https://docs.googl"&amp;"e.com/spreadsheets/d/1BIDqLLg5jk3v59G8NlR8rk5xfQDKne0sAvZHSj7TI6I/edit?usp=sharing"",""พระนครศรีอยุธยา!L125"")+IMPORTRANGE(""https://docs.google.com/spreadsheets/d/1YXvxf8Yu6_rV4hTBrwMqAcAnv6DfhUxh5emyM3CJp_w/edit?usp=sharing"",""เพชรบุรี!L125"")+IMPORTRA"&amp;"NGE(""https://docs.google.com/spreadsheets/d/19KBlQQs7uwvsao6t2n-KvW3Ax8J8uRRfZPq1zPbXgKc/edit?usp=sharing"",""ระยอง!L125"")+IMPORTRANGE(""https://docs.google.com/spreadsheets/d/1jQ6P4QcrGM89YfqcC_PxOHGCMq5ezhucwJd8ci-NHng/edit?usp=sharing"",""ราชบุรี!L12"&amp;"5"")+IMPORTRANGE(""https://docs.google.com/spreadsheets/d/1lufeA2cfFqM-elVq2hznhDzC6Pr7wkJ9ZG_sYNGCMCU/edit?usp=sharing"",""ลพบุรี!L125"")+IMPORTRANGE(""https://docs.google.com/spreadsheets/d/10oOiF7loTyfsTkbd4MpaIm0HQ9SwB7IYHdIUvt-U1Uc/edit?usp=sharing"""&amp;",""สระแก้ว!L125"")+IMPORTRANGE(""https://docs.google.com/spreadsheets/d/1xmPlrr1QbdSIKvl1dWUl9K4PjAfSL9oeMr_37QVzcxc/edit?usp=sharing"",""สระบุรี!L125"")+IMPORTRANGE(""https://docs.google.com/spreadsheets/d/1j51vR6CYVGhABJpv6tkstgok82RLpXieLzW1yOY5rHw/edi"&amp;"t?usp=sharing"",""สิงห์บุรี!L125"")+IMPORTRANGE(""https://docs.google.com/spreadsheets/d/1H1EalTWKUSzO4Z1-1CwzoDUaVffgrThEBe2sl74kKG0/edit?usp=sharing"",""สุพรรณบุรี!L125"")+IMPORTRANGE(""https://docs.google.com/spreadsheets/d/1BmIruG_sIrJLYao_Pdr7zVArWsf"&amp;"oBt2692TMi6x_854/edit?usp=sharing"",""อ่างทอง!L125"")"),0)</f>
        <v>0</v>
      </c>
      <c r="M125" s="72">
        <f ca="1">IFERROR(__xludf.DUMMYFUNCTION("IMPORTRANGE(""https://docs.google.com/spreadsheets/d/13wPX838HrBrQMCywv1BsuMkt4PEKTChp52zj44s2izQ/edit?usp=sharing"",""กาญจนบุรี!M125"")+IMPORTRANGE(""https://docs.google.com/spreadsheets/d/1ddFKvqj1W1NEiWytbGlB1zMx_ykJDVtmfEQ-6-lIUBA/edit?usp=sharing"","&amp;"""จันทบุรี!M125"")+IMPORTRANGE(""https://docs.google.com/spreadsheets/d/1T1PQvRODqOBZk8BRht_U031fIS1beLA0Ub2CEytj2q0/edit?usp=sharing"",""ฉะเชิงเทรา!M125"")+IMPORTRANGE(""https://docs.google.com/spreadsheets/d/11tr1B-Bhyr79v2bkwVh5h_fR-PStkgjlZtkrZpYurG0/"&amp;"edit?usp=sharing"",""ชลบุรี!M125"")+IMPORTRANGE(""https://docs.google.com/spreadsheets/d/1hh-FVnSX0vozXhGluamEcS54Dw9_zqW0N7qJUWgJ0Sw/edit?usp=sharing"",""ชัยนาท!M125"")+IMPORTRANGE(""https://docs.google.com/spreadsheets/d/1jkqa6GXxSacMcY1eN8AHjMNJ_7dDXMJ"&amp;"VRLDlaFSOdPM/edit?usp=sharing"",""ตราด!M125"")+IMPORTRANGE(""https://docs.google.com/spreadsheets/d/18hSgUJ3VwClqi_qtULmmW3cLr0oe3OKaSYoKzdpTsYQ/edit?usp=sharing"",""นครนายก!M125"")+IMPORTRANGE(""https://docs.google.com/spreadsheets/d/1YTZo6WM2dQ6Ix6FSdnL"&amp;"5P7uVnVKu40sxZu975tgG10E/edit?usp=sharing"",""นครปฐม!M125"")+IMPORTRANGE(""https://docs.google.com/spreadsheets/d/1OYoGg4WDg5RIzwGeB10padOxJF9E_Vljuvvct_M7RDo/edit?usp=sharing"",""ปทุมธานี!M125"")+IMPORTRANGE(""https://docs.google.com/spreadsheets/d/1GbCI"&amp;"E4D4wk9FUozzqk7SxfDMxDVBwVmI5zcaVUSzKAc/edit?usp=sharing"",""ประจวบคีรีขันธ์!M125"")+IMPORTRANGE(""https://docs.google.com/spreadsheets/d/1vVf6wykvW_lAyu7Yo9L4hUTqHqIeP_qcVuxCtosJEbg/edit?usp=sharing"",""ปราจีนบุรี!M125"")+IMPORTRANGE(""https://docs.googl"&amp;"e.com/spreadsheets/d/1BIDqLLg5jk3v59G8NlR8rk5xfQDKne0sAvZHSj7TI6I/edit?usp=sharing"",""พระนครศรีอยุธยา!M125"")+IMPORTRANGE(""https://docs.google.com/spreadsheets/d/1YXvxf8Yu6_rV4hTBrwMqAcAnv6DfhUxh5emyM3CJp_w/edit?usp=sharing"",""เพชรบุรี!M125"")+IMPORTRA"&amp;"NGE(""https://docs.google.com/spreadsheets/d/19KBlQQs7uwvsao6t2n-KvW3Ax8J8uRRfZPq1zPbXgKc/edit?usp=sharing"",""ระยอง!M125"")+IMPORTRANGE(""https://docs.google.com/spreadsheets/d/1jQ6P4QcrGM89YfqcC_PxOHGCMq5ezhucwJd8ci-NHng/edit?usp=sharing"",""ราชบุรี!M12"&amp;"5"")+IMPORTRANGE(""https://docs.google.com/spreadsheets/d/1lufeA2cfFqM-elVq2hznhDzC6Pr7wkJ9ZG_sYNGCMCU/edit?usp=sharing"",""ลพบุรี!M125"")+IMPORTRANGE(""https://docs.google.com/spreadsheets/d/10oOiF7loTyfsTkbd4MpaIm0HQ9SwB7IYHdIUvt-U1Uc/edit?usp=sharing"""&amp;",""สระแก้ว!M125"")+IMPORTRANGE(""https://docs.google.com/spreadsheets/d/1xmPlrr1QbdSIKvl1dWUl9K4PjAfSL9oeMr_37QVzcxc/edit?usp=sharing"",""สระบุรี!M125"")+IMPORTRANGE(""https://docs.google.com/spreadsheets/d/1j51vR6CYVGhABJpv6tkstgok82RLpXieLzW1yOY5rHw/edi"&amp;"t?usp=sharing"",""สิงห์บุรี!M125"")+IMPORTRANGE(""https://docs.google.com/spreadsheets/d/1H1EalTWKUSzO4Z1-1CwzoDUaVffgrThEBe2sl74kKG0/edit?usp=sharing"",""สุพรรณบุรี!M125"")+IMPORTRANGE(""https://docs.google.com/spreadsheets/d/1BmIruG_sIrJLYao_Pdr7zVArWsf"&amp;"oBt2692TMi6x_854/edit?usp=sharing"",""อ่างทอง!M125"")"),0)</f>
        <v>0</v>
      </c>
      <c r="N125" s="72">
        <f ca="1">IFERROR(__xludf.DUMMYFUNCTION("IMPORTRANGE(""https://docs.google.com/spreadsheets/d/13wPX838HrBrQMCywv1BsuMkt4PEKTChp52zj44s2izQ/edit?usp=sharing"",""กาญจนบุรี!N125"")+IMPORTRANGE(""https://docs.google.com/spreadsheets/d/1ddFKvqj1W1NEiWytbGlB1zMx_ykJDVtmfEQ-6-lIUBA/edit?usp=sharing"","&amp;"""จันทบุรี!N125"")+IMPORTRANGE(""https://docs.google.com/spreadsheets/d/1T1PQvRODqOBZk8BRht_U031fIS1beLA0Ub2CEytj2q0/edit?usp=sharing"",""ฉะเชิงเทรา!N125"")+IMPORTRANGE(""https://docs.google.com/spreadsheets/d/11tr1B-Bhyr79v2bkwVh5h_fR-PStkgjlZtkrZpYurG0/"&amp;"edit?usp=sharing"",""ชลบุรี!N125"")+IMPORTRANGE(""https://docs.google.com/spreadsheets/d/1hh-FVnSX0vozXhGluamEcS54Dw9_zqW0N7qJUWgJ0Sw/edit?usp=sharing"",""ชัยนาท!N125"")+IMPORTRANGE(""https://docs.google.com/spreadsheets/d/1jkqa6GXxSacMcY1eN8AHjMNJ_7dDXMJ"&amp;"VRLDlaFSOdPM/edit?usp=sharing"",""ตราด!N125"")+IMPORTRANGE(""https://docs.google.com/spreadsheets/d/18hSgUJ3VwClqi_qtULmmW3cLr0oe3OKaSYoKzdpTsYQ/edit?usp=sharing"",""นครนายก!N125"")+IMPORTRANGE(""https://docs.google.com/spreadsheets/d/1YTZo6WM2dQ6Ix6FSdnL"&amp;"5P7uVnVKu40sxZu975tgG10E/edit?usp=sharing"",""นครปฐม!N125"")+IMPORTRANGE(""https://docs.google.com/spreadsheets/d/1OYoGg4WDg5RIzwGeB10padOxJF9E_Vljuvvct_M7RDo/edit?usp=sharing"",""ปทุมธานี!N125"")+IMPORTRANGE(""https://docs.google.com/spreadsheets/d/1GbCI"&amp;"E4D4wk9FUozzqk7SxfDMxDVBwVmI5zcaVUSzKAc/edit?usp=sharing"",""ประจวบคีรีขันธ์!N125"")+IMPORTRANGE(""https://docs.google.com/spreadsheets/d/1vVf6wykvW_lAyu7Yo9L4hUTqHqIeP_qcVuxCtosJEbg/edit?usp=sharing"",""ปราจีนบุรี!N125"")+IMPORTRANGE(""https://docs.googl"&amp;"e.com/spreadsheets/d/1BIDqLLg5jk3v59G8NlR8rk5xfQDKne0sAvZHSj7TI6I/edit?usp=sharing"",""พระนครศรีอยุธยา!N125"")+IMPORTRANGE(""https://docs.google.com/spreadsheets/d/1YXvxf8Yu6_rV4hTBrwMqAcAnv6DfhUxh5emyM3CJp_w/edit?usp=sharing"",""เพชรบุรี!N125"")+IMPORTRA"&amp;"NGE(""https://docs.google.com/spreadsheets/d/19KBlQQs7uwvsao6t2n-KvW3Ax8J8uRRfZPq1zPbXgKc/edit?usp=sharing"",""ระยอง!N125"")+IMPORTRANGE(""https://docs.google.com/spreadsheets/d/1jQ6P4QcrGM89YfqcC_PxOHGCMq5ezhucwJd8ci-NHng/edit?usp=sharing"",""ราชบุรี!N12"&amp;"5"")+IMPORTRANGE(""https://docs.google.com/spreadsheets/d/1lufeA2cfFqM-elVq2hznhDzC6Pr7wkJ9ZG_sYNGCMCU/edit?usp=sharing"",""ลพบุรี!N125"")+IMPORTRANGE(""https://docs.google.com/spreadsheets/d/10oOiF7loTyfsTkbd4MpaIm0HQ9SwB7IYHdIUvt-U1Uc/edit?usp=sharing"""&amp;",""สระแก้ว!N125"")+IMPORTRANGE(""https://docs.google.com/spreadsheets/d/1xmPlrr1QbdSIKvl1dWUl9K4PjAfSL9oeMr_37QVzcxc/edit?usp=sharing"",""สระบุรี!N125"")+IMPORTRANGE(""https://docs.google.com/spreadsheets/d/1j51vR6CYVGhABJpv6tkstgok82RLpXieLzW1yOY5rHw/edi"&amp;"t?usp=sharing"",""สิงห์บุรี!N125"")+IMPORTRANGE(""https://docs.google.com/spreadsheets/d/1H1EalTWKUSzO4Z1-1CwzoDUaVffgrThEBe2sl74kKG0/edit?usp=sharing"",""สุพรรณบุรี!N125"")+IMPORTRANGE(""https://docs.google.com/spreadsheets/d/1BmIruG_sIrJLYao_Pdr7zVArWsf"&amp;"oBt2692TMi6x_854/edit?usp=sharing"",""อ่างทอง!N125"")"),0)</f>
        <v>0</v>
      </c>
      <c r="O125" s="72">
        <f t="shared" ca="1" si="91"/>
        <v>0</v>
      </c>
      <c r="P125" s="72">
        <f t="shared" ca="1" si="92"/>
        <v>0</v>
      </c>
      <c r="Q125" s="71">
        <f ca="1">IFERROR(__xludf.DUMMYFUNCTION("IMPORTRANGE(""https://docs.google.com/spreadsheets/d/13wPX838HrBrQMCywv1BsuMkt4PEKTChp52zj44s2izQ/edit?usp=sharing"",""กาญจนบุรี!Q125"")+IMPORTRANGE(""https://docs.google.com/spreadsheets/d/1ddFKvqj1W1NEiWytbGlB1zMx_ykJDVtmfEQ-6-lIUBA/edit?usp=sharing"","&amp;"""จันทบุรี!Q125"")+IMPORTRANGE(""https://docs.google.com/spreadsheets/d/1T1PQvRODqOBZk8BRht_U031fIS1beLA0Ub2CEytj2q0/edit?usp=sharing"",""ฉะเชิงเทรา!Q125"")+IMPORTRANGE(""https://docs.google.com/spreadsheets/d/11tr1B-Bhyr79v2bkwVh5h_fR-PStkgjlZtkrZpYurG0/"&amp;"edit?usp=sharing"",""ชลบุรี!Q125"")+IMPORTRANGE(""https://docs.google.com/spreadsheets/d/1hh-FVnSX0vozXhGluamEcS54Dw9_zqW0N7qJUWgJ0Sw/edit?usp=sharing"",""ชัยนาท!Q125"")+IMPORTRANGE(""https://docs.google.com/spreadsheets/d/1jkqa6GXxSacMcY1eN8AHjMNJ_7dDXMJ"&amp;"VRLDlaFSOdPM/edit?usp=sharing"",""ตราด!Q125"")+IMPORTRANGE(""https://docs.google.com/spreadsheets/d/18hSgUJ3VwClqi_qtULmmW3cLr0oe3OKaSYoKzdpTsYQ/edit?usp=sharing"",""นครนายก!Q125"")+IMPORTRANGE(""https://docs.google.com/spreadsheets/d/1YTZo6WM2dQ6Ix6FSdnL"&amp;"5P7uVnVKu40sxZu975tgG10E/edit?usp=sharing"",""นครปฐม!Q125"")+IMPORTRANGE(""https://docs.google.com/spreadsheets/d/1OYoGg4WDg5RIzwGeB10padOxJF9E_Vljuvvct_M7RDo/edit?usp=sharing"",""ปทุมธานี!Q125"")+IMPORTRANGE(""https://docs.google.com/spreadsheets/d/1GbCI"&amp;"E4D4wk9FUozzqk7SxfDMxDVBwVmI5zcaVUSzKAc/edit?usp=sharing"",""ประจวบคีรีขันธ์!Q125"")+IMPORTRANGE(""https://docs.google.com/spreadsheets/d/1vVf6wykvW_lAyu7Yo9L4hUTqHqIeP_qcVuxCtosJEbg/edit?usp=sharing"",""ปราจีนบุรี!Q125"")+IMPORTRANGE(""https://docs.googl"&amp;"e.com/spreadsheets/d/1BIDqLLg5jk3v59G8NlR8rk5xfQDKne0sAvZHSj7TI6I/edit?usp=sharing"",""พระนครศรีอยุธยา!Q125"")+IMPORTRANGE(""https://docs.google.com/spreadsheets/d/1YXvxf8Yu6_rV4hTBrwMqAcAnv6DfhUxh5emyM3CJp_w/edit?usp=sharing"",""เพชรบุรี!Q125"")+IMPORTRA"&amp;"NGE(""https://docs.google.com/spreadsheets/d/19KBlQQs7uwvsao6t2n-KvW3Ax8J8uRRfZPq1zPbXgKc/edit?usp=sharing"",""ระยอง!Q125"")+IMPORTRANGE(""https://docs.google.com/spreadsheets/d/1jQ6P4QcrGM89YfqcC_PxOHGCMq5ezhucwJd8ci-NHng/edit?usp=sharing"",""ราชบุรี!Q12"&amp;"5"")+IMPORTRANGE(""https://docs.google.com/spreadsheets/d/1lufeA2cfFqM-elVq2hznhDzC6Pr7wkJ9ZG_sYNGCMCU/edit?usp=sharing"",""ลพบุรี!Q125"")+IMPORTRANGE(""https://docs.google.com/spreadsheets/d/10oOiF7loTyfsTkbd4MpaIm0HQ9SwB7IYHdIUvt-U1Uc/edit?usp=sharing"""&amp;",""สระแก้ว!Q125"")+IMPORTRANGE(""https://docs.google.com/spreadsheets/d/1xmPlrr1QbdSIKvl1dWUl9K4PjAfSL9oeMr_37QVzcxc/edit?usp=sharing"",""สระบุรี!Q125"")+IMPORTRANGE(""https://docs.google.com/spreadsheets/d/1j51vR6CYVGhABJpv6tkstgok82RLpXieLzW1yOY5rHw/edi"&amp;"t?usp=sharing"",""สิงห์บุรี!Q125"")+IMPORTRANGE(""https://docs.google.com/spreadsheets/d/1H1EalTWKUSzO4Z1-1CwzoDUaVffgrThEBe2sl74kKG0/edit?usp=sharing"",""สุพรรณบุรี!Q125"")+IMPORTRANGE(""https://docs.google.com/spreadsheets/d/1BmIruG_sIrJLYao_Pdr7zVArWsf"&amp;"oBt2692TMi6x_854/edit?usp=sharing"",""อ่างทอง!Q125"")"),0)</f>
        <v>0</v>
      </c>
      <c r="R125" s="72">
        <f ca="1">IFERROR(__xludf.DUMMYFUNCTION("IMPORTRANGE(""https://docs.google.com/spreadsheets/d/13wPX838HrBrQMCywv1BsuMkt4PEKTChp52zj44s2izQ/edit?usp=sharing"",""กาญจนบุรี!R125"")+IMPORTRANGE(""https://docs.google.com/spreadsheets/d/1ddFKvqj1W1NEiWytbGlB1zMx_ykJDVtmfEQ-6-lIUBA/edit?usp=sharing"","&amp;"""จันทบุรี!R125"")+IMPORTRANGE(""https://docs.google.com/spreadsheets/d/1T1PQvRODqOBZk8BRht_U031fIS1beLA0Ub2CEytj2q0/edit?usp=sharing"",""ฉะเชิงเทรา!R125"")+IMPORTRANGE(""https://docs.google.com/spreadsheets/d/11tr1B-Bhyr79v2bkwVh5h_fR-PStkgjlZtkrZpYurG0/"&amp;"edit?usp=sharing"",""ชลบุรี!R125"")+IMPORTRANGE(""https://docs.google.com/spreadsheets/d/1hh-FVnSX0vozXhGluamEcS54Dw9_zqW0N7qJUWgJ0Sw/edit?usp=sharing"",""ชัยนาท!R125"")+IMPORTRANGE(""https://docs.google.com/spreadsheets/d/1jkqa6GXxSacMcY1eN8AHjMNJ_7dDXMJ"&amp;"VRLDlaFSOdPM/edit?usp=sharing"",""ตราด!R125"")+IMPORTRANGE(""https://docs.google.com/spreadsheets/d/18hSgUJ3VwClqi_qtULmmW3cLr0oe3OKaSYoKzdpTsYQ/edit?usp=sharing"",""นครนายก!R125"")+IMPORTRANGE(""https://docs.google.com/spreadsheets/d/1YTZo6WM2dQ6Ix6FSdnL"&amp;"5P7uVnVKu40sxZu975tgG10E/edit?usp=sharing"",""นครปฐม!R125"")+IMPORTRANGE(""https://docs.google.com/spreadsheets/d/1OYoGg4WDg5RIzwGeB10padOxJF9E_Vljuvvct_M7RDo/edit?usp=sharing"",""ปทุมธานี!R125"")+IMPORTRANGE(""https://docs.google.com/spreadsheets/d/1GbCI"&amp;"E4D4wk9FUozzqk7SxfDMxDVBwVmI5zcaVUSzKAc/edit?usp=sharing"",""ประจวบคีรีขันธ์!R125"")+IMPORTRANGE(""https://docs.google.com/spreadsheets/d/1vVf6wykvW_lAyu7Yo9L4hUTqHqIeP_qcVuxCtosJEbg/edit?usp=sharing"",""ปราจีนบุรี!R125"")+IMPORTRANGE(""https://docs.googl"&amp;"e.com/spreadsheets/d/1BIDqLLg5jk3v59G8NlR8rk5xfQDKne0sAvZHSj7TI6I/edit?usp=sharing"",""พระนครศรีอยุธยา!R125"")+IMPORTRANGE(""https://docs.google.com/spreadsheets/d/1YXvxf8Yu6_rV4hTBrwMqAcAnv6DfhUxh5emyM3CJp_w/edit?usp=sharing"",""เพชรบุรี!R125"")+IMPORTRA"&amp;"NGE(""https://docs.google.com/spreadsheets/d/19KBlQQs7uwvsao6t2n-KvW3Ax8J8uRRfZPq1zPbXgKc/edit?usp=sharing"",""ระยอง!R125"")+IMPORTRANGE(""https://docs.google.com/spreadsheets/d/1jQ6P4QcrGM89YfqcC_PxOHGCMq5ezhucwJd8ci-NHng/edit?usp=sharing"",""ราชบุรี!R12"&amp;"5"")+IMPORTRANGE(""https://docs.google.com/spreadsheets/d/1lufeA2cfFqM-elVq2hznhDzC6Pr7wkJ9ZG_sYNGCMCU/edit?usp=sharing"",""ลพบุรี!R125"")+IMPORTRANGE(""https://docs.google.com/spreadsheets/d/10oOiF7loTyfsTkbd4MpaIm0HQ9SwB7IYHdIUvt-U1Uc/edit?usp=sharing"""&amp;",""สระแก้ว!R125"")+IMPORTRANGE(""https://docs.google.com/spreadsheets/d/1xmPlrr1QbdSIKvl1dWUl9K4PjAfSL9oeMr_37QVzcxc/edit?usp=sharing"",""สระบุรี!R125"")+IMPORTRANGE(""https://docs.google.com/spreadsheets/d/1j51vR6CYVGhABJpv6tkstgok82RLpXieLzW1yOY5rHw/edi"&amp;"t?usp=sharing"",""สิงห์บุรี!R125"")+IMPORTRANGE(""https://docs.google.com/spreadsheets/d/1H1EalTWKUSzO4Z1-1CwzoDUaVffgrThEBe2sl74kKG0/edit?usp=sharing"",""สุพรรณบุรี!R125"")+IMPORTRANGE(""https://docs.google.com/spreadsheets/d/1BmIruG_sIrJLYao_Pdr7zVArWsf"&amp;"oBt2692TMi6x_854/edit?usp=sharing"",""อ่างทอง!R125"")"),0)</f>
        <v>0</v>
      </c>
      <c r="S125" s="72">
        <f ca="1">IFERROR(__xludf.DUMMYFUNCTION("IMPORTRANGE(""https://docs.google.com/spreadsheets/d/13wPX838HrBrQMCywv1BsuMkt4PEKTChp52zj44s2izQ/edit?usp=sharing"",""กาญจนบุรี!S125"")+IMPORTRANGE(""https://docs.google.com/spreadsheets/d/1ddFKvqj1W1NEiWytbGlB1zMx_ykJDVtmfEQ-6-lIUBA/edit?usp=sharing"","&amp;"""จันทบุรี!S125"")+IMPORTRANGE(""https://docs.google.com/spreadsheets/d/1T1PQvRODqOBZk8BRht_U031fIS1beLA0Ub2CEytj2q0/edit?usp=sharing"",""ฉะเชิงเทรา!S125"")+IMPORTRANGE(""https://docs.google.com/spreadsheets/d/11tr1B-Bhyr79v2bkwVh5h_fR-PStkgjlZtkrZpYurG0/"&amp;"edit?usp=sharing"",""ชลบุรี!S125"")+IMPORTRANGE(""https://docs.google.com/spreadsheets/d/1hh-FVnSX0vozXhGluamEcS54Dw9_zqW0N7qJUWgJ0Sw/edit?usp=sharing"",""ชัยนาท!S125"")+IMPORTRANGE(""https://docs.google.com/spreadsheets/d/1jkqa6GXxSacMcY1eN8AHjMNJ_7dDXMJ"&amp;"VRLDlaFSOdPM/edit?usp=sharing"",""ตราด!S125"")+IMPORTRANGE(""https://docs.google.com/spreadsheets/d/18hSgUJ3VwClqi_qtULmmW3cLr0oe3OKaSYoKzdpTsYQ/edit?usp=sharing"",""นครนายก!S125"")+IMPORTRANGE(""https://docs.google.com/spreadsheets/d/1YTZo6WM2dQ6Ix6FSdnL"&amp;"5P7uVnVKu40sxZu975tgG10E/edit?usp=sharing"",""นครปฐม!S125"")+IMPORTRANGE(""https://docs.google.com/spreadsheets/d/1OYoGg4WDg5RIzwGeB10padOxJF9E_Vljuvvct_M7RDo/edit?usp=sharing"",""ปทุมธานี!S125"")+IMPORTRANGE(""https://docs.google.com/spreadsheets/d/1GbCI"&amp;"E4D4wk9FUozzqk7SxfDMxDVBwVmI5zcaVUSzKAc/edit?usp=sharing"",""ประจวบคีรีขันธ์!S125"")+IMPORTRANGE(""https://docs.google.com/spreadsheets/d/1vVf6wykvW_lAyu7Yo9L4hUTqHqIeP_qcVuxCtosJEbg/edit?usp=sharing"",""ปราจีนบุรี!S125"")+IMPORTRANGE(""https://docs.googl"&amp;"e.com/spreadsheets/d/1BIDqLLg5jk3v59G8NlR8rk5xfQDKne0sAvZHSj7TI6I/edit?usp=sharing"",""พระนครศรีอยุธยา!S125"")+IMPORTRANGE(""https://docs.google.com/spreadsheets/d/1YXvxf8Yu6_rV4hTBrwMqAcAnv6DfhUxh5emyM3CJp_w/edit?usp=sharing"",""เพชรบุรี!S125"")+IMPORTRA"&amp;"NGE(""https://docs.google.com/spreadsheets/d/19KBlQQs7uwvsao6t2n-KvW3Ax8J8uRRfZPq1zPbXgKc/edit?usp=sharing"",""ระยอง!S125"")+IMPORTRANGE(""https://docs.google.com/spreadsheets/d/1jQ6P4QcrGM89YfqcC_PxOHGCMq5ezhucwJd8ci-NHng/edit?usp=sharing"",""ราชบุรี!S12"&amp;"5"")+IMPORTRANGE(""https://docs.google.com/spreadsheets/d/1lufeA2cfFqM-elVq2hznhDzC6Pr7wkJ9ZG_sYNGCMCU/edit?usp=sharing"",""ลพบุรี!S125"")+IMPORTRANGE(""https://docs.google.com/spreadsheets/d/10oOiF7loTyfsTkbd4MpaIm0HQ9SwB7IYHdIUvt-U1Uc/edit?usp=sharing"""&amp;",""สระแก้ว!S125"")+IMPORTRANGE(""https://docs.google.com/spreadsheets/d/1xmPlrr1QbdSIKvl1dWUl9K4PjAfSL9oeMr_37QVzcxc/edit?usp=sharing"",""สระบุรี!S125"")+IMPORTRANGE(""https://docs.google.com/spreadsheets/d/1j51vR6CYVGhABJpv6tkstgok82RLpXieLzW1yOY5rHw/edi"&amp;"t?usp=sharing"",""สิงห์บุรี!S125"")+IMPORTRANGE(""https://docs.google.com/spreadsheets/d/1H1EalTWKUSzO4Z1-1CwzoDUaVffgrThEBe2sl74kKG0/edit?usp=sharing"",""สุพรรณบุรี!S125"")+IMPORTRANGE(""https://docs.google.com/spreadsheets/d/1BmIruG_sIrJLYao_Pdr7zVArWsf"&amp;"oBt2692TMi6x_854/edit?usp=sharing"",""อ่างทอง!S125"")"),0)</f>
        <v>0</v>
      </c>
      <c r="T125" s="130">
        <f t="shared" ca="1" si="94"/>
        <v>0</v>
      </c>
      <c r="U125" s="130">
        <f t="shared" ca="1" si="95"/>
        <v>0</v>
      </c>
    </row>
    <row r="126" spans="1:21" ht="19.5" x14ac:dyDescent="0.3">
      <c r="A126" s="274"/>
      <c r="B126" s="275"/>
      <c r="C126" s="304" t="s">
        <v>18</v>
      </c>
      <c r="D126" s="277" t="s">
        <v>38</v>
      </c>
      <c r="E126" s="278"/>
      <c r="F126" s="278"/>
      <c r="G126" s="279"/>
      <c r="H126" s="305"/>
      <c r="I126" s="261"/>
      <c r="J126" s="261"/>
      <c r="K126" s="85"/>
      <c r="L126" s="85"/>
      <c r="M126" s="85"/>
      <c r="N126" s="85"/>
      <c r="O126" s="85"/>
      <c r="P126" s="85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13wPX838HrBrQMCywv1BsuMkt4PEKTChp52zj44s2izQ/edit?usp=sharing"",""กาญจนบุรี!I127"")+IMPORTRANGE(""https://docs.google.com/spreadsheets/d/1ddFKvqj1W1NEiWytbGlB1zMx_ykJDVtmfEQ-6-lIUBA/edit?usp=sharing"","&amp;"""จันทบุรี!I127"")+IMPORTRANGE(""https://docs.google.com/spreadsheets/d/1T1PQvRODqOBZk8BRht_U031fIS1beLA0Ub2CEytj2q0/edit?usp=sharing"",""ฉะเชิงเทรา!I127"")+IMPORTRANGE(""https://docs.google.com/spreadsheets/d/11tr1B-Bhyr79v2bkwVh5h_fR-PStkgjlZtkrZpYurG0/"&amp;"edit?usp=sharing"",""ชลบุรี!I127"")+IMPORTRANGE(""https://docs.google.com/spreadsheets/d/1hh-FVnSX0vozXhGluamEcS54Dw9_zqW0N7qJUWgJ0Sw/edit?usp=sharing"",""ชัยนาท!I127"")+IMPORTRANGE(""https://docs.google.com/spreadsheets/d/1jkqa6GXxSacMcY1eN8AHjMNJ_7dDXMJ"&amp;"VRLDlaFSOdPM/edit?usp=sharing"",""ตราด!I127"")+IMPORTRANGE(""https://docs.google.com/spreadsheets/d/18hSgUJ3VwClqi_qtULmmW3cLr0oe3OKaSYoKzdpTsYQ/edit?usp=sharing"",""นครนายก!I127"")+IMPORTRANGE(""https://docs.google.com/spreadsheets/d/1YTZo6WM2dQ6Ix6FSdnL"&amp;"5P7uVnVKu40sxZu975tgG10E/edit?usp=sharing"",""นครปฐม!I127"")+IMPORTRANGE(""https://docs.google.com/spreadsheets/d/1OYoGg4WDg5RIzwGeB10padOxJF9E_Vljuvvct_M7RDo/edit?usp=sharing"",""ปทุมธานี!I127"")+IMPORTRANGE(""https://docs.google.com/spreadsheets/d/1GbCI"&amp;"E4D4wk9FUozzqk7SxfDMxDVBwVmI5zcaVUSzKAc/edit?usp=sharing"",""ประจวบคีรีขันธ์!I127"")+IMPORTRANGE(""https://docs.google.com/spreadsheets/d/1vVf6wykvW_lAyu7Yo9L4hUTqHqIeP_qcVuxCtosJEbg/edit?usp=sharing"",""ปราจีนบุรี!I127"")+IMPORTRANGE(""https://docs.googl"&amp;"e.com/spreadsheets/d/1BIDqLLg5jk3v59G8NlR8rk5xfQDKne0sAvZHSj7TI6I/edit?usp=sharing"",""พระนครศรีอยุธยา!I127"")+IMPORTRANGE(""https://docs.google.com/spreadsheets/d/1YXvxf8Yu6_rV4hTBrwMqAcAnv6DfhUxh5emyM3CJp_w/edit?usp=sharing"",""เพชรบุรี!I127"")+IMPORTRA"&amp;"NGE(""https://docs.google.com/spreadsheets/d/19KBlQQs7uwvsao6t2n-KvW3Ax8J8uRRfZPq1zPbXgKc/edit?usp=sharing"",""ระยอง!I127"")+IMPORTRANGE(""https://docs.google.com/spreadsheets/d/1jQ6P4QcrGM89YfqcC_PxOHGCMq5ezhucwJd8ci-NHng/edit?usp=sharing"",""ราชบุรี!I12"&amp;"7"")+IMPORTRANGE(""https://docs.google.com/spreadsheets/d/1lufeA2cfFqM-elVq2hznhDzC6Pr7wkJ9ZG_sYNGCMCU/edit?usp=sharing"",""ลพบุรี!I127"")+IMPORTRANGE(""https://docs.google.com/spreadsheets/d/10oOiF7loTyfsTkbd4MpaIm0HQ9SwB7IYHdIUvt-U1Uc/edit?usp=sharing"""&amp;",""สระแก้ว!I127"")+IMPORTRANGE(""https://docs.google.com/spreadsheets/d/1xmPlrr1QbdSIKvl1dWUl9K4PjAfSL9oeMr_37QVzcxc/edit?usp=sharing"",""สระบุรี!I127"")+IMPORTRANGE(""https://docs.google.com/spreadsheets/d/1j51vR6CYVGhABJpv6tkstgok82RLpXieLzW1yOY5rHw/edi"&amp;"t?usp=sharing"",""สิงห์บุรี!I127"")+IMPORTRANGE(""https://docs.google.com/spreadsheets/d/1H1EalTWKUSzO4Z1-1CwzoDUaVffgrThEBe2sl74kKG0/edit?usp=sharing"",""สุพรรณบุรี!I127"")+IMPORTRANGE(""https://docs.google.com/spreadsheets/d/1BmIruG_sIrJLYao_Pdr7zVArWsf"&amp;"oBt2692TMi6x_854/edit?usp=sharing"",""อ่างทอง!I127"")"),421)</f>
        <v>421</v>
      </c>
      <c r="J127" s="292">
        <f ca="1">IFERROR(__xludf.DUMMYFUNCTION("IMPORTRANGE(""https://docs.google.com/spreadsheets/d/13wPX838HrBrQMCywv1BsuMkt4PEKTChp52zj44s2izQ/edit?usp=sharing"",""กาญจนบุรี!J127"")+IMPORTRANGE(""https://docs.google.com/spreadsheets/d/1ddFKvqj1W1NEiWytbGlB1zMx_ykJDVtmfEQ-6-lIUBA/edit?usp=sharing"","&amp;"""จันทบุรี!J127"")+IMPORTRANGE(""https://docs.google.com/spreadsheets/d/1T1PQvRODqOBZk8BRht_U031fIS1beLA0Ub2CEytj2q0/edit?usp=sharing"",""ฉะเชิงเทรา!J127"")+IMPORTRANGE(""https://docs.google.com/spreadsheets/d/11tr1B-Bhyr79v2bkwVh5h_fR-PStkgjlZtkrZpYurG0/"&amp;"edit?usp=sharing"",""ชลบุรี!J127"")+IMPORTRANGE(""https://docs.google.com/spreadsheets/d/1hh-FVnSX0vozXhGluamEcS54Dw9_zqW0N7qJUWgJ0Sw/edit?usp=sharing"",""ชัยนาท!J127"")+IMPORTRANGE(""https://docs.google.com/spreadsheets/d/1jkqa6GXxSacMcY1eN8AHjMNJ_7dDXMJ"&amp;"VRLDlaFSOdPM/edit?usp=sharing"",""ตราด!J127"")+IMPORTRANGE(""https://docs.google.com/spreadsheets/d/18hSgUJ3VwClqi_qtULmmW3cLr0oe3OKaSYoKzdpTsYQ/edit?usp=sharing"",""นครนายก!J127"")+IMPORTRANGE(""https://docs.google.com/spreadsheets/d/1YTZo6WM2dQ6Ix6FSdnL"&amp;"5P7uVnVKu40sxZu975tgG10E/edit?usp=sharing"",""นครปฐม!J127"")+IMPORTRANGE(""https://docs.google.com/spreadsheets/d/1OYoGg4WDg5RIzwGeB10padOxJF9E_Vljuvvct_M7RDo/edit?usp=sharing"",""ปทุมธานี!J127"")+IMPORTRANGE(""https://docs.google.com/spreadsheets/d/1GbCI"&amp;"E4D4wk9FUozzqk7SxfDMxDVBwVmI5zcaVUSzKAc/edit?usp=sharing"",""ประจวบคีรีขันธ์!J127"")+IMPORTRANGE(""https://docs.google.com/spreadsheets/d/1vVf6wykvW_lAyu7Yo9L4hUTqHqIeP_qcVuxCtosJEbg/edit?usp=sharing"",""ปราจีนบุรี!J127"")+IMPORTRANGE(""https://docs.googl"&amp;"e.com/spreadsheets/d/1BIDqLLg5jk3v59G8NlR8rk5xfQDKne0sAvZHSj7TI6I/edit?usp=sharing"",""พระนครศรีอยุธยา!J127"")+IMPORTRANGE(""https://docs.google.com/spreadsheets/d/1YXvxf8Yu6_rV4hTBrwMqAcAnv6DfhUxh5emyM3CJp_w/edit?usp=sharing"",""เพชรบุรี!J127"")+IMPORTRA"&amp;"NGE(""https://docs.google.com/spreadsheets/d/19KBlQQs7uwvsao6t2n-KvW3Ax8J8uRRfZPq1zPbXgKc/edit?usp=sharing"",""ระยอง!J127"")+IMPORTRANGE(""https://docs.google.com/spreadsheets/d/1jQ6P4QcrGM89YfqcC_PxOHGCMq5ezhucwJd8ci-NHng/edit?usp=sharing"",""ราชบุรี!J12"&amp;"7"")+IMPORTRANGE(""https://docs.google.com/spreadsheets/d/1lufeA2cfFqM-elVq2hznhDzC6Pr7wkJ9ZG_sYNGCMCU/edit?usp=sharing"",""ลพบุรี!J127"")+IMPORTRANGE(""https://docs.google.com/spreadsheets/d/10oOiF7loTyfsTkbd4MpaIm0HQ9SwB7IYHdIUvt-U1Uc/edit?usp=sharing"""&amp;",""สระแก้ว!J127"")+IMPORTRANGE(""https://docs.google.com/spreadsheets/d/1xmPlrr1QbdSIKvl1dWUl9K4PjAfSL9oeMr_37QVzcxc/edit?usp=sharing"",""สระบุรี!J127"")+IMPORTRANGE(""https://docs.google.com/spreadsheets/d/1j51vR6CYVGhABJpv6tkstgok82RLpXieLzW1yOY5rHw/edi"&amp;"t?usp=sharing"",""สิงห์บุรี!J127"")+IMPORTRANGE(""https://docs.google.com/spreadsheets/d/1H1EalTWKUSzO4Z1-1CwzoDUaVffgrThEBe2sl74kKG0/edit?usp=sharing"",""สุพรรณบุรี!J127"")+IMPORTRANGE(""https://docs.google.com/spreadsheets/d/1BmIruG_sIrJLYao_Pdr7zVArWsf"&amp;"oBt2692TMi6x_854/edit?usp=sharing"",""อ่างทอง!J127"")"),406)</f>
        <v>406</v>
      </c>
      <c r="K127" s="72">
        <f t="shared" ref="K127:K130" ca="1" si="104">IF(I127&gt;0,J127*100/I127,0)</f>
        <v>96.437054631828985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13wPX838HrBrQMCywv1BsuMkt4PEKTChp52zj44s2izQ/edit?usp=sharing"",""กาญจนบุรี!I128"")+IMPORTRANGE(""https://docs.google.com/spreadsheets/d/1ddFKvqj1W1NEiWytbGlB1zMx_ykJDVtmfEQ-6-lIUBA/edit?usp=sharing"","&amp;"""จันทบุรี!I128"")+IMPORTRANGE(""https://docs.google.com/spreadsheets/d/1T1PQvRODqOBZk8BRht_U031fIS1beLA0Ub2CEytj2q0/edit?usp=sharing"",""ฉะเชิงเทรา!I128"")+IMPORTRANGE(""https://docs.google.com/spreadsheets/d/11tr1B-Bhyr79v2bkwVh5h_fR-PStkgjlZtkrZpYurG0/"&amp;"edit?usp=sharing"",""ชลบุรี!I128"")+IMPORTRANGE(""https://docs.google.com/spreadsheets/d/1hh-FVnSX0vozXhGluamEcS54Dw9_zqW0N7qJUWgJ0Sw/edit?usp=sharing"",""ชัยนาท!I128"")+IMPORTRANGE(""https://docs.google.com/spreadsheets/d/1jkqa6GXxSacMcY1eN8AHjMNJ_7dDXMJ"&amp;"VRLDlaFSOdPM/edit?usp=sharing"",""ตราด!I128"")+IMPORTRANGE(""https://docs.google.com/spreadsheets/d/18hSgUJ3VwClqi_qtULmmW3cLr0oe3OKaSYoKzdpTsYQ/edit?usp=sharing"",""นครนายก!I128"")+IMPORTRANGE(""https://docs.google.com/spreadsheets/d/1YTZo6WM2dQ6Ix6FSdnL"&amp;"5P7uVnVKu40sxZu975tgG10E/edit?usp=sharing"",""นครปฐม!I128"")+IMPORTRANGE(""https://docs.google.com/spreadsheets/d/1OYoGg4WDg5RIzwGeB10padOxJF9E_Vljuvvct_M7RDo/edit?usp=sharing"",""ปทุมธานี!I128"")+IMPORTRANGE(""https://docs.google.com/spreadsheets/d/1GbCI"&amp;"E4D4wk9FUozzqk7SxfDMxDVBwVmI5zcaVUSzKAc/edit?usp=sharing"",""ประจวบคีรีขันธ์!I128"")+IMPORTRANGE(""https://docs.google.com/spreadsheets/d/1vVf6wykvW_lAyu7Yo9L4hUTqHqIeP_qcVuxCtosJEbg/edit?usp=sharing"",""ปราจีนบุรี!I128"")+IMPORTRANGE(""https://docs.googl"&amp;"e.com/spreadsheets/d/1BIDqLLg5jk3v59G8NlR8rk5xfQDKne0sAvZHSj7TI6I/edit?usp=sharing"",""พระนครศรีอยุธยา!I128"")+IMPORTRANGE(""https://docs.google.com/spreadsheets/d/1YXvxf8Yu6_rV4hTBrwMqAcAnv6DfhUxh5emyM3CJp_w/edit?usp=sharing"",""เพชรบุรี!I128"")+IMPORTRA"&amp;"NGE(""https://docs.google.com/spreadsheets/d/19KBlQQs7uwvsao6t2n-KvW3Ax8J8uRRfZPq1zPbXgKc/edit?usp=sharing"",""ระยอง!I128"")+IMPORTRANGE(""https://docs.google.com/spreadsheets/d/1jQ6P4QcrGM89YfqcC_PxOHGCMq5ezhucwJd8ci-NHng/edit?usp=sharing"",""ราชบุรี!I12"&amp;"8"")+IMPORTRANGE(""https://docs.google.com/spreadsheets/d/1lufeA2cfFqM-elVq2hznhDzC6Pr7wkJ9ZG_sYNGCMCU/edit?usp=sharing"",""ลพบุรี!I128"")+IMPORTRANGE(""https://docs.google.com/spreadsheets/d/10oOiF7loTyfsTkbd4MpaIm0HQ9SwB7IYHdIUvt-U1Uc/edit?usp=sharing"""&amp;",""สระแก้ว!I128"")+IMPORTRANGE(""https://docs.google.com/spreadsheets/d/1xmPlrr1QbdSIKvl1dWUl9K4PjAfSL9oeMr_37QVzcxc/edit?usp=sharing"",""สระบุรี!I128"")+IMPORTRANGE(""https://docs.google.com/spreadsheets/d/1j51vR6CYVGhABJpv6tkstgok82RLpXieLzW1yOY5rHw/edi"&amp;"t?usp=sharing"",""สิงห์บุรี!I128"")+IMPORTRANGE(""https://docs.google.com/spreadsheets/d/1H1EalTWKUSzO4Z1-1CwzoDUaVffgrThEBe2sl74kKG0/edit?usp=sharing"",""สุพรรณบุรี!I128"")+IMPORTRANGE(""https://docs.google.com/spreadsheets/d/1BmIruG_sIrJLYao_Pdr7zVArWsf"&amp;"oBt2692TMi6x_854/edit?usp=sharing"",""อ่างทอง!I128"")"),0)</f>
        <v>0</v>
      </c>
      <c r="J128" s="292">
        <f ca="1">IFERROR(__xludf.DUMMYFUNCTION("IMPORTRANGE(""https://docs.google.com/spreadsheets/d/13wPX838HrBrQMCywv1BsuMkt4PEKTChp52zj44s2izQ/edit?usp=sharing"",""กาญจนบุรี!J128"")+IMPORTRANGE(""https://docs.google.com/spreadsheets/d/1ddFKvqj1W1NEiWytbGlB1zMx_ykJDVtmfEQ-6-lIUBA/edit?usp=sharing"","&amp;"""จันทบุรี!J128"")+IMPORTRANGE(""https://docs.google.com/spreadsheets/d/1T1PQvRODqOBZk8BRht_U031fIS1beLA0Ub2CEytj2q0/edit?usp=sharing"",""ฉะเชิงเทรา!J128"")+IMPORTRANGE(""https://docs.google.com/spreadsheets/d/11tr1B-Bhyr79v2bkwVh5h_fR-PStkgjlZtkrZpYurG0/"&amp;"edit?usp=sharing"",""ชลบุรี!J128"")+IMPORTRANGE(""https://docs.google.com/spreadsheets/d/1hh-FVnSX0vozXhGluamEcS54Dw9_zqW0N7qJUWgJ0Sw/edit?usp=sharing"",""ชัยนาท!J128"")+IMPORTRANGE(""https://docs.google.com/spreadsheets/d/1jkqa6GXxSacMcY1eN8AHjMNJ_7dDXMJ"&amp;"VRLDlaFSOdPM/edit?usp=sharing"",""ตราด!J128"")+IMPORTRANGE(""https://docs.google.com/spreadsheets/d/18hSgUJ3VwClqi_qtULmmW3cLr0oe3OKaSYoKzdpTsYQ/edit?usp=sharing"",""นครนายก!J128"")+IMPORTRANGE(""https://docs.google.com/spreadsheets/d/1YTZo6WM2dQ6Ix6FSdnL"&amp;"5P7uVnVKu40sxZu975tgG10E/edit?usp=sharing"",""นครปฐม!J128"")+IMPORTRANGE(""https://docs.google.com/spreadsheets/d/1OYoGg4WDg5RIzwGeB10padOxJF9E_Vljuvvct_M7RDo/edit?usp=sharing"",""ปทุมธานี!J128"")+IMPORTRANGE(""https://docs.google.com/spreadsheets/d/1GbCI"&amp;"E4D4wk9FUozzqk7SxfDMxDVBwVmI5zcaVUSzKAc/edit?usp=sharing"",""ประจวบคีรีขันธ์!J128"")+IMPORTRANGE(""https://docs.google.com/spreadsheets/d/1vVf6wykvW_lAyu7Yo9L4hUTqHqIeP_qcVuxCtosJEbg/edit?usp=sharing"",""ปราจีนบุรี!J128"")+IMPORTRANGE(""https://docs.googl"&amp;"e.com/spreadsheets/d/1BIDqLLg5jk3v59G8NlR8rk5xfQDKne0sAvZHSj7TI6I/edit?usp=sharing"",""พระนครศรีอยุธยา!J128"")+IMPORTRANGE(""https://docs.google.com/spreadsheets/d/1YXvxf8Yu6_rV4hTBrwMqAcAnv6DfhUxh5emyM3CJp_w/edit?usp=sharing"",""เพชรบุรี!J128"")+IMPORTRA"&amp;"NGE(""https://docs.google.com/spreadsheets/d/19KBlQQs7uwvsao6t2n-KvW3Ax8J8uRRfZPq1zPbXgKc/edit?usp=sharing"",""ระยอง!J128"")+IMPORTRANGE(""https://docs.google.com/spreadsheets/d/1jQ6P4QcrGM89YfqcC_PxOHGCMq5ezhucwJd8ci-NHng/edit?usp=sharing"",""ราชบุรี!J12"&amp;"8"")+IMPORTRANGE(""https://docs.google.com/spreadsheets/d/1lufeA2cfFqM-elVq2hznhDzC6Pr7wkJ9ZG_sYNGCMCU/edit?usp=sharing"",""ลพบุรี!J128"")+IMPORTRANGE(""https://docs.google.com/spreadsheets/d/10oOiF7loTyfsTkbd4MpaIm0HQ9SwB7IYHdIUvt-U1Uc/edit?usp=sharing"""&amp;",""สระแก้ว!J128"")+IMPORTRANGE(""https://docs.google.com/spreadsheets/d/1xmPlrr1QbdSIKvl1dWUl9K4PjAfSL9oeMr_37QVzcxc/edit?usp=sharing"",""สระบุรี!J128"")+IMPORTRANGE(""https://docs.google.com/spreadsheets/d/1j51vR6CYVGhABJpv6tkstgok82RLpXieLzW1yOY5rHw/edi"&amp;"t?usp=sharing"",""สิงห์บุรี!J128"")+IMPORTRANGE(""https://docs.google.com/spreadsheets/d/1H1EalTWKUSzO4Z1-1CwzoDUaVffgrThEBe2sl74kKG0/edit?usp=sharing"",""สุพรรณบุรี!J128"")+IMPORTRANGE(""https://docs.google.com/spreadsheets/d/1BmIruG_sIrJLYao_Pdr7zVArWsf"&amp;"oBt2692TMi6x_854/edit?usp=sharing"",""อ่างทอง!J128"")"),8)</f>
        <v>8</v>
      </c>
      <c r="K128" s="72">
        <f t="shared" ca="1" si="104"/>
        <v>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13wPX838HrBrQMCywv1BsuMkt4PEKTChp52zj44s2izQ/edit?usp=sharing"",""กาญจนบุรี!I129"")+IMPORTRANGE(""https://docs.google.com/spreadsheets/d/1ddFKvqj1W1NEiWytbGlB1zMx_ykJDVtmfEQ-6-lIUBA/edit?usp=sharing"","&amp;"""จันทบุรี!I129"")+IMPORTRANGE(""https://docs.google.com/spreadsheets/d/1T1PQvRODqOBZk8BRht_U031fIS1beLA0Ub2CEytj2q0/edit?usp=sharing"",""ฉะเชิงเทรา!I129"")+IMPORTRANGE(""https://docs.google.com/spreadsheets/d/11tr1B-Bhyr79v2bkwVh5h_fR-PStkgjlZtkrZpYurG0/"&amp;"edit?usp=sharing"",""ชลบุรี!I129"")+IMPORTRANGE(""https://docs.google.com/spreadsheets/d/1hh-FVnSX0vozXhGluamEcS54Dw9_zqW0N7qJUWgJ0Sw/edit?usp=sharing"",""ชัยนาท!I129"")+IMPORTRANGE(""https://docs.google.com/spreadsheets/d/1jkqa6GXxSacMcY1eN8AHjMNJ_7dDXMJ"&amp;"VRLDlaFSOdPM/edit?usp=sharing"",""ตราด!I129"")+IMPORTRANGE(""https://docs.google.com/spreadsheets/d/18hSgUJ3VwClqi_qtULmmW3cLr0oe3OKaSYoKzdpTsYQ/edit?usp=sharing"",""นครนายก!I129"")+IMPORTRANGE(""https://docs.google.com/spreadsheets/d/1YTZo6WM2dQ6Ix6FSdnL"&amp;"5P7uVnVKu40sxZu975tgG10E/edit?usp=sharing"",""นครปฐม!I129"")+IMPORTRANGE(""https://docs.google.com/spreadsheets/d/1OYoGg4WDg5RIzwGeB10padOxJF9E_Vljuvvct_M7RDo/edit?usp=sharing"",""ปทุมธานี!I129"")+IMPORTRANGE(""https://docs.google.com/spreadsheets/d/1GbCI"&amp;"E4D4wk9FUozzqk7SxfDMxDVBwVmI5zcaVUSzKAc/edit?usp=sharing"",""ประจวบคีรีขันธ์!I129"")+IMPORTRANGE(""https://docs.google.com/spreadsheets/d/1vVf6wykvW_lAyu7Yo9L4hUTqHqIeP_qcVuxCtosJEbg/edit?usp=sharing"",""ปราจีนบุรี!I129"")+IMPORTRANGE(""https://docs.googl"&amp;"e.com/spreadsheets/d/1BIDqLLg5jk3v59G8NlR8rk5xfQDKne0sAvZHSj7TI6I/edit?usp=sharing"",""พระนครศรีอยุธยา!I129"")+IMPORTRANGE(""https://docs.google.com/spreadsheets/d/1YXvxf8Yu6_rV4hTBrwMqAcAnv6DfhUxh5emyM3CJp_w/edit?usp=sharing"",""เพชรบุรี!I129"")+IMPORTRA"&amp;"NGE(""https://docs.google.com/spreadsheets/d/19KBlQQs7uwvsao6t2n-KvW3Ax8J8uRRfZPq1zPbXgKc/edit?usp=sharing"",""ระยอง!I129"")+IMPORTRANGE(""https://docs.google.com/spreadsheets/d/1jQ6P4QcrGM89YfqcC_PxOHGCMq5ezhucwJd8ci-NHng/edit?usp=sharing"",""ราชบุรี!I12"&amp;"9"")+IMPORTRANGE(""https://docs.google.com/spreadsheets/d/1lufeA2cfFqM-elVq2hznhDzC6Pr7wkJ9ZG_sYNGCMCU/edit?usp=sharing"",""ลพบุรี!I129"")+IMPORTRANGE(""https://docs.google.com/spreadsheets/d/10oOiF7loTyfsTkbd4MpaIm0HQ9SwB7IYHdIUvt-U1Uc/edit?usp=sharing"""&amp;",""สระแก้ว!I129"")+IMPORTRANGE(""https://docs.google.com/spreadsheets/d/1xmPlrr1QbdSIKvl1dWUl9K4PjAfSL9oeMr_37QVzcxc/edit?usp=sharing"",""สระบุรี!I129"")+IMPORTRANGE(""https://docs.google.com/spreadsheets/d/1j51vR6CYVGhABJpv6tkstgok82RLpXieLzW1yOY5rHw/edi"&amp;"t?usp=sharing"",""สิงห์บุรี!I129"")+IMPORTRANGE(""https://docs.google.com/spreadsheets/d/1H1EalTWKUSzO4Z1-1CwzoDUaVffgrThEBe2sl74kKG0/edit?usp=sharing"",""สุพรรณบุรี!I129"")+IMPORTRANGE(""https://docs.google.com/spreadsheets/d/1BmIruG_sIrJLYao_Pdr7zVArWsf"&amp;"oBt2692TMi6x_854/edit?usp=sharing"",""อ่างทอง!I129"")"),356)</f>
        <v>356</v>
      </c>
      <c r="J129" s="292">
        <f ca="1">IFERROR(__xludf.DUMMYFUNCTION("IMPORTRANGE(""https://docs.google.com/spreadsheets/d/13wPX838HrBrQMCywv1BsuMkt4PEKTChp52zj44s2izQ/edit?usp=sharing"",""กาญจนบุรี!J129"")+IMPORTRANGE(""https://docs.google.com/spreadsheets/d/1ddFKvqj1W1NEiWytbGlB1zMx_ykJDVtmfEQ-6-lIUBA/edit?usp=sharing"","&amp;"""จันทบุรี!J129"")+IMPORTRANGE(""https://docs.google.com/spreadsheets/d/1T1PQvRODqOBZk8BRht_U031fIS1beLA0Ub2CEytj2q0/edit?usp=sharing"",""ฉะเชิงเทรา!J129"")+IMPORTRANGE(""https://docs.google.com/spreadsheets/d/11tr1B-Bhyr79v2bkwVh5h_fR-PStkgjlZtkrZpYurG0/"&amp;"edit?usp=sharing"",""ชลบุรี!J129"")+IMPORTRANGE(""https://docs.google.com/spreadsheets/d/1hh-FVnSX0vozXhGluamEcS54Dw9_zqW0N7qJUWgJ0Sw/edit?usp=sharing"",""ชัยนาท!J129"")+IMPORTRANGE(""https://docs.google.com/spreadsheets/d/1jkqa6GXxSacMcY1eN8AHjMNJ_7dDXMJ"&amp;"VRLDlaFSOdPM/edit?usp=sharing"",""ตราด!J129"")+IMPORTRANGE(""https://docs.google.com/spreadsheets/d/18hSgUJ3VwClqi_qtULmmW3cLr0oe3OKaSYoKzdpTsYQ/edit?usp=sharing"",""นครนายก!J129"")+IMPORTRANGE(""https://docs.google.com/spreadsheets/d/1YTZo6WM2dQ6Ix6FSdnL"&amp;"5P7uVnVKu40sxZu975tgG10E/edit?usp=sharing"",""นครปฐม!J129"")+IMPORTRANGE(""https://docs.google.com/spreadsheets/d/1OYoGg4WDg5RIzwGeB10padOxJF9E_Vljuvvct_M7RDo/edit?usp=sharing"",""ปทุมธานี!J129"")+IMPORTRANGE(""https://docs.google.com/spreadsheets/d/1GbCI"&amp;"E4D4wk9FUozzqk7SxfDMxDVBwVmI5zcaVUSzKAc/edit?usp=sharing"",""ประจวบคีรีขันธ์!J129"")+IMPORTRANGE(""https://docs.google.com/spreadsheets/d/1vVf6wykvW_lAyu7Yo9L4hUTqHqIeP_qcVuxCtosJEbg/edit?usp=sharing"",""ปราจีนบุรี!J129"")+IMPORTRANGE(""https://docs.googl"&amp;"e.com/spreadsheets/d/1BIDqLLg5jk3v59G8NlR8rk5xfQDKne0sAvZHSj7TI6I/edit?usp=sharing"",""พระนครศรีอยุธยา!J129"")+IMPORTRANGE(""https://docs.google.com/spreadsheets/d/1YXvxf8Yu6_rV4hTBrwMqAcAnv6DfhUxh5emyM3CJp_w/edit?usp=sharing"",""เพชรบุรี!J129"")+IMPORTRA"&amp;"NGE(""https://docs.google.com/spreadsheets/d/19KBlQQs7uwvsao6t2n-KvW3Ax8J8uRRfZPq1zPbXgKc/edit?usp=sharing"",""ระยอง!J129"")+IMPORTRANGE(""https://docs.google.com/spreadsheets/d/1jQ6P4QcrGM89YfqcC_PxOHGCMq5ezhucwJd8ci-NHng/edit?usp=sharing"",""ราชบุรี!J12"&amp;"9"")+IMPORTRANGE(""https://docs.google.com/spreadsheets/d/1lufeA2cfFqM-elVq2hznhDzC6Pr7wkJ9ZG_sYNGCMCU/edit?usp=sharing"",""ลพบุรี!J129"")+IMPORTRANGE(""https://docs.google.com/spreadsheets/d/10oOiF7loTyfsTkbd4MpaIm0HQ9SwB7IYHdIUvt-U1Uc/edit?usp=sharing"""&amp;",""สระแก้ว!J129"")+IMPORTRANGE(""https://docs.google.com/spreadsheets/d/1xmPlrr1QbdSIKvl1dWUl9K4PjAfSL9oeMr_37QVzcxc/edit?usp=sharing"",""สระบุรี!J129"")+IMPORTRANGE(""https://docs.google.com/spreadsheets/d/1j51vR6CYVGhABJpv6tkstgok82RLpXieLzW1yOY5rHw/edi"&amp;"t?usp=sharing"",""สิงห์บุรี!J129"")+IMPORTRANGE(""https://docs.google.com/spreadsheets/d/1H1EalTWKUSzO4Z1-1CwzoDUaVffgrThEBe2sl74kKG0/edit?usp=sharing"",""สุพรรณบุรี!J129"")+IMPORTRANGE(""https://docs.google.com/spreadsheets/d/1BmIruG_sIrJLYao_Pdr7zVArWsf"&amp;"oBt2692TMi6x_854/edit?usp=sharing"",""อ่างทอง!J129"")"),341)</f>
        <v>341</v>
      </c>
      <c r="K129" s="72">
        <f t="shared" ca="1" si="104"/>
        <v>95.786516853932582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13wPX838HrBrQMCywv1BsuMkt4PEKTChp52zj44s2izQ/edit?usp=sharing"",""กาญจนบุรี!I130"")+IMPORTRANGE(""https://docs.google.com/spreadsheets/d/1ddFKvqj1W1NEiWytbGlB1zMx_ykJDVtmfEQ-6-lIUBA/edit?usp=sharing"","&amp;"""จันทบุรี!I130"")+IMPORTRANGE(""https://docs.google.com/spreadsheets/d/1T1PQvRODqOBZk8BRht_U031fIS1beLA0Ub2CEytj2q0/edit?usp=sharing"",""ฉะเชิงเทรา!I130"")+IMPORTRANGE(""https://docs.google.com/spreadsheets/d/11tr1B-Bhyr79v2bkwVh5h_fR-PStkgjlZtkrZpYurG0/"&amp;"edit?usp=sharing"",""ชลบุรี!I130"")+IMPORTRANGE(""https://docs.google.com/spreadsheets/d/1hh-FVnSX0vozXhGluamEcS54Dw9_zqW0N7qJUWgJ0Sw/edit?usp=sharing"",""ชัยนาท!I130"")+IMPORTRANGE(""https://docs.google.com/spreadsheets/d/1jkqa6GXxSacMcY1eN8AHjMNJ_7dDXMJ"&amp;"VRLDlaFSOdPM/edit?usp=sharing"",""ตราด!I130"")+IMPORTRANGE(""https://docs.google.com/spreadsheets/d/18hSgUJ3VwClqi_qtULmmW3cLr0oe3OKaSYoKzdpTsYQ/edit?usp=sharing"",""นครนายก!I130"")+IMPORTRANGE(""https://docs.google.com/spreadsheets/d/1YTZo6WM2dQ6Ix6FSdnL"&amp;"5P7uVnVKu40sxZu975tgG10E/edit?usp=sharing"",""นครปฐม!I130"")+IMPORTRANGE(""https://docs.google.com/spreadsheets/d/1OYoGg4WDg5RIzwGeB10padOxJF9E_Vljuvvct_M7RDo/edit?usp=sharing"",""ปทุมธานี!I130"")+IMPORTRANGE(""https://docs.google.com/spreadsheets/d/1GbCI"&amp;"E4D4wk9FUozzqk7SxfDMxDVBwVmI5zcaVUSzKAc/edit?usp=sharing"",""ประจวบคีรีขันธ์!I130"")+IMPORTRANGE(""https://docs.google.com/spreadsheets/d/1vVf6wykvW_lAyu7Yo9L4hUTqHqIeP_qcVuxCtosJEbg/edit?usp=sharing"",""ปราจีนบุรี!I130"")+IMPORTRANGE(""https://docs.googl"&amp;"e.com/spreadsheets/d/1BIDqLLg5jk3v59G8NlR8rk5xfQDKne0sAvZHSj7TI6I/edit?usp=sharing"",""พระนครศรีอยุธยา!I130"")+IMPORTRANGE(""https://docs.google.com/spreadsheets/d/1YXvxf8Yu6_rV4hTBrwMqAcAnv6DfhUxh5emyM3CJp_w/edit?usp=sharing"",""เพชรบุรี!I130"")+IMPORTRA"&amp;"NGE(""https://docs.google.com/spreadsheets/d/19KBlQQs7uwvsao6t2n-KvW3Ax8J8uRRfZPq1zPbXgKc/edit?usp=sharing"",""ระยอง!I130"")+IMPORTRANGE(""https://docs.google.com/spreadsheets/d/1jQ6P4QcrGM89YfqcC_PxOHGCMq5ezhucwJd8ci-NHng/edit?usp=sharing"",""ราชบุรี!I13"&amp;"0"")+IMPORTRANGE(""https://docs.google.com/spreadsheets/d/1lufeA2cfFqM-elVq2hznhDzC6Pr7wkJ9ZG_sYNGCMCU/edit?usp=sharing"",""ลพบุรี!I130"")+IMPORTRANGE(""https://docs.google.com/spreadsheets/d/10oOiF7loTyfsTkbd4MpaIm0HQ9SwB7IYHdIUvt-U1Uc/edit?usp=sharing"""&amp;",""สระแก้ว!I130"")+IMPORTRANGE(""https://docs.google.com/spreadsheets/d/1xmPlrr1QbdSIKvl1dWUl9K4PjAfSL9oeMr_37QVzcxc/edit?usp=sharing"",""สระบุรี!I130"")+IMPORTRANGE(""https://docs.google.com/spreadsheets/d/1j51vR6CYVGhABJpv6tkstgok82RLpXieLzW1yOY5rHw/edi"&amp;"t?usp=sharing"",""สิงห์บุรี!I130"")+IMPORTRANGE(""https://docs.google.com/spreadsheets/d/1H1EalTWKUSzO4Z1-1CwzoDUaVffgrThEBe2sl74kKG0/edit?usp=sharing"",""สุพรรณบุรี!I130"")+IMPORTRANGE(""https://docs.google.com/spreadsheets/d/1BmIruG_sIrJLYao_Pdr7zVArWsf"&amp;"oBt2692TMi6x_854/edit?usp=sharing"",""อ่างทอง!I130"")"),0)</f>
        <v>0</v>
      </c>
      <c r="J130" s="292">
        <f ca="1">IFERROR(__xludf.DUMMYFUNCTION("IMPORTRANGE(""https://docs.google.com/spreadsheets/d/13wPX838HrBrQMCywv1BsuMkt4PEKTChp52zj44s2izQ/edit?usp=sharing"",""กาญจนบุรี!J130"")+IMPORTRANGE(""https://docs.google.com/spreadsheets/d/1ddFKvqj1W1NEiWytbGlB1zMx_ykJDVtmfEQ-6-lIUBA/edit?usp=sharing"","&amp;"""จันทบุรี!J130"")+IMPORTRANGE(""https://docs.google.com/spreadsheets/d/1T1PQvRODqOBZk8BRht_U031fIS1beLA0Ub2CEytj2q0/edit?usp=sharing"",""ฉะเชิงเทรา!J130"")+IMPORTRANGE(""https://docs.google.com/spreadsheets/d/11tr1B-Bhyr79v2bkwVh5h_fR-PStkgjlZtkrZpYurG0/"&amp;"edit?usp=sharing"",""ชลบุรี!J130"")+IMPORTRANGE(""https://docs.google.com/spreadsheets/d/1hh-FVnSX0vozXhGluamEcS54Dw9_zqW0N7qJUWgJ0Sw/edit?usp=sharing"",""ชัยนาท!J130"")+IMPORTRANGE(""https://docs.google.com/spreadsheets/d/1jkqa6GXxSacMcY1eN8AHjMNJ_7dDXMJ"&amp;"VRLDlaFSOdPM/edit?usp=sharing"",""ตราด!J130"")+IMPORTRANGE(""https://docs.google.com/spreadsheets/d/18hSgUJ3VwClqi_qtULmmW3cLr0oe3OKaSYoKzdpTsYQ/edit?usp=sharing"",""นครนายก!J130"")+IMPORTRANGE(""https://docs.google.com/spreadsheets/d/1YTZo6WM2dQ6Ix6FSdnL"&amp;"5P7uVnVKu40sxZu975tgG10E/edit?usp=sharing"",""นครปฐม!J130"")+IMPORTRANGE(""https://docs.google.com/spreadsheets/d/1OYoGg4WDg5RIzwGeB10padOxJF9E_Vljuvvct_M7RDo/edit?usp=sharing"",""ปทุมธานี!J130"")+IMPORTRANGE(""https://docs.google.com/spreadsheets/d/1GbCI"&amp;"E4D4wk9FUozzqk7SxfDMxDVBwVmI5zcaVUSzKAc/edit?usp=sharing"",""ประจวบคีรีขันธ์!J130"")+IMPORTRANGE(""https://docs.google.com/spreadsheets/d/1vVf6wykvW_lAyu7Yo9L4hUTqHqIeP_qcVuxCtosJEbg/edit?usp=sharing"",""ปราจีนบุรี!J130"")+IMPORTRANGE(""https://docs.googl"&amp;"e.com/spreadsheets/d/1BIDqLLg5jk3v59G8NlR8rk5xfQDKne0sAvZHSj7TI6I/edit?usp=sharing"",""พระนครศรีอยุธยา!J130"")+IMPORTRANGE(""https://docs.google.com/spreadsheets/d/1YXvxf8Yu6_rV4hTBrwMqAcAnv6DfhUxh5emyM3CJp_w/edit?usp=sharing"",""เพชรบุรี!J130"")+IMPORTRA"&amp;"NGE(""https://docs.google.com/spreadsheets/d/19KBlQQs7uwvsao6t2n-KvW3Ax8J8uRRfZPq1zPbXgKc/edit?usp=sharing"",""ระยอง!J130"")+IMPORTRANGE(""https://docs.google.com/spreadsheets/d/1jQ6P4QcrGM89YfqcC_PxOHGCMq5ezhucwJd8ci-NHng/edit?usp=sharing"",""ราชบุรี!J13"&amp;"0"")+IMPORTRANGE(""https://docs.google.com/spreadsheets/d/1lufeA2cfFqM-elVq2hznhDzC6Pr7wkJ9ZG_sYNGCMCU/edit?usp=sharing"",""ลพบุรี!J130"")+IMPORTRANGE(""https://docs.google.com/spreadsheets/d/10oOiF7loTyfsTkbd4MpaIm0HQ9SwB7IYHdIUvt-U1Uc/edit?usp=sharing"""&amp;",""สระแก้ว!J130"")+IMPORTRANGE(""https://docs.google.com/spreadsheets/d/1xmPlrr1QbdSIKvl1dWUl9K4PjAfSL9oeMr_37QVzcxc/edit?usp=sharing"",""สระบุรี!J130"")+IMPORTRANGE(""https://docs.google.com/spreadsheets/d/1j51vR6CYVGhABJpv6tkstgok82RLpXieLzW1yOY5rHw/edi"&amp;"t?usp=sharing"",""สิงห์บุรี!J130"")+IMPORTRANGE(""https://docs.google.com/spreadsheets/d/1H1EalTWKUSzO4Z1-1CwzoDUaVffgrThEBe2sl74kKG0/edit?usp=sharing"",""สุพรรณบุรี!J130"")+IMPORTRANGE(""https://docs.google.com/spreadsheets/d/1BmIruG_sIrJLYao_Pdr7zVArWsf"&amp;"oBt2692TMi6x_854/edit?usp=sharing"",""อ่างทอง!J130"")"),8)</f>
        <v>8</v>
      </c>
      <c r="K130" s="72">
        <f t="shared" ca="1" si="104"/>
        <v>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x14ac:dyDescent="0.3">
      <c r="A134" s="192" t="s">
        <v>58</v>
      </c>
      <c r="B134" s="193"/>
      <c r="C134" s="309"/>
      <c r="D134" s="193"/>
      <c r="E134" s="193"/>
      <c r="F134" s="193"/>
      <c r="G134" s="193"/>
      <c r="H134" s="193"/>
      <c r="I134" s="310"/>
      <c r="J134" s="310"/>
      <c r="K134" s="311"/>
      <c r="L134" s="197"/>
      <c r="M134" s="197"/>
      <c r="N134" s="197"/>
      <c r="O134" s="197"/>
      <c r="P134" s="197"/>
      <c r="Q134" s="198"/>
      <c r="R134" s="199"/>
      <c r="S134" s="199"/>
      <c r="T134" s="199"/>
      <c r="U134" s="199"/>
    </row>
    <row r="135" spans="1:21" ht="19.5" x14ac:dyDescent="0.3">
      <c r="A135" s="200"/>
      <c r="B135" s="48" t="s">
        <v>59</v>
      </c>
      <c r="C135" s="312"/>
      <c r="D135" s="201"/>
      <c r="E135" s="47"/>
      <c r="F135" s="47"/>
      <c r="G135" s="47"/>
      <c r="H135" s="47"/>
      <c r="I135" s="52"/>
      <c r="J135" s="52"/>
      <c r="K135" s="53"/>
      <c r="L135" s="53"/>
      <c r="M135" s="53"/>
      <c r="N135" s="53"/>
      <c r="O135" s="53"/>
      <c r="P135" s="53"/>
      <c r="Q135" s="205"/>
      <c r="R135" s="206"/>
      <c r="S135" s="206"/>
      <c r="T135" s="206"/>
      <c r="U135" s="206"/>
    </row>
    <row r="136" spans="1:21" ht="19.5" x14ac:dyDescent="0.3">
      <c r="A136" s="200"/>
      <c r="B136" s="47"/>
      <c r="C136" s="313" t="s">
        <v>60</v>
      </c>
      <c r="D136" s="201"/>
      <c r="E136" s="47"/>
      <c r="F136" s="47"/>
      <c r="G136" s="50"/>
      <c r="H136" s="202" t="s">
        <v>61</v>
      </c>
      <c r="I136" s="203">
        <f t="shared" ref="I136:J136" ca="1" si="105">I154</f>
        <v>5</v>
      </c>
      <c r="J136" s="203">
        <f t="shared" ca="1" si="105"/>
        <v>0</v>
      </c>
      <c r="K136" s="204">
        <f t="shared" ref="K136:K138" ca="1" si="106">IF(I136&gt;0,J136*100/I136,0)</f>
        <v>0</v>
      </c>
      <c r="L136" s="53"/>
      <c r="M136" s="53"/>
      <c r="N136" s="53"/>
      <c r="O136" s="53"/>
      <c r="P136" s="53"/>
      <c r="Q136" s="205"/>
      <c r="R136" s="206"/>
      <c r="S136" s="206"/>
      <c r="T136" s="206"/>
      <c r="U136" s="206"/>
    </row>
    <row r="137" spans="1:21" ht="19.5" x14ac:dyDescent="0.3">
      <c r="A137" s="200"/>
      <c r="B137" s="47"/>
      <c r="C137" s="313" t="s">
        <v>62</v>
      </c>
      <c r="D137" s="201"/>
      <c r="E137" s="47"/>
      <c r="F137" s="47"/>
      <c r="G137" s="50"/>
      <c r="H137" s="202" t="s">
        <v>35</v>
      </c>
      <c r="I137" s="203">
        <f t="shared" ref="I137:J137" ca="1" si="107">I152</f>
        <v>180</v>
      </c>
      <c r="J137" s="203">
        <f t="shared" ca="1" si="107"/>
        <v>120</v>
      </c>
      <c r="K137" s="204">
        <f t="shared" ca="1" si="106"/>
        <v>66.666666666666671</v>
      </c>
      <c r="L137" s="53"/>
      <c r="M137" s="53"/>
      <c r="N137" s="53"/>
      <c r="O137" s="53"/>
      <c r="P137" s="53"/>
      <c r="Q137" s="205"/>
      <c r="R137" s="206"/>
      <c r="S137" s="206"/>
      <c r="T137" s="206"/>
      <c r="U137" s="206"/>
    </row>
    <row r="138" spans="1:21" ht="19.5" x14ac:dyDescent="0.3">
      <c r="A138" s="200"/>
      <c r="B138" s="47"/>
      <c r="C138" s="313"/>
      <c r="D138" s="201"/>
      <c r="E138" s="47"/>
      <c r="F138" s="47"/>
      <c r="G138" s="50"/>
      <c r="H138" s="202" t="s">
        <v>54</v>
      </c>
      <c r="I138" s="203">
        <f t="shared" ref="I138:J138" ca="1" si="108">I153</f>
        <v>18</v>
      </c>
      <c r="J138" s="203">
        <f t="shared" ca="1" si="108"/>
        <v>12</v>
      </c>
      <c r="K138" s="204">
        <f t="shared" ca="1" si="106"/>
        <v>66.666666666666671</v>
      </c>
      <c r="L138" s="53"/>
      <c r="M138" s="53"/>
      <c r="N138" s="53"/>
      <c r="O138" s="53"/>
      <c r="P138" s="53"/>
      <c r="Q138" s="205"/>
      <c r="R138" s="206"/>
      <c r="S138" s="206"/>
      <c r="T138" s="206"/>
      <c r="U138" s="206"/>
    </row>
    <row r="139" spans="1:21" ht="19.5" x14ac:dyDescent="0.3">
      <c r="A139" s="207"/>
      <c r="B139" s="65"/>
      <c r="C139" s="208" t="s">
        <v>18</v>
      </c>
      <c r="D139" s="209" t="s">
        <v>19</v>
      </c>
      <c r="E139" s="65"/>
      <c r="F139" s="65"/>
      <c r="G139" s="67"/>
      <c r="H139" s="210" t="s">
        <v>14</v>
      </c>
      <c r="I139" s="69"/>
      <c r="J139" s="69"/>
      <c r="K139" s="70"/>
      <c r="L139" s="211">
        <f t="shared" ref="L139:N139" ca="1" si="109">L140+L141</f>
        <v>791100</v>
      </c>
      <c r="M139" s="211">
        <f t="shared" ca="1" si="109"/>
        <v>756100</v>
      </c>
      <c r="N139" s="211">
        <f t="shared" ca="1" si="109"/>
        <v>700427.40999999898</v>
      </c>
      <c r="O139" s="211">
        <f t="shared" ref="O139:O147" ca="1" si="110">IF(L139&gt;0,N139*100/L139,0)</f>
        <v>88.538416129439895</v>
      </c>
      <c r="P139" s="211">
        <f t="shared" ref="P139:P147" ca="1" si="111">IF(M139&gt;0,N139*100/M139,0)</f>
        <v>92.636874752016794</v>
      </c>
      <c r="Q139" s="212">
        <f t="shared" ref="Q139:S139" ca="1" si="112">Q140+Q141</f>
        <v>942075</v>
      </c>
      <c r="R139" s="213">
        <f t="shared" ca="1" si="112"/>
        <v>942075</v>
      </c>
      <c r="S139" s="213">
        <f t="shared" ca="1" si="112"/>
        <v>37090</v>
      </c>
      <c r="T139" s="213">
        <f t="shared" ref="T139:T147" ca="1" si="113">IF(Q139&gt;0,S139*100/Q139,0)</f>
        <v>3.9370538439083935</v>
      </c>
      <c r="U139" s="213">
        <f t="shared" ref="U139:U147" ca="1" si="114">IF(R139&gt;0,S139*100/R139,0)</f>
        <v>3.9370538439083935</v>
      </c>
    </row>
    <row r="140" spans="1:21" ht="18.75" hidden="1" x14ac:dyDescent="0.25">
      <c r="A140" s="207"/>
      <c r="B140" s="65"/>
      <c r="C140" s="65"/>
      <c r="D140" s="65"/>
      <c r="E140" s="73" t="s">
        <v>20</v>
      </c>
      <c r="F140" s="65"/>
      <c r="G140" s="67"/>
      <c r="H140" s="214" t="s">
        <v>14</v>
      </c>
      <c r="I140" s="69"/>
      <c r="J140" s="69"/>
      <c r="K140" s="70"/>
      <c r="L140" s="86">
        <f t="shared" ref="L140:N140" ca="1" si="115">L143+L146</f>
        <v>0</v>
      </c>
      <c r="M140" s="86">
        <f t="shared" ca="1" si="115"/>
        <v>0</v>
      </c>
      <c r="N140" s="86">
        <f t="shared" ca="1" si="115"/>
        <v>0</v>
      </c>
      <c r="O140" s="86">
        <f t="shared" ca="1" si="110"/>
        <v>0</v>
      </c>
      <c r="P140" s="86">
        <f t="shared" ca="1" si="111"/>
        <v>0</v>
      </c>
      <c r="Q140" s="215">
        <f t="shared" ref="Q140:S140" ca="1" si="116">Q143+Q146</f>
        <v>0</v>
      </c>
      <c r="R140" s="131">
        <f t="shared" ca="1" si="116"/>
        <v>0</v>
      </c>
      <c r="S140" s="131">
        <f t="shared" ca="1" si="116"/>
        <v>0</v>
      </c>
      <c r="T140" s="131">
        <f t="shared" ca="1" si="113"/>
        <v>0</v>
      </c>
      <c r="U140" s="131">
        <f t="shared" ca="1" si="114"/>
        <v>0</v>
      </c>
    </row>
    <row r="141" spans="1:21" ht="18.75" hidden="1" x14ac:dyDescent="0.25">
      <c r="A141" s="207"/>
      <c r="B141" s="65"/>
      <c r="C141" s="65"/>
      <c r="D141" s="65"/>
      <c r="E141" s="73" t="s">
        <v>21</v>
      </c>
      <c r="F141" s="65"/>
      <c r="G141" s="67"/>
      <c r="H141" s="214" t="s">
        <v>14</v>
      </c>
      <c r="I141" s="69"/>
      <c r="J141" s="69"/>
      <c r="K141" s="70"/>
      <c r="L141" s="86">
        <f t="shared" ref="L141:N141" ca="1" si="117">L144+L147</f>
        <v>791100</v>
      </c>
      <c r="M141" s="86">
        <f t="shared" ca="1" si="117"/>
        <v>756100</v>
      </c>
      <c r="N141" s="86">
        <f t="shared" ca="1" si="117"/>
        <v>700427.40999999898</v>
      </c>
      <c r="O141" s="86">
        <f t="shared" ca="1" si="110"/>
        <v>88.538416129439895</v>
      </c>
      <c r="P141" s="86">
        <f t="shared" ca="1" si="111"/>
        <v>92.636874752016794</v>
      </c>
      <c r="Q141" s="129">
        <f t="shared" ref="Q141:S141" ca="1" si="118">Q144+Q147</f>
        <v>942075</v>
      </c>
      <c r="R141" s="130">
        <f t="shared" ca="1" si="118"/>
        <v>942075</v>
      </c>
      <c r="S141" s="130">
        <f t="shared" ca="1" si="118"/>
        <v>37090</v>
      </c>
      <c r="T141" s="130">
        <f t="shared" ca="1" si="113"/>
        <v>3.9370538439083935</v>
      </c>
      <c r="U141" s="130">
        <f t="shared" ca="1" si="114"/>
        <v>3.9370538439083935</v>
      </c>
    </row>
    <row r="142" spans="1:21" ht="18.75" x14ac:dyDescent="0.25">
      <c r="A142" s="207"/>
      <c r="B142" s="65"/>
      <c r="C142" s="65"/>
      <c r="D142" s="66" t="s">
        <v>22</v>
      </c>
      <c r="E142" s="65"/>
      <c r="F142" s="65"/>
      <c r="G142" s="67"/>
      <c r="H142" s="216" t="s">
        <v>14</v>
      </c>
      <c r="I142" s="217"/>
      <c r="J142" s="217"/>
      <c r="K142" s="218"/>
      <c r="L142" s="86">
        <f t="shared" ref="L142:N142" ca="1" si="119">L143+L144</f>
        <v>791100</v>
      </c>
      <c r="M142" s="86">
        <f t="shared" ca="1" si="119"/>
        <v>756100</v>
      </c>
      <c r="N142" s="86">
        <f t="shared" ca="1" si="119"/>
        <v>700427.40999999898</v>
      </c>
      <c r="O142" s="86">
        <f t="shared" ca="1" si="110"/>
        <v>88.538416129439895</v>
      </c>
      <c r="P142" s="86">
        <f t="shared" ca="1" si="111"/>
        <v>92.636874752016794</v>
      </c>
      <c r="Q142" s="129">
        <f t="shared" ref="Q142:S142" ca="1" si="120">Q143+Q144</f>
        <v>942075</v>
      </c>
      <c r="R142" s="130">
        <f t="shared" ca="1" si="120"/>
        <v>942075</v>
      </c>
      <c r="S142" s="130">
        <f t="shared" ca="1" si="120"/>
        <v>37090</v>
      </c>
      <c r="T142" s="130">
        <f t="shared" ca="1" si="113"/>
        <v>3.9370538439083935</v>
      </c>
      <c r="U142" s="130">
        <f t="shared" ca="1" si="114"/>
        <v>3.9370538439083935</v>
      </c>
    </row>
    <row r="143" spans="1:21" ht="18.75" hidden="1" x14ac:dyDescent="0.25">
      <c r="A143" s="207"/>
      <c r="B143" s="65"/>
      <c r="C143" s="65"/>
      <c r="D143" s="65"/>
      <c r="E143" s="73" t="s">
        <v>36</v>
      </c>
      <c r="F143" s="65"/>
      <c r="G143" s="67"/>
      <c r="H143" s="216" t="s">
        <v>14</v>
      </c>
      <c r="I143" s="217"/>
      <c r="J143" s="217"/>
      <c r="K143" s="218"/>
      <c r="L143" s="86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3" s="86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3" s="86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3" s="86">
        <f t="shared" ca="1" si="110"/>
        <v>0</v>
      </c>
      <c r="P143" s="86">
        <f t="shared" ca="1" si="111"/>
        <v>0</v>
      </c>
      <c r="Q143" s="74">
        <f ca="1">IFERROR(__xludf.DUMMYFUNCTION("IMPORTRANGE(""https://docs.google.com/spreadsheets/d/13wPX838HrBrQMCywv1BsuMkt4PEKTChp52zj44s2izQ/edit?usp=sharing"",""กาญจนบุรี!Q143"")+IMPORTRANGE(""https://docs.google.com/spreadsheets/d/1ddFKvqj1W1NEiWytbGlB1zMx_ykJDVtmfEQ-6-lIUBA/edit?usp=sharing"","&amp;"""จันทบุรี!Q143"")+IMPORTRANGE(""https://docs.google.com/spreadsheets/d/1T1PQvRODqOBZk8BRht_U031fIS1beLA0Ub2CEytj2q0/edit?usp=sharing"",""ฉะเชิงเทรา!Q143"")+IMPORTRANGE(""https://docs.google.com/spreadsheets/d/11tr1B-Bhyr79v2bkwVh5h_fR-PStkgjlZtkrZpYurG0/"&amp;"edit?usp=sharing"",""ชลบุรี!Q143"")+IMPORTRANGE(""https://docs.google.com/spreadsheets/d/1hh-FVnSX0vozXhGluamEcS54Dw9_zqW0N7qJUWgJ0Sw/edit?usp=sharing"",""ชัยนาท!Q143"")+IMPORTRANGE(""https://docs.google.com/spreadsheets/d/1jkqa6GXxSacMcY1eN8AHjMNJ_7dDXMJ"&amp;"VRLDlaFSOdPM/edit?usp=sharing"",""ตราด!Q143"")+IMPORTRANGE(""https://docs.google.com/spreadsheets/d/18hSgUJ3VwClqi_qtULmmW3cLr0oe3OKaSYoKzdpTsYQ/edit?usp=sharing"",""นครนายก!Q143"")+IMPORTRANGE(""https://docs.google.com/spreadsheets/d/1YTZo6WM2dQ6Ix6FSdnL"&amp;"5P7uVnVKu40sxZu975tgG10E/edit?usp=sharing"",""นครปฐม!Q143"")+IMPORTRANGE(""https://docs.google.com/spreadsheets/d/1OYoGg4WDg5RIzwGeB10padOxJF9E_Vljuvvct_M7RDo/edit?usp=sharing"",""ปทุมธานี!Q143"")+IMPORTRANGE(""https://docs.google.com/spreadsheets/d/1GbCI"&amp;"E4D4wk9FUozzqk7SxfDMxDVBwVmI5zcaVUSzKAc/edit?usp=sharing"",""ประจวบคีรีขันธ์!Q143"")+IMPORTRANGE(""https://docs.google.com/spreadsheets/d/1vVf6wykvW_lAyu7Yo9L4hUTqHqIeP_qcVuxCtosJEbg/edit?usp=sharing"",""ปราจีนบุรี!Q143"")+IMPORTRANGE(""https://docs.googl"&amp;"e.com/spreadsheets/d/1BIDqLLg5jk3v59G8NlR8rk5xfQDKne0sAvZHSj7TI6I/edit?usp=sharing"",""พระนครศรีอยุธยา!Q143"")+IMPORTRANGE(""https://docs.google.com/spreadsheets/d/1YXvxf8Yu6_rV4hTBrwMqAcAnv6DfhUxh5emyM3CJp_w/edit?usp=sharing"",""เพชรบุรี!Q143"")+IMPORTRA"&amp;"NGE(""https://docs.google.com/spreadsheets/d/19KBlQQs7uwvsao6t2n-KvW3Ax8J8uRRfZPq1zPbXgKc/edit?usp=sharing"",""ระยอง!Q143"")+IMPORTRANGE(""https://docs.google.com/spreadsheets/d/1jQ6P4QcrGM89YfqcC_PxOHGCMq5ezhucwJd8ci-NHng/edit?usp=sharing"",""ราชบุรี!Q14"&amp;"3"")+IMPORTRANGE(""https://docs.google.com/spreadsheets/d/1lufeA2cfFqM-elVq2hznhDzC6Pr7wkJ9ZG_sYNGCMCU/edit?usp=sharing"",""ลพบุรี!Q143"")+IMPORTRANGE(""https://docs.google.com/spreadsheets/d/10oOiF7loTyfsTkbd4MpaIm0HQ9SwB7IYHdIUvt-U1Uc/edit?usp=sharing"""&amp;",""สระแก้ว!Q143"")+IMPORTRANGE(""https://docs.google.com/spreadsheets/d/1xmPlrr1QbdSIKvl1dWUl9K4PjAfSL9oeMr_37QVzcxc/edit?usp=sharing"",""สระบุรี!Q143"")+IMPORTRANGE(""https://docs.google.com/spreadsheets/d/1j51vR6CYVGhABJpv6tkstgok82RLpXieLzW1yOY5rHw/edi"&amp;"t?usp=sharing"",""สิงห์บุรี!Q143"")+IMPORTRANGE(""https://docs.google.com/spreadsheets/d/1H1EalTWKUSzO4Z1-1CwzoDUaVffgrThEBe2sl74kKG0/edit?usp=sharing"",""สุพรรณบุรี!Q143"")+IMPORTRANGE(""https://docs.google.com/spreadsheets/d/1BmIruG_sIrJLYao_Pdr7zVArWsf"&amp;"oBt2692TMi6x_854/edit?usp=sharing"",""อ่างทอง!Q143"")"),0)</f>
        <v>0</v>
      </c>
      <c r="R143" s="75">
        <f ca="1">IFERROR(__xludf.DUMMYFUNCTION("IMPORTRANGE(""https://docs.google.com/spreadsheets/d/13wPX838HrBrQMCywv1BsuMkt4PEKTChp52zj44s2izQ/edit?usp=sharing"",""กาญจนบุรี!R143"")+IMPORTRANGE(""https://docs.google.com/spreadsheets/d/1ddFKvqj1W1NEiWytbGlB1zMx_ykJDVtmfEQ-6-lIUBA/edit?usp=sharing"","&amp;"""จันทบุรี!R143"")+IMPORTRANGE(""https://docs.google.com/spreadsheets/d/1T1PQvRODqOBZk8BRht_U031fIS1beLA0Ub2CEytj2q0/edit?usp=sharing"",""ฉะเชิงเทรา!R143"")+IMPORTRANGE(""https://docs.google.com/spreadsheets/d/11tr1B-Bhyr79v2bkwVh5h_fR-PStkgjlZtkrZpYurG0/"&amp;"edit?usp=sharing"",""ชลบุรี!R143"")+IMPORTRANGE(""https://docs.google.com/spreadsheets/d/1hh-FVnSX0vozXhGluamEcS54Dw9_zqW0N7qJUWgJ0Sw/edit?usp=sharing"",""ชัยนาท!R143"")+IMPORTRANGE(""https://docs.google.com/spreadsheets/d/1jkqa6GXxSacMcY1eN8AHjMNJ_7dDXMJ"&amp;"VRLDlaFSOdPM/edit?usp=sharing"",""ตราด!R143"")+IMPORTRANGE(""https://docs.google.com/spreadsheets/d/18hSgUJ3VwClqi_qtULmmW3cLr0oe3OKaSYoKzdpTsYQ/edit?usp=sharing"",""นครนายก!R143"")+IMPORTRANGE(""https://docs.google.com/spreadsheets/d/1YTZo6WM2dQ6Ix6FSdnL"&amp;"5P7uVnVKu40sxZu975tgG10E/edit?usp=sharing"",""นครปฐม!R143"")+IMPORTRANGE(""https://docs.google.com/spreadsheets/d/1OYoGg4WDg5RIzwGeB10padOxJF9E_Vljuvvct_M7RDo/edit?usp=sharing"",""ปทุมธานี!R143"")+IMPORTRANGE(""https://docs.google.com/spreadsheets/d/1GbCI"&amp;"E4D4wk9FUozzqk7SxfDMxDVBwVmI5zcaVUSzKAc/edit?usp=sharing"",""ประจวบคีรีขันธ์!R143"")+IMPORTRANGE(""https://docs.google.com/spreadsheets/d/1vVf6wykvW_lAyu7Yo9L4hUTqHqIeP_qcVuxCtosJEbg/edit?usp=sharing"",""ปราจีนบุรี!R143"")+IMPORTRANGE(""https://docs.googl"&amp;"e.com/spreadsheets/d/1BIDqLLg5jk3v59G8NlR8rk5xfQDKne0sAvZHSj7TI6I/edit?usp=sharing"",""พระนครศรีอยุธยา!R143"")+IMPORTRANGE(""https://docs.google.com/spreadsheets/d/1YXvxf8Yu6_rV4hTBrwMqAcAnv6DfhUxh5emyM3CJp_w/edit?usp=sharing"",""เพชรบุรี!R143"")+IMPORTRA"&amp;"NGE(""https://docs.google.com/spreadsheets/d/19KBlQQs7uwvsao6t2n-KvW3Ax8J8uRRfZPq1zPbXgKc/edit?usp=sharing"",""ระยอง!R143"")+IMPORTRANGE(""https://docs.google.com/spreadsheets/d/1jQ6P4QcrGM89YfqcC_PxOHGCMq5ezhucwJd8ci-NHng/edit?usp=sharing"",""ราชบุรี!R14"&amp;"3"")+IMPORTRANGE(""https://docs.google.com/spreadsheets/d/1lufeA2cfFqM-elVq2hznhDzC6Pr7wkJ9ZG_sYNGCMCU/edit?usp=sharing"",""ลพบุรี!R143"")+IMPORTRANGE(""https://docs.google.com/spreadsheets/d/10oOiF7loTyfsTkbd4MpaIm0HQ9SwB7IYHdIUvt-U1Uc/edit?usp=sharing"""&amp;",""สระแก้ว!R143"")+IMPORTRANGE(""https://docs.google.com/spreadsheets/d/1xmPlrr1QbdSIKvl1dWUl9K4PjAfSL9oeMr_37QVzcxc/edit?usp=sharing"",""สระบุรี!R143"")+IMPORTRANGE(""https://docs.google.com/spreadsheets/d/1j51vR6CYVGhABJpv6tkstgok82RLpXieLzW1yOY5rHw/edi"&amp;"t?usp=sharing"",""สิงห์บุรี!R143"")+IMPORTRANGE(""https://docs.google.com/spreadsheets/d/1H1EalTWKUSzO4Z1-1CwzoDUaVffgrThEBe2sl74kKG0/edit?usp=sharing"",""สุพรรณบุรี!R143"")+IMPORTRANGE(""https://docs.google.com/spreadsheets/d/1BmIruG_sIrJLYao_Pdr7zVArWsf"&amp;"oBt2692TMi6x_854/edit?usp=sharing"",""อ่างทอง!R143"")"),0)</f>
        <v>0</v>
      </c>
      <c r="S143" s="75">
        <f ca="1">IFERROR(__xludf.DUMMYFUNCTION("IMPORTRANGE(""https://docs.google.com/spreadsheets/d/13wPX838HrBrQMCywv1BsuMkt4PEKTChp52zj44s2izQ/edit?usp=sharing"",""กาญจนบุรี!S143"")+IMPORTRANGE(""https://docs.google.com/spreadsheets/d/1ddFKvqj1W1NEiWytbGlB1zMx_ykJDVtmfEQ-6-lIUBA/edit?usp=sharing"","&amp;"""จันทบุรี!S143"")+IMPORTRANGE(""https://docs.google.com/spreadsheets/d/1T1PQvRODqOBZk8BRht_U031fIS1beLA0Ub2CEytj2q0/edit?usp=sharing"",""ฉะเชิงเทรา!S143"")+IMPORTRANGE(""https://docs.google.com/spreadsheets/d/11tr1B-Bhyr79v2bkwVh5h_fR-PStkgjlZtkrZpYurG0/"&amp;"edit?usp=sharing"",""ชลบุรี!S143"")+IMPORTRANGE(""https://docs.google.com/spreadsheets/d/1hh-FVnSX0vozXhGluamEcS54Dw9_zqW0N7qJUWgJ0Sw/edit?usp=sharing"",""ชัยนาท!S143"")+IMPORTRANGE(""https://docs.google.com/spreadsheets/d/1jkqa6GXxSacMcY1eN8AHjMNJ_7dDXMJ"&amp;"VRLDlaFSOdPM/edit?usp=sharing"",""ตราด!S143"")+IMPORTRANGE(""https://docs.google.com/spreadsheets/d/18hSgUJ3VwClqi_qtULmmW3cLr0oe3OKaSYoKzdpTsYQ/edit?usp=sharing"",""นครนายก!S143"")+IMPORTRANGE(""https://docs.google.com/spreadsheets/d/1YTZo6WM2dQ6Ix6FSdnL"&amp;"5P7uVnVKu40sxZu975tgG10E/edit?usp=sharing"",""นครปฐม!S143"")+IMPORTRANGE(""https://docs.google.com/spreadsheets/d/1OYoGg4WDg5RIzwGeB10padOxJF9E_Vljuvvct_M7RDo/edit?usp=sharing"",""ปทุมธานี!S143"")+IMPORTRANGE(""https://docs.google.com/spreadsheets/d/1GbCI"&amp;"E4D4wk9FUozzqk7SxfDMxDVBwVmI5zcaVUSzKAc/edit?usp=sharing"",""ประจวบคีรีขันธ์!S143"")+IMPORTRANGE(""https://docs.google.com/spreadsheets/d/1vVf6wykvW_lAyu7Yo9L4hUTqHqIeP_qcVuxCtosJEbg/edit?usp=sharing"",""ปราจีนบุรี!S143"")+IMPORTRANGE(""https://docs.googl"&amp;"e.com/spreadsheets/d/1BIDqLLg5jk3v59G8NlR8rk5xfQDKne0sAvZHSj7TI6I/edit?usp=sharing"",""พระนครศรีอยุธยา!S143"")+IMPORTRANGE(""https://docs.google.com/spreadsheets/d/1YXvxf8Yu6_rV4hTBrwMqAcAnv6DfhUxh5emyM3CJp_w/edit?usp=sharing"",""เพชรบุรี!S143"")+IMPORTRA"&amp;"NGE(""https://docs.google.com/spreadsheets/d/19KBlQQs7uwvsao6t2n-KvW3Ax8J8uRRfZPq1zPbXgKc/edit?usp=sharing"",""ระยอง!S143"")+IMPORTRANGE(""https://docs.google.com/spreadsheets/d/1jQ6P4QcrGM89YfqcC_PxOHGCMq5ezhucwJd8ci-NHng/edit?usp=sharing"",""ราชบุรี!S14"&amp;"3"")+IMPORTRANGE(""https://docs.google.com/spreadsheets/d/1lufeA2cfFqM-elVq2hznhDzC6Pr7wkJ9ZG_sYNGCMCU/edit?usp=sharing"",""ลพบุรี!S143"")+IMPORTRANGE(""https://docs.google.com/spreadsheets/d/10oOiF7loTyfsTkbd4MpaIm0HQ9SwB7IYHdIUvt-U1Uc/edit?usp=sharing"""&amp;",""สระแก้ว!S143"")+IMPORTRANGE(""https://docs.google.com/spreadsheets/d/1xmPlrr1QbdSIKvl1dWUl9K4PjAfSL9oeMr_37QVzcxc/edit?usp=sharing"",""สระบุรี!S143"")+IMPORTRANGE(""https://docs.google.com/spreadsheets/d/1j51vR6CYVGhABJpv6tkstgok82RLpXieLzW1yOY5rHw/edi"&amp;"t?usp=sharing"",""สิงห์บุรี!S143"")+IMPORTRANGE(""https://docs.google.com/spreadsheets/d/1H1EalTWKUSzO4Z1-1CwzoDUaVffgrThEBe2sl74kKG0/edit?usp=sharing"",""สุพรรณบุรี!S143"")+IMPORTRANGE(""https://docs.google.com/spreadsheets/d/1BmIruG_sIrJLYao_Pdr7zVArWsf"&amp;"oBt2692TMi6x_854/edit?usp=sharing"",""อ่างทอง!S143"")"),0)</f>
        <v>0</v>
      </c>
      <c r="T143" s="131">
        <f t="shared" ca="1" si="113"/>
        <v>0</v>
      </c>
      <c r="U143" s="131">
        <f t="shared" ca="1" si="114"/>
        <v>0</v>
      </c>
    </row>
    <row r="144" spans="1:21" ht="18.75" hidden="1" x14ac:dyDescent="0.25">
      <c r="A144" s="207"/>
      <c r="B144" s="65"/>
      <c r="C144" s="65"/>
      <c r="D144" s="65"/>
      <c r="E144" s="73" t="s">
        <v>37</v>
      </c>
      <c r="F144" s="65"/>
      <c r="G144" s="67"/>
      <c r="H144" s="216" t="s">
        <v>14</v>
      </c>
      <c r="I144" s="217"/>
      <c r="J144" s="217"/>
      <c r="K144" s="218"/>
      <c r="L144" s="86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4" s="86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756100)</f>
        <v>756100</v>
      </c>
      <c r="N144" s="86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700427.409999999)</f>
        <v>700427.40999999898</v>
      </c>
      <c r="O144" s="86">
        <f t="shared" ca="1" si="110"/>
        <v>88.538416129439895</v>
      </c>
      <c r="P144" s="86">
        <f t="shared" ca="1" si="111"/>
        <v>92.636874752016794</v>
      </c>
      <c r="Q144" s="129">
        <f ca="1">IFERROR(__xludf.DUMMYFUNCTION("IMPORTRANGE(""https://docs.google.com/spreadsheets/d/13wPX838HrBrQMCywv1BsuMkt4PEKTChp52zj44s2izQ/edit?usp=sharing"",""กาญจนบุรี!Q144"")+IMPORTRANGE(""https://docs.google.com/spreadsheets/d/1ddFKvqj1W1NEiWytbGlB1zMx_ykJDVtmfEQ-6-lIUBA/edit?usp=sharing"","&amp;"""จันทบุรี!Q144"")+IMPORTRANGE(""https://docs.google.com/spreadsheets/d/1T1PQvRODqOBZk8BRht_U031fIS1beLA0Ub2CEytj2q0/edit?usp=sharing"",""ฉะเชิงเทรา!Q144"")+IMPORTRANGE(""https://docs.google.com/spreadsheets/d/11tr1B-Bhyr79v2bkwVh5h_fR-PStkgjlZtkrZpYurG0/"&amp;"edit?usp=sharing"",""ชลบุรี!Q144"")+IMPORTRANGE(""https://docs.google.com/spreadsheets/d/1hh-FVnSX0vozXhGluamEcS54Dw9_zqW0N7qJUWgJ0Sw/edit?usp=sharing"",""ชัยนาท!Q144"")+IMPORTRANGE(""https://docs.google.com/spreadsheets/d/1jkqa6GXxSacMcY1eN8AHjMNJ_7dDXMJ"&amp;"VRLDlaFSOdPM/edit?usp=sharing"",""ตราด!Q144"")+IMPORTRANGE(""https://docs.google.com/spreadsheets/d/18hSgUJ3VwClqi_qtULmmW3cLr0oe3OKaSYoKzdpTsYQ/edit?usp=sharing"",""นครนายก!Q144"")+IMPORTRANGE(""https://docs.google.com/spreadsheets/d/1YTZo6WM2dQ6Ix6FSdnL"&amp;"5P7uVnVKu40sxZu975tgG10E/edit?usp=sharing"",""นครปฐม!Q144"")+IMPORTRANGE(""https://docs.google.com/spreadsheets/d/1OYoGg4WDg5RIzwGeB10padOxJF9E_Vljuvvct_M7RDo/edit?usp=sharing"",""ปทุมธานี!Q144"")+IMPORTRANGE(""https://docs.google.com/spreadsheets/d/1GbCI"&amp;"E4D4wk9FUozzqk7SxfDMxDVBwVmI5zcaVUSzKAc/edit?usp=sharing"",""ประจวบคีรีขันธ์!Q144"")+IMPORTRANGE(""https://docs.google.com/spreadsheets/d/1vVf6wykvW_lAyu7Yo9L4hUTqHqIeP_qcVuxCtosJEbg/edit?usp=sharing"",""ปราจีนบุรี!Q144"")+IMPORTRANGE(""https://docs.googl"&amp;"e.com/spreadsheets/d/1BIDqLLg5jk3v59G8NlR8rk5xfQDKne0sAvZHSj7TI6I/edit?usp=sharing"",""พระนครศรีอยุธยา!Q144"")+IMPORTRANGE(""https://docs.google.com/spreadsheets/d/1YXvxf8Yu6_rV4hTBrwMqAcAnv6DfhUxh5emyM3CJp_w/edit?usp=sharing"",""เพชรบุรี!Q144"")+IMPORTRA"&amp;"NGE(""https://docs.google.com/spreadsheets/d/19KBlQQs7uwvsao6t2n-KvW3Ax8J8uRRfZPq1zPbXgKc/edit?usp=sharing"",""ระยอง!Q144"")+IMPORTRANGE(""https://docs.google.com/spreadsheets/d/1jQ6P4QcrGM89YfqcC_PxOHGCMq5ezhucwJd8ci-NHng/edit?usp=sharing"",""ราชบุรี!Q14"&amp;"4"")+IMPORTRANGE(""https://docs.google.com/spreadsheets/d/1lufeA2cfFqM-elVq2hznhDzC6Pr7wkJ9ZG_sYNGCMCU/edit?usp=sharing"",""ลพบุรี!Q144"")+IMPORTRANGE(""https://docs.google.com/spreadsheets/d/10oOiF7loTyfsTkbd4MpaIm0HQ9SwB7IYHdIUvt-U1Uc/edit?usp=sharing"""&amp;",""สระแก้ว!Q144"")+IMPORTRANGE(""https://docs.google.com/spreadsheets/d/1xmPlrr1QbdSIKvl1dWUl9K4PjAfSL9oeMr_37QVzcxc/edit?usp=sharing"",""สระบุรี!Q144"")+IMPORTRANGE(""https://docs.google.com/spreadsheets/d/1j51vR6CYVGhABJpv6tkstgok82RLpXieLzW1yOY5rHw/edi"&amp;"t?usp=sharing"",""สิงห์บุรี!Q144"")+IMPORTRANGE(""https://docs.google.com/spreadsheets/d/1H1EalTWKUSzO4Z1-1CwzoDUaVffgrThEBe2sl74kKG0/edit?usp=sharing"",""สุพรรณบุรี!Q144"")+IMPORTRANGE(""https://docs.google.com/spreadsheets/d/1BmIruG_sIrJLYao_Pdr7zVArWsf"&amp;"oBt2692TMi6x_854/edit?usp=sharing"",""อ่างทอง!Q144"")"),942075)</f>
        <v>942075</v>
      </c>
      <c r="R144" s="130">
        <f ca="1">IFERROR(__xludf.DUMMYFUNCTION("IMPORTRANGE(""https://docs.google.com/spreadsheets/d/13wPX838HrBrQMCywv1BsuMkt4PEKTChp52zj44s2izQ/edit?usp=sharing"",""กาญจนบุรี!R144"")+IMPORTRANGE(""https://docs.google.com/spreadsheets/d/1ddFKvqj1W1NEiWytbGlB1zMx_ykJDVtmfEQ-6-lIUBA/edit?usp=sharing"","&amp;"""จันทบุรี!R144"")+IMPORTRANGE(""https://docs.google.com/spreadsheets/d/1T1PQvRODqOBZk8BRht_U031fIS1beLA0Ub2CEytj2q0/edit?usp=sharing"",""ฉะเชิงเทรา!R144"")+IMPORTRANGE(""https://docs.google.com/spreadsheets/d/11tr1B-Bhyr79v2bkwVh5h_fR-PStkgjlZtkrZpYurG0/"&amp;"edit?usp=sharing"",""ชลบุรี!R144"")+IMPORTRANGE(""https://docs.google.com/spreadsheets/d/1hh-FVnSX0vozXhGluamEcS54Dw9_zqW0N7qJUWgJ0Sw/edit?usp=sharing"",""ชัยนาท!R144"")+IMPORTRANGE(""https://docs.google.com/spreadsheets/d/1jkqa6GXxSacMcY1eN8AHjMNJ_7dDXMJ"&amp;"VRLDlaFSOdPM/edit?usp=sharing"",""ตราด!R144"")+IMPORTRANGE(""https://docs.google.com/spreadsheets/d/18hSgUJ3VwClqi_qtULmmW3cLr0oe3OKaSYoKzdpTsYQ/edit?usp=sharing"",""นครนายก!R144"")+IMPORTRANGE(""https://docs.google.com/spreadsheets/d/1YTZo6WM2dQ6Ix6FSdnL"&amp;"5P7uVnVKu40sxZu975tgG10E/edit?usp=sharing"",""นครปฐม!R144"")+IMPORTRANGE(""https://docs.google.com/spreadsheets/d/1OYoGg4WDg5RIzwGeB10padOxJF9E_Vljuvvct_M7RDo/edit?usp=sharing"",""ปทุมธานี!R144"")+IMPORTRANGE(""https://docs.google.com/spreadsheets/d/1GbCI"&amp;"E4D4wk9FUozzqk7SxfDMxDVBwVmI5zcaVUSzKAc/edit?usp=sharing"",""ประจวบคีรีขันธ์!R144"")+IMPORTRANGE(""https://docs.google.com/spreadsheets/d/1vVf6wykvW_lAyu7Yo9L4hUTqHqIeP_qcVuxCtosJEbg/edit?usp=sharing"",""ปราจีนบุรี!R144"")+IMPORTRANGE(""https://docs.googl"&amp;"e.com/spreadsheets/d/1BIDqLLg5jk3v59G8NlR8rk5xfQDKne0sAvZHSj7TI6I/edit?usp=sharing"",""พระนครศรีอยุธยา!R144"")+IMPORTRANGE(""https://docs.google.com/spreadsheets/d/1YXvxf8Yu6_rV4hTBrwMqAcAnv6DfhUxh5emyM3CJp_w/edit?usp=sharing"",""เพชรบุรี!R144"")+IMPORTRA"&amp;"NGE(""https://docs.google.com/spreadsheets/d/19KBlQQs7uwvsao6t2n-KvW3Ax8J8uRRfZPq1zPbXgKc/edit?usp=sharing"",""ระยอง!R144"")+IMPORTRANGE(""https://docs.google.com/spreadsheets/d/1jQ6P4QcrGM89YfqcC_PxOHGCMq5ezhucwJd8ci-NHng/edit?usp=sharing"",""ราชบุรี!R14"&amp;"4"")+IMPORTRANGE(""https://docs.google.com/spreadsheets/d/1lufeA2cfFqM-elVq2hznhDzC6Pr7wkJ9ZG_sYNGCMCU/edit?usp=sharing"",""ลพบุรี!R144"")+IMPORTRANGE(""https://docs.google.com/spreadsheets/d/10oOiF7loTyfsTkbd4MpaIm0HQ9SwB7IYHdIUvt-U1Uc/edit?usp=sharing"""&amp;",""สระแก้ว!R144"")+IMPORTRANGE(""https://docs.google.com/spreadsheets/d/1xmPlrr1QbdSIKvl1dWUl9K4PjAfSL9oeMr_37QVzcxc/edit?usp=sharing"",""สระบุรี!R144"")+IMPORTRANGE(""https://docs.google.com/spreadsheets/d/1j51vR6CYVGhABJpv6tkstgok82RLpXieLzW1yOY5rHw/edi"&amp;"t?usp=sharing"",""สิงห์บุรี!R144"")+IMPORTRANGE(""https://docs.google.com/spreadsheets/d/1H1EalTWKUSzO4Z1-1CwzoDUaVffgrThEBe2sl74kKG0/edit?usp=sharing"",""สุพรรณบุรี!R144"")+IMPORTRANGE(""https://docs.google.com/spreadsheets/d/1BmIruG_sIrJLYao_Pdr7zVArWsf"&amp;"oBt2692TMi6x_854/edit?usp=sharing"",""อ่างทอง!R144"")"),942075)</f>
        <v>942075</v>
      </c>
      <c r="S144" s="130">
        <f ca="1">IFERROR(__xludf.DUMMYFUNCTION("IMPORTRANGE(""https://docs.google.com/spreadsheets/d/13wPX838HrBrQMCywv1BsuMkt4PEKTChp52zj44s2izQ/edit?usp=sharing"",""กาญจนบุรี!S144"")+IMPORTRANGE(""https://docs.google.com/spreadsheets/d/1ddFKvqj1W1NEiWytbGlB1zMx_ykJDVtmfEQ-6-lIUBA/edit?usp=sharing"","&amp;"""จันทบุรี!S144"")+IMPORTRANGE(""https://docs.google.com/spreadsheets/d/1T1PQvRODqOBZk8BRht_U031fIS1beLA0Ub2CEytj2q0/edit?usp=sharing"",""ฉะเชิงเทรา!S144"")+IMPORTRANGE(""https://docs.google.com/spreadsheets/d/11tr1B-Bhyr79v2bkwVh5h_fR-PStkgjlZtkrZpYurG0/"&amp;"edit?usp=sharing"",""ชลบุรี!S144"")+IMPORTRANGE(""https://docs.google.com/spreadsheets/d/1hh-FVnSX0vozXhGluamEcS54Dw9_zqW0N7qJUWgJ0Sw/edit?usp=sharing"",""ชัยนาท!S144"")+IMPORTRANGE(""https://docs.google.com/spreadsheets/d/1jkqa6GXxSacMcY1eN8AHjMNJ_7dDXMJ"&amp;"VRLDlaFSOdPM/edit?usp=sharing"",""ตราด!S144"")+IMPORTRANGE(""https://docs.google.com/spreadsheets/d/18hSgUJ3VwClqi_qtULmmW3cLr0oe3OKaSYoKzdpTsYQ/edit?usp=sharing"",""นครนายก!S144"")+IMPORTRANGE(""https://docs.google.com/spreadsheets/d/1YTZo6WM2dQ6Ix6FSdnL"&amp;"5P7uVnVKu40sxZu975tgG10E/edit?usp=sharing"",""นครปฐม!S144"")+IMPORTRANGE(""https://docs.google.com/spreadsheets/d/1OYoGg4WDg5RIzwGeB10padOxJF9E_Vljuvvct_M7RDo/edit?usp=sharing"",""ปทุมธานี!S144"")+IMPORTRANGE(""https://docs.google.com/spreadsheets/d/1GbCI"&amp;"E4D4wk9FUozzqk7SxfDMxDVBwVmI5zcaVUSzKAc/edit?usp=sharing"",""ประจวบคีรีขันธ์!S144"")+IMPORTRANGE(""https://docs.google.com/spreadsheets/d/1vVf6wykvW_lAyu7Yo9L4hUTqHqIeP_qcVuxCtosJEbg/edit?usp=sharing"",""ปราจีนบุรี!S144"")+IMPORTRANGE(""https://docs.googl"&amp;"e.com/spreadsheets/d/1BIDqLLg5jk3v59G8NlR8rk5xfQDKne0sAvZHSj7TI6I/edit?usp=sharing"",""พระนครศรีอยุธยา!S144"")+IMPORTRANGE(""https://docs.google.com/spreadsheets/d/1YXvxf8Yu6_rV4hTBrwMqAcAnv6DfhUxh5emyM3CJp_w/edit?usp=sharing"",""เพชรบุรี!S144"")+IMPORTRA"&amp;"NGE(""https://docs.google.com/spreadsheets/d/19KBlQQs7uwvsao6t2n-KvW3Ax8J8uRRfZPq1zPbXgKc/edit?usp=sharing"",""ระยอง!S144"")+IMPORTRANGE(""https://docs.google.com/spreadsheets/d/1jQ6P4QcrGM89YfqcC_PxOHGCMq5ezhucwJd8ci-NHng/edit?usp=sharing"",""ราชบุรี!S14"&amp;"4"")+IMPORTRANGE(""https://docs.google.com/spreadsheets/d/1lufeA2cfFqM-elVq2hznhDzC6Pr7wkJ9ZG_sYNGCMCU/edit?usp=sharing"",""ลพบุรี!S144"")+IMPORTRANGE(""https://docs.google.com/spreadsheets/d/10oOiF7loTyfsTkbd4MpaIm0HQ9SwB7IYHdIUvt-U1Uc/edit?usp=sharing"""&amp;",""สระแก้ว!S144"")+IMPORTRANGE(""https://docs.google.com/spreadsheets/d/1xmPlrr1QbdSIKvl1dWUl9K4PjAfSL9oeMr_37QVzcxc/edit?usp=sharing"",""สระบุรี!S144"")+IMPORTRANGE(""https://docs.google.com/spreadsheets/d/1j51vR6CYVGhABJpv6tkstgok82RLpXieLzW1yOY5rHw/edi"&amp;"t?usp=sharing"",""สิงห์บุรี!S144"")+IMPORTRANGE(""https://docs.google.com/spreadsheets/d/1H1EalTWKUSzO4Z1-1CwzoDUaVffgrThEBe2sl74kKG0/edit?usp=sharing"",""สุพรรณบุรี!S144"")+IMPORTRANGE(""https://docs.google.com/spreadsheets/d/1BmIruG_sIrJLYao_Pdr7zVArWsf"&amp;"oBt2692TMi6x_854/edit?usp=sharing"",""อ่างทอง!S144"")"),37090)</f>
        <v>37090</v>
      </c>
      <c r="T144" s="130">
        <f t="shared" ca="1" si="113"/>
        <v>3.9370538439083935</v>
      </c>
      <c r="U144" s="130">
        <f t="shared" ca="1" si="114"/>
        <v>3.9370538439083935</v>
      </c>
    </row>
    <row r="145" spans="1:21" ht="18.75" x14ac:dyDescent="0.25">
      <c r="A145" s="207"/>
      <c r="B145" s="65"/>
      <c r="C145" s="65"/>
      <c r="D145" s="66" t="s">
        <v>23</v>
      </c>
      <c r="E145" s="65"/>
      <c r="F145" s="65"/>
      <c r="G145" s="67"/>
      <c r="H145" s="219" t="s">
        <v>14</v>
      </c>
      <c r="I145" s="217"/>
      <c r="J145" s="217"/>
      <c r="K145" s="218"/>
      <c r="L145" s="86">
        <f t="shared" ref="L145:N145" ca="1" si="121">L146+L147</f>
        <v>0</v>
      </c>
      <c r="M145" s="86">
        <f t="shared" ca="1" si="121"/>
        <v>0</v>
      </c>
      <c r="N145" s="86">
        <f t="shared" ca="1" si="121"/>
        <v>0</v>
      </c>
      <c r="O145" s="86">
        <f t="shared" ca="1" si="110"/>
        <v>0</v>
      </c>
      <c r="P145" s="86">
        <f t="shared" ca="1" si="111"/>
        <v>0</v>
      </c>
      <c r="Q145" s="129">
        <f t="shared" ref="Q145:S145" ca="1" si="122">Q146+Q147</f>
        <v>0</v>
      </c>
      <c r="R145" s="130">
        <f t="shared" ca="1" si="122"/>
        <v>0</v>
      </c>
      <c r="S145" s="130">
        <f t="shared" ca="1" si="122"/>
        <v>0</v>
      </c>
      <c r="T145" s="130">
        <f t="shared" ca="1" si="113"/>
        <v>0</v>
      </c>
      <c r="U145" s="130">
        <f t="shared" ca="1" si="114"/>
        <v>0</v>
      </c>
    </row>
    <row r="146" spans="1:21" ht="18.75" hidden="1" x14ac:dyDescent="0.25">
      <c r="A146" s="207"/>
      <c r="B146" s="65"/>
      <c r="C146" s="65"/>
      <c r="D146" s="65"/>
      <c r="E146" s="73" t="s">
        <v>20</v>
      </c>
      <c r="F146" s="65"/>
      <c r="G146" s="67"/>
      <c r="H146" s="216" t="s">
        <v>14</v>
      </c>
      <c r="I146" s="217"/>
      <c r="J146" s="217"/>
      <c r="K146" s="218"/>
      <c r="L146" s="86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6" s="86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6" s="86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6" s="86">
        <f t="shared" ca="1" si="110"/>
        <v>0</v>
      </c>
      <c r="P146" s="86">
        <f t="shared" ca="1" si="111"/>
        <v>0</v>
      </c>
      <c r="Q146" s="74">
        <f ca="1">IFERROR(__xludf.DUMMYFUNCTION("IMPORTRANGE(""https://docs.google.com/spreadsheets/d/13wPX838HrBrQMCywv1BsuMkt4PEKTChp52zj44s2izQ/edit?usp=sharing"",""กาญจนบุรี!Q146"")+IMPORTRANGE(""https://docs.google.com/spreadsheets/d/1ddFKvqj1W1NEiWytbGlB1zMx_ykJDVtmfEQ-6-lIUBA/edit?usp=sharing"","&amp;"""จันทบุรี!Q146"")+IMPORTRANGE(""https://docs.google.com/spreadsheets/d/1T1PQvRODqOBZk8BRht_U031fIS1beLA0Ub2CEytj2q0/edit?usp=sharing"",""ฉะเชิงเทรา!Q146"")+IMPORTRANGE(""https://docs.google.com/spreadsheets/d/11tr1B-Bhyr79v2bkwVh5h_fR-PStkgjlZtkrZpYurG0/"&amp;"edit?usp=sharing"",""ชลบุรี!Q146"")+IMPORTRANGE(""https://docs.google.com/spreadsheets/d/1hh-FVnSX0vozXhGluamEcS54Dw9_zqW0N7qJUWgJ0Sw/edit?usp=sharing"",""ชัยนาท!Q146"")+IMPORTRANGE(""https://docs.google.com/spreadsheets/d/1jkqa6GXxSacMcY1eN8AHjMNJ_7dDXMJ"&amp;"VRLDlaFSOdPM/edit?usp=sharing"",""ตราด!Q146"")+IMPORTRANGE(""https://docs.google.com/spreadsheets/d/18hSgUJ3VwClqi_qtULmmW3cLr0oe3OKaSYoKzdpTsYQ/edit?usp=sharing"",""นครนายก!Q146"")+IMPORTRANGE(""https://docs.google.com/spreadsheets/d/1YTZo6WM2dQ6Ix6FSdnL"&amp;"5P7uVnVKu40sxZu975tgG10E/edit?usp=sharing"",""นครปฐม!Q146"")+IMPORTRANGE(""https://docs.google.com/spreadsheets/d/1OYoGg4WDg5RIzwGeB10padOxJF9E_Vljuvvct_M7RDo/edit?usp=sharing"",""ปทุมธานี!Q146"")+IMPORTRANGE(""https://docs.google.com/spreadsheets/d/1GbCI"&amp;"E4D4wk9FUozzqk7SxfDMxDVBwVmI5zcaVUSzKAc/edit?usp=sharing"",""ประจวบคีรีขันธ์!Q146"")+IMPORTRANGE(""https://docs.google.com/spreadsheets/d/1vVf6wykvW_lAyu7Yo9L4hUTqHqIeP_qcVuxCtosJEbg/edit?usp=sharing"",""ปราจีนบุรี!Q146"")+IMPORTRANGE(""https://docs.googl"&amp;"e.com/spreadsheets/d/1BIDqLLg5jk3v59G8NlR8rk5xfQDKne0sAvZHSj7TI6I/edit?usp=sharing"",""พระนครศรีอยุธยา!Q146"")+IMPORTRANGE(""https://docs.google.com/spreadsheets/d/1YXvxf8Yu6_rV4hTBrwMqAcAnv6DfhUxh5emyM3CJp_w/edit?usp=sharing"",""เพชรบุรี!Q146"")+IMPORTRA"&amp;"NGE(""https://docs.google.com/spreadsheets/d/19KBlQQs7uwvsao6t2n-KvW3Ax8J8uRRfZPq1zPbXgKc/edit?usp=sharing"",""ระยอง!Q146"")+IMPORTRANGE(""https://docs.google.com/spreadsheets/d/1jQ6P4QcrGM89YfqcC_PxOHGCMq5ezhucwJd8ci-NHng/edit?usp=sharing"",""ราชบุรี!Q14"&amp;"6"")+IMPORTRANGE(""https://docs.google.com/spreadsheets/d/1lufeA2cfFqM-elVq2hznhDzC6Pr7wkJ9ZG_sYNGCMCU/edit?usp=sharing"",""ลพบุรี!Q146"")+IMPORTRANGE(""https://docs.google.com/spreadsheets/d/10oOiF7loTyfsTkbd4MpaIm0HQ9SwB7IYHdIUvt-U1Uc/edit?usp=sharing"""&amp;",""สระแก้ว!Q146"")+IMPORTRANGE(""https://docs.google.com/spreadsheets/d/1xmPlrr1QbdSIKvl1dWUl9K4PjAfSL9oeMr_37QVzcxc/edit?usp=sharing"",""สระบุรี!Q146"")+IMPORTRANGE(""https://docs.google.com/spreadsheets/d/1j51vR6CYVGhABJpv6tkstgok82RLpXieLzW1yOY5rHw/edi"&amp;"t?usp=sharing"",""สิงห์บุรี!Q146"")+IMPORTRANGE(""https://docs.google.com/spreadsheets/d/1H1EalTWKUSzO4Z1-1CwzoDUaVffgrThEBe2sl74kKG0/edit?usp=sharing"",""สุพรรณบุรี!Q146"")+IMPORTRANGE(""https://docs.google.com/spreadsheets/d/1BmIruG_sIrJLYao_Pdr7zVArWsf"&amp;"oBt2692TMi6x_854/edit?usp=sharing"",""อ่างทอง!Q146"")"),0)</f>
        <v>0</v>
      </c>
      <c r="R146" s="75">
        <f ca="1">IFERROR(__xludf.DUMMYFUNCTION("IMPORTRANGE(""https://docs.google.com/spreadsheets/d/13wPX838HrBrQMCywv1BsuMkt4PEKTChp52zj44s2izQ/edit?usp=sharing"",""กาญจนบุรี!R146"")+IMPORTRANGE(""https://docs.google.com/spreadsheets/d/1ddFKvqj1W1NEiWytbGlB1zMx_ykJDVtmfEQ-6-lIUBA/edit?usp=sharing"","&amp;"""จันทบุรี!R146"")+IMPORTRANGE(""https://docs.google.com/spreadsheets/d/1T1PQvRODqOBZk8BRht_U031fIS1beLA0Ub2CEytj2q0/edit?usp=sharing"",""ฉะเชิงเทรา!R146"")+IMPORTRANGE(""https://docs.google.com/spreadsheets/d/11tr1B-Bhyr79v2bkwVh5h_fR-PStkgjlZtkrZpYurG0/"&amp;"edit?usp=sharing"",""ชลบุรี!R146"")+IMPORTRANGE(""https://docs.google.com/spreadsheets/d/1hh-FVnSX0vozXhGluamEcS54Dw9_zqW0N7qJUWgJ0Sw/edit?usp=sharing"",""ชัยนาท!R146"")+IMPORTRANGE(""https://docs.google.com/spreadsheets/d/1jkqa6GXxSacMcY1eN8AHjMNJ_7dDXMJ"&amp;"VRLDlaFSOdPM/edit?usp=sharing"",""ตราด!R146"")+IMPORTRANGE(""https://docs.google.com/spreadsheets/d/18hSgUJ3VwClqi_qtULmmW3cLr0oe3OKaSYoKzdpTsYQ/edit?usp=sharing"",""นครนายก!R146"")+IMPORTRANGE(""https://docs.google.com/spreadsheets/d/1YTZo6WM2dQ6Ix6FSdnL"&amp;"5P7uVnVKu40sxZu975tgG10E/edit?usp=sharing"",""นครปฐม!R146"")+IMPORTRANGE(""https://docs.google.com/spreadsheets/d/1OYoGg4WDg5RIzwGeB10padOxJF9E_Vljuvvct_M7RDo/edit?usp=sharing"",""ปทุมธานี!R146"")+IMPORTRANGE(""https://docs.google.com/spreadsheets/d/1GbCI"&amp;"E4D4wk9FUozzqk7SxfDMxDVBwVmI5zcaVUSzKAc/edit?usp=sharing"",""ประจวบคีรีขันธ์!R146"")+IMPORTRANGE(""https://docs.google.com/spreadsheets/d/1vVf6wykvW_lAyu7Yo9L4hUTqHqIeP_qcVuxCtosJEbg/edit?usp=sharing"",""ปราจีนบุรี!R146"")+IMPORTRANGE(""https://docs.googl"&amp;"e.com/spreadsheets/d/1BIDqLLg5jk3v59G8NlR8rk5xfQDKne0sAvZHSj7TI6I/edit?usp=sharing"",""พระนครศรีอยุธยา!R146"")+IMPORTRANGE(""https://docs.google.com/spreadsheets/d/1YXvxf8Yu6_rV4hTBrwMqAcAnv6DfhUxh5emyM3CJp_w/edit?usp=sharing"",""เพชรบุรี!R146"")+IMPORTRA"&amp;"NGE(""https://docs.google.com/spreadsheets/d/19KBlQQs7uwvsao6t2n-KvW3Ax8J8uRRfZPq1zPbXgKc/edit?usp=sharing"",""ระยอง!R146"")+IMPORTRANGE(""https://docs.google.com/spreadsheets/d/1jQ6P4QcrGM89YfqcC_PxOHGCMq5ezhucwJd8ci-NHng/edit?usp=sharing"",""ราชบุรี!R14"&amp;"6"")+IMPORTRANGE(""https://docs.google.com/spreadsheets/d/1lufeA2cfFqM-elVq2hznhDzC6Pr7wkJ9ZG_sYNGCMCU/edit?usp=sharing"",""ลพบุรี!R146"")+IMPORTRANGE(""https://docs.google.com/spreadsheets/d/10oOiF7loTyfsTkbd4MpaIm0HQ9SwB7IYHdIUvt-U1Uc/edit?usp=sharing"""&amp;",""สระแก้ว!R146"")+IMPORTRANGE(""https://docs.google.com/spreadsheets/d/1xmPlrr1QbdSIKvl1dWUl9K4PjAfSL9oeMr_37QVzcxc/edit?usp=sharing"",""สระบุรี!R146"")+IMPORTRANGE(""https://docs.google.com/spreadsheets/d/1j51vR6CYVGhABJpv6tkstgok82RLpXieLzW1yOY5rHw/edi"&amp;"t?usp=sharing"",""สิงห์บุรี!R146"")+IMPORTRANGE(""https://docs.google.com/spreadsheets/d/1H1EalTWKUSzO4Z1-1CwzoDUaVffgrThEBe2sl74kKG0/edit?usp=sharing"",""สุพรรณบุรี!R146"")+IMPORTRANGE(""https://docs.google.com/spreadsheets/d/1BmIruG_sIrJLYao_Pdr7zVArWsf"&amp;"oBt2692TMi6x_854/edit?usp=sharing"",""อ่างทอง!R146"")"),0)</f>
        <v>0</v>
      </c>
      <c r="S146" s="75">
        <f ca="1">IFERROR(__xludf.DUMMYFUNCTION("IMPORTRANGE(""https://docs.google.com/spreadsheets/d/13wPX838HrBrQMCywv1BsuMkt4PEKTChp52zj44s2izQ/edit?usp=sharing"",""กาญจนบุรี!S146"")+IMPORTRANGE(""https://docs.google.com/spreadsheets/d/1ddFKvqj1W1NEiWytbGlB1zMx_ykJDVtmfEQ-6-lIUBA/edit?usp=sharing"","&amp;"""จันทบุรี!S146"")+IMPORTRANGE(""https://docs.google.com/spreadsheets/d/1T1PQvRODqOBZk8BRht_U031fIS1beLA0Ub2CEytj2q0/edit?usp=sharing"",""ฉะเชิงเทรา!S146"")+IMPORTRANGE(""https://docs.google.com/spreadsheets/d/11tr1B-Bhyr79v2bkwVh5h_fR-PStkgjlZtkrZpYurG0/"&amp;"edit?usp=sharing"",""ชลบุรี!S146"")+IMPORTRANGE(""https://docs.google.com/spreadsheets/d/1hh-FVnSX0vozXhGluamEcS54Dw9_zqW0N7qJUWgJ0Sw/edit?usp=sharing"",""ชัยนาท!S146"")+IMPORTRANGE(""https://docs.google.com/spreadsheets/d/1jkqa6GXxSacMcY1eN8AHjMNJ_7dDXMJ"&amp;"VRLDlaFSOdPM/edit?usp=sharing"",""ตราด!S146"")+IMPORTRANGE(""https://docs.google.com/spreadsheets/d/18hSgUJ3VwClqi_qtULmmW3cLr0oe3OKaSYoKzdpTsYQ/edit?usp=sharing"",""นครนายก!S146"")+IMPORTRANGE(""https://docs.google.com/spreadsheets/d/1YTZo6WM2dQ6Ix6FSdnL"&amp;"5P7uVnVKu40sxZu975tgG10E/edit?usp=sharing"",""นครปฐม!S146"")+IMPORTRANGE(""https://docs.google.com/spreadsheets/d/1OYoGg4WDg5RIzwGeB10padOxJF9E_Vljuvvct_M7RDo/edit?usp=sharing"",""ปทุมธานี!S146"")+IMPORTRANGE(""https://docs.google.com/spreadsheets/d/1GbCI"&amp;"E4D4wk9FUozzqk7SxfDMxDVBwVmI5zcaVUSzKAc/edit?usp=sharing"",""ประจวบคีรีขันธ์!S146"")+IMPORTRANGE(""https://docs.google.com/spreadsheets/d/1vVf6wykvW_lAyu7Yo9L4hUTqHqIeP_qcVuxCtosJEbg/edit?usp=sharing"",""ปราจีนบุรี!S146"")+IMPORTRANGE(""https://docs.googl"&amp;"e.com/spreadsheets/d/1BIDqLLg5jk3v59G8NlR8rk5xfQDKne0sAvZHSj7TI6I/edit?usp=sharing"",""พระนครศรีอยุธยา!S146"")+IMPORTRANGE(""https://docs.google.com/spreadsheets/d/1YXvxf8Yu6_rV4hTBrwMqAcAnv6DfhUxh5emyM3CJp_w/edit?usp=sharing"",""เพชรบุรี!S146"")+IMPORTRA"&amp;"NGE(""https://docs.google.com/spreadsheets/d/19KBlQQs7uwvsao6t2n-KvW3Ax8J8uRRfZPq1zPbXgKc/edit?usp=sharing"",""ระยอง!S146"")+IMPORTRANGE(""https://docs.google.com/spreadsheets/d/1jQ6P4QcrGM89YfqcC_PxOHGCMq5ezhucwJd8ci-NHng/edit?usp=sharing"",""ราชบุรี!S14"&amp;"6"")+IMPORTRANGE(""https://docs.google.com/spreadsheets/d/1lufeA2cfFqM-elVq2hznhDzC6Pr7wkJ9ZG_sYNGCMCU/edit?usp=sharing"",""ลพบุรี!S146"")+IMPORTRANGE(""https://docs.google.com/spreadsheets/d/10oOiF7loTyfsTkbd4MpaIm0HQ9SwB7IYHdIUvt-U1Uc/edit?usp=sharing"""&amp;",""สระแก้ว!S146"")+IMPORTRANGE(""https://docs.google.com/spreadsheets/d/1xmPlrr1QbdSIKvl1dWUl9K4PjAfSL9oeMr_37QVzcxc/edit?usp=sharing"",""สระบุรี!S146"")+IMPORTRANGE(""https://docs.google.com/spreadsheets/d/1j51vR6CYVGhABJpv6tkstgok82RLpXieLzW1yOY5rHw/edi"&amp;"t?usp=sharing"",""สิงห์บุรี!S146"")+IMPORTRANGE(""https://docs.google.com/spreadsheets/d/1H1EalTWKUSzO4Z1-1CwzoDUaVffgrThEBe2sl74kKG0/edit?usp=sharing"",""สุพรรณบุรี!S146"")+IMPORTRANGE(""https://docs.google.com/spreadsheets/d/1BmIruG_sIrJLYao_Pdr7zVArWsf"&amp;"oBt2692TMi6x_854/edit?usp=sharing"",""อ่างทอง!S146"")"),0)</f>
        <v>0</v>
      </c>
      <c r="T146" s="131">
        <f t="shared" ca="1" si="113"/>
        <v>0</v>
      </c>
      <c r="U146" s="131">
        <f t="shared" ca="1" si="114"/>
        <v>0</v>
      </c>
    </row>
    <row r="147" spans="1:21" ht="18.75" hidden="1" x14ac:dyDescent="0.25">
      <c r="A147" s="207"/>
      <c r="B147" s="65"/>
      <c r="C147" s="65"/>
      <c r="D147" s="65"/>
      <c r="E147" s="73" t="s">
        <v>21</v>
      </c>
      <c r="F147" s="65"/>
      <c r="G147" s="67"/>
      <c r="H147" s="219" t="s">
        <v>14</v>
      </c>
      <c r="I147" s="217"/>
      <c r="J147" s="217"/>
      <c r="K147" s="218"/>
      <c r="L147" s="86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7" s="86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7" s="86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7" s="86">
        <f t="shared" ca="1" si="110"/>
        <v>0</v>
      </c>
      <c r="P147" s="86">
        <f t="shared" ca="1" si="111"/>
        <v>0</v>
      </c>
      <c r="Q147" s="71">
        <f ca="1">IFERROR(__xludf.DUMMYFUNCTION("IMPORTRANGE(""https://docs.google.com/spreadsheets/d/13wPX838HrBrQMCywv1BsuMkt4PEKTChp52zj44s2izQ/edit?usp=sharing"",""กาญจนบุรี!Q147"")+IMPORTRANGE(""https://docs.google.com/spreadsheets/d/1ddFKvqj1W1NEiWytbGlB1zMx_ykJDVtmfEQ-6-lIUBA/edit?usp=sharing"","&amp;"""จันทบุรี!Q147"")+IMPORTRANGE(""https://docs.google.com/spreadsheets/d/1T1PQvRODqOBZk8BRht_U031fIS1beLA0Ub2CEytj2q0/edit?usp=sharing"",""ฉะเชิงเทรา!Q147"")+IMPORTRANGE(""https://docs.google.com/spreadsheets/d/11tr1B-Bhyr79v2bkwVh5h_fR-PStkgjlZtkrZpYurG0/"&amp;"edit?usp=sharing"",""ชลบุรี!Q147"")+IMPORTRANGE(""https://docs.google.com/spreadsheets/d/1hh-FVnSX0vozXhGluamEcS54Dw9_zqW0N7qJUWgJ0Sw/edit?usp=sharing"",""ชัยนาท!Q147"")+IMPORTRANGE(""https://docs.google.com/spreadsheets/d/1jkqa6GXxSacMcY1eN8AHjMNJ_7dDXMJ"&amp;"VRLDlaFSOdPM/edit?usp=sharing"",""ตราด!Q147"")+IMPORTRANGE(""https://docs.google.com/spreadsheets/d/18hSgUJ3VwClqi_qtULmmW3cLr0oe3OKaSYoKzdpTsYQ/edit?usp=sharing"",""นครนายก!Q147"")+IMPORTRANGE(""https://docs.google.com/spreadsheets/d/1YTZo6WM2dQ6Ix6FSdnL"&amp;"5P7uVnVKu40sxZu975tgG10E/edit?usp=sharing"",""นครปฐม!Q147"")+IMPORTRANGE(""https://docs.google.com/spreadsheets/d/1OYoGg4WDg5RIzwGeB10padOxJF9E_Vljuvvct_M7RDo/edit?usp=sharing"",""ปทุมธานี!Q147"")+IMPORTRANGE(""https://docs.google.com/spreadsheets/d/1GbCI"&amp;"E4D4wk9FUozzqk7SxfDMxDVBwVmI5zcaVUSzKAc/edit?usp=sharing"",""ประจวบคีรีขันธ์!Q147"")+IMPORTRANGE(""https://docs.google.com/spreadsheets/d/1vVf6wykvW_lAyu7Yo9L4hUTqHqIeP_qcVuxCtosJEbg/edit?usp=sharing"",""ปราจีนบุรี!Q147"")+IMPORTRANGE(""https://docs.googl"&amp;"e.com/spreadsheets/d/1BIDqLLg5jk3v59G8NlR8rk5xfQDKne0sAvZHSj7TI6I/edit?usp=sharing"",""พระนครศรีอยุธยา!Q147"")+IMPORTRANGE(""https://docs.google.com/spreadsheets/d/1YXvxf8Yu6_rV4hTBrwMqAcAnv6DfhUxh5emyM3CJp_w/edit?usp=sharing"",""เพชรบุรี!Q147"")+IMPORTRA"&amp;"NGE(""https://docs.google.com/spreadsheets/d/19KBlQQs7uwvsao6t2n-KvW3Ax8J8uRRfZPq1zPbXgKc/edit?usp=sharing"",""ระยอง!Q147"")+IMPORTRANGE(""https://docs.google.com/spreadsheets/d/1jQ6P4QcrGM89YfqcC_PxOHGCMq5ezhucwJd8ci-NHng/edit?usp=sharing"",""ราชบุรี!Q14"&amp;"7"")+IMPORTRANGE(""https://docs.google.com/spreadsheets/d/1lufeA2cfFqM-elVq2hznhDzC6Pr7wkJ9ZG_sYNGCMCU/edit?usp=sharing"",""ลพบุรี!Q147"")+IMPORTRANGE(""https://docs.google.com/spreadsheets/d/10oOiF7loTyfsTkbd4MpaIm0HQ9SwB7IYHdIUvt-U1Uc/edit?usp=sharing"""&amp;",""สระแก้ว!Q147"")+IMPORTRANGE(""https://docs.google.com/spreadsheets/d/1xmPlrr1QbdSIKvl1dWUl9K4PjAfSL9oeMr_37QVzcxc/edit?usp=sharing"",""สระบุรี!Q147"")+IMPORTRANGE(""https://docs.google.com/spreadsheets/d/1j51vR6CYVGhABJpv6tkstgok82RLpXieLzW1yOY5rHw/edi"&amp;"t?usp=sharing"",""สิงห์บุรี!Q147"")+IMPORTRANGE(""https://docs.google.com/spreadsheets/d/1H1EalTWKUSzO4Z1-1CwzoDUaVffgrThEBe2sl74kKG0/edit?usp=sharing"",""สุพรรณบุรี!Q147"")+IMPORTRANGE(""https://docs.google.com/spreadsheets/d/1BmIruG_sIrJLYao_Pdr7zVArWsf"&amp;"oBt2692TMi6x_854/edit?usp=sharing"",""อ่างทอง!Q147"")"),0)</f>
        <v>0</v>
      </c>
      <c r="R147" s="72">
        <f ca="1">IFERROR(__xludf.DUMMYFUNCTION("IMPORTRANGE(""https://docs.google.com/spreadsheets/d/13wPX838HrBrQMCywv1BsuMkt4PEKTChp52zj44s2izQ/edit?usp=sharing"",""กาญจนบุรี!R147"")+IMPORTRANGE(""https://docs.google.com/spreadsheets/d/1ddFKvqj1W1NEiWytbGlB1zMx_ykJDVtmfEQ-6-lIUBA/edit?usp=sharing"","&amp;"""จันทบุรี!R147"")+IMPORTRANGE(""https://docs.google.com/spreadsheets/d/1T1PQvRODqOBZk8BRht_U031fIS1beLA0Ub2CEytj2q0/edit?usp=sharing"",""ฉะเชิงเทรา!R147"")+IMPORTRANGE(""https://docs.google.com/spreadsheets/d/11tr1B-Bhyr79v2bkwVh5h_fR-PStkgjlZtkrZpYurG0/"&amp;"edit?usp=sharing"",""ชลบุรี!R147"")+IMPORTRANGE(""https://docs.google.com/spreadsheets/d/1hh-FVnSX0vozXhGluamEcS54Dw9_zqW0N7qJUWgJ0Sw/edit?usp=sharing"",""ชัยนาท!R147"")+IMPORTRANGE(""https://docs.google.com/spreadsheets/d/1jkqa6GXxSacMcY1eN8AHjMNJ_7dDXMJ"&amp;"VRLDlaFSOdPM/edit?usp=sharing"",""ตราด!R147"")+IMPORTRANGE(""https://docs.google.com/spreadsheets/d/18hSgUJ3VwClqi_qtULmmW3cLr0oe3OKaSYoKzdpTsYQ/edit?usp=sharing"",""นครนายก!R147"")+IMPORTRANGE(""https://docs.google.com/spreadsheets/d/1YTZo6WM2dQ6Ix6FSdnL"&amp;"5P7uVnVKu40sxZu975tgG10E/edit?usp=sharing"",""นครปฐม!R147"")+IMPORTRANGE(""https://docs.google.com/spreadsheets/d/1OYoGg4WDg5RIzwGeB10padOxJF9E_Vljuvvct_M7RDo/edit?usp=sharing"",""ปทุมธานี!R147"")+IMPORTRANGE(""https://docs.google.com/spreadsheets/d/1GbCI"&amp;"E4D4wk9FUozzqk7SxfDMxDVBwVmI5zcaVUSzKAc/edit?usp=sharing"",""ประจวบคีรีขันธ์!R147"")+IMPORTRANGE(""https://docs.google.com/spreadsheets/d/1vVf6wykvW_lAyu7Yo9L4hUTqHqIeP_qcVuxCtosJEbg/edit?usp=sharing"",""ปราจีนบุรี!R147"")+IMPORTRANGE(""https://docs.googl"&amp;"e.com/spreadsheets/d/1BIDqLLg5jk3v59G8NlR8rk5xfQDKne0sAvZHSj7TI6I/edit?usp=sharing"",""พระนครศรีอยุธยา!R147"")+IMPORTRANGE(""https://docs.google.com/spreadsheets/d/1YXvxf8Yu6_rV4hTBrwMqAcAnv6DfhUxh5emyM3CJp_w/edit?usp=sharing"",""เพชรบุรี!R147"")+IMPORTRA"&amp;"NGE(""https://docs.google.com/spreadsheets/d/19KBlQQs7uwvsao6t2n-KvW3Ax8J8uRRfZPq1zPbXgKc/edit?usp=sharing"",""ระยอง!R147"")+IMPORTRANGE(""https://docs.google.com/spreadsheets/d/1jQ6P4QcrGM89YfqcC_PxOHGCMq5ezhucwJd8ci-NHng/edit?usp=sharing"",""ราชบุรี!R14"&amp;"7"")+IMPORTRANGE(""https://docs.google.com/spreadsheets/d/1lufeA2cfFqM-elVq2hznhDzC6Pr7wkJ9ZG_sYNGCMCU/edit?usp=sharing"",""ลพบุรี!R147"")+IMPORTRANGE(""https://docs.google.com/spreadsheets/d/10oOiF7loTyfsTkbd4MpaIm0HQ9SwB7IYHdIUvt-U1Uc/edit?usp=sharing"""&amp;",""สระแก้ว!R147"")+IMPORTRANGE(""https://docs.google.com/spreadsheets/d/1xmPlrr1QbdSIKvl1dWUl9K4PjAfSL9oeMr_37QVzcxc/edit?usp=sharing"",""สระบุรี!R147"")+IMPORTRANGE(""https://docs.google.com/spreadsheets/d/1j51vR6CYVGhABJpv6tkstgok82RLpXieLzW1yOY5rHw/edi"&amp;"t?usp=sharing"",""สิงห์บุรี!R147"")+IMPORTRANGE(""https://docs.google.com/spreadsheets/d/1H1EalTWKUSzO4Z1-1CwzoDUaVffgrThEBe2sl74kKG0/edit?usp=sharing"",""สุพรรณบุรี!R147"")+IMPORTRANGE(""https://docs.google.com/spreadsheets/d/1BmIruG_sIrJLYao_Pdr7zVArWsf"&amp;"oBt2692TMi6x_854/edit?usp=sharing"",""อ่างทอง!R147"")"),0)</f>
        <v>0</v>
      </c>
      <c r="S147" s="72">
        <f ca="1">IFERROR(__xludf.DUMMYFUNCTION("IMPORTRANGE(""https://docs.google.com/spreadsheets/d/13wPX838HrBrQMCywv1BsuMkt4PEKTChp52zj44s2izQ/edit?usp=sharing"",""กาญจนบุรี!S147"")+IMPORTRANGE(""https://docs.google.com/spreadsheets/d/1ddFKvqj1W1NEiWytbGlB1zMx_ykJDVtmfEQ-6-lIUBA/edit?usp=sharing"","&amp;"""จันทบุรี!S147"")+IMPORTRANGE(""https://docs.google.com/spreadsheets/d/1T1PQvRODqOBZk8BRht_U031fIS1beLA0Ub2CEytj2q0/edit?usp=sharing"",""ฉะเชิงเทรา!S147"")+IMPORTRANGE(""https://docs.google.com/spreadsheets/d/11tr1B-Bhyr79v2bkwVh5h_fR-PStkgjlZtkrZpYurG0/"&amp;"edit?usp=sharing"",""ชลบุรี!S147"")+IMPORTRANGE(""https://docs.google.com/spreadsheets/d/1hh-FVnSX0vozXhGluamEcS54Dw9_zqW0N7qJUWgJ0Sw/edit?usp=sharing"",""ชัยนาท!S147"")+IMPORTRANGE(""https://docs.google.com/spreadsheets/d/1jkqa6GXxSacMcY1eN8AHjMNJ_7dDXMJ"&amp;"VRLDlaFSOdPM/edit?usp=sharing"",""ตราด!S147"")+IMPORTRANGE(""https://docs.google.com/spreadsheets/d/18hSgUJ3VwClqi_qtULmmW3cLr0oe3OKaSYoKzdpTsYQ/edit?usp=sharing"",""นครนายก!S147"")+IMPORTRANGE(""https://docs.google.com/spreadsheets/d/1YTZo6WM2dQ6Ix6FSdnL"&amp;"5P7uVnVKu40sxZu975tgG10E/edit?usp=sharing"",""นครปฐม!S147"")+IMPORTRANGE(""https://docs.google.com/spreadsheets/d/1OYoGg4WDg5RIzwGeB10padOxJF9E_Vljuvvct_M7RDo/edit?usp=sharing"",""ปทุมธานี!S147"")+IMPORTRANGE(""https://docs.google.com/spreadsheets/d/1GbCI"&amp;"E4D4wk9FUozzqk7SxfDMxDVBwVmI5zcaVUSzKAc/edit?usp=sharing"",""ประจวบคีรีขันธ์!S147"")+IMPORTRANGE(""https://docs.google.com/spreadsheets/d/1vVf6wykvW_lAyu7Yo9L4hUTqHqIeP_qcVuxCtosJEbg/edit?usp=sharing"",""ปราจีนบุรี!S147"")+IMPORTRANGE(""https://docs.googl"&amp;"e.com/spreadsheets/d/1BIDqLLg5jk3v59G8NlR8rk5xfQDKne0sAvZHSj7TI6I/edit?usp=sharing"",""พระนครศรีอยุธยา!S147"")+IMPORTRANGE(""https://docs.google.com/spreadsheets/d/1YXvxf8Yu6_rV4hTBrwMqAcAnv6DfhUxh5emyM3CJp_w/edit?usp=sharing"",""เพชรบุรี!S147"")+IMPORTRA"&amp;"NGE(""https://docs.google.com/spreadsheets/d/19KBlQQs7uwvsao6t2n-KvW3Ax8J8uRRfZPq1zPbXgKc/edit?usp=sharing"",""ระยอง!S147"")+IMPORTRANGE(""https://docs.google.com/spreadsheets/d/1jQ6P4QcrGM89YfqcC_PxOHGCMq5ezhucwJd8ci-NHng/edit?usp=sharing"",""ราชบุรี!S14"&amp;"7"")+IMPORTRANGE(""https://docs.google.com/spreadsheets/d/1lufeA2cfFqM-elVq2hznhDzC6Pr7wkJ9ZG_sYNGCMCU/edit?usp=sharing"",""ลพบุรี!S147"")+IMPORTRANGE(""https://docs.google.com/spreadsheets/d/10oOiF7loTyfsTkbd4MpaIm0HQ9SwB7IYHdIUvt-U1Uc/edit?usp=sharing"""&amp;",""สระแก้ว!S147"")+IMPORTRANGE(""https://docs.google.com/spreadsheets/d/1xmPlrr1QbdSIKvl1dWUl9K4PjAfSL9oeMr_37QVzcxc/edit?usp=sharing"",""สระบุรี!S147"")+IMPORTRANGE(""https://docs.google.com/spreadsheets/d/1j51vR6CYVGhABJpv6tkstgok82RLpXieLzW1yOY5rHw/edi"&amp;"t?usp=sharing"",""สิงห์บุรี!S147"")+IMPORTRANGE(""https://docs.google.com/spreadsheets/d/1H1EalTWKUSzO4Z1-1CwzoDUaVffgrThEBe2sl74kKG0/edit?usp=sharing"",""สุพรรณบุรี!S147"")+IMPORTRANGE(""https://docs.google.com/spreadsheets/d/1BmIruG_sIrJLYao_Pdr7zVArWsf"&amp;"oBt2692TMi6x_854/edit?usp=sharing"",""อ่างทอง!S147"")"),0)</f>
        <v>0</v>
      </c>
      <c r="T147" s="130">
        <f t="shared" ca="1" si="113"/>
        <v>0</v>
      </c>
      <c r="U147" s="130">
        <f t="shared" ca="1" si="114"/>
        <v>0</v>
      </c>
    </row>
    <row r="148" spans="1:21" ht="19.5" x14ac:dyDescent="0.3">
      <c r="A148" s="220"/>
      <c r="B148" s="221"/>
      <c r="C148" s="208" t="s">
        <v>18</v>
      </c>
      <c r="D148" s="222" t="s">
        <v>38</v>
      </c>
      <c r="E148" s="223"/>
      <c r="F148" s="223"/>
      <c r="G148" s="224"/>
      <c r="H148" s="314"/>
      <c r="I148" s="69"/>
      <c r="J148" s="69"/>
      <c r="K148" s="70"/>
      <c r="L148" s="70"/>
      <c r="M148" s="70"/>
      <c r="N148" s="70"/>
      <c r="O148" s="70"/>
      <c r="P148" s="70"/>
      <c r="Q148" s="84"/>
      <c r="R148" s="85"/>
      <c r="S148" s="85"/>
      <c r="T148" s="85"/>
      <c r="U148" s="85"/>
    </row>
    <row r="149" spans="1:21" ht="18.75" x14ac:dyDescent="0.25">
      <c r="A149" s="207"/>
      <c r="B149" s="65"/>
      <c r="C149" s="65"/>
      <c r="D149" s="73" t="s">
        <v>63</v>
      </c>
      <c r="E149" s="65"/>
      <c r="F149" s="65"/>
      <c r="G149" s="67"/>
      <c r="H149" s="314"/>
      <c r="I149" s="69"/>
      <c r="J149" s="237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49" s="70"/>
      <c r="L149" s="70"/>
      <c r="M149" s="70"/>
      <c r="N149" s="70"/>
      <c r="O149" s="70"/>
      <c r="P149" s="70"/>
      <c r="Q149" s="84"/>
      <c r="R149" s="85"/>
      <c r="S149" s="85"/>
      <c r="T149" s="85"/>
      <c r="U149" s="85"/>
    </row>
    <row r="150" spans="1:21" ht="19.5" x14ac:dyDescent="0.3">
      <c r="A150" s="315"/>
      <c r="B150" s="77"/>
      <c r="C150" s="77"/>
      <c r="D150" s="316"/>
      <c r="E150" s="317" t="s">
        <v>64</v>
      </c>
      <c r="F150" s="77"/>
      <c r="G150" s="79"/>
      <c r="H150" s="318" t="s">
        <v>35</v>
      </c>
      <c r="I150" s="319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0" s="319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30)</f>
        <v>30</v>
      </c>
      <c r="K150" s="83">
        <f t="shared" ref="K150:K154" ca="1" si="123">IF(I150&gt;0,J150*100/I150,0)</f>
        <v>60</v>
      </c>
      <c r="L150" s="82"/>
      <c r="M150" s="82"/>
      <c r="N150" s="82"/>
      <c r="O150" s="82"/>
      <c r="P150" s="82"/>
      <c r="Q150" s="84"/>
      <c r="R150" s="85"/>
      <c r="S150" s="85"/>
      <c r="T150" s="85"/>
      <c r="U150" s="85"/>
    </row>
    <row r="151" spans="1:21" ht="18.75" x14ac:dyDescent="0.25">
      <c r="A151" s="315"/>
      <c r="B151" s="77"/>
      <c r="C151" s="77"/>
      <c r="D151" s="316"/>
      <c r="E151" s="317"/>
      <c r="F151" s="77"/>
      <c r="G151" s="79"/>
      <c r="H151" s="318" t="s">
        <v>54</v>
      </c>
      <c r="I151" s="319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1" s="319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3)</f>
        <v>3</v>
      </c>
      <c r="K151" s="83">
        <f t="shared" ca="1" si="123"/>
        <v>60</v>
      </c>
      <c r="L151" s="82"/>
      <c r="M151" s="82"/>
      <c r="N151" s="82"/>
      <c r="O151" s="82"/>
      <c r="P151" s="82"/>
      <c r="Q151" s="84"/>
      <c r="R151" s="85"/>
      <c r="S151" s="85"/>
      <c r="T151" s="85"/>
      <c r="U151" s="85"/>
    </row>
    <row r="152" spans="1:21" ht="19.5" x14ac:dyDescent="0.3">
      <c r="A152" s="315"/>
      <c r="B152" s="77"/>
      <c r="C152" s="77"/>
      <c r="D152" s="316"/>
      <c r="E152" s="317" t="s">
        <v>65</v>
      </c>
      <c r="F152" s="77"/>
      <c r="G152" s="79"/>
      <c r="H152" s="318" t="s">
        <v>35</v>
      </c>
      <c r="I152" s="319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2" s="319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120)</f>
        <v>120</v>
      </c>
      <c r="K152" s="83">
        <f t="shared" ca="1" si="123"/>
        <v>66.666666666666671</v>
      </c>
      <c r="L152" s="82"/>
      <c r="M152" s="82"/>
      <c r="N152" s="82"/>
      <c r="O152" s="82"/>
      <c r="P152" s="82"/>
      <c r="Q152" s="84"/>
      <c r="R152" s="85"/>
      <c r="S152" s="85"/>
      <c r="T152" s="85"/>
      <c r="U152" s="85"/>
    </row>
    <row r="153" spans="1:21" ht="19.5" x14ac:dyDescent="0.3">
      <c r="A153" s="315"/>
      <c r="B153" s="77"/>
      <c r="C153" s="77"/>
      <c r="D153" s="317"/>
      <c r="E153" s="320"/>
      <c r="F153" s="77"/>
      <c r="G153" s="79"/>
      <c r="H153" s="318" t="s">
        <v>54</v>
      </c>
      <c r="I153" s="319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3" s="319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12)</f>
        <v>12</v>
      </c>
      <c r="K153" s="83">
        <f t="shared" ca="1" si="123"/>
        <v>66.666666666666671</v>
      </c>
      <c r="L153" s="82"/>
      <c r="M153" s="82"/>
      <c r="N153" s="82"/>
      <c r="O153" s="82"/>
      <c r="P153" s="82"/>
      <c r="Q153" s="84"/>
      <c r="R153" s="85"/>
      <c r="S153" s="85"/>
      <c r="T153" s="85"/>
      <c r="U153" s="85"/>
    </row>
    <row r="154" spans="1:21" ht="18.75" x14ac:dyDescent="0.25">
      <c r="A154" s="321"/>
      <c r="B154" s="322"/>
      <c r="C154" s="322"/>
      <c r="D154" s="323" t="s">
        <v>66</v>
      </c>
      <c r="E154" s="322"/>
      <c r="F154" s="322"/>
      <c r="G154" s="324"/>
      <c r="H154" s="325" t="s">
        <v>61</v>
      </c>
      <c r="I154" s="326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4" s="326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4" s="83">
        <f t="shared" ca="1" si="123"/>
        <v>0</v>
      </c>
      <c r="L154" s="327"/>
      <c r="M154" s="327"/>
      <c r="N154" s="327"/>
      <c r="O154" s="327"/>
      <c r="P154" s="327"/>
      <c r="Q154" s="84"/>
      <c r="R154" s="85"/>
      <c r="S154" s="85"/>
      <c r="T154" s="85"/>
      <c r="U154" s="85"/>
    </row>
    <row r="155" spans="1:21" ht="19.5" x14ac:dyDescent="0.3">
      <c r="A155" s="328" t="s">
        <v>67</v>
      </c>
      <c r="B155" s="329"/>
      <c r="C155" s="330"/>
      <c r="D155" s="329"/>
      <c r="E155" s="329"/>
      <c r="F155" s="329"/>
      <c r="G155" s="329"/>
      <c r="H155" s="329"/>
      <c r="I155" s="331"/>
      <c r="J155" s="331"/>
      <c r="K155" s="332"/>
      <c r="L155" s="333"/>
      <c r="M155" s="333"/>
      <c r="N155" s="333"/>
      <c r="O155" s="333"/>
      <c r="P155" s="333"/>
      <c r="Q155" s="198"/>
      <c r="R155" s="199"/>
      <c r="S155" s="199"/>
      <c r="T155" s="199"/>
      <c r="U155" s="199"/>
    </row>
    <row r="156" spans="1:21" ht="19.5" x14ac:dyDescent="0.3">
      <c r="A156" s="200"/>
      <c r="B156" s="48" t="s">
        <v>68</v>
      </c>
      <c r="C156" s="47"/>
      <c r="D156" s="47"/>
      <c r="E156" s="47"/>
      <c r="F156" s="47"/>
      <c r="G156" s="50"/>
      <c r="H156" s="334" t="s">
        <v>35</v>
      </c>
      <c r="I156" s="203">
        <f ca="1">I167</f>
        <v>150</v>
      </c>
      <c r="J156" s="203">
        <f>J168</f>
        <v>0</v>
      </c>
      <c r="K156" s="204">
        <f ca="1">IF(I156&gt;0,J156*100/I156,0)</f>
        <v>0</v>
      </c>
      <c r="L156" s="53"/>
      <c r="M156" s="53"/>
      <c r="N156" s="53"/>
      <c r="O156" s="53"/>
      <c r="P156" s="53"/>
      <c r="Q156" s="205"/>
      <c r="R156" s="206"/>
      <c r="S156" s="206"/>
      <c r="T156" s="206"/>
      <c r="U156" s="206"/>
    </row>
    <row r="157" spans="1:21" ht="19.5" x14ac:dyDescent="0.3">
      <c r="A157" s="207"/>
      <c r="B157" s="65"/>
      <c r="C157" s="208" t="s">
        <v>18</v>
      </c>
      <c r="D157" s="209" t="s">
        <v>19</v>
      </c>
      <c r="E157" s="65"/>
      <c r="F157" s="65"/>
      <c r="G157" s="67"/>
      <c r="H157" s="210" t="s">
        <v>14</v>
      </c>
      <c r="I157" s="69"/>
      <c r="J157" s="69"/>
      <c r="K157" s="70"/>
      <c r="L157" s="211">
        <f t="shared" ref="L157:N157" ca="1" si="124">L158+L159</f>
        <v>47000</v>
      </c>
      <c r="M157" s="211">
        <f t="shared" ca="1" si="124"/>
        <v>756505</v>
      </c>
      <c r="N157" s="211">
        <f t="shared" ca="1" si="124"/>
        <v>51210</v>
      </c>
      <c r="O157" s="211">
        <f t="shared" ref="O157:O165" ca="1" si="125">IF(L157&gt;0,N157*100/L157,0)</f>
        <v>108.95744680851064</v>
      </c>
      <c r="P157" s="211">
        <f t="shared" ref="P157:P165" ca="1" si="126">IF(M157&gt;0,N157*100/M157,0)</f>
        <v>6.7692877112510823</v>
      </c>
      <c r="Q157" s="212">
        <f t="shared" ref="Q157:S157" ca="1" si="127">Q158+Q159</f>
        <v>0</v>
      </c>
      <c r="R157" s="213">
        <f t="shared" ca="1" si="127"/>
        <v>0</v>
      </c>
      <c r="S157" s="213">
        <f t="shared" ca="1" si="127"/>
        <v>0</v>
      </c>
      <c r="T157" s="213">
        <f t="shared" ref="T157:T165" ca="1" si="128">IF(Q157&gt;0,S157*100/Q157,0)</f>
        <v>0</v>
      </c>
      <c r="U157" s="213">
        <f t="shared" ref="U157:U165" ca="1" si="129">IF(R157&gt;0,S157*100/R157,0)</f>
        <v>0</v>
      </c>
    </row>
    <row r="158" spans="1:21" ht="18.75" hidden="1" x14ac:dyDescent="0.25">
      <c r="A158" s="207"/>
      <c r="B158" s="65"/>
      <c r="C158" s="65"/>
      <c r="D158" s="65"/>
      <c r="E158" s="73" t="s">
        <v>20</v>
      </c>
      <c r="F158" s="65"/>
      <c r="G158" s="67"/>
      <c r="H158" s="214" t="s">
        <v>14</v>
      </c>
      <c r="I158" s="69"/>
      <c r="J158" s="69"/>
      <c r="K158" s="70"/>
      <c r="L158" s="86">
        <f t="shared" ref="L158:N158" ca="1" si="130">L161+L164</f>
        <v>0</v>
      </c>
      <c r="M158" s="86">
        <f t="shared" ca="1" si="130"/>
        <v>0</v>
      </c>
      <c r="N158" s="86">
        <f t="shared" ca="1" si="130"/>
        <v>0</v>
      </c>
      <c r="O158" s="86">
        <f t="shared" ca="1" si="125"/>
        <v>0</v>
      </c>
      <c r="P158" s="86">
        <f t="shared" ca="1" si="126"/>
        <v>0</v>
      </c>
      <c r="Q158" s="215">
        <f t="shared" ref="Q158:S158" ca="1" si="131">Q161+Q164</f>
        <v>0</v>
      </c>
      <c r="R158" s="131">
        <f t="shared" ca="1" si="131"/>
        <v>0</v>
      </c>
      <c r="S158" s="131">
        <f t="shared" ca="1" si="131"/>
        <v>0</v>
      </c>
      <c r="T158" s="131">
        <f t="shared" ca="1" si="128"/>
        <v>0</v>
      </c>
      <c r="U158" s="131">
        <f t="shared" ca="1" si="129"/>
        <v>0</v>
      </c>
    </row>
    <row r="159" spans="1:21" ht="18.75" hidden="1" x14ac:dyDescent="0.25">
      <c r="A159" s="207"/>
      <c r="B159" s="65"/>
      <c r="C159" s="65"/>
      <c r="D159" s="65"/>
      <c r="E159" s="73" t="s">
        <v>21</v>
      </c>
      <c r="F159" s="65"/>
      <c r="G159" s="67"/>
      <c r="H159" s="214" t="s">
        <v>14</v>
      </c>
      <c r="I159" s="69"/>
      <c r="J159" s="69"/>
      <c r="K159" s="70"/>
      <c r="L159" s="86">
        <f t="shared" ref="L159:N159" ca="1" si="132">L162+L165</f>
        <v>47000</v>
      </c>
      <c r="M159" s="86">
        <f t="shared" ca="1" si="132"/>
        <v>756505</v>
      </c>
      <c r="N159" s="86">
        <f t="shared" ca="1" si="132"/>
        <v>51210</v>
      </c>
      <c r="O159" s="86">
        <f t="shared" ca="1" si="125"/>
        <v>108.95744680851064</v>
      </c>
      <c r="P159" s="86">
        <f t="shared" ca="1" si="126"/>
        <v>6.7692877112510823</v>
      </c>
      <c r="Q159" s="129">
        <f t="shared" ref="Q159:S159" ca="1" si="133">Q162+Q165</f>
        <v>0</v>
      </c>
      <c r="R159" s="130">
        <f t="shared" ca="1" si="133"/>
        <v>0</v>
      </c>
      <c r="S159" s="130">
        <f t="shared" ca="1" si="133"/>
        <v>0</v>
      </c>
      <c r="T159" s="130">
        <f t="shared" ca="1" si="128"/>
        <v>0</v>
      </c>
      <c r="U159" s="130">
        <f t="shared" ca="1" si="129"/>
        <v>0</v>
      </c>
    </row>
    <row r="160" spans="1:21" ht="18.75" x14ac:dyDescent="0.25">
      <c r="A160" s="207"/>
      <c r="B160" s="65"/>
      <c r="C160" s="65"/>
      <c r="D160" s="66" t="s">
        <v>22</v>
      </c>
      <c r="E160" s="65"/>
      <c r="F160" s="65"/>
      <c r="G160" s="67"/>
      <c r="H160" s="216" t="s">
        <v>14</v>
      </c>
      <c r="I160" s="217"/>
      <c r="J160" s="217"/>
      <c r="K160" s="218"/>
      <c r="L160" s="86">
        <f t="shared" ref="L160:N160" ca="1" si="134">L161+L162</f>
        <v>47000</v>
      </c>
      <c r="M160" s="86">
        <f t="shared" ca="1" si="134"/>
        <v>756505</v>
      </c>
      <c r="N160" s="86">
        <f t="shared" ca="1" si="134"/>
        <v>51210</v>
      </c>
      <c r="O160" s="86">
        <f t="shared" ca="1" si="125"/>
        <v>108.95744680851064</v>
      </c>
      <c r="P160" s="86">
        <f t="shared" ca="1" si="126"/>
        <v>6.7692877112510823</v>
      </c>
      <c r="Q160" s="129">
        <f t="shared" ref="Q160:S160" ca="1" si="135">Q161+Q162</f>
        <v>0</v>
      </c>
      <c r="R160" s="130">
        <f t="shared" ca="1" si="135"/>
        <v>0</v>
      </c>
      <c r="S160" s="130">
        <f t="shared" ca="1" si="135"/>
        <v>0</v>
      </c>
      <c r="T160" s="130">
        <f t="shared" ca="1" si="128"/>
        <v>0</v>
      </c>
      <c r="U160" s="130">
        <f t="shared" ca="1" si="129"/>
        <v>0</v>
      </c>
    </row>
    <row r="161" spans="1:21" ht="18.75" hidden="1" x14ac:dyDescent="0.25">
      <c r="A161" s="207"/>
      <c r="B161" s="65"/>
      <c r="C161" s="65"/>
      <c r="D161" s="65"/>
      <c r="E161" s="73" t="s">
        <v>36</v>
      </c>
      <c r="F161" s="65"/>
      <c r="G161" s="67"/>
      <c r="H161" s="216" t="s">
        <v>14</v>
      </c>
      <c r="I161" s="217"/>
      <c r="J161" s="217"/>
      <c r="K161" s="218"/>
      <c r="L161" s="86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1" s="86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1" s="86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1" s="86">
        <f t="shared" ca="1" si="125"/>
        <v>0</v>
      </c>
      <c r="P161" s="86">
        <f t="shared" ca="1" si="126"/>
        <v>0</v>
      </c>
      <c r="Q161" s="74">
        <f ca="1">IFERROR(__xludf.DUMMYFUNCTION("IMPORTRANGE(""https://docs.google.com/spreadsheets/d/13wPX838HrBrQMCywv1BsuMkt4PEKTChp52zj44s2izQ/edit?usp=sharing"",""กาญจนบุรี!Q161"")+IMPORTRANGE(""https://docs.google.com/spreadsheets/d/1ddFKvqj1W1NEiWytbGlB1zMx_ykJDVtmfEQ-6-lIUBA/edit?usp=sharing"","&amp;"""จันทบุรี!Q161"")+IMPORTRANGE(""https://docs.google.com/spreadsheets/d/1T1PQvRODqOBZk8BRht_U031fIS1beLA0Ub2CEytj2q0/edit?usp=sharing"",""ฉะเชิงเทรา!Q161"")+IMPORTRANGE(""https://docs.google.com/spreadsheets/d/11tr1B-Bhyr79v2bkwVh5h_fR-PStkgjlZtkrZpYurG0/"&amp;"edit?usp=sharing"",""ชลบุรี!Q161"")+IMPORTRANGE(""https://docs.google.com/spreadsheets/d/1hh-FVnSX0vozXhGluamEcS54Dw9_zqW0N7qJUWgJ0Sw/edit?usp=sharing"",""ชัยนาท!Q161"")+IMPORTRANGE(""https://docs.google.com/spreadsheets/d/1jkqa6GXxSacMcY1eN8AHjMNJ_7dDXMJ"&amp;"VRLDlaFSOdPM/edit?usp=sharing"",""ตราด!Q161"")+IMPORTRANGE(""https://docs.google.com/spreadsheets/d/18hSgUJ3VwClqi_qtULmmW3cLr0oe3OKaSYoKzdpTsYQ/edit?usp=sharing"",""นครนายก!Q161"")+IMPORTRANGE(""https://docs.google.com/spreadsheets/d/1YTZo6WM2dQ6Ix6FSdnL"&amp;"5P7uVnVKu40sxZu975tgG10E/edit?usp=sharing"",""นครปฐม!Q161"")+IMPORTRANGE(""https://docs.google.com/spreadsheets/d/1OYoGg4WDg5RIzwGeB10padOxJF9E_Vljuvvct_M7RDo/edit?usp=sharing"",""ปทุมธานี!Q161"")+IMPORTRANGE(""https://docs.google.com/spreadsheets/d/1GbCI"&amp;"E4D4wk9FUozzqk7SxfDMxDVBwVmI5zcaVUSzKAc/edit?usp=sharing"",""ประจวบคีรีขันธ์!Q161"")+IMPORTRANGE(""https://docs.google.com/spreadsheets/d/1vVf6wykvW_lAyu7Yo9L4hUTqHqIeP_qcVuxCtosJEbg/edit?usp=sharing"",""ปราจีนบุรี!Q161"")+IMPORTRANGE(""https://docs.googl"&amp;"e.com/spreadsheets/d/1BIDqLLg5jk3v59G8NlR8rk5xfQDKne0sAvZHSj7TI6I/edit?usp=sharing"",""พระนครศรีอยุธยา!Q161"")+IMPORTRANGE(""https://docs.google.com/spreadsheets/d/1YXvxf8Yu6_rV4hTBrwMqAcAnv6DfhUxh5emyM3CJp_w/edit?usp=sharing"",""เพชรบุรี!Q161"")+IMPORTRA"&amp;"NGE(""https://docs.google.com/spreadsheets/d/19KBlQQs7uwvsao6t2n-KvW3Ax8J8uRRfZPq1zPbXgKc/edit?usp=sharing"",""ระยอง!Q161"")+IMPORTRANGE(""https://docs.google.com/spreadsheets/d/1jQ6P4QcrGM89YfqcC_PxOHGCMq5ezhucwJd8ci-NHng/edit?usp=sharing"",""ราชบุรี!Q16"&amp;"1"")+IMPORTRANGE(""https://docs.google.com/spreadsheets/d/1lufeA2cfFqM-elVq2hznhDzC6Pr7wkJ9ZG_sYNGCMCU/edit?usp=sharing"",""ลพบุรี!Q161"")+IMPORTRANGE(""https://docs.google.com/spreadsheets/d/10oOiF7loTyfsTkbd4MpaIm0HQ9SwB7IYHdIUvt-U1Uc/edit?usp=sharing"""&amp;",""สระแก้ว!Q161"")+IMPORTRANGE(""https://docs.google.com/spreadsheets/d/1xmPlrr1QbdSIKvl1dWUl9K4PjAfSL9oeMr_37QVzcxc/edit?usp=sharing"",""สระบุรี!Q161"")+IMPORTRANGE(""https://docs.google.com/spreadsheets/d/1j51vR6CYVGhABJpv6tkstgok82RLpXieLzW1yOY5rHw/edi"&amp;"t?usp=sharing"",""สิงห์บุรี!Q161"")+IMPORTRANGE(""https://docs.google.com/spreadsheets/d/1H1EalTWKUSzO4Z1-1CwzoDUaVffgrThEBe2sl74kKG0/edit?usp=sharing"",""สุพรรณบุรี!Q161"")+IMPORTRANGE(""https://docs.google.com/spreadsheets/d/1BmIruG_sIrJLYao_Pdr7zVArWsf"&amp;"oBt2692TMi6x_854/edit?usp=sharing"",""อ่างทอง!Q161"")"),0)</f>
        <v>0</v>
      </c>
      <c r="R161" s="75">
        <f ca="1">IFERROR(__xludf.DUMMYFUNCTION("IMPORTRANGE(""https://docs.google.com/spreadsheets/d/13wPX838HrBrQMCywv1BsuMkt4PEKTChp52zj44s2izQ/edit?usp=sharing"",""กาญจนบุรี!R161"")+IMPORTRANGE(""https://docs.google.com/spreadsheets/d/1ddFKvqj1W1NEiWytbGlB1zMx_ykJDVtmfEQ-6-lIUBA/edit?usp=sharing"","&amp;"""จันทบุรี!R161"")+IMPORTRANGE(""https://docs.google.com/spreadsheets/d/1T1PQvRODqOBZk8BRht_U031fIS1beLA0Ub2CEytj2q0/edit?usp=sharing"",""ฉะเชิงเทรา!R161"")+IMPORTRANGE(""https://docs.google.com/spreadsheets/d/11tr1B-Bhyr79v2bkwVh5h_fR-PStkgjlZtkrZpYurG0/"&amp;"edit?usp=sharing"",""ชลบุรี!R161"")+IMPORTRANGE(""https://docs.google.com/spreadsheets/d/1hh-FVnSX0vozXhGluamEcS54Dw9_zqW0N7qJUWgJ0Sw/edit?usp=sharing"",""ชัยนาท!R161"")+IMPORTRANGE(""https://docs.google.com/spreadsheets/d/1jkqa6GXxSacMcY1eN8AHjMNJ_7dDXMJ"&amp;"VRLDlaFSOdPM/edit?usp=sharing"",""ตราด!R161"")+IMPORTRANGE(""https://docs.google.com/spreadsheets/d/18hSgUJ3VwClqi_qtULmmW3cLr0oe3OKaSYoKzdpTsYQ/edit?usp=sharing"",""นครนายก!R161"")+IMPORTRANGE(""https://docs.google.com/spreadsheets/d/1YTZo6WM2dQ6Ix6FSdnL"&amp;"5P7uVnVKu40sxZu975tgG10E/edit?usp=sharing"",""นครปฐม!R161"")+IMPORTRANGE(""https://docs.google.com/spreadsheets/d/1OYoGg4WDg5RIzwGeB10padOxJF9E_Vljuvvct_M7RDo/edit?usp=sharing"",""ปทุมธานี!R161"")+IMPORTRANGE(""https://docs.google.com/spreadsheets/d/1GbCI"&amp;"E4D4wk9FUozzqk7SxfDMxDVBwVmI5zcaVUSzKAc/edit?usp=sharing"",""ประจวบคีรีขันธ์!R161"")+IMPORTRANGE(""https://docs.google.com/spreadsheets/d/1vVf6wykvW_lAyu7Yo9L4hUTqHqIeP_qcVuxCtosJEbg/edit?usp=sharing"",""ปราจีนบุรี!R161"")+IMPORTRANGE(""https://docs.googl"&amp;"e.com/spreadsheets/d/1BIDqLLg5jk3v59G8NlR8rk5xfQDKne0sAvZHSj7TI6I/edit?usp=sharing"",""พระนครศรีอยุธยา!R161"")+IMPORTRANGE(""https://docs.google.com/spreadsheets/d/1YXvxf8Yu6_rV4hTBrwMqAcAnv6DfhUxh5emyM3CJp_w/edit?usp=sharing"",""เพชรบุรี!R161"")+IMPORTRA"&amp;"NGE(""https://docs.google.com/spreadsheets/d/19KBlQQs7uwvsao6t2n-KvW3Ax8J8uRRfZPq1zPbXgKc/edit?usp=sharing"",""ระยอง!R161"")+IMPORTRANGE(""https://docs.google.com/spreadsheets/d/1jQ6P4QcrGM89YfqcC_PxOHGCMq5ezhucwJd8ci-NHng/edit?usp=sharing"",""ราชบุรี!R16"&amp;"1"")+IMPORTRANGE(""https://docs.google.com/spreadsheets/d/1lufeA2cfFqM-elVq2hznhDzC6Pr7wkJ9ZG_sYNGCMCU/edit?usp=sharing"",""ลพบุรี!R161"")+IMPORTRANGE(""https://docs.google.com/spreadsheets/d/10oOiF7loTyfsTkbd4MpaIm0HQ9SwB7IYHdIUvt-U1Uc/edit?usp=sharing"""&amp;",""สระแก้ว!R161"")+IMPORTRANGE(""https://docs.google.com/spreadsheets/d/1xmPlrr1QbdSIKvl1dWUl9K4PjAfSL9oeMr_37QVzcxc/edit?usp=sharing"",""สระบุรี!R161"")+IMPORTRANGE(""https://docs.google.com/spreadsheets/d/1j51vR6CYVGhABJpv6tkstgok82RLpXieLzW1yOY5rHw/edi"&amp;"t?usp=sharing"",""สิงห์บุรี!R161"")+IMPORTRANGE(""https://docs.google.com/spreadsheets/d/1H1EalTWKUSzO4Z1-1CwzoDUaVffgrThEBe2sl74kKG0/edit?usp=sharing"",""สุพรรณบุรี!R161"")+IMPORTRANGE(""https://docs.google.com/spreadsheets/d/1BmIruG_sIrJLYao_Pdr7zVArWsf"&amp;"oBt2692TMi6x_854/edit?usp=sharing"",""อ่างทอง!R161"")"),0)</f>
        <v>0</v>
      </c>
      <c r="S161" s="75">
        <f ca="1">IFERROR(__xludf.DUMMYFUNCTION("IMPORTRANGE(""https://docs.google.com/spreadsheets/d/13wPX838HrBrQMCywv1BsuMkt4PEKTChp52zj44s2izQ/edit?usp=sharing"",""กาญจนบุรี!S161"")+IMPORTRANGE(""https://docs.google.com/spreadsheets/d/1ddFKvqj1W1NEiWytbGlB1zMx_ykJDVtmfEQ-6-lIUBA/edit?usp=sharing"","&amp;"""จันทบุรี!S161"")+IMPORTRANGE(""https://docs.google.com/spreadsheets/d/1T1PQvRODqOBZk8BRht_U031fIS1beLA0Ub2CEytj2q0/edit?usp=sharing"",""ฉะเชิงเทรา!S161"")+IMPORTRANGE(""https://docs.google.com/spreadsheets/d/11tr1B-Bhyr79v2bkwVh5h_fR-PStkgjlZtkrZpYurG0/"&amp;"edit?usp=sharing"",""ชลบุรี!S161"")+IMPORTRANGE(""https://docs.google.com/spreadsheets/d/1hh-FVnSX0vozXhGluamEcS54Dw9_zqW0N7qJUWgJ0Sw/edit?usp=sharing"",""ชัยนาท!S161"")+IMPORTRANGE(""https://docs.google.com/spreadsheets/d/1jkqa6GXxSacMcY1eN8AHjMNJ_7dDXMJ"&amp;"VRLDlaFSOdPM/edit?usp=sharing"",""ตราด!S161"")+IMPORTRANGE(""https://docs.google.com/spreadsheets/d/18hSgUJ3VwClqi_qtULmmW3cLr0oe3OKaSYoKzdpTsYQ/edit?usp=sharing"",""นครนายก!S161"")+IMPORTRANGE(""https://docs.google.com/spreadsheets/d/1YTZo6WM2dQ6Ix6FSdnL"&amp;"5P7uVnVKu40sxZu975tgG10E/edit?usp=sharing"",""นครปฐม!S161"")+IMPORTRANGE(""https://docs.google.com/spreadsheets/d/1OYoGg4WDg5RIzwGeB10padOxJF9E_Vljuvvct_M7RDo/edit?usp=sharing"",""ปทุมธานี!S161"")+IMPORTRANGE(""https://docs.google.com/spreadsheets/d/1GbCI"&amp;"E4D4wk9FUozzqk7SxfDMxDVBwVmI5zcaVUSzKAc/edit?usp=sharing"",""ประจวบคีรีขันธ์!S161"")+IMPORTRANGE(""https://docs.google.com/spreadsheets/d/1vVf6wykvW_lAyu7Yo9L4hUTqHqIeP_qcVuxCtosJEbg/edit?usp=sharing"",""ปราจีนบุรี!S161"")+IMPORTRANGE(""https://docs.googl"&amp;"e.com/spreadsheets/d/1BIDqLLg5jk3v59G8NlR8rk5xfQDKne0sAvZHSj7TI6I/edit?usp=sharing"",""พระนครศรีอยุธยา!S161"")+IMPORTRANGE(""https://docs.google.com/spreadsheets/d/1YXvxf8Yu6_rV4hTBrwMqAcAnv6DfhUxh5emyM3CJp_w/edit?usp=sharing"",""เพชรบุรี!S161"")+IMPORTRA"&amp;"NGE(""https://docs.google.com/spreadsheets/d/19KBlQQs7uwvsao6t2n-KvW3Ax8J8uRRfZPq1zPbXgKc/edit?usp=sharing"",""ระยอง!S161"")+IMPORTRANGE(""https://docs.google.com/spreadsheets/d/1jQ6P4QcrGM89YfqcC_PxOHGCMq5ezhucwJd8ci-NHng/edit?usp=sharing"",""ราชบุรี!S16"&amp;"1"")+IMPORTRANGE(""https://docs.google.com/spreadsheets/d/1lufeA2cfFqM-elVq2hznhDzC6Pr7wkJ9ZG_sYNGCMCU/edit?usp=sharing"",""ลพบุรี!S161"")+IMPORTRANGE(""https://docs.google.com/spreadsheets/d/10oOiF7loTyfsTkbd4MpaIm0HQ9SwB7IYHdIUvt-U1Uc/edit?usp=sharing"""&amp;",""สระแก้ว!S161"")+IMPORTRANGE(""https://docs.google.com/spreadsheets/d/1xmPlrr1QbdSIKvl1dWUl9K4PjAfSL9oeMr_37QVzcxc/edit?usp=sharing"",""สระบุรี!S161"")+IMPORTRANGE(""https://docs.google.com/spreadsheets/d/1j51vR6CYVGhABJpv6tkstgok82RLpXieLzW1yOY5rHw/edi"&amp;"t?usp=sharing"",""สิงห์บุรี!S161"")+IMPORTRANGE(""https://docs.google.com/spreadsheets/d/1H1EalTWKUSzO4Z1-1CwzoDUaVffgrThEBe2sl74kKG0/edit?usp=sharing"",""สุพรรณบุรี!S161"")+IMPORTRANGE(""https://docs.google.com/spreadsheets/d/1BmIruG_sIrJLYao_Pdr7zVArWsf"&amp;"oBt2692TMi6x_854/edit?usp=sharing"",""อ่างทอง!S161"")"),0)</f>
        <v>0</v>
      </c>
      <c r="T161" s="131">
        <f t="shared" ca="1" si="128"/>
        <v>0</v>
      </c>
      <c r="U161" s="131">
        <f t="shared" ca="1" si="129"/>
        <v>0</v>
      </c>
    </row>
    <row r="162" spans="1:21" ht="18.75" hidden="1" x14ac:dyDescent="0.25">
      <c r="A162" s="207"/>
      <c r="B162" s="65"/>
      <c r="C162" s="65"/>
      <c r="D162" s="65"/>
      <c r="E162" s="73" t="s">
        <v>37</v>
      </c>
      <c r="F162" s="65"/>
      <c r="G162" s="67"/>
      <c r="H162" s="216" t="s">
        <v>14</v>
      </c>
      <c r="I162" s="217"/>
      <c r="J162" s="217"/>
      <c r="K162" s="218"/>
      <c r="L162" s="86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47000)</f>
        <v>47000</v>
      </c>
      <c r="M162" s="86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756505)</f>
        <v>756505</v>
      </c>
      <c r="N162" s="86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51210)</f>
        <v>51210</v>
      </c>
      <c r="O162" s="86">
        <f t="shared" ca="1" si="125"/>
        <v>108.95744680851064</v>
      </c>
      <c r="P162" s="86">
        <f t="shared" ca="1" si="126"/>
        <v>6.7692877112510823</v>
      </c>
      <c r="Q162" s="129">
        <f ca="1">IFERROR(__xludf.DUMMYFUNCTION("IMPORTRANGE(""https://docs.google.com/spreadsheets/d/13wPX838HrBrQMCywv1BsuMkt4PEKTChp52zj44s2izQ/edit?usp=sharing"",""กาญจนบุรี!Q162"")+IMPORTRANGE(""https://docs.google.com/spreadsheets/d/1ddFKvqj1W1NEiWytbGlB1zMx_ykJDVtmfEQ-6-lIUBA/edit?usp=sharing"","&amp;"""จันทบุรี!Q162"")+IMPORTRANGE(""https://docs.google.com/spreadsheets/d/1T1PQvRODqOBZk8BRht_U031fIS1beLA0Ub2CEytj2q0/edit?usp=sharing"",""ฉะเชิงเทรา!Q162"")+IMPORTRANGE(""https://docs.google.com/spreadsheets/d/11tr1B-Bhyr79v2bkwVh5h_fR-PStkgjlZtkrZpYurG0/"&amp;"edit?usp=sharing"",""ชลบุรี!Q162"")+IMPORTRANGE(""https://docs.google.com/spreadsheets/d/1hh-FVnSX0vozXhGluamEcS54Dw9_zqW0N7qJUWgJ0Sw/edit?usp=sharing"",""ชัยนาท!Q162"")+IMPORTRANGE(""https://docs.google.com/spreadsheets/d/1jkqa6GXxSacMcY1eN8AHjMNJ_7dDXMJ"&amp;"VRLDlaFSOdPM/edit?usp=sharing"",""ตราด!Q162"")+IMPORTRANGE(""https://docs.google.com/spreadsheets/d/18hSgUJ3VwClqi_qtULmmW3cLr0oe3OKaSYoKzdpTsYQ/edit?usp=sharing"",""นครนายก!Q162"")+IMPORTRANGE(""https://docs.google.com/spreadsheets/d/1YTZo6WM2dQ6Ix6FSdnL"&amp;"5P7uVnVKu40sxZu975tgG10E/edit?usp=sharing"",""นครปฐม!Q162"")+IMPORTRANGE(""https://docs.google.com/spreadsheets/d/1OYoGg4WDg5RIzwGeB10padOxJF9E_Vljuvvct_M7RDo/edit?usp=sharing"",""ปทุมธานี!Q162"")+IMPORTRANGE(""https://docs.google.com/spreadsheets/d/1GbCI"&amp;"E4D4wk9FUozzqk7SxfDMxDVBwVmI5zcaVUSzKAc/edit?usp=sharing"",""ประจวบคีรีขันธ์!Q162"")+IMPORTRANGE(""https://docs.google.com/spreadsheets/d/1vVf6wykvW_lAyu7Yo9L4hUTqHqIeP_qcVuxCtosJEbg/edit?usp=sharing"",""ปราจีนบุรี!Q162"")+IMPORTRANGE(""https://docs.googl"&amp;"e.com/spreadsheets/d/1BIDqLLg5jk3v59G8NlR8rk5xfQDKne0sAvZHSj7TI6I/edit?usp=sharing"",""พระนครศรีอยุธยา!Q162"")+IMPORTRANGE(""https://docs.google.com/spreadsheets/d/1YXvxf8Yu6_rV4hTBrwMqAcAnv6DfhUxh5emyM3CJp_w/edit?usp=sharing"",""เพชรบุรี!Q162"")+IMPORTRA"&amp;"NGE(""https://docs.google.com/spreadsheets/d/19KBlQQs7uwvsao6t2n-KvW3Ax8J8uRRfZPq1zPbXgKc/edit?usp=sharing"",""ระยอง!Q162"")+IMPORTRANGE(""https://docs.google.com/spreadsheets/d/1jQ6P4QcrGM89YfqcC_PxOHGCMq5ezhucwJd8ci-NHng/edit?usp=sharing"",""ราชบุรี!Q16"&amp;"2"")+IMPORTRANGE(""https://docs.google.com/spreadsheets/d/1lufeA2cfFqM-elVq2hznhDzC6Pr7wkJ9ZG_sYNGCMCU/edit?usp=sharing"",""ลพบุรี!Q162"")+IMPORTRANGE(""https://docs.google.com/spreadsheets/d/10oOiF7loTyfsTkbd4MpaIm0HQ9SwB7IYHdIUvt-U1Uc/edit?usp=sharing"""&amp;",""สระแก้ว!Q162"")+IMPORTRANGE(""https://docs.google.com/spreadsheets/d/1xmPlrr1QbdSIKvl1dWUl9K4PjAfSL9oeMr_37QVzcxc/edit?usp=sharing"",""สระบุรี!Q162"")+IMPORTRANGE(""https://docs.google.com/spreadsheets/d/1j51vR6CYVGhABJpv6tkstgok82RLpXieLzW1yOY5rHw/edi"&amp;"t?usp=sharing"",""สิงห์บุรี!Q162"")+IMPORTRANGE(""https://docs.google.com/spreadsheets/d/1H1EalTWKUSzO4Z1-1CwzoDUaVffgrThEBe2sl74kKG0/edit?usp=sharing"",""สุพรรณบุรี!Q162"")+IMPORTRANGE(""https://docs.google.com/spreadsheets/d/1BmIruG_sIrJLYao_Pdr7zVArWsf"&amp;"oBt2692TMi6x_854/edit?usp=sharing"",""อ่างทอง!Q162"")"),0)</f>
        <v>0</v>
      </c>
      <c r="R162" s="130">
        <f ca="1">IFERROR(__xludf.DUMMYFUNCTION("IMPORTRANGE(""https://docs.google.com/spreadsheets/d/13wPX838HrBrQMCywv1BsuMkt4PEKTChp52zj44s2izQ/edit?usp=sharing"",""กาญจนบุรี!R162"")+IMPORTRANGE(""https://docs.google.com/spreadsheets/d/1ddFKvqj1W1NEiWytbGlB1zMx_ykJDVtmfEQ-6-lIUBA/edit?usp=sharing"","&amp;"""จันทบุรี!R162"")+IMPORTRANGE(""https://docs.google.com/spreadsheets/d/1T1PQvRODqOBZk8BRht_U031fIS1beLA0Ub2CEytj2q0/edit?usp=sharing"",""ฉะเชิงเทรา!R162"")+IMPORTRANGE(""https://docs.google.com/spreadsheets/d/11tr1B-Bhyr79v2bkwVh5h_fR-PStkgjlZtkrZpYurG0/"&amp;"edit?usp=sharing"",""ชลบุรี!R162"")+IMPORTRANGE(""https://docs.google.com/spreadsheets/d/1hh-FVnSX0vozXhGluamEcS54Dw9_zqW0N7qJUWgJ0Sw/edit?usp=sharing"",""ชัยนาท!R162"")+IMPORTRANGE(""https://docs.google.com/spreadsheets/d/1jkqa6GXxSacMcY1eN8AHjMNJ_7dDXMJ"&amp;"VRLDlaFSOdPM/edit?usp=sharing"",""ตราด!R162"")+IMPORTRANGE(""https://docs.google.com/spreadsheets/d/18hSgUJ3VwClqi_qtULmmW3cLr0oe3OKaSYoKzdpTsYQ/edit?usp=sharing"",""นครนายก!R162"")+IMPORTRANGE(""https://docs.google.com/spreadsheets/d/1YTZo6WM2dQ6Ix6FSdnL"&amp;"5P7uVnVKu40sxZu975tgG10E/edit?usp=sharing"",""นครปฐม!R162"")+IMPORTRANGE(""https://docs.google.com/spreadsheets/d/1OYoGg4WDg5RIzwGeB10padOxJF9E_Vljuvvct_M7RDo/edit?usp=sharing"",""ปทุมธานี!R162"")+IMPORTRANGE(""https://docs.google.com/spreadsheets/d/1GbCI"&amp;"E4D4wk9FUozzqk7SxfDMxDVBwVmI5zcaVUSzKAc/edit?usp=sharing"",""ประจวบคีรีขันธ์!R162"")+IMPORTRANGE(""https://docs.google.com/spreadsheets/d/1vVf6wykvW_lAyu7Yo9L4hUTqHqIeP_qcVuxCtosJEbg/edit?usp=sharing"",""ปราจีนบุรี!R162"")+IMPORTRANGE(""https://docs.googl"&amp;"e.com/spreadsheets/d/1BIDqLLg5jk3v59G8NlR8rk5xfQDKne0sAvZHSj7TI6I/edit?usp=sharing"",""พระนครศรีอยุธยา!R162"")+IMPORTRANGE(""https://docs.google.com/spreadsheets/d/1YXvxf8Yu6_rV4hTBrwMqAcAnv6DfhUxh5emyM3CJp_w/edit?usp=sharing"",""เพชรบุรี!R162"")+IMPORTRA"&amp;"NGE(""https://docs.google.com/spreadsheets/d/19KBlQQs7uwvsao6t2n-KvW3Ax8J8uRRfZPq1zPbXgKc/edit?usp=sharing"",""ระยอง!R162"")+IMPORTRANGE(""https://docs.google.com/spreadsheets/d/1jQ6P4QcrGM89YfqcC_PxOHGCMq5ezhucwJd8ci-NHng/edit?usp=sharing"",""ราชบุรี!R16"&amp;"2"")+IMPORTRANGE(""https://docs.google.com/spreadsheets/d/1lufeA2cfFqM-elVq2hznhDzC6Pr7wkJ9ZG_sYNGCMCU/edit?usp=sharing"",""ลพบุรี!R162"")+IMPORTRANGE(""https://docs.google.com/spreadsheets/d/10oOiF7loTyfsTkbd4MpaIm0HQ9SwB7IYHdIUvt-U1Uc/edit?usp=sharing"""&amp;",""สระแก้ว!R162"")+IMPORTRANGE(""https://docs.google.com/spreadsheets/d/1xmPlrr1QbdSIKvl1dWUl9K4PjAfSL9oeMr_37QVzcxc/edit?usp=sharing"",""สระบุรี!R162"")+IMPORTRANGE(""https://docs.google.com/spreadsheets/d/1j51vR6CYVGhABJpv6tkstgok82RLpXieLzW1yOY5rHw/edi"&amp;"t?usp=sharing"",""สิงห์บุรี!R162"")+IMPORTRANGE(""https://docs.google.com/spreadsheets/d/1H1EalTWKUSzO4Z1-1CwzoDUaVffgrThEBe2sl74kKG0/edit?usp=sharing"",""สุพรรณบุรี!R162"")+IMPORTRANGE(""https://docs.google.com/spreadsheets/d/1BmIruG_sIrJLYao_Pdr7zVArWsf"&amp;"oBt2692TMi6x_854/edit?usp=sharing"",""อ่างทอง!R162"")"),0)</f>
        <v>0</v>
      </c>
      <c r="S162" s="130">
        <f ca="1">IFERROR(__xludf.DUMMYFUNCTION("IMPORTRANGE(""https://docs.google.com/spreadsheets/d/13wPX838HrBrQMCywv1BsuMkt4PEKTChp52zj44s2izQ/edit?usp=sharing"",""กาญจนบุรี!S162"")+IMPORTRANGE(""https://docs.google.com/spreadsheets/d/1ddFKvqj1W1NEiWytbGlB1zMx_ykJDVtmfEQ-6-lIUBA/edit?usp=sharing"","&amp;"""จันทบุรี!S162"")+IMPORTRANGE(""https://docs.google.com/spreadsheets/d/1T1PQvRODqOBZk8BRht_U031fIS1beLA0Ub2CEytj2q0/edit?usp=sharing"",""ฉะเชิงเทรา!S162"")+IMPORTRANGE(""https://docs.google.com/spreadsheets/d/11tr1B-Bhyr79v2bkwVh5h_fR-PStkgjlZtkrZpYurG0/"&amp;"edit?usp=sharing"",""ชลบุรี!S162"")+IMPORTRANGE(""https://docs.google.com/spreadsheets/d/1hh-FVnSX0vozXhGluamEcS54Dw9_zqW0N7qJUWgJ0Sw/edit?usp=sharing"",""ชัยนาท!S162"")+IMPORTRANGE(""https://docs.google.com/spreadsheets/d/1jkqa6GXxSacMcY1eN8AHjMNJ_7dDXMJ"&amp;"VRLDlaFSOdPM/edit?usp=sharing"",""ตราด!S162"")+IMPORTRANGE(""https://docs.google.com/spreadsheets/d/18hSgUJ3VwClqi_qtULmmW3cLr0oe3OKaSYoKzdpTsYQ/edit?usp=sharing"",""นครนายก!S162"")+IMPORTRANGE(""https://docs.google.com/spreadsheets/d/1YTZo6WM2dQ6Ix6FSdnL"&amp;"5P7uVnVKu40sxZu975tgG10E/edit?usp=sharing"",""นครปฐม!S162"")+IMPORTRANGE(""https://docs.google.com/spreadsheets/d/1OYoGg4WDg5RIzwGeB10padOxJF9E_Vljuvvct_M7RDo/edit?usp=sharing"",""ปทุมธานี!S162"")+IMPORTRANGE(""https://docs.google.com/spreadsheets/d/1GbCI"&amp;"E4D4wk9FUozzqk7SxfDMxDVBwVmI5zcaVUSzKAc/edit?usp=sharing"",""ประจวบคีรีขันธ์!S162"")+IMPORTRANGE(""https://docs.google.com/spreadsheets/d/1vVf6wykvW_lAyu7Yo9L4hUTqHqIeP_qcVuxCtosJEbg/edit?usp=sharing"",""ปราจีนบุรี!S162"")+IMPORTRANGE(""https://docs.googl"&amp;"e.com/spreadsheets/d/1BIDqLLg5jk3v59G8NlR8rk5xfQDKne0sAvZHSj7TI6I/edit?usp=sharing"",""พระนครศรีอยุธยา!S162"")+IMPORTRANGE(""https://docs.google.com/spreadsheets/d/1YXvxf8Yu6_rV4hTBrwMqAcAnv6DfhUxh5emyM3CJp_w/edit?usp=sharing"",""เพชรบุรี!S162"")+IMPORTRA"&amp;"NGE(""https://docs.google.com/spreadsheets/d/19KBlQQs7uwvsao6t2n-KvW3Ax8J8uRRfZPq1zPbXgKc/edit?usp=sharing"",""ระยอง!S162"")+IMPORTRANGE(""https://docs.google.com/spreadsheets/d/1jQ6P4QcrGM89YfqcC_PxOHGCMq5ezhucwJd8ci-NHng/edit?usp=sharing"",""ราชบุรี!S16"&amp;"2"")+IMPORTRANGE(""https://docs.google.com/spreadsheets/d/1lufeA2cfFqM-elVq2hznhDzC6Pr7wkJ9ZG_sYNGCMCU/edit?usp=sharing"",""ลพบุรี!S162"")+IMPORTRANGE(""https://docs.google.com/spreadsheets/d/10oOiF7loTyfsTkbd4MpaIm0HQ9SwB7IYHdIUvt-U1Uc/edit?usp=sharing"""&amp;",""สระแก้ว!S162"")+IMPORTRANGE(""https://docs.google.com/spreadsheets/d/1xmPlrr1QbdSIKvl1dWUl9K4PjAfSL9oeMr_37QVzcxc/edit?usp=sharing"",""สระบุรี!S162"")+IMPORTRANGE(""https://docs.google.com/spreadsheets/d/1j51vR6CYVGhABJpv6tkstgok82RLpXieLzW1yOY5rHw/edi"&amp;"t?usp=sharing"",""สิงห์บุรี!S162"")+IMPORTRANGE(""https://docs.google.com/spreadsheets/d/1H1EalTWKUSzO4Z1-1CwzoDUaVffgrThEBe2sl74kKG0/edit?usp=sharing"",""สุพรรณบุรี!S162"")+IMPORTRANGE(""https://docs.google.com/spreadsheets/d/1BmIruG_sIrJLYao_Pdr7zVArWsf"&amp;"oBt2692TMi6x_854/edit?usp=sharing"",""อ่างทอง!S162"")"),0)</f>
        <v>0</v>
      </c>
      <c r="T162" s="130">
        <f t="shared" ca="1" si="128"/>
        <v>0</v>
      </c>
      <c r="U162" s="130">
        <f t="shared" ca="1" si="129"/>
        <v>0</v>
      </c>
    </row>
    <row r="163" spans="1:21" ht="18.75" x14ac:dyDescent="0.25">
      <c r="A163" s="207"/>
      <c r="B163" s="65"/>
      <c r="C163" s="65"/>
      <c r="D163" s="66" t="s">
        <v>23</v>
      </c>
      <c r="E163" s="65"/>
      <c r="F163" s="65"/>
      <c r="G163" s="67"/>
      <c r="H163" s="219" t="s">
        <v>14</v>
      </c>
      <c r="I163" s="217"/>
      <c r="J163" s="217"/>
      <c r="K163" s="218"/>
      <c r="L163" s="86">
        <f t="shared" ref="L163:N163" ca="1" si="136">L164+L165</f>
        <v>0</v>
      </c>
      <c r="M163" s="86">
        <f t="shared" ca="1" si="136"/>
        <v>0</v>
      </c>
      <c r="N163" s="86">
        <f t="shared" ca="1" si="136"/>
        <v>0</v>
      </c>
      <c r="O163" s="86">
        <f t="shared" ca="1" si="125"/>
        <v>0</v>
      </c>
      <c r="P163" s="86">
        <f t="shared" ca="1" si="126"/>
        <v>0</v>
      </c>
      <c r="Q163" s="129">
        <f t="shared" ref="Q163:S163" ca="1" si="137">Q164+Q165</f>
        <v>0</v>
      </c>
      <c r="R163" s="130">
        <f t="shared" ca="1" si="137"/>
        <v>0</v>
      </c>
      <c r="S163" s="130">
        <f t="shared" ca="1" si="137"/>
        <v>0</v>
      </c>
      <c r="T163" s="130">
        <f t="shared" ca="1" si="128"/>
        <v>0</v>
      </c>
      <c r="U163" s="130">
        <f t="shared" ca="1" si="129"/>
        <v>0</v>
      </c>
    </row>
    <row r="164" spans="1:21" ht="18.75" hidden="1" x14ac:dyDescent="0.25">
      <c r="A164" s="207"/>
      <c r="B164" s="65"/>
      <c r="C164" s="65"/>
      <c r="D164" s="65"/>
      <c r="E164" s="73" t="s">
        <v>20</v>
      </c>
      <c r="F164" s="65"/>
      <c r="G164" s="67"/>
      <c r="H164" s="216" t="s">
        <v>14</v>
      </c>
      <c r="I164" s="217"/>
      <c r="J164" s="217"/>
      <c r="K164" s="218"/>
      <c r="L164" s="86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4" s="86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4" s="86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4" s="86">
        <f t="shared" ca="1" si="125"/>
        <v>0</v>
      </c>
      <c r="P164" s="86">
        <f t="shared" ca="1" si="126"/>
        <v>0</v>
      </c>
      <c r="Q164" s="74">
        <f ca="1">IFERROR(__xludf.DUMMYFUNCTION("IMPORTRANGE(""https://docs.google.com/spreadsheets/d/13wPX838HrBrQMCywv1BsuMkt4PEKTChp52zj44s2izQ/edit?usp=sharing"",""กาญจนบุรี!Q164"")+IMPORTRANGE(""https://docs.google.com/spreadsheets/d/1ddFKvqj1W1NEiWytbGlB1zMx_ykJDVtmfEQ-6-lIUBA/edit?usp=sharing"","&amp;"""จันทบุรี!Q164"")+IMPORTRANGE(""https://docs.google.com/spreadsheets/d/1T1PQvRODqOBZk8BRht_U031fIS1beLA0Ub2CEytj2q0/edit?usp=sharing"",""ฉะเชิงเทรา!Q164"")+IMPORTRANGE(""https://docs.google.com/spreadsheets/d/11tr1B-Bhyr79v2bkwVh5h_fR-PStkgjlZtkrZpYurG0/"&amp;"edit?usp=sharing"",""ชลบุรี!Q164"")+IMPORTRANGE(""https://docs.google.com/spreadsheets/d/1hh-FVnSX0vozXhGluamEcS54Dw9_zqW0N7qJUWgJ0Sw/edit?usp=sharing"",""ชัยนาท!Q164"")+IMPORTRANGE(""https://docs.google.com/spreadsheets/d/1jkqa6GXxSacMcY1eN8AHjMNJ_7dDXMJ"&amp;"VRLDlaFSOdPM/edit?usp=sharing"",""ตราด!Q164"")+IMPORTRANGE(""https://docs.google.com/spreadsheets/d/18hSgUJ3VwClqi_qtULmmW3cLr0oe3OKaSYoKzdpTsYQ/edit?usp=sharing"",""นครนายก!Q164"")+IMPORTRANGE(""https://docs.google.com/spreadsheets/d/1YTZo6WM2dQ6Ix6FSdnL"&amp;"5P7uVnVKu40sxZu975tgG10E/edit?usp=sharing"",""นครปฐม!Q164"")+IMPORTRANGE(""https://docs.google.com/spreadsheets/d/1OYoGg4WDg5RIzwGeB10padOxJF9E_Vljuvvct_M7RDo/edit?usp=sharing"",""ปทุมธานี!Q164"")+IMPORTRANGE(""https://docs.google.com/spreadsheets/d/1GbCI"&amp;"E4D4wk9FUozzqk7SxfDMxDVBwVmI5zcaVUSzKAc/edit?usp=sharing"",""ประจวบคีรีขันธ์!Q164"")+IMPORTRANGE(""https://docs.google.com/spreadsheets/d/1vVf6wykvW_lAyu7Yo9L4hUTqHqIeP_qcVuxCtosJEbg/edit?usp=sharing"",""ปราจีนบุรี!Q164"")+IMPORTRANGE(""https://docs.googl"&amp;"e.com/spreadsheets/d/1BIDqLLg5jk3v59G8NlR8rk5xfQDKne0sAvZHSj7TI6I/edit?usp=sharing"",""พระนครศรีอยุธยา!Q164"")+IMPORTRANGE(""https://docs.google.com/spreadsheets/d/1YXvxf8Yu6_rV4hTBrwMqAcAnv6DfhUxh5emyM3CJp_w/edit?usp=sharing"",""เพชรบุรี!Q164"")+IMPORTRA"&amp;"NGE(""https://docs.google.com/spreadsheets/d/19KBlQQs7uwvsao6t2n-KvW3Ax8J8uRRfZPq1zPbXgKc/edit?usp=sharing"",""ระยอง!Q164"")+IMPORTRANGE(""https://docs.google.com/spreadsheets/d/1jQ6P4QcrGM89YfqcC_PxOHGCMq5ezhucwJd8ci-NHng/edit?usp=sharing"",""ราชบุรี!Q16"&amp;"4"")+IMPORTRANGE(""https://docs.google.com/spreadsheets/d/1lufeA2cfFqM-elVq2hznhDzC6Pr7wkJ9ZG_sYNGCMCU/edit?usp=sharing"",""ลพบุรี!Q164"")+IMPORTRANGE(""https://docs.google.com/spreadsheets/d/10oOiF7loTyfsTkbd4MpaIm0HQ9SwB7IYHdIUvt-U1Uc/edit?usp=sharing"""&amp;",""สระแก้ว!Q164"")+IMPORTRANGE(""https://docs.google.com/spreadsheets/d/1xmPlrr1QbdSIKvl1dWUl9K4PjAfSL9oeMr_37QVzcxc/edit?usp=sharing"",""สระบุรี!Q164"")+IMPORTRANGE(""https://docs.google.com/spreadsheets/d/1j51vR6CYVGhABJpv6tkstgok82RLpXieLzW1yOY5rHw/edi"&amp;"t?usp=sharing"",""สิงห์บุรี!Q164"")+IMPORTRANGE(""https://docs.google.com/spreadsheets/d/1H1EalTWKUSzO4Z1-1CwzoDUaVffgrThEBe2sl74kKG0/edit?usp=sharing"",""สุพรรณบุรี!Q164"")+IMPORTRANGE(""https://docs.google.com/spreadsheets/d/1BmIruG_sIrJLYao_Pdr7zVArWsf"&amp;"oBt2692TMi6x_854/edit?usp=sharing"",""อ่างทอง!Q164"")"),0)</f>
        <v>0</v>
      </c>
      <c r="R164" s="75">
        <f ca="1">IFERROR(__xludf.DUMMYFUNCTION("IMPORTRANGE(""https://docs.google.com/spreadsheets/d/13wPX838HrBrQMCywv1BsuMkt4PEKTChp52zj44s2izQ/edit?usp=sharing"",""กาญจนบุรี!R164"")+IMPORTRANGE(""https://docs.google.com/spreadsheets/d/1ddFKvqj1W1NEiWytbGlB1zMx_ykJDVtmfEQ-6-lIUBA/edit?usp=sharing"","&amp;"""จันทบุรี!R164"")+IMPORTRANGE(""https://docs.google.com/spreadsheets/d/1T1PQvRODqOBZk8BRht_U031fIS1beLA0Ub2CEytj2q0/edit?usp=sharing"",""ฉะเชิงเทรา!R164"")+IMPORTRANGE(""https://docs.google.com/spreadsheets/d/11tr1B-Bhyr79v2bkwVh5h_fR-PStkgjlZtkrZpYurG0/"&amp;"edit?usp=sharing"",""ชลบุรี!R164"")+IMPORTRANGE(""https://docs.google.com/spreadsheets/d/1hh-FVnSX0vozXhGluamEcS54Dw9_zqW0N7qJUWgJ0Sw/edit?usp=sharing"",""ชัยนาท!R164"")+IMPORTRANGE(""https://docs.google.com/spreadsheets/d/1jkqa6GXxSacMcY1eN8AHjMNJ_7dDXMJ"&amp;"VRLDlaFSOdPM/edit?usp=sharing"",""ตราด!R164"")+IMPORTRANGE(""https://docs.google.com/spreadsheets/d/18hSgUJ3VwClqi_qtULmmW3cLr0oe3OKaSYoKzdpTsYQ/edit?usp=sharing"",""นครนายก!R164"")+IMPORTRANGE(""https://docs.google.com/spreadsheets/d/1YTZo6WM2dQ6Ix6FSdnL"&amp;"5P7uVnVKu40sxZu975tgG10E/edit?usp=sharing"",""นครปฐม!R164"")+IMPORTRANGE(""https://docs.google.com/spreadsheets/d/1OYoGg4WDg5RIzwGeB10padOxJF9E_Vljuvvct_M7RDo/edit?usp=sharing"",""ปทุมธานี!R164"")+IMPORTRANGE(""https://docs.google.com/spreadsheets/d/1GbCI"&amp;"E4D4wk9FUozzqk7SxfDMxDVBwVmI5zcaVUSzKAc/edit?usp=sharing"",""ประจวบคีรีขันธ์!R164"")+IMPORTRANGE(""https://docs.google.com/spreadsheets/d/1vVf6wykvW_lAyu7Yo9L4hUTqHqIeP_qcVuxCtosJEbg/edit?usp=sharing"",""ปราจีนบุรี!R164"")+IMPORTRANGE(""https://docs.googl"&amp;"e.com/spreadsheets/d/1BIDqLLg5jk3v59G8NlR8rk5xfQDKne0sAvZHSj7TI6I/edit?usp=sharing"",""พระนครศรีอยุธยา!R164"")+IMPORTRANGE(""https://docs.google.com/spreadsheets/d/1YXvxf8Yu6_rV4hTBrwMqAcAnv6DfhUxh5emyM3CJp_w/edit?usp=sharing"",""เพชรบุรี!R164"")+IMPORTRA"&amp;"NGE(""https://docs.google.com/spreadsheets/d/19KBlQQs7uwvsao6t2n-KvW3Ax8J8uRRfZPq1zPbXgKc/edit?usp=sharing"",""ระยอง!R164"")+IMPORTRANGE(""https://docs.google.com/spreadsheets/d/1jQ6P4QcrGM89YfqcC_PxOHGCMq5ezhucwJd8ci-NHng/edit?usp=sharing"",""ราชบุรี!R16"&amp;"4"")+IMPORTRANGE(""https://docs.google.com/spreadsheets/d/1lufeA2cfFqM-elVq2hznhDzC6Pr7wkJ9ZG_sYNGCMCU/edit?usp=sharing"",""ลพบุรี!R164"")+IMPORTRANGE(""https://docs.google.com/spreadsheets/d/10oOiF7loTyfsTkbd4MpaIm0HQ9SwB7IYHdIUvt-U1Uc/edit?usp=sharing"""&amp;",""สระแก้ว!R164"")+IMPORTRANGE(""https://docs.google.com/spreadsheets/d/1xmPlrr1QbdSIKvl1dWUl9K4PjAfSL9oeMr_37QVzcxc/edit?usp=sharing"",""สระบุรี!R164"")+IMPORTRANGE(""https://docs.google.com/spreadsheets/d/1j51vR6CYVGhABJpv6tkstgok82RLpXieLzW1yOY5rHw/edi"&amp;"t?usp=sharing"",""สิงห์บุรี!R164"")+IMPORTRANGE(""https://docs.google.com/spreadsheets/d/1H1EalTWKUSzO4Z1-1CwzoDUaVffgrThEBe2sl74kKG0/edit?usp=sharing"",""สุพรรณบุรี!R164"")+IMPORTRANGE(""https://docs.google.com/spreadsheets/d/1BmIruG_sIrJLYao_Pdr7zVArWsf"&amp;"oBt2692TMi6x_854/edit?usp=sharing"",""อ่างทอง!R164"")"),0)</f>
        <v>0</v>
      </c>
      <c r="S164" s="75">
        <f ca="1">IFERROR(__xludf.DUMMYFUNCTION("IMPORTRANGE(""https://docs.google.com/spreadsheets/d/13wPX838HrBrQMCywv1BsuMkt4PEKTChp52zj44s2izQ/edit?usp=sharing"",""กาญจนบุรี!S164"")+IMPORTRANGE(""https://docs.google.com/spreadsheets/d/1ddFKvqj1W1NEiWytbGlB1zMx_ykJDVtmfEQ-6-lIUBA/edit?usp=sharing"","&amp;"""จันทบุรี!S164"")+IMPORTRANGE(""https://docs.google.com/spreadsheets/d/1T1PQvRODqOBZk8BRht_U031fIS1beLA0Ub2CEytj2q0/edit?usp=sharing"",""ฉะเชิงเทรา!S164"")+IMPORTRANGE(""https://docs.google.com/spreadsheets/d/11tr1B-Bhyr79v2bkwVh5h_fR-PStkgjlZtkrZpYurG0/"&amp;"edit?usp=sharing"",""ชลบุรี!S164"")+IMPORTRANGE(""https://docs.google.com/spreadsheets/d/1hh-FVnSX0vozXhGluamEcS54Dw9_zqW0N7qJUWgJ0Sw/edit?usp=sharing"",""ชัยนาท!S164"")+IMPORTRANGE(""https://docs.google.com/spreadsheets/d/1jkqa6GXxSacMcY1eN8AHjMNJ_7dDXMJ"&amp;"VRLDlaFSOdPM/edit?usp=sharing"",""ตราด!S164"")+IMPORTRANGE(""https://docs.google.com/spreadsheets/d/18hSgUJ3VwClqi_qtULmmW3cLr0oe3OKaSYoKzdpTsYQ/edit?usp=sharing"",""นครนายก!S164"")+IMPORTRANGE(""https://docs.google.com/spreadsheets/d/1YTZo6WM2dQ6Ix6FSdnL"&amp;"5P7uVnVKu40sxZu975tgG10E/edit?usp=sharing"",""นครปฐม!S164"")+IMPORTRANGE(""https://docs.google.com/spreadsheets/d/1OYoGg4WDg5RIzwGeB10padOxJF9E_Vljuvvct_M7RDo/edit?usp=sharing"",""ปทุมธานี!S164"")+IMPORTRANGE(""https://docs.google.com/spreadsheets/d/1GbCI"&amp;"E4D4wk9FUozzqk7SxfDMxDVBwVmI5zcaVUSzKAc/edit?usp=sharing"",""ประจวบคีรีขันธ์!S164"")+IMPORTRANGE(""https://docs.google.com/spreadsheets/d/1vVf6wykvW_lAyu7Yo9L4hUTqHqIeP_qcVuxCtosJEbg/edit?usp=sharing"",""ปราจีนบุรี!S164"")+IMPORTRANGE(""https://docs.googl"&amp;"e.com/spreadsheets/d/1BIDqLLg5jk3v59G8NlR8rk5xfQDKne0sAvZHSj7TI6I/edit?usp=sharing"",""พระนครศรีอยุธยา!S164"")+IMPORTRANGE(""https://docs.google.com/spreadsheets/d/1YXvxf8Yu6_rV4hTBrwMqAcAnv6DfhUxh5emyM3CJp_w/edit?usp=sharing"",""เพชรบุรี!S164"")+IMPORTRA"&amp;"NGE(""https://docs.google.com/spreadsheets/d/19KBlQQs7uwvsao6t2n-KvW3Ax8J8uRRfZPq1zPbXgKc/edit?usp=sharing"",""ระยอง!S164"")+IMPORTRANGE(""https://docs.google.com/spreadsheets/d/1jQ6P4QcrGM89YfqcC_PxOHGCMq5ezhucwJd8ci-NHng/edit?usp=sharing"",""ราชบุรี!S16"&amp;"4"")+IMPORTRANGE(""https://docs.google.com/spreadsheets/d/1lufeA2cfFqM-elVq2hznhDzC6Pr7wkJ9ZG_sYNGCMCU/edit?usp=sharing"",""ลพบุรี!S164"")+IMPORTRANGE(""https://docs.google.com/spreadsheets/d/10oOiF7loTyfsTkbd4MpaIm0HQ9SwB7IYHdIUvt-U1Uc/edit?usp=sharing"""&amp;",""สระแก้ว!S164"")+IMPORTRANGE(""https://docs.google.com/spreadsheets/d/1xmPlrr1QbdSIKvl1dWUl9K4PjAfSL9oeMr_37QVzcxc/edit?usp=sharing"",""สระบุรี!S164"")+IMPORTRANGE(""https://docs.google.com/spreadsheets/d/1j51vR6CYVGhABJpv6tkstgok82RLpXieLzW1yOY5rHw/edi"&amp;"t?usp=sharing"",""สิงห์บุรี!S164"")+IMPORTRANGE(""https://docs.google.com/spreadsheets/d/1H1EalTWKUSzO4Z1-1CwzoDUaVffgrThEBe2sl74kKG0/edit?usp=sharing"",""สุพรรณบุรี!S164"")+IMPORTRANGE(""https://docs.google.com/spreadsheets/d/1BmIruG_sIrJLYao_Pdr7zVArWsf"&amp;"oBt2692TMi6x_854/edit?usp=sharing"",""อ่างทอง!S164"")"),0)</f>
        <v>0</v>
      </c>
      <c r="T164" s="131">
        <f t="shared" ca="1" si="128"/>
        <v>0</v>
      </c>
      <c r="U164" s="131">
        <f t="shared" ca="1" si="129"/>
        <v>0</v>
      </c>
    </row>
    <row r="165" spans="1:21" ht="18.75" hidden="1" x14ac:dyDescent="0.25">
      <c r="A165" s="207"/>
      <c r="B165" s="65"/>
      <c r="C165" s="65"/>
      <c r="D165" s="65"/>
      <c r="E165" s="73" t="s">
        <v>21</v>
      </c>
      <c r="F165" s="65"/>
      <c r="G165" s="67"/>
      <c r="H165" s="219" t="s">
        <v>14</v>
      </c>
      <c r="I165" s="217"/>
      <c r="J165" s="217"/>
      <c r="K165" s="218"/>
      <c r="L165" s="86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5" s="86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5" s="86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5" s="86">
        <f t="shared" ca="1" si="125"/>
        <v>0</v>
      </c>
      <c r="P165" s="86">
        <f t="shared" ca="1" si="126"/>
        <v>0</v>
      </c>
      <c r="Q165" s="71">
        <f ca="1">IFERROR(__xludf.DUMMYFUNCTION("IMPORTRANGE(""https://docs.google.com/spreadsheets/d/13wPX838HrBrQMCywv1BsuMkt4PEKTChp52zj44s2izQ/edit?usp=sharing"",""กาญจนบุรี!Q165"")+IMPORTRANGE(""https://docs.google.com/spreadsheets/d/1ddFKvqj1W1NEiWytbGlB1zMx_ykJDVtmfEQ-6-lIUBA/edit?usp=sharing"","&amp;"""จันทบุรี!Q165"")+IMPORTRANGE(""https://docs.google.com/spreadsheets/d/1T1PQvRODqOBZk8BRht_U031fIS1beLA0Ub2CEytj2q0/edit?usp=sharing"",""ฉะเชิงเทรา!Q165"")+IMPORTRANGE(""https://docs.google.com/spreadsheets/d/11tr1B-Bhyr79v2bkwVh5h_fR-PStkgjlZtkrZpYurG0/"&amp;"edit?usp=sharing"",""ชลบุรี!Q165"")+IMPORTRANGE(""https://docs.google.com/spreadsheets/d/1hh-FVnSX0vozXhGluamEcS54Dw9_zqW0N7qJUWgJ0Sw/edit?usp=sharing"",""ชัยนาท!Q165"")+IMPORTRANGE(""https://docs.google.com/spreadsheets/d/1jkqa6GXxSacMcY1eN8AHjMNJ_7dDXMJ"&amp;"VRLDlaFSOdPM/edit?usp=sharing"",""ตราด!Q165"")+IMPORTRANGE(""https://docs.google.com/spreadsheets/d/18hSgUJ3VwClqi_qtULmmW3cLr0oe3OKaSYoKzdpTsYQ/edit?usp=sharing"",""นครนายก!Q165"")+IMPORTRANGE(""https://docs.google.com/spreadsheets/d/1YTZo6WM2dQ6Ix6FSdnL"&amp;"5P7uVnVKu40sxZu975tgG10E/edit?usp=sharing"",""นครปฐม!Q165"")+IMPORTRANGE(""https://docs.google.com/spreadsheets/d/1OYoGg4WDg5RIzwGeB10padOxJF9E_Vljuvvct_M7RDo/edit?usp=sharing"",""ปทุมธานี!Q165"")+IMPORTRANGE(""https://docs.google.com/spreadsheets/d/1GbCI"&amp;"E4D4wk9FUozzqk7SxfDMxDVBwVmI5zcaVUSzKAc/edit?usp=sharing"",""ประจวบคีรีขันธ์!Q165"")+IMPORTRANGE(""https://docs.google.com/spreadsheets/d/1vVf6wykvW_lAyu7Yo9L4hUTqHqIeP_qcVuxCtosJEbg/edit?usp=sharing"",""ปราจีนบุรี!Q165"")+IMPORTRANGE(""https://docs.googl"&amp;"e.com/spreadsheets/d/1BIDqLLg5jk3v59G8NlR8rk5xfQDKne0sAvZHSj7TI6I/edit?usp=sharing"",""พระนครศรีอยุธยา!Q165"")+IMPORTRANGE(""https://docs.google.com/spreadsheets/d/1YXvxf8Yu6_rV4hTBrwMqAcAnv6DfhUxh5emyM3CJp_w/edit?usp=sharing"",""เพชรบุรี!Q165"")+IMPORTRA"&amp;"NGE(""https://docs.google.com/spreadsheets/d/19KBlQQs7uwvsao6t2n-KvW3Ax8J8uRRfZPq1zPbXgKc/edit?usp=sharing"",""ระยอง!Q165"")+IMPORTRANGE(""https://docs.google.com/spreadsheets/d/1jQ6P4QcrGM89YfqcC_PxOHGCMq5ezhucwJd8ci-NHng/edit?usp=sharing"",""ราชบุรี!Q16"&amp;"5"")+IMPORTRANGE(""https://docs.google.com/spreadsheets/d/1lufeA2cfFqM-elVq2hznhDzC6Pr7wkJ9ZG_sYNGCMCU/edit?usp=sharing"",""ลพบุรี!Q165"")+IMPORTRANGE(""https://docs.google.com/spreadsheets/d/10oOiF7loTyfsTkbd4MpaIm0HQ9SwB7IYHdIUvt-U1Uc/edit?usp=sharing"""&amp;",""สระแก้ว!Q165"")+IMPORTRANGE(""https://docs.google.com/spreadsheets/d/1xmPlrr1QbdSIKvl1dWUl9K4PjAfSL9oeMr_37QVzcxc/edit?usp=sharing"",""สระบุรี!Q165"")+IMPORTRANGE(""https://docs.google.com/spreadsheets/d/1j51vR6CYVGhABJpv6tkstgok82RLpXieLzW1yOY5rHw/edi"&amp;"t?usp=sharing"",""สิงห์บุรี!Q165"")+IMPORTRANGE(""https://docs.google.com/spreadsheets/d/1H1EalTWKUSzO4Z1-1CwzoDUaVffgrThEBe2sl74kKG0/edit?usp=sharing"",""สุพรรณบุรี!Q165"")+IMPORTRANGE(""https://docs.google.com/spreadsheets/d/1BmIruG_sIrJLYao_Pdr7zVArWsf"&amp;"oBt2692TMi6x_854/edit?usp=sharing"",""อ่างทอง!Q165"")"),0)</f>
        <v>0</v>
      </c>
      <c r="R165" s="72">
        <f ca="1">IFERROR(__xludf.DUMMYFUNCTION("IMPORTRANGE(""https://docs.google.com/spreadsheets/d/13wPX838HrBrQMCywv1BsuMkt4PEKTChp52zj44s2izQ/edit?usp=sharing"",""กาญจนบุรี!R165"")+IMPORTRANGE(""https://docs.google.com/spreadsheets/d/1ddFKvqj1W1NEiWytbGlB1zMx_ykJDVtmfEQ-6-lIUBA/edit?usp=sharing"","&amp;"""จันทบุรี!R165"")+IMPORTRANGE(""https://docs.google.com/spreadsheets/d/1T1PQvRODqOBZk8BRht_U031fIS1beLA0Ub2CEytj2q0/edit?usp=sharing"",""ฉะเชิงเทรา!R165"")+IMPORTRANGE(""https://docs.google.com/spreadsheets/d/11tr1B-Bhyr79v2bkwVh5h_fR-PStkgjlZtkrZpYurG0/"&amp;"edit?usp=sharing"",""ชลบุรี!R165"")+IMPORTRANGE(""https://docs.google.com/spreadsheets/d/1hh-FVnSX0vozXhGluamEcS54Dw9_zqW0N7qJUWgJ0Sw/edit?usp=sharing"",""ชัยนาท!R165"")+IMPORTRANGE(""https://docs.google.com/spreadsheets/d/1jkqa6GXxSacMcY1eN8AHjMNJ_7dDXMJ"&amp;"VRLDlaFSOdPM/edit?usp=sharing"",""ตราด!R165"")+IMPORTRANGE(""https://docs.google.com/spreadsheets/d/18hSgUJ3VwClqi_qtULmmW3cLr0oe3OKaSYoKzdpTsYQ/edit?usp=sharing"",""นครนายก!R165"")+IMPORTRANGE(""https://docs.google.com/spreadsheets/d/1YTZo6WM2dQ6Ix6FSdnL"&amp;"5P7uVnVKu40sxZu975tgG10E/edit?usp=sharing"",""นครปฐม!R165"")+IMPORTRANGE(""https://docs.google.com/spreadsheets/d/1OYoGg4WDg5RIzwGeB10padOxJF9E_Vljuvvct_M7RDo/edit?usp=sharing"",""ปทุมธานี!R165"")+IMPORTRANGE(""https://docs.google.com/spreadsheets/d/1GbCI"&amp;"E4D4wk9FUozzqk7SxfDMxDVBwVmI5zcaVUSzKAc/edit?usp=sharing"",""ประจวบคีรีขันธ์!R165"")+IMPORTRANGE(""https://docs.google.com/spreadsheets/d/1vVf6wykvW_lAyu7Yo9L4hUTqHqIeP_qcVuxCtosJEbg/edit?usp=sharing"",""ปราจีนบุรี!R165"")+IMPORTRANGE(""https://docs.googl"&amp;"e.com/spreadsheets/d/1BIDqLLg5jk3v59G8NlR8rk5xfQDKne0sAvZHSj7TI6I/edit?usp=sharing"",""พระนครศรีอยุธยา!R165"")+IMPORTRANGE(""https://docs.google.com/spreadsheets/d/1YXvxf8Yu6_rV4hTBrwMqAcAnv6DfhUxh5emyM3CJp_w/edit?usp=sharing"",""เพชรบุรี!R165"")+IMPORTRA"&amp;"NGE(""https://docs.google.com/spreadsheets/d/19KBlQQs7uwvsao6t2n-KvW3Ax8J8uRRfZPq1zPbXgKc/edit?usp=sharing"",""ระยอง!R165"")+IMPORTRANGE(""https://docs.google.com/spreadsheets/d/1jQ6P4QcrGM89YfqcC_PxOHGCMq5ezhucwJd8ci-NHng/edit?usp=sharing"",""ราชบุรี!R16"&amp;"5"")+IMPORTRANGE(""https://docs.google.com/spreadsheets/d/1lufeA2cfFqM-elVq2hznhDzC6Pr7wkJ9ZG_sYNGCMCU/edit?usp=sharing"",""ลพบุรี!R165"")+IMPORTRANGE(""https://docs.google.com/spreadsheets/d/10oOiF7loTyfsTkbd4MpaIm0HQ9SwB7IYHdIUvt-U1Uc/edit?usp=sharing"""&amp;",""สระแก้ว!R165"")+IMPORTRANGE(""https://docs.google.com/spreadsheets/d/1xmPlrr1QbdSIKvl1dWUl9K4PjAfSL9oeMr_37QVzcxc/edit?usp=sharing"",""สระบุรี!R165"")+IMPORTRANGE(""https://docs.google.com/spreadsheets/d/1j51vR6CYVGhABJpv6tkstgok82RLpXieLzW1yOY5rHw/edi"&amp;"t?usp=sharing"",""สิงห์บุรี!R165"")+IMPORTRANGE(""https://docs.google.com/spreadsheets/d/1H1EalTWKUSzO4Z1-1CwzoDUaVffgrThEBe2sl74kKG0/edit?usp=sharing"",""สุพรรณบุรี!R165"")+IMPORTRANGE(""https://docs.google.com/spreadsheets/d/1BmIruG_sIrJLYao_Pdr7zVArWsf"&amp;"oBt2692TMi6x_854/edit?usp=sharing"",""อ่างทอง!R165"")"),0)</f>
        <v>0</v>
      </c>
      <c r="S165" s="72">
        <f ca="1">IFERROR(__xludf.DUMMYFUNCTION("IMPORTRANGE(""https://docs.google.com/spreadsheets/d/13wPX838HrBrQMCywv1BsuMkt4PEKTChp52zj44s2izQ/edit?usp=sharing"",""กาญจนบุรี!S165"")+IMPORTRANGE(""https://docs.google.com/spreadsheets/d/1ddFKvqj1W1NEiWytbGlB1zMx_ykJDVtmfEQ-6-lIUBA/edit?usp=sharing"","&amp;"""จันทบุรี!S165"")+IMPORTRANGE(""https://docs.google.com/spreadsheets/d/1T1PQvRODqOBZk8BRht_U031fIS1beLA0Ub2CEytj2q0/edit?usp=sharing"",""ฉะเชิงเทรา!S165"")+IMPORTRANGE(""https://docs.google.com/spreadsheets/d/11tr1B-Bhyr79v2bkwVh5h_fR-PStkgjlZtkrZpYurG0/"&amp;"edit?usp=sharing"",""ชลบุรี!S165"")+IMPORTRANGE(""https://docs.google.com/spreadsheets/d/1hh-FVnSX0vozXhGluamEcS54Dw9_zqW0N7qJUWgJ0Sw/edit?usp=sharing"",""ชัยนาท!S165"")+IMPORTRANGE(""https://docs.google.com/spreadsheets/d/1jkqa6GXxSacMcY1eN8AHjMNJ_7dDXMJ"&amp;"VRLDlaFSOdPM/edit?usp=sharing"",""ตราด!S165"")+IMPORTRANGE(""https://docs.google.com/spreadsheets/d/18hSgUJ3VwClqi_qtULmmW3cLr0oe3OKaSYoKzdpTsYQ/edit?usp=sharing"",""นครนายก!S165"")+IMPORTRANGE(""https://docs.google.com/spreadsheets/d/1YTZo6WM2dQ6Ix6FSdnL"&amp;"5P7uVnVKu40sxZu975tgG10E/edit?usp=sharing"",""นครปฐม!S165"")+IMPORTRANGE(""https://docs.google.com/spreadsheets/d/1OYoGg4WDg5RIzwGeB10padOxJF9E_Vljuvvct_M7RDo/edit?usp=sharing"",""ปทุมธานี!S165"")+IMPORTRANGE(""https://docs.google.com/spreadsheets/d/1GbCI"&amp;"E4D4wk9FUozzqk7SxfDMxDVBwVmI5zcaVUSzKAc/edit?usp=sharing"",""ประจวบคีรีขันธ์!S165"")+IMPORTRANGE(""https://docs.google.com/spreadsheets/d/1vVf6wykvW_lAyu7Yo9L4hUTqHqIeP_qcVuxCtosJEbg/edit?usp=sharing"",""ปราจีนบุรี!S165"")+IMPORTRANGE(""https://docs.googl"&amp;"e.com/spreadsheets/d/1BIDqLLg5jk3v59G8NlR8rk5xfQDKne0sAvZHSj7TI6I/edit?usp=sharing"",""พระนครศรีอยุธยา!S165"")+IMPORTRANGE(""https://docs.google.com/spreadsheets/d/1YXvxf8Yu6_rV4hTBrwMqAcAnv6DfhUxh5emyM3CJp_w/edit?usp=sharing"",""เพชรบุรี!S165"")+IMPORTRA"&amp;"NGE(""https://docs.google.com/spreadsheets/d/19KBlQQs7uwvsao6t2n-KvW3Ax8J8uRRfZPq1zPbXgKc/edit?usp=sharing"",""ระยอง!S165"")+IMPORTRANGE(""https://docs.google.com/spreadsheets/d/1jQ6P4QcrGM89YfqcC_PxOHGCMq5ezhucwJd8ci-NHng/edit?usp=sharing"",""ราชบุรี!S16"&amp;"5"")+IMPORTRANGE(""https://docs.google.com/spreadsheets/d/1lufeA2cfFqM-elVq2hznhDzC6Pr7wkJ9ZG_sYNGCMCU/edit?usp=sharing"",""ลพบุรี!S165"")+IMPORTRANGE(""https://docs.google.com/spreadsheets/d/10oOiF7loTyfsTkbd4MpaIm0HQ9SwB7IYHdIUvt-U1Uc/edit?usp=sharing"""&amp;",""สระแก้ว!S165"")+IMPORTRANGE(""https://docs.google.com/spreadsheets/d/1xmPlrr1QbdSIKvl1dWUl9K4PjAfSL9oeMr_37QVzcxc/edit?usp=sharing"",""สระบุรี!S165"")+IMPORTRANGE(""https://docs.google.com/spreadsheets/d/1j51vR6CYVGhABJpv6tkstgok82RLpXieLzW1yOY5rHw/edi"&amp;"t?usp=sharing"",""สิงห์บุรี!S165"")+IMPORTRANGE(""https://docs.google.com/spreadsheets/d/1H1EalTWKUSzO4Z1-1CwzoDUaVffgrThEBe2sl74kKG0/edit?usp=sharing"",""สุพรรณบุรี!S165"")+IMPORTRANGE(""https://docs.google.com/spreadsheets/d/1BmIruG_sIrJLYao_Pdr7zVArWsf"&amp;"oBt2692TMi6x_854/edit?usp=sharing"",""อ่างทอง!S165"")"),0)</f>
        <v>0</v>
      </c>
      <c r="T165" s="130">
        <f t="shared" ca="1" si="128"/>
        <v>0</v>
      </c>
      <c r="U165" s="130">
        <f t="shared" ca="1" si="129"/>
        <v>0</v>
      </c>
    </row>
    <row r="166" spans="1:21" ht="19.5" x14ac:dyDescent="0.3">
      <c r="A166" s="220"/>
      <c r="B166" s="221"/>
      <c r="C166" s="208" t="s">
        <v>18</v>
      </c>
      <c r="D166" s="222" t="s">
        <v>38</v>
      </c>
      <c r="E166" s="223"/>
      <c r="F166" s="223"/>
      <c r="G166" s="224"/>
      <c r="H166" s="314"/>
      <c r="I166" s="69"/>
      <c r="J166" s="69"/>
      <c r="K166" s="70"/>
      <c r="L166" s="70"/>
      <c r="M166" s="70"/>
      <c r="N166" s="70"/>
      <c r="O166" s="70"/>
      <c r="P166" s="70"/>
      <c r="Q166" s="84"/>
      <c r="R166" s="85"/>
      <c r="S166" s="85"/>
      <c r="T166" s="85"/>
      <c r="U166" s="85"/>
    </row>
    <row r="167" spans="1:21" ht="18.75" x14ac:dyDescent="0.25">
      <c r="A167" s="207"/>
      <c r="B167" s="65"/>
      <c r="C167" s="65"/>
      <c r="D167" s="73" t="s">
        <v>69</v>
      </c>
      <c r="E167" s="65"/>
      <c r="F167" s="65"/>
      <c r="G167" s="67"/>
      <c r="H167" s="219" t="s">
        <v>35</v>
      </c>
      <c r="I167" s="237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150)</f>
        <v>150</v>
      </c>
      <c r="J167" s="237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156)</f>
        <v>156</v>
      </c>
      <c r="K167" s="86">
        <f t="shared" ref="K167:K169" ca="1" si="138">IF(I167&gt;0,J167*100/I167,0)</f>
        <v>104</v>
      </c>
      <c r="L167" s="70"/>
      <c r="M167" s="70"/>
      <c r="N167" s="70"/>
      <c r="O167" s="70"/>
      <c r="P167" s="70"/>
      <c r="Q167" s="84"/>
      <c r="R167" s="85"/>
      <c r="S167" s="85"/>
      <c r="T167" s="85"/>
      <c r="U167" s="85"/>
    </row>
    <row r="168" spans="1:21" ht="18.75" x14ac:dyDescent="0.25">
      <c r="A168" s="207"/>
      <c r="B168" s="65"/>
      <c r="C168" s="65"/>
      <c r="D168" s="73" t="s">
        <v>70</v>
      </c>
      <c r="E168" s="65"/>
      <c r="F168" s="65"/>
      <c r="G168" s="67"/>
      <c r="H168" s="219" t="s">
        <v>35</v>
      </c>
      <c r="I168" s="237">
        <f t="shared" ref="I168:I169" ca="1" si="139">I167</f>
        <v>150</v>
      </c>
      <c r="J168" s="237">
        <v>0</v>
      </c>
      <c r="K168" s="86">
        <f t="shared" ca="1" si="138"/>
        <v>0</v>
      </c>
      <c r="L168" s="70"/>
      <c r="M168" s="70"/>
      <c r="N168" s="70"/>
      <c r="O168" s="70"/>
      <c r="P168" s="70"/>
      <c r="Q168" s="84"/>
      <c r="R168" s="85"/>
      <c r="S168" s="85"/>
      <c r="T168" s="85"/>
      <c r="U168" s="85"/>
    </row>
    <row r="169" spans="1:21" ht="18.75" x14ac:dyDescent="0.25">
      <c r="A169" s="335"/>
      <c r="B169" s="173"/>
      <c r="C169" s="173"/>
      <c r="D169" s="174" t="s">
        <v>71</v>
      </c>
      <c r="E169" s="173"/>
      <c r="F169" s="173"/>
      <c r="G169" s="175"/>
      <c r="H169" s="336" t="s">
        <v>35</v>
      </c>
      <c r="I169" s="337">
        <f t="shared" ca="1" si="139"/>
        <v>150</v>
      </c>
      <c r="J169" s="337">
        <v>0</v>
      </c>
      <c r="K169" s="179">
        <f t="shared" ca="1" si="138"/>
        <v>0</v>
      </c>
      <c r="L169" s="178"/>
      <c r="M169" s="178"/>
      <c r="N169" s="178"/>
      <c r="O169" s="178"/>
      <c r="P169" s="178"/>
      <c r="Q169" s="95"/>
      <c r="R169" s="96"/>
      <c r="S169" s="96"/>
      <c r="T169" s="96"/>
      <c r="U169" s="96"/>
    </row>
    <row r="170" spans="1:21" ht="19.5" x14ac:dyDescent="0.3">
      <c r="A170" s="338" t="s">
        <v>72</v>
      </c>
      <c r="B170" s="339"/>
      <c r="C170" s="339"/>
      <c r="D170" s="339"/>
      <c r="E170" s="340"/>
      <c r="F170" s="340"/>
      <c r="G170" s="340"/>
      <c r="H170" s="340"/>
      <c r="I170" s="341"/>
      <c r="J170" s="341"/>
      <c r="K170" s="342"/>
      <c r="L170" s="342"/>
      <c r="M170" s="342"/>
      <c r="N170" s="342"/>
      <c r="O170" s="342"/>
      <c r="P170" s="343"/>
      <c r="Q170" s="344"/>
      <c r="R170" s="345"/>
      <c r="S170" s="345"/>
      <c r="T170" s="345"/>
      <c r="U170" s="346"/>
    </row>
    <row r="171" spans="1:21" ht="19.5" x14ac:dyDescent="0.3">
      <c r="A171" s="347" t="s">
        <v>73</v>
      </c>
      <c r="B171" s="348"/>
      <c r="C171" s="348"/>
      <c r="D171" s="349"/>
      <c r="E171" s="349"/>
      <c r="F171" s="349"/>
      <c r="G171" s="350"/>
      <c r="H171" s="350"/>
      <c r="I171" s="351"/>
      <c r="J171" s="351"/>
      <c r="K171" s="352"/>
      <c r="L171" s="352"/>
      <c r="M171" s="352"/>
      <c r="N171" s="352"/>
      <c r="O171" s="352"/>
      <c r="P171" s="352"/>
      <c r="Q171" s="353"/>
      <c r="R171" s="354"/>
      <c r="S171" s="354"/>
      <c r="T171" s="354"/>
      <c r="U171" s="354"/>
    </row>
    <row r="172" spans="1:21" ht="19.5" x14ac:dyDescent="0.3">
      <c r="A172" s="355"/>
      <c r="B172" s="356" t="s">
        <v>74</v>
      </c>
      <c r="C172" s="357"/>
      <c r="D172" s="223"/>
      <c r="E172" s="223"/>
      <c r="F172" s="223"/>
      <c r="G172" s="224"/>
      <c r="H172" s="358" t="s">
        <v>35</v>
      </c>
      <c r="I172" s="359">
        <f t="shared" ref="I172:J172" ca="1" si="140">I183+I184</f>
        <v>271</v>
      </c>
      <c r="J172" s="359">
        <f t="shared" ca="1" si="140"/>
        <v>140</v>
      </c>
      <c r="K172" s="360">
        <f ca="1">IF(I172&gt;0,J172*100/I172,0)</f>
        <v>51.660516605166052</v>
      </c>
      <c r="L172" s="361"/>
      <c r="M172" s="361"/>
      <c r="N172" s="361"/>
      <c r="O172" s="361"/>
      <c r="P172" s="361"/>
      <c r="Q172" s="362"/>
      <c r="R172" s="363"/>
      <c r="S172" s="363"/>
      <c r="T172" s="363"/>
      <c r="U172" s="363"/>
    </row>
    <row r="173" spans="1:21" ht="19.5" x14ac:dyDescent="0.3">
      <c r="A173" s="207"/>
      <c r="B173" s="65"/>
      <c r="C173" s="208" t="s">
        <v>18</v>
      </c>
      <c r="D173" s="209" t="s">
        <v>19</v>
      </c>
      <c r="E173" s="65"/>
      <c r="F173" s="65"/>
      <c r="G173" s="67"/>
      <c r="H173" s="210" t="s">
        <v>14</v>
      </c>
      <c r="I173" s="69"/>
      <c r="J173" s="69"/>
      <c r="K173" s="70"/>
      <c r="L173" s="211">
        <f t="shared" ref="L173:N173" ca="1" si="141">L174+L175</f>
        <v>372210</v>
      </c>
      <c r="M173" s="211">
        <f t="shared" ca="1" si="141"/>
        <v>599752</v>
      </c>
      <c r="N173" s="211">
        <f t="shared" ca="1" si="141"/>
        <v>578963</v>
      </c>
      <c r="O173" s="211">
        <f t="shared" ref="O173:O181" ca="1" si="142">IF(L173&gt;0,N173*100/L173,0)</f>
        <v>155.54740603422798</v>
      </c>
      <c r="P173" s="211">
        <f t="shared" ref="P173:P181" ca="1" si="143">IF(M173&gt;0,N173*100/M173,0)</f>
        <v>96.533733943363259</v>
      </c>
      <c r="Q173" s="212">
        <f t="shared" ref="Q173:S173" ca="1" si="144">Q174+Q175</f>
        <v>187280</v>
      </c>
      <c r="R173" s="213">
        <f t="shared" ca="1" si="144"/>
        <v>187280</v>
      </c>
      <c r="S173" s="213">
        <f t="shared" ca="1" si="144"/>
        <v>5915</v>
      </c>
      <c r="T173" s="213">
        <f t="shared" ref="T173:T181" ca="1" si="145">IF(Q173&gt;0,S173*100/Q173,0)</f>
        <v>3.1583724903887229</v>
      </c>
      <c r="U173" s="213">
        <f t="shared" ref="U173:U181" ca="1" si="146">IF(R173&gt;0,S173*100/R173,0)</f>
        <v>3.1583724903887229</v>
      </c>
    </row>
    <row r="174" spans="1:21" ht="18.75" hidden="1" x14ac:dyDescent="0.25">
      <c r="A174" s="207"/>
      <c r="B174" s="65"/>
      <c r="C174" s="65"/>
      <c r="D174" s="65"/>
      <c r="E174" s="73" t="s">
        <v>20</v>
      </c>
      <c r="F174" s="65"/>
      <c r="G174" s="67"/>
      <c r="H174" s="214" t="s">
        <v>14</v>
      </c>
      <c r="I174" s="69"/>
      <c r="J174" s="69"/>
      <c r="K174" s="70"/>
      <c r="L174" s="86">
        <f t="shared" ref="L174:N174" ca="1" si="147">L177+L180</f>
        <v>0</v>
      </c>
      <c r="M174" s="86">
        <f t="shared" ca="1" si="147"/>
        <v>0</v>
      </c>
      <c r="N174" s="86">
        <f t="shared" ca="1" si="147"/>
        <v>0</v>
      </c>
      <c r="O174" s="86">
        <f t="shared" ca="1" si="142"/>
        <v>0</v>
      </c>
      <c r="P174" s="86">
        <f t="shared" ca="1" si="143"/>
        <v>0</v>
      </c>
      <c r="Q174" s="215">
        <f t="shared" ref="Q174:S174" ca="1" si="148">Q177+Q180</f>
        <v>0</v>
      </c>
      <c r="R174" s="131">
        <f t="shared" ca="1" si="148"/>
        <v>0</v>
      </c>
      <c r="S174" s="131">
        <f t="shared" ca="1" si="148"/>
        <v>0</v>
      </c>
      <c r="T174" s="131">
        <f t="shared" ca="1" si="145"/>
        <v>0</v>
      </c>
      <c r="U174" s="131">
        <f t="shared" ca="1" si="146"/>
        <v>0</v>
      </c>
    </row>
    <row r="175" spans="1:21" ht="18.75" hidden="1" x14ac:dyDescent="0.25">
      <c r="A175" s="207"/>
      <c r="B175" s="65"/>
      <c r="C175" s="65"/>
      <c r="D175" s="65"/>
      <c r="E175" s="73" t="s">
        <v>21</v>
      </c>
      <c r="F175" s="65"/>
      <c r="G175" s="67"/>
      <c r="H175" s="214" t="s">
        <v>14</v>
      </c>
      <c r="I175" s="69"/>
      <c r="J175" s="69"/>
      <c r="K175" s="70"/>
      <c r="L175" s="86">
        <f t="shared" ref="L175:N175" ca="1" si="149">L178+L181</f>
        <v>372210</v>
      </c>
      <c r="M175" s="86">
        <f t="shared" ca="1" si="149"/>
        <v>599752</v>
      </c>
      <c r="N175" s="86">
        <f t="shared" ca="1" si="149"/>
        <v>578963</v>
      </c>
      <c r="O175" s="86">
        <f t="shared" ca="1" si="142"/>
        <v>155.54740603422798</v>
      </c>
      <c r="P175" s="86">
        <f t="shared" ca="1" si="143"/>
        <v>96.533733943363259</v>
      </c>
      <c r="Q175" s="129">
        <f t="shared" ref="Q175:S175" ca="1" si="150">Q178+Q181</f>
        <v>187280</v>
      </c>
      <c r="R175" s="130">
        <f t="shared" ca="1" si="150"/>
        <v>187280</v>
      </c>
      <c r="S175" s="130">
        <f t="shared" ca="1" si="150"/>
        <v>5915</v>
      </c>
      <c r="T175" s="130">
        <f t="shared" ca="1" si="145"/>
        <v>3.1583724903887229</v>
      </c>
      <c r="U175" s="130">
        <f t="shared" ca="1" si="146"/>
        <v>3.1583724903887229</v>
      </c>
    </row>
    <row r="176" spans="1:21" ht="18.75" x14ac:dyDescent="0.25">
      <c r="A176" s="207"/>
      <c r="B176" s="65"/>
      <c r="C176" s="65"/>
      <c r="D176" s="66" t="s">
        <v>22</v>
      </c>
      <c r="E176" s="65"/>
      <c r="F176" s="65"/>
      <c r="G176" s="67"/>
      <c r="H176" s="216" t="s">
        <v>14</v>
      </c>
      <c r="I176" s="217"/>
      <c r="J176" s="217"/>
      <c r="K176" s="218"/>
      <c r="L176" s="86">
        <f t="shared" ref="L176:N176" ca="1" si="151">L177+L178</f>
        <v>372210</v>
      </c>
      <c r="M176" s="86">
        <f t="shared" ca="1" si="151"/>
        <v>599752</v>
      </c>
      <c r="N176" s="86">
        <f t="shared" ca="1" si="151"/>
        <v>578963</v>
      </c>
      <c r="O176" s="86">
        <f t="shared" ca="1" si="142"/>
        <v>155.54740603422798</v>
      </c>
      <c r="P176" s="86">
        <f t="shared" ca="1" si="143"/>
        <v>96.533733943363259</v>
      </c>
      <c r="Q176" s="129">
        <f t="shared" ref="Q176:S176" ca="1" si="152">Q177+Q178</f>
        <v>187280</v>
      </c>
      <c r="R176" s="130">
        <f t="shared" ca="1" si="152"/>
        <v>187280</v>
      </c>
      <c r="S176" s="130">
        <f t="shared" ca="1" si="152"/>
        <v>5915</v>
      </c>
      <c r="T176" s="130">
        <f t="shared" ca="1" si="145"/>
        <v>3.1583724903887229</v>
      </c>
      <c r="U176" s="130">
        <f t="shared" ca="1" si="146"/>
        <v>3.1583724903887229</v>
      </c>
    </row>
    <row r="177" spans="1:21" ht="18.75" hidden="1" x14ac:dyDescent="0.25">
      <c r="A177" s="207"/>
      <c r="B177" s="65"/>
      <c r="C177" s="65"/>
      <c r="D177" s="65"/>
      <c r="E177" s="73" t="s">
        <v>36</v>
      </c>
      <c r="F177" s="65"/>
      <c r="G177" s="67"/>
      <c r="H177" s="216" t="s">
        <v>14</v>
      </c>
      <c r="I177" s="217"/>
      <c r="J177" s="217"/>
      <c r="K177" s="218"/>
      <c r="L177" s="86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7" s="86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7" s="86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7" s="86">
        <f t="shared" ca="1" si="142"/>
        <v>0</v>
      </c>
      <c r="P177" s="86">
        <f t="shared" ca="1" si="143"/>
        <v>0</v>
      </c>
      <c r="Q177" s="74">
        <f ca="1">IFERROR(__xludf.DUMMYFUNCTION("IMPORTRANGE(""https://docs.google.com/spreadsheets/d/13wPX838HrBrQMCywv1BsuMkt4PEKTChp52zj44s2izQ/edit?usp=sharing"",""กาญจนบุรี!Q177"")+IMPORTRANGE(""https://docs.google.com/spreadsheets/d/1ddFKvqj1W1NEiWytbGlB1zMx_ykJDVtmfEQ-6-lIUBA/edit?usp=sharing"","&amp;"""จันทบุรี!Q177"")+IMPORTRANGE(""https://docs.google.com/spreadsheets/d/1T1PQvRODqOBZk8BRht_U031fIS1beLA0Ub2CEytj2q0/edit?usp=sharing"",""ฉะเชิงเทรา!Q177"")+IMPORTRANGE(""https://docs.google.com/spreadsheets/d/11tr1B-Bhyr79v2bkwVh5h_fR-PStkgjlZtkrZpYurG0/"&amp;"edit?usp=sharing"",""ชลบุรี!Q177"")+IMPORTRANGE(""https://docs.google.com/spreadsheets/d/1hh-FVnSX0vozXhGluamEcS54Dw9_zqW0N7qJUWgJ0Sw/edit?usp=sharing"",""ชัยนาท!Q177"")+IMPORTRANGE(""https://docs.google.com/spreadsheets/d/1jkqa6GXxSacMcY1eN8AHjMNJ_7dDXMJ"&amp;"VRLDlaFSOdPM/edit?usp=sharing"",""ตราด!Q177"")+IMPORTRANGE(""https://docs.google.com/spreadsheets/d/18hSgUJ3VwClqi_qtULmmW3cLr0oe3OKaSYoKzdpTsYQ/edit?usp=sharing"",""นครนายก!Q177"")+IMPORTRANGE(""https://docs.google.com/spreadsheets/d/1YTZo6WM2dQ6Ix6FSdnL"&amp;"5P7uVnVKu40sxZu975tgG10E/edit?usp=sharing"",""นครปฐม!Q177"")+IMPORTRANGE(""https://docs.google.com/spreadsheets/d/1OYoGg4WDg5RIzwGeB10padOxJF9E_Vljuvvct_M7RDo/edit?usp=sharing"",""ปทุมธานี!Q177"")+IMPORTRANGE(""https://docs.google.com/spreadsheets/d/1GbCI"&amp;"E4D4wk9FUozzqk7SxfDMxDVBwVmI5zcaVUSzKAc/edit?usp=sharing"",""ประจวบคีรีขันธ์!Q177"")+IMPORTRANGE(""https://docs.google.com/spreadsheets/d/1vVf6wykvW_lAyu7Yo9L4hUTqHqIeP_qcVuxCtosJEbg/edit?usp=sharing"",""ปราจีนบุรี!Q177"")+IMPORTRANGE(""https://docs.googl"&amp;"e.com/spreadsheets/d/1BIDqLLg5jk3v59G8NlR8rk5xfQDKne0sAvZHSj7TI6I/edit?usp=sharing"",""พระนครศรีอยุธยา!Q177"")+IMPORTRANGE(""https://docs.google.com/spreadsheets/d/1YXvxf8Yu6_rV4hTBrwMqAcAnv6DfhUxh5emyM3CJp_w/edit?usp=sharing"",""เพชรบุรี!Q177"")+IMPORTRA"&amp;"NGE(""https://docs.google.com/spreadsheets/d/19KBlQQs7uwvsao6t2n-KvW3Ax8J8uRRfZPq1zPbXgKc/edit?usp=sharing"",""ระยอง!Q177"")+IMPORTRANGE(""https://docs.google.com/spreadsheets/d/1jQ6P4QcrGM89YfqcC_PxOHGCMq5ezhucwJd8ci-NHng/edit?usp=sharing"",""ราชบุรี!Q17"&amp;"7"")+IMPORTRANGE(""https://docs.google.com/spreadsheets/d/1lufeA2cfFqM-elVq2hznhDzC6Pr7wkJ9ZG_sYNGCMCU/edit?usp=sharing"",""ลพบุรี!Q177"")+IMPORTRANGE(""https://docs.google.com/spreadsheets/d/10oOiF7loTyfsTkbd4MpaIm0HQ9SwB7IYHdIUvt-U1Uc/edit?usp=sharing"""&amp;",""สระแก้ว!Q177"")+IMPORTRANGE(""https://docs.google.com/spreadsheets/d/1xmPlrr1QbdSIKvl1dWUl9K4PjAfSL9oeMr_37QVzcxc/edit?usp=sharing"",""สระบุรี!Q177"")+IMPORTRANGE(""https://docs.google.com/spreadsheets/d/1j51vR6CYVGhABJpv6tkstgok82RLpXieLzW1yOY5rHw/edi"&amp;"t?usp=sharing"",""สิงห์บุรี!Q177"")+IMPORTRANGE(""https://docs.google.com/spreadsheets/d/1H1EalTWKUSzO4Z1-1CwzoDUaVffgrThEBe2sl74kKG0/edit?usp=sharing"",""สุพรรณบุรี!Q177"")+IMPORTRANGE(""https://docs.google.com/spreadsheets/d/1BmIruG_sIrJLYao_Pdr7zVArWsf"&amp;"oBt2692TMi6x_854/edit?usp=sharing"",""อ่างทอง!Q177"")"),0)</f>
        <v>0</v>
      </c>
      <c r="R177" s="75">
        <f ca="1">IFERROR(__xludf.DUMMYFUNCTION("IMPORTRANGE(""https://docs.google.com/spreadsheets/d/13wPX838HrBrQMCywv1BsuMkt4PEKTChp52zj44s2izQ/edit?usp=sharing"",""กาญจนบุรี!R177"")+IMPORTRANGE(""https://docs.google.com/spreadsheets/d/1ddFKvqj1W1NEiWytbGlB1zMx_ykJDVtmfEQ-6-lIUBA/edit?usp=sharing"","&amp;"""จันทบุรี!R177"")+IMPORTRANGE(""https://docs.google.com/spreadsheets/d/1T1PQvRODqOBZk8BRht_U031fIS1beLA0Ub2CEytj2q0/edit?usp=sharing"",""ฉะเชิงเทรา!R177"")+IMPORTRANGE(""https://docs.google.com/spreadsheets/d/11tr1B-Bhyr79v2bkwVh5h_fR-PStkgjlZtkrZpYurG0/"&amp;"edit?usp=sharing"",""ชลบุรี!R177"")+IMPORTRANGE(""https://docs.google.com/spreadsheets/d/1hh-FVnSX0vozXhGluamEcS54Dw9_zqW0N7qJUWgJ0Sw/edit?usp=sharing"",""ชัยนาท!R177"")+IMPORTRANGE(""https://docs.google.com/spreadsheets/d/1jkqa6GXxSacMcY1eN8AHjMNJ_7dDXMJ"&amp;"VRLDlaFSOdPM/edit?usp=sharing"",""ตราด!R177"")+IMPORTRANGE(""https://docs.google.com/spreadsheets/d/18hSgUJ3VwClqi_qtULmmW3cLr0oe3OKaSYoKzdpTsYQ/edit?usp=sharing"",""นครนายก!R177"")+IMPORTRANGE(""https://docs.google.com/spreadsheets/d/1YTZo6WM2dQ6Ix6FSdnL"&amp;"5P7uVnVKu40sxZu975tgG10E/edit?usp=sharing"",""นครปฐม!R177"")+IMPORTRANGE(""https://docs.google.com/spreadsheets/d/1OYoGg4WDg5RIzwGeB10padOxJF9E_Vljuvvct_M7RDo/edit?usp=sharing"",""ปทุมธานี!R177"")+IMPORTRANGE(""https://docs.google.com/spreadsheets/d/1GbCI"&amp;"E4D4wk9FUozzqk7SxfDMxDVBwVmI5zcaVUSzKAc/edit?usp=sharing"",""ประจวบคีรีขันธ์!R177"")+IMPORTRANGE(""https://docs.google.com/spreadsheets/d/1vVf6wykvW_lAyu7Yo9L4hUTqHqIeP_qcVuxCtosJEbg/edit?usp=sharing"",""ปราจีนบุรี!R177"")+IMPORTRANGE(""https://docs.googl"&amp;"e.com/spreadsheets/d/1BIDqLLg5jk3v59G8NlR8rk5xfQDKne0sAvZHSj7TI6I/edit?usp=sharing"",""พระนครศรีอยุธยา!R177"")+IMPORTRANGE(""https://docs.google.com/spreadsheets/d/1YXvxf8Yu6_rV4hTBrwMqAcAnv6DfhUxh5emyM3CJp_w/edit?usp=sharing"",""เพชรบุรี!R177"")+IMPORTRA"&amp;"NGE(""https://docs.google.com/spreadsheets/d/19KBlQQs7uwvsao6t2n-KvW3Ax8J8uRRfZPq1zPbXgKc/edit?usp=sharing"",""ระยอง!R177"")+IMPORTRANGE(""https://docs.google.com/spreadsheets/d/1jQ6P4QcrGM89YfqcC_PxOHGCMq5ezhucwJd8ci-NHng/edit?usp=sharing"",""ราชบุรี!R17"&amp;"7"")+IMPORTRANGE(""https://docs.google.com/spreadsheets/d/1lufeA2cfFqM-elVq2hznhDzC6Pr7wkJ9ZG_sYNGCMCU/edit?usp=sharing"",""ลพบุรี!R177"")+IMPORTRANGE(""https://docs.google.com/spreadsheets/d/10oOiF7loTyfsTkbd4MpaIm0HQ9SwB7IYHdIUvt-U1Uc/edit?usp=sharing"""&amp;",""สระแก้ว!R177"")+IMPORTRANGE(""https://docs.google.com/spreadsheets/d/1xmPlrr1QbdSIKvl1dWUl9K4PjAfSL9oeMr_37QVzcxc/edit?usp=sharing"",""สระบุรี!R177"")+IMPORTRANGE(""https://docs.google.com/spreadsheets/d/1j51vR6CYVGhABJpv6tkstgok82RLpXieLzW1yOY5rHw/edi"&amp;"t?usp=sharing"",""สิงห์บุรี!R177"")+IMPORTRANGE(""https://docs.google.com/spreadsheets/d/1H1EalTWKUSzO4Z1-1CwzoDUaVffgrThEBe2sl74kKG0/edit?usp=sharing"",""สุพรรณบุรี!R177"")+IMPORTRANGE(""https://docs.google.com/spreadsheets/d/1BmIruG_sIrJLYao_Pdr7zVArWsf"&amp;"oBt2692TMi6x_854/edit?usp=sharing"",""อ่างทอง!R177"")"),0)</f>
        <v>0</v>
      </c>
      <c r="S177" s="75">
        <f ca="1">IFERROR(__xludf.DUMMYFUNCTION("IMPORTRANGE(""https://docs.google.com/spreadsheets/d/13wPX838HrBrQMCywv1BsuMkt4PEKTChp52zj44s2izQ/edit?usp=sharing"",""กาญจนบุรี!S177"")+IMPORTRANGE(""https://docs.google.com/spreadsheets/d/1ddFKvqj1W1NEiWytbGlB1zMx_ykJDVtmfEQ-6-lIUBA/edit?usp=sharing"","&amp;"""จันทบุรี!S177"")+IMPORTRANGE(""https://docs.google.com/spreadsheets/d/1T1PQvRODqOBZk8BRht_U031fIS1beLA0Ub2CEytj2q0/edit?usp=sharing"",""ฉะเชิงเทรา!S177"")+IMPORTRANGE(""https://docs.google.com/spreadsheets/d/11tr1B-Bhyr79v2bkwVh5h_fR-PStkgjlZtkrZpYurG0/"&amp;"edit?usp=sharing"",""ชลบุรี!S177"")+IMPORTRANGE(""https://docs.google.com/spreadsheets/d/1hh-FVnSX0vozXhGluamEcS54Dw9_zqW0N7qJUWgJ0Sw/edit?usp=sharing"",""ชัยนาท!S177"")+IMPORTRANGE(""https://docs.google.com/spreadsheets/d/1jkqa6GXxSacMcY1eN8AHjMNJ_7dDXMJ"&amp;"VRLDlaFSOdPM/edit?usp=sharing"",""ตราด!S177"")+IMPORTRANGE(""https://docs.google.com/spreadsheets/d/18hSgUJ3VwClqi_qtULmmW3cLr0oe3OKaSYoKzdpTsYQ/edit?usp=sharing"",""นครนายก!S177"")+IMPORTRANGE(""https://docs.google.com/spreadsheets/d/1YTZo6WM2dQ6Ix6FSdnL"&amp;"5P7uVnVKu40sxZu975tgG10E/edit?usp=sharing"",""นครปฐม!S177"")+IMPORTRANGE(""https://docs.google.com/spreadsheets/d/1OYoGg4WDg5RIzwGeB10padOxJF9E_Vljuvvct_M7RDo/edit?usp=sharing"",""ปทุมธานี!S177"")+IMPORTRANGE(""https://docs.google.com/spreadsheets/d/1GbCI"&amp;"E4D4wk9FUozzqk7SxfDMxDVBwVmI5zcaVUSzKAc/edit?usp=sharing"",""ประจวบคีรีขันธ์!S177"")+IMPORTRANGE(""https://docs.google.com/spreadsheets/d/1vVf6wykvW_lAyu7Yo9L4hUTqHqIeP_qcVuxCtosJEbg/edit?usp=sharing"",""ปราจีนบุรี!S177"")+IMPORTRANGE(""https://docs.googl"&amp;"e.com/spreadsheets/d/1BIDqLLg5jk3v59G8NlR8rk5xfQDKne0sAvZHSj7TI6I/edit?usp=sharing"",""พระนครศรีอยุธยา!S177"")+IMPORTRANGE(""https://docs.google.com/spreadsheets/d/1YXvxf8Yu6_rV4hTBrwMqAcAnv6DfhUxh5emyM3CJp_w/edit?usp=sharing"",""เพชรบุรี!S177"")+IMPORTRA"&amp;"NGE(""https://docs.google.com/spreadsheets/d/19KBlQQs7uwvsao6t2n-KvW3Ax8J8uRRfZPq1zPbXgKc/edit?usp=sharing"",""ระยอง!S177"")+IMPORTRANGE(""https://docs.google.com/spreadsheets/d/1jQ6P4QcrGM89YfqcC_PxOHGCMq5ezhucwJd8ci-NHng/edit?usp=sharing"",""ราชบุรี!S17"&amp;"7"")+IMPORTRANGE(""https://docs.google.com/spreadsheets/d/1lufeA2cfFqM-elVq2hznhDzC6Pr7wkJ9ZG_sYNGCMCU/edit?usp=sharing"",""ลพบุรี!S177"")+IMPORTRANGE(""https://docs.google.com/spreadsheets/d/10oOiF7loTyfsTkbd4MpaIm0HQ9SwB7IYHdIUvt-U1Uc/edit?usp=sharing"""&amp;",""สระแก้ว!S177"")+IMPORTRANGE(""https://docs.google.com/spreadsheets/d/1xmPlrr1QbdSIKvl1dWUl9K4PjAfSL9oeMr_37QVzcxc/edit?usp=sharing"",""สระบุรี!S177"")+IMPORTRANGE(""https://docs.google.com/spreadsheets/d/1j51vR6CYVGhABJpv6tkstgok82RLpXieLzW1yOY5rHw/edi"&amp;"t?usp=sharing"",""สิงห์บุรี!S177"")+IMPORTRANGE(""https://docs.google.com/spreadsheets/d/1H1EalTWKUSzO4Z1-1CwzoDUaVffgrThEBe2sl74kKG0/edit?usp=sharing"",""สุพรรณบุรี!S177"")+IMPORTRANGE(""https://docs.google.com/spreadsheets/d/1BmIruG_sIrJLYao_Pdr7zVArWsf"&amp;"oBt2692TMi6x_854/edit?usp=sharing"",""อ่างทอง!S177"")"),0)</f>
        <v>0</v>
      </c>
      <c r="T177" s="131">
        <f t="shared" ca="1" si="145"/>
        <v>0</v>
      </c>
      <c r="U177" s="131">
        <f t="shared" ca="1" si="146"/>
        <v>0</v>
      </c>
    </row>
    <row r="178" spans="1:21" ht="18.75" hidden="1" x14ac:dyDescent="0.25">
      <c r="A178" s="207"/>
      <c r="B178" s="65"/>
      <c r="C178" s="65"/>
      <c r="D178" s="65"/>
      <c r="E178" s="73" t="s">
        <v>37</v>
      </c>
      <c r="F178" s="65"/>
      <c r="G178" s="67"/>
      <c r="H178" s="216" t="s">
        <v>14</v>
      </c>
      <c r="I178" s="217"/>
      <c r="J178" s="217"/>
      <c r="K178" s="218"/>
      <c r="L178" s="86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8" s="86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599752)</f>
        <v>599752</v>
      </c>
      <c r="N178" s="86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578963)</f>
        <v>578963</v>
      </c>
      <c r="O178" s="86">
        <f t="shared" ca="1" si="142"/>
        <v>155.54740603422798</v>
      </c>
      <c r="P178" s="86">
        <f t="shared" ca="1" si="143"/>
        <v>96.533733943363259</v>
      </c>
      <c r="Q178" s="129">
        <f ca="1">IFERROR(__xludf.DUMMYFUNCTION("IMPORTRANGE(""https://docs.google.com/spreadsheets/d/13wPX838HrBrQMCywv1BsuMkt4PEKTChp52zj44s2izQ/edit?usp=sharing"",""กาญจนบุรี!Q178"")+IMPORTRANGE(""https://docs.google.com/spreadsheets/d/1ddFKvqj1W1NEiWytbGlB1zMx_ykJDVtmfEQ-6-lIUBA/edit?usp=sharing"","&amp;"""จันทบุรี!Q178"")+IMPORTRANGE(""https://docs.google.com/spreadsheets/d/1T1PQvRODqOBZk8BRht_U031fIS1beLA0Ub2CEytj2q0/edit?usp=sharing"",""ฉะเชิงเทรา!Q178"")+IMPORTRANGE(""https://docs.google.com/spreadsheets/d/11tr1B-Bhyr79v2bkwVh5h_fR-PStkgjlZtkrZpYurG0/"&amp;"edit?usp=sharing"",""ชลบุรี!Q178"")+IMPORTRANGE(""https://docs.google.com/spreadsheets/d/1hh-FVnSX0vozXhGluamEcS54Dw9_zqW0N7qJUWgJ0Sw/edit?usp=sharing"",""ชัยนาท!Q178"")+IMPORTRANGE(""https://docs.google.com/spreadsheets/d/1jkqa6GXxSacMcY1eN8AHjMNJ_7dDXMJ"&amp;"VRLDlaFSOdPM/edit?usp=sharing"",""ตราด!Q178"")+IMPORTRANGE(""https://docs.google.com/spreadsheets/d/18hSgUJ3VwClqi_qtULmmW3cLr0oe3OKaSYoKzdpTsYQ/edit?usp=sharing"",""นครนายก!Q178"")+IMPORTRANGE(""https://docs.google.com/spreadsheets/d/1YTZo6WM2dQ6Ix6FSdnL"&amp;"5P7uVnVKu40sxZu975tgG10E/edit?usp=sharing"",""นครปฐม!Q178"")+IMPORTRANGE(""https://docs.google.com/spreadsheets/d/1OYoGg4WDg5RIzwGeB10padOxJF9E_Vljuvvct_M7RDo/edit?usp=sharing"",""ปทุมธานี!Q178"")+IMPORTRANGE(""https://docs.google.com/spreadsheets/d/1GbCI"&amp;"E4D4wk9FUozzqk7SxfDMxDVBwVmI5zcaVUSzKAc/edit?usp=sharing"",""ประจวบคีรีขันธ์!Q178"")+IMPORTRANGE(""https://docs.google.com/spreadsheets/d/1vVf6wykvW_lAyu7Yo9L4hUTqHqIeP_qcVuxCtosJEbg/edit?usp=sharing"",""ปราจีนบุรี!Q178"")+IMPORTRANGE(""https://docs.googl"&amp;"e.com/spreadsheets/d/1BIDqLLg5jk3v59G8NlR8rk5xfQDKne0sAvZHSj7TI6I/edit?usp=sharing"",""พระนครศรีอยุธยา!Q178"")+IMPORTRANGE(""https://docs.google.com/spreadsheets/d/1YXvxf8Yu6_rV4hTBrwMqAcAnv6DfhUxh5emyM3CJp_w/edit?usp=sharing"",""เพชรบุรี!Q178"")+IMPORTRA"&amp;"NGE(""https://docs.google.com/spreadsheets/d/19KBlQQs7uwvsao6t2n-KvW3Ax8J8uRRfZPq1zPbXgKc/edit?usp=sharing"",""ระยอง!Q178"")+IMPORTRANGE(""https://docs.google.com/spreadsheets/d/1jQ6P4QcrGM89YfqcC_PxOHGCMq5ezhucwJd8ci-NHng/edit?usp=sharing"",""ราชบุรี!Q17"&amp;"8"")+IMPORTRANGE(""https://docs.google.com/spreadsheets/d/1lufeA2cfFqM-elVq2hznhDzC6Pr7wkJ9ZG_sYNGCMCU/edit?usp=sharing"",""ลพบุรี!Q178"")+IMPORTRANGE(""https://docs.google.com/spreadsheets/d/10oOiF7loTyfsTkbd4MpaIm0HQ9SwB7IYHdIUvt-U1Uc/edit?usp=sharing"""&amp;",""สระแก้ว!Q178"")+IMPORTRANGE(""https://docs.google.com/spreadsheets/d/1xmPlrr1QbdSIKvl1dWUl9K4PjAfSL9oeMr_37QVzcxc/edit?usp=sharing"",""สระบุรี!Q178"")+IMPORTRANGE(""https://docs.google.com/spreadsheets/d/1j51vR6CYVGhABJpv6tkstgok82RLpXieLzW1yOY5rHw/edi"&amp;"t?usp=sharing"",""สิงห์บุรี!Q178"")+IMPORTRANGE(""https://docs.google.com/spreadsheets/d/1H1EalTWKUSzO4Z1-1CwzoDUaVffgrThEBe2sl74kKG0/edit?usp=sharing"",""สุพรรณบุรี!Q178"")+IMPORTRANGE(""https://docs.google.com/spreadsheets/d/1BmIruG_sIrJLYao_Pdr7zVArWsf"&amp;"oBt2692TMi6x_854/edit?usp=sharing"",""อ่างทอง!Q178"")"),187280)</f>
        <v>187280</v>
      </c>
      <c r="R178" s="130">
        <f ca="1">IFERROR(__xludf.DUMMYFUNCTION("IMPORTRANGE(""https://docs.google.com/spreadsheets/d/13wPX838HrBrQMCywv1BsuMkt4PEKTChp52zj44s2izQ/edit?usp=sharing"",""กาญจนบุรี!R178"")+IMPORTRANGE(""https://docs.google.com/spreadsheets/d/1ddFKvqj1W1NEiWytbGlB1zMx_ykJDVtmfEQ-6-lIUBA/edit?usp=sharing"","&amp;"""จันทบุรี!R178"")+IMPORTRANGE(""https://docs.google.com/spreadsheets/d/1T1PQvRODqOBZk8BRht_U031fIS1beLA0Ub2CEytj2q0/edit?usp=sharing"",""ฉะเชิงเทรา!R178"")+IMPORTRANGE(""https://docs.google.com/spreadsheets/d/11tr1B-Bhyr79v2bkwVh5h_fR-PStkgjlZtkrZpYurG0/"&amp;"edit?usp=sharing"",""ชลบุรี!R178"")+IMPORTRANGE(""https://docs.google.com/spreadsheets/d/1hh-FVnSX0vozXhGluamEcS54Dw9_zqW0N7qJUWgJ0Sw/edit?usp=sharing"",""ชัยนาท!R178"")+IMPORTRANGE(""https://docs.google.com/spreadsheets/d/1jkqa6GXxSacMcY1eN8AHjMNJ_7dDXMJ"&amp;"VRLDlaFSOdPM/edit?usp=sharing"",""ตราด!R178"")+IMPORTRANGE(""https://docs.google.com/spreadsheets/d/18hSgUJ3VwClqi_qtULmmW3cLr0oe3OKaSYoKzdpTsYQ/edit?usp=sharing"",""นครนายก!R178"")+IMPORTRANGE(""https://docs.google.com/spreadsheets/d/1YTZo6WM2dQ6Ix6FSdnL"&amp;"5P7uVnVKu40sxZu975tgG10E/edit?usp=sharing"",""นครปฐม!R178"")+IMPORTRANGE(""https://docs.google.com/spreadsheets/d/1OYoGg4WDg5RIzwGeB10padOxJF9E_Vljuvvct_M7RDo/edit?usp=sharing"",""ปทุมธานี!R178"")+IMPORTRANGE(""https://docs.google.com/spreadsheets/d/1GbCI"&amp;"E4D4wk9FUozzqk7SxfDMxDVBwVmI5zcaVUSzKAc/edit?usp=sharing"",""ประจวบคีรีขันธ์!R178"")+IMPORTRANGE(""https://docs.google.com/spreadsheets/d/1vVf6wykvW_lAyu7Yo9L4hUTqHqIeP_qcVuxCtosJEbg/edit?usp=sharing"",""ปราจีนบุรี!R178"")+IMPORTRANGE(""https://docs.googl"&amp;"e.com/spreadsheets/d/1BIDqLLg5jk3v59G8NlR8rk5xfQDKne0sAvZHSj7TI6I/edit?usp=sharing"",""พระนครศรีอยุธยา!R178"")+IMPORTRANGE(""https://docs.google.com/spreadsheets/d/1YXvxf8Yu6_rV4hTBrwMqAcAnv6DfhUxh5emyM3CJp_w/edit?usp=sharing"",""เพชรบุรี!R178"")+IMPORTRA"&amp;"NGE(""https://docs.google.com/spreadsheets/d/19KBlQQs7uwvsao6t2n-KvW3Ax8J8uRRfZPq1zPbXgKc/edit?usp=sharing"",""ระยอง!R178"")+IMPORTRANGE(""https://docs.google.com/spreadsheets/d/1jQ6P4QcrGM89YfqcC_PxOHGCMq5ezhucwJd8ci-NHng/edit?usp=sharing"",""ราชบุรี!R17"&amp;"8"")+IMPORTRANGE(""https://docs.google.com/spreadsheets/d/1lufeA2cfFqM-elVq2hznhDzC6Pr7wkJ9ZG_sYNGCMCU/edit?usp=sharing"",""ลพบุรี!R178"")+IMPORTRANGE(""https://docs.google.com/spreadsheets/d/10oOiF7loTyfsTkbd4MpaIm0HQ9SwB7IYHdIUvt-U1Uc/edit?usp=sharing"""&amp;",""สระแก้ว!R178"")+IMPORTRANGE(""https://docs.google.com/spreadsheets/d/1xmPlrr1QbdSIKvl1dWUl9K4PjAfSL9oeMr_37QVzcxc/edit?usp=sharing"",""สระบุรี!R178"")+IMPORTRANGE(""https://docs.google.com/spreadsheets/d/1j51vR6CYVGhABJpv6tkstgok82RLpXieLzW1yOY5rHw/edi"&amp;"t?usp=sharing"",""สิงห์บุรี!R178"")+IMPORTRANGE(""https://docs.google.com/spreadsheets/d/1H1EalTWKUSzO4Z1-1CwzoDUaVffgrThEBe2sl74kKG0/edit?usp=sharing"",""สุพรรณบุรี!R178"")+IMPORTRANGE(""https://docs.google.com/spreadsheets/d/1BmIruG_sIrJLYao_Pdr7zVArWsf"&amp;"oBt2692TMi6x_854/edit?usp=sharing"",""อ่างทอง!R178"")"),187280)</f>
        <v>187280</v>
      </c>
      <c r="S178" s="130">
        <f ca="1">IFERROR(__xludf.DUMMYFUNCTION("IMPORTRANGE(""https://docs.google.com/spreadsheets/d/13wPX838HrBrQMCywv1BsuMkt4PEKTChp52zj44s2izQ/edit?usp=sharing"",""กาญจนบุรี!S178"")+IMPORTRANGE(""https://docs.google.com/spreadsheets/d/1ddFKvqj1W1NEiWytbGlB1zMx_ykJDVtmfEQ-6-lIUBA/edit?usp=sharing"","&amp;"""จันทบุรี!S178"")+IMPORTRANGE(""https://docs.google.com/spreadsheets/d/1T1PQvRODqOBZk8BRht_U031fIS1beLA0Ub2CEytj2q0/edit?usp=sharing"",""ฉะเชิงเทรา!S178"")+IMPORTRANGE(""https://docs.google.com/spreadsheets/d/11tr1B-Bhyr79v2bkwVh5h_fR-PStkgjlZtkrZpYurG0/"&amp;"edit?usp=sharing"",""ชลบุรี!S178"")+IMPORTRANGE(""https://docs.google.com/spreadsheets/d/1hh-FVnSX0vozXhGluamEcS54Dw9_zqW0N7qJUWgJ0Sw/edit?usp=sharing"",""ชัยนาท!S178"")+IMPORTRANGE(""https://docs.google.com/spreadsheets/d/1jkqa6GXxSacMcY1eN8AHjMNJ_7dDXMJ"&amp;"VRLDlaFSOdPM/edit?usp=sharing"",""ตราด!S178"")+IMPORTRANGE(""https://docs.google.com/spreadsheets/d/18hSgUJ3VwClqi_qtULmmW3cLr0oe3OKaSYoKzdpTsYQ/edit?usp=sharing"",""นครนายก!S178"")+IMPORTRANGE(""https://docs.google.com/spreadsheets/d/1YTZo6WM2dQ6Ix6FSdnL"&amp;"5P7uVnVKu40sxZu975tgG10E/edit?usp=sharing"",""นครปฐม!S178"")+IMPORTRANGE(""https://docs.google.com/spreadsheets/d/1OYoGg4WDg5RIzwGeB10padOxJF9E_Vljuvvct_M7RDo/edit?usp=sharing"",""ปทุมธานี!S178"")+IMPORTRANGE(""https://docs.google.com/spreadsheets/d/1GbCI"&amp;"E4D4wk9FUozzqk7SxfDMxDVBwVmI5zcaVUSzKAc/edit?usp=sharing"",""ประจวบคีรีขันธ์!S178"")+IMPORTRANGE(""https://docs.google.com/spreadsheets/d/1vVf6wykvW_lAyu7Yo9L4hUTqHqIeP_qcVuxCtosJEbg/edit?usp=sharing"",""ปราจีนบุรี!S178"")+IMPORTRANGE(""https://docs.googl"&amp;"e.com/spreadsheets/d/1BIDqLLg5jk3v59G8NlR8rk5xfQDKne0sAvZHSj7TI6I/edit?usp=sharing"",""พระนครศรีอยุธยา!S178"")+IMPORTRANGE(""https://docs.google.com/spreadsheets/d/1YXvxf8Yu6_rV4hTBrwMqAcAnv6DfhUxh5emyM3CJp_w/edit?usp=sharing"",""เพชรบุรี!S178"")+IMPORTRA"&amp;"NGE(""https://docs.google.com/spreadsheets/d/19KBlQQs7uwvsao6t2n-KvW3Ax8J8uRRfZPq1zPbXgKc/edit?usp=sharing"",""ระยอง!S178"")+IMPORTRANGE(""https://docs.google.com/spreadsheets/d/1jQ6P4QcrGM89YfqcC_PxOHGCMq5ezhucwJd8ci-NHng/edit?usp=sharing"",""ราชบุรี!S17"&amp;"8"")+IMPORTRANGE(""https://docs.google.com/spreadsheets/d/1lufeA2cfFqM-elVq2hznhDzC6Pr7wkJ9ZG_sYNGCMCU/edit?usp=sharing"",""ลพบุรี!S178"")+IMPORTRANGE(""https://docs.google.com/spreadsheets/d/10oOiF7loTyfsTkbd4MpaIm0HQ9SwB7IYHdIUvt-U1Uc/edit?usp=sharing"""&amp;",""สระแก้ว!S178"")+IMPORTRANGE(""https://docs.google.com/spreadsheets/d/1xmPlrr1QbdSIKvl1dWUl9K4PjAfSL9oeMr_37QVzcxc/edit?usp=sharing"",""สระบุรี!S178"")+IMPORTRANGE(""https://docs.google.com/spreadsheets/d/1j51vR6CYVGhABJpv6tkstgok82RLpXieLzW1yOY5rHw/edi"&amp;"t?usp=sharing"",""สิงห์บุรี!S178"")+IMPORTRANGE(""https://docs.google.com/spreadsheets/d/1H1EalTWKUSzO4Z1-1CwzoDUaVffgrThEBe2sl74kKG0/edit?usp=sharing"",""สุพรรณบุรี!S178"")+IMPORTRANGE(""https://docs.google.com/spreadsheets/d/1BmIruG_sIrJLYao_Pdr7zVArWsf"&amp;"oBt2692TMi6x_854/edit?usp=sharing"",""อ่างทอง!S178"")"),5915)</f>
        <v>5915</v>
      </c>
      <c r="T178" s="130">
        <f t="shared" ca="1" si="145"/>
        <v>3.1583724903887229</v>
      </c>
      <c r="U178" s="130">
        <f t="shared" ca="1" si="146"/>
        <v>3.1583724903887229</v>
      </c>
    </row>
    <row r="179" spans="1:21" ht="18.75" x14ac:dyDescent="0.25">
      <c r="A179" s="207"/>
      <c r="B179" s="65"/>
      <c r="C179" s="65"/>
      <c r="D179" s="66" t="s">
        <v>23</v>
      </c>
      <c r="E179" s="65"/>
      <c r="F179" s="65"/>
      <c r="G179" s="67"/>
      <c r="H179" s="219" t="s">
        <v>14</v>
      </c>
      <c r="I179" s="217"/>
      <c r="J179" s="217"/>
      <c r="K179" s="218"/>
      <c r="L179" s="86">
        <f t="shared" ref="L179:N179" ca="1" si="153">L180+L181</f>
        <v>0</v>
      </c>
      <c r="M179" s="86">
        <f t="shared" ca="1" si="153"/>
        <v>0</v>
      </c>
      <c r="N179" s="86">
        <f t="shared" ca="1" si="153"/>
        <v>0</v>
      </c>
      <c r="O179" s="86">
        <f t="shared" ca="1" si="142"/>
        <v>0</v>
      </c>
      <c r="P179" s="86">
        <f t="shared" ca="1" si="143"/>
        <v>0</v>
      </c>
      <c r="Q179" s="129">
        <f t="shared" ref="Q179:S179" ca="1" si="154">Q180+Q181</f>
        <v>0</v>
      </c>
      <c r="R179" s="130">
        <f t="shared" ca="1" si="154"/>
        <v>0</v>
      </c>
      <c r="S179" s="130">
        <f t="shared" ca="1" si="154"/>
        <v>0</v>
      </c>
      <c r="T179" s="130">
        <f t="shared" ca="1" si="145"/>
        <v>0</v>
      </c>
      <c r="U179" s="130">
        <f t="shared" ca="1" si="146"/>
        <v>0</v>
      </c>
    </row>
    <row r="180" spans="1:21" ht="18.75" hidden="1" x14ac:dyDescent="0.25">
      <c r="A180" s="207"/>
      <c r="B180" s="65"/>
      <c r="C180" s="65"/>
      <c r="D180" s="65"/>
      <c r="E180" s="73" t="s">
        <v>20</v>
      </c>
      <c r="F180" s="65"/>
      <c r="G180" s="67"/>
      <c r="H180" s="216" t="s">
        <v>14</v>
      </c>
      <c r="I180" s="217"/>
      <c r="J180" s="217"/>
      <c r="K180" s="218"/>
      <c r="L180" s="86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0" s="86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0" s="86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0" s="86">
        <f t="shared" ca="1" si="142"/>
        <v>0</v>
      </c>
      <c r="P180" s="86">
        <f t="shared" ca="1" si="143"/>
        <v>0</v>
      </c>
      <c r="Q180" s="74">
        <f ca="1">IFERROR(__xludf.DUMMYFUNCTION("IMPORTRANGE(""https://docs.google.com/spreadsheets/d/13wPX838HrBrQMCywv1BsuMkt4PEKTChp52zj44s2izQ/edit?usp=sharing"",""กาญจนบุรี!Q180"")+IMPORTRANGE(""https://docs.google.com/spreadsheets/d/1ddFKvqj1W1NEiWytbGlB1zMx_ykJDVtmfEQ-6-lIUBA/edit?usp=sharing"","&amp;"""จันทบุรี!Q180"")+IMPORTRANGE(""https://docs.google.com/spreadsheets/d/1T1PQvRODqOBZk8BRht_U031fIS1beLA0Ub2CEytj2q0/edit?usp=sharing"",""ฉะเชิงเทรา!Q180"")+IMPORTRANGE(""https://docs.google.com/spreadsheets/d/11tr1B-Bhyr79v2bkwVh5h_fR-PStkgjlZtkrZpYurG0/"&amp;"edit?usp=sharing"",""ชลบุรี!Q180"")+IMPORTRANGE(""https://docs.google.com/spreadsheets/d/1hh-FVnSX0vozXhGluamEcS54Dw9_zqW0N7qJUWgJ0Sw/edit?usp=sharing"",""ชัยนาท!Q180"")+IMPORTRANGE(""https://docs.google.com/spreadsheets/d/1jkqa6GXxSacMcY1eN8AHjMNJ_7dDXMJ"&amp;"VRLDlaFSOdPM/edit?usp=sharing"",""ตราด!Q180"")+IMPORTRANGE(""https://docs.google.com/spreadsheets/d/18hSgUJ3VwClqi_qtULmmW3cLr0oe3OKaSYoKzdpTsYQ/edit?usp=sharing"",""นครนายก!Q180"")+IMPORTRANGE(""https://docs.google.com/spreadsheets/d/1YTZo6WM2dQ6Ix6FSdnL"&amp;"5P7uVnVKu40sxZu975tgG10E/edit?usp=sharing"",""นครปฐม!Q180"")+IMPORTRANGE(""https://docs.google.com/spreadsheets/d/1OYoGg4WDg5RIzwGeB10padOxJF9E_Vljuvvct_M7RDo/edit?usp=sharing"",""ปทุมธานี!Q180"")+IMPORTRANGE(""https://docs.google.com/spreadsheets/d/1GbCI"&amp;"E4D4wk9FUozzqk7SxfDMxDVBwVmI5zcaVUSzKAc/edit?usp=sharing"",""ประจวบคีรีขันธ์!Q180"")+IMPORTRANGE(""https://docs.google.com/spreadsheets/d/1vVf6wykvW_lAyu7Yo9L4hUTqHqIeP_qcVuxCtosJEbg/edit?usp=sharing"",""ปราจีนบุรี!Q180"")+IMPORTRANGE(""https://docs.googl"&amp;"e.com/spreadsheets/d/1BIDqLLg5jk3v59G8NlR8rk5xfQDKne0sAvZHSj7TI6I/edit?usp=sharing"",""พระนครศรีอยุธยา!Q180"")+IMPORTRANGE(""https://docs.google.com/spreadsheets/d/1YXvxf8Yu6_rV4hTBrwMqAcAnv6DfhUxh5emyM3CJp_w/edit?usp=sharing"",""เพชรบุรี!Q180"")+IMPORTRA"&amp;"NGE(""https://docs.google.com/spreadsheets/d/19KBlQQs7uwvsao6t2n-KvW3Ax8J8uRRfZPq1zPbXgKc/edit?usp=sharing"",""ระยอง!Q180"")+IMPORTRANGE(""https://docs.google.com/spreadsheets/d/1jQ6P4QcrGM89YfqcC_PxOHGCMq5ezhucwJd8ci-NHng/edit?usp=sharing"",""ราชบุรี!Q18"&amp;"0"")+IMPORTRANGE(""https://docs.google.com/spreadsheets/d/1lufeA2cfFqM-elVq2hznhDzC6Pr7wkJ9ZG_sYNGCMCU/edit?usp=sharing"",""ลพบุรี!Q180"")+IMPORTRANGE(""https://docs.google.com/spreadsheets/d/10oOiF7loTyfsTkbd4MpaIm0HQ9SwB7IYHdIUvt-U1Uc/edit?usp=sharing"""&amp;",""สระแก้ว!Q180"")+IMPORTRANGE(""https://docs.google.com/spreadsheets/d/1xmPlrr1QbdSIKvl1dWUl9K4PjAfSL9oeMr_37QVzcxc/edit?usp=sharing"",""สระบุรี!Q180"")+IMPORTRANGE(""https://docs.google.com/spreadsheets/d/1j51vR6CYVGhABJpv6tkstgok82RLpXieLzW1yOY5rHw/edi"&amp;"t?usp=sharing"",""สิงห์บุรี!Q180"")+IMPORTRANGE(""https://docs.google.com/spreadsheets/d/1H1EalTWKUSzO4Z1-1CwzoDUaVffgrThEBe2sl74kKG0/edit?usp=sharing"",""สุพรรณบุรี!Q180"")+IMPORTRANGE(""https://docs.google.com/spreadsheets/d/1BmIruG_sIrJLYao_Pdr7zVArWsf"&amp;"oBt2692TMi6x_854/edit?usp=sharing"",""อ่างทอง!Q180"")"),0)</f>
        <v>0</v>
      </c>
      <c r="R180" s="75">
        <f ca="1">IFERROR(__xludf.DUMMYFUNCTION("IMPORTRANGE(""https://docs.google.com/spreadsheets/d/13wPX838HrBrQMCywv1BsuMkt4PEKTChp52zj44s2izQ/edit?usp=sharing"",""กาญจนบุรี!R180"")+IMPORTRANGE(""https://docs.google.com/spreadsheets/d/1ddFKvqj1W1NEiWytbGlB1zMx_ykJDVtmfEQ-6-lIUBA/edit?usp=sharing"","&amp;"""จันทบุรี!R180"")+IMPORTRANGE(""https://docs.google.com/spreadsheets/d/1T1PQvRODqOBZk8BRht_U031fIS1beLA0Ub2CEytj2q0/edit?usp=sharing"",""ฉะเชิงเทรา!R180"")+IMPORTRANGE(""https://docs.google.com/spreadsheets/d/11tr1B-Bhyr79v2bkwVh5h_fR-PStkgjlZtkrZpYurG0/"&amp;"edit?usp=sharing"",""ชลบุรี!R180"")+IMPORTRANGE(""https://docs.google.com/spreadsheets/d/1hh-FVnSX0vozXhGluamEcS54Dw9_zqW0N7qJUWgJ0Sw/edit?usp=sharing"",""ชัยนาท!R180"")+IMPORTRANGE(""https://docs.google.com/spreadsheets/d/1jkqa6GXxSacMcY1eN8AHjMNJ_7dDXMJ"&amp;"VRLDlaFSOdPM/edit?usp=sharing"",""ตราด!R180"")+IMPORTRANGE(""https://docs.google.com/spreadsheets/d/18hSgUJ3VwClqi_qtULmmW3cLr0oe3OKaSYoKzdpTsYQ/edit?usp=sharing"",""นครนายก!R180"")+IMPORTRANGE(""https://docs.google.com/spreadsheets/d/1YTZo6WM2dQ6Ix6FSdnL"&amp;"5P7uVnVKu40sxZu975tgG10E/edit?usp=sharing"",""นครปฐม!R180"")+IMPORTRANGE(""https://docs.google.com/spreadsheets/d/1OYoGg4WDg5RIzwGeB10padOxJF9E_Vljuvvct_M7RDo/edit?usp=sharing"",""ปทุมธานี!R180"")+IMPORTRANGE(""https://docs.google.com/spreadsheets/d/1GbCI"&amp;"E4D4wk9FUozzqk7SxfDMxDVBwVmI5zcaVUSzKAc/edit?usp=sharing"",""ประจวบคีรีขันธ์!R180"")+IMPORTRANGE(""https://docs.google.com/spreadsheets/d/1vVf6wykvW_lAyu7Yo9L4hUTqHqIeP_qcVuxCtosJEbg/edit?usp=sharing"",""ปราจีนบุรี!R180"")+IMPORTRANGE(""https://docs.googl"&amp;"e.com/spreadsheets/d/1BIDqLLg5jk3v59G8NlR8rk5xfQDKne0sAvZHSj7TI6I/edit?usp=sharing"",""พระนครศรีอยุธยา!R180"")+IMPORTRANGE(""https://docs.google.com/spreadsheets/d/1YXvxf8Yu6_rV4hTBrwMqAcAnv6DfhUxh5emyM3CJp_w/edit?usp=sharing"",""เพชรบุรี!R180"")+IMPORTRA"&amp;"NGE(""https://docs.google.com/spreadsheets/d/19KBlQQs7uwvsao6t2n-KvW3Ax8J8uRRfZPq1zPbXgKc/edit?usp=sharing"",""ระยอง!R180"")+IMPORTRANGE(""https://docs.google.com/spreadsheets/d/1jQ6P4QcrGM89YfqcC_PxOHGCMq5ezhucwJd8ci-NHng/edit?usp=sharing"",""ราชบุรี!R18"&amp;"0"")+IMPORTRANGE(""https://docs.google.com/spreadsheets/d/1lufeA2cfFqM-elVq2hznhDzC6Pr7wkJ9ZG_sYNGCMCU/edit?usp=sharing"",""ลพบุรี!R180"")+IMPORTRANGE(""https://docs.google.com/spreadsheets/d/10oOiF7loTyfsTkbd4MpaIm0HQ9SwB7IYHdIUvt-U1Uc/edit?usp=sharing"""&amp;",""สระแก้ว!R180"")+IMPORTRANGE(""https://docs.google.com/spreadsheets/d/1xmPlrr1QbdSIKvl1dWUl9K4PjAfSL9oeMr_37QVzcxc/edit?usp=sharing"",""สระบุรี!R180"")+IMPORTRANGE(""https://docs.google.com/spreadsheets/d/1j51vR6CYVGhABJpv6tkstgok82RLpXieLzW1yOY5rHw/edi"&amp;"t?usp=sharing"",""สิงห์บุรี!R180"")+IMPORTRANGE(""https://docs.google.com/spreadsheets/d/1H1EalTWKUSzO4Z1-1CwzoDUaVffgrThEBe2sl74kKG0/edit?usp=sharing"",""สุพรรณบุรี!R180"")+IMPORTRANGE(""https://docs.google.com/spreadsheets/d/1BmIruG_sIrJLYao_Pdr7zVArWsf"&amp;"oBt2692TMi6x_854/edit?usp=sharing"",""อ่างทอง!R180"")"),0)</f>
        <v>0</v>
      </c>
      <c r="S180" s="75">
        <f ca="1">IFERROR(__xludf.DUMMYFUNCTION("IMPORTRANGE(""https://docs.google.com/spreadsheets/d/13wPX838HrBrQMCywv1BsuMkt4PEKTChp52zj44s2izQ/edit?usp=sharing"",""กาญจนบุรี!S180"")+IMPORTRANGE(""https://docs.google.com/spreadsheets/d/1ddFKvqj1W1NEiWytbGlB1zMx_ykJDVtmfEQ-6-lIUBA/edit?usp=sharing"","&amp;"""จันทบุรี!S180"")+IMPORTRANGE(""https://docs.google.com/spreadsheets/d/1T1PQvRODqOBZk8BRht_U031fIS1beLA0Ub2CEytj2q0/edit?usp=sharing"",""ฉะเชิงเทรา!S180"")+IMPORTRANGE(""https://docs.google.com/spreadsheets/d/11tr1B-Bhyr79v2bkwVh5h_fR-PStkgjlZtkrZpYurG0/"&amp;"edit?usp=sharing"",""ชลบุรี!S180"")+IMPORTRANGE(""https://docs.google.com/spreadsheets/d/1hh-FVnSX0vozXhGluamEcS54Dw9_zqW0N7qJUWgJ0Sw/edit?usp=sharing"",""ชัยนาท!S180"")+IMPORTRANGE(""https://docs.google.com/spreadsheets/d/1jkqa6GXxSacMcY1eN8AHjMNJ_7dDXMJ"&amp;"VRLDlaFSOdPM/edit?usp=sharing"",""ตราด!S180"")+IMPORTRANGE(""https://docs.google.com/spreadsheets/d/18hSgUJ3VwClqi_qtULmmW3cLr0oe3OKaSYoKzdpTsYQ/edit?usp=sharing"",""นครนายก!S180"")+IMPORTRANGE(""https://docs.google.com/spreadsheets/d/1YTZo6WM2dQ6Ix6FSdnL"&amp;"5P7uVnVKu40sxZu975tgG10E/edit?usp=sharing"",""นครปฐม!S180"")+IMPORTRANGE(""https://docs.google.com/spreadsheets/d/1OYoGg4WDg5RIzwGeB10padOxJF9E_Vljuvvct_M7RDo/edit?usp=sharing"",""ปทุมธานี!S180"")+IMPORTRANGE(""https://docs.google.com/spreadsheets/d/1GbCI"&amp;"E4D4wk9FUozzqk7SxfDMxDVBwVmI5zcaVUSzKAc/edit?usp=sharing"",""ประจวบคีรีขันธ์!S180"")+IMPORTRANGE(""https://docs.google.com/spreadsheets/d/1vVf6wykvW_lAyu7Yo9L4hUTqHqIeP_qcVuxCtosJEbg/edit?usp=sharing"",""ปราจีนบุรี!S180"")+IMPORTRANGE(""https://docs.googl"&amp;"e.com/spreadsheets/d/1BIDqLLg5jk3v59G8NlR8rk5xfQDKne0sAvZHSj7TI6I/edit?usp=sharing"",""พระนครศรีอยุธยา!S180"")+IMPORTRANGE(""https://docs.google.com/spreadsheets/d/1YXvxf8Yu6_rV4hTBrwMqAcAnv6DfhUxh5emyM3CJp_w/edit?usp=sharing"",""เพชรบุรี!S180"")+IMPORTRA"&amp;"NGE(""https://docs.google.com/spreadsheets/d/19KBlQQs7uwvsao6t2n-KvW3Ax8J8uRRfZPq1zPbXgKc/edit?usp=sharing"",""ระยอง!S180"")+IMPORTRANGE(""https://docs.google.com/spreadsheets/d/1jQ6P4QcrGM89YfqcC_PxOHGCMq5ezhucwJd8ci-NHng/edit?usp=sharing"",""ราชบุรี!S18"&amp;"0"")+IMPORTRANGE(""https://docs.google.com/spreadsheets/d/1lufeA2cfFqM-elVq2hznhDzC6Pr7wkJ9ZG_sYNGCMCU/edit?usp=sharing"",""ลพบุรี!S180"")+IMPORTRANGE(""https://docs.google.com/spreadsheets/d/10oOiF7loTyfsTkbd4MpaIm0HQ9SwB7IYHdIUvt-U1Uc/edit?usp=sharing"""&amp;",""สระแก้ว!S180"")+IMPORTRANGE(""https://docs.google.com/spreadsheets/d/1xmPlrr1QbdSIKvl1dWUl9K4PjAfSL9oeMr_37QVzcxc/edit?usp=sharing"",""สระบุรี!S180"")+IMPORTRANGE(""https://docs.google.com/spreadsheets/d/1j51vR6CYVGhABJpv6tkstgok82RLpXieLzW1yOY5rHw/edi"&amp;"t?usp=sharing"",""สิงห์บุรี!S180"")+IMPORTRANGE(""https://docs.google.com/spreadsheets/d/1H1EalTWKUSzO4Z1-1CwzoDUaVffgrThEBe2sl74kKG0/edit?usp=sharing"",""สุพรรณบุรี!S180"")+IMPORTRANGE(""https://docs.google.com/spreadsheets/d/1BmIruG_sIrJLYao_Pdr7zVArWsf"&amp;"oBt2692TMi6x_854/edit?usp=sharing"",""อ่างทอง!S180"")"),0)</f>
        <v>0</v>
      </c>
      <c r="T180" s="131">
        <f t="shared" ca="1" si="145"/>
        <v>0</v>
      </c>
      <c r="U180" s="131">
        <f t="shared" ca="1" si="146"/>
        <v>0</v>
      </c>
    </row>
    <row r="181" spans="1:21" ht="18.75" hidden="1" x14ac:dyDescent="0.25">
      <c r="A181" s="207"/>
      <c r="B181" s="65"/>
      <c r="C181" s="65"/>
      <c r="D181" s="65"/>
      <c r="E181" s="73" t="s">
        <v>21</v>
      </c>
      <c r="F181" s="65"/>
      <c r="G181" s="67"/>
      <c r="H181" s="219" t="s">
        <v>14</v>
      </c>
      <c r="I181" s="217"/>
      <c r="J181" s="217"/>
      <c r="K181" s="218"/>
      <c r="L181" s="86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1" s="86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1" s="86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1" s="86">
        <f t="shared" ca="1" si="142"/>
        <v>0</v>
      </c>
      <c r="P181" s="86">
        <f t="shared" ca="1" si="143"/>
        <v>0</v>
      </c>
      <c r="Q181" s="71">
        <f ca="1">IFERROR(__xludf.DUMMYFUNCTION("IMPORTRANGE(""https://docs.google.com/spreadsheets/d/13wPX838HrBrQMCywv1BsuMkt4PEKTChp52zj44s2izQ/edit?usp=sharing"",""กาญจนบุรี!Q181"")+IMPORTRANGE(""https://docs.google.com/spreadsheets/d/1ddFKvqj1W1NEiWytbGlB1zMx_ykJDVtmfEQ-6-lIUBA/edit?usp=sharing"","&amp;"""จันทบุรี!Q181"")+IMPORTRANGE(""https://docs.google.com/spreadsheets/d/1T1PQvRODqOBZk8BRht_U031fIS1beLA0Ub2CEytj2q0/edit?usp=sharing"",""ฉะเชิงเทรา!Q181"")+IMPORTRANGE(""https://docs.google.com/spreadsheets/d/11tr1B-Bhyr79v2bkwVh5h_fR-PStkgjlZtkrZpYurG0/"&amp;"edit?usp=sharing"",""ชลบุรี!Q181"")+IMPORTRANGE(""https://docs.google.com/spreadsheets/d/1hh-FVnSX0vozXhGluamEcS54Dw9_zqW0N7qJUWgJ0Sw/edit?usp=sharing"",""ชัยนาท!Q181"")+IMPORTRANGE(""https://docs.google.com/spreadsheets/d/1jkqa6GXxSacMcY1eN8AHjMNJ_7dDXMJ"&amp;"VRLDlaFSOdPM/edit?usp=sharing"",""ตราด!Q181"")+IMPORTRANGE(""https://docs.google.com/spreadsheets/d/18hSgUJ3VwClqi_qtULmmW3cLr0oe3OKaSYoKzdpTsYQ/edit?usp=sharing"",""นครนายก!Q181"")+IMPORTRANGE(""https://docs.google.com/spreadsheets/d/1YTZo6WM2dQ6Ix6FSdnL"&amp;"5P7uVnVKu40sxZu975tgG10E/edit?usp=sharing"",""นครปฐม!Q181"")+IMPORTRANGE(""https://docs.google.com/spreadsheets/d/1OYoGg4WDg5RIzwGeB10padOxJF9E_Vljuvvct_M7RDo/edit?usp=sharing"",""ปทุมธานี!Q181"")+IMPORTRANGE(""https://docs.google.com/spreadsheets/d/1GbCI"&amp;"E4D4wk9FUozzqk7SxfDMxDVBwVmI5zcaVUSzKAc/edit?usp=sharing"",""ประจวบคีรีขันธ์!Q181"")+IMPORTRANGE(""https://docs.google.com/spreadsheets/d/1vVf6wykvW_lAyu7Yo9L4hUTqHqIeP_qcVuxCtosJEbg/edit?usp=sharing"",""ปราจีนบุรี!Q181"")+IMPORTRANGE(""https://docs.googl"&amp;"e.com/spreadsheets/d/1BIDqLLg5jk3v59G8NlR8rk5xfQDKne0sAvZHSj7TI6I/edit?usp=sharing"",""พระนครศรีอยุธยา!Q181"")+IMPORTRANGE(""https://docs.google.com/spreadsheets/d/1YXvxf8Yu6_rV4hTBrwMqAcAnv6DfhUxh5emyM3CJp_w/edit?usp=sharing"",""เพชรบุรี!Q181"")+IMPORTRA"&amp;"NGE(""https://docs.google.com/spreadsheets/d/19KBlQQs7uwvsao6t2n-KvW3Ax8J8uRRfZPq1zPbXgKc/edit?usp=sharing"",""ระยอง!Q181"")+IMPORTRANGE(""https://docs.google.com/spreadsheets/d/1jQ6P4QcrGM89YfqcC_PxOHGCMq5ezhucwJd8ci-NHng/edit?usp=sharing"",""ราชบุรี!Q18"&amp;"1"")+IMPORTRANGE(""https://docs.google.com/spreadsheets/d/1lufeA2cfFqM-elVq2hznhDzC6Pr7wkJ9ZG_sYNGCMCU/edit?usp=sharing"",""ลพบุรี!Q181"")+IMPORTRANGE(""https://docs.google.com/spreadsheets/d/10oOiF7loTyfsTkbd4MpaIm0HQ9SwB7IYHdIUvt-U1Uc/edit?usp=sharing"""&amp;",""สระแก้ว!Q181"")+IMPORTRANGE(""https://docs.google.com/spreadsheets/d/1xmPlrr1QbdSIKvl1dWUl9K4PjAfSL9oeMr_37QVzcxc/edit?usp=sharing"",""สระบุรี!Q181"")+IMPORTRANGE(""https://docs.google.com/spreadsheets/d/1j51vR6CYVGhABJpv6tkstgok82RLpXieLzW1yOY5rHw/edi"&amp;"t?usp=sharing"",""สิงห์บุรี!Q181"")+IMPORTRANGE(""https://docs.google.com/spreadsheets/d/1H1EalTWKUSzO4Z1-1CwzoDUaVffgrThEBe2sl74kKG0/edit?usp=sharing"",""สุพรรณบุรี!Q181"")+IMPORTRANGE(""https://docs.google.com/spreadsheets/d/1BmIruG_sIrJLYao_Pdr7zVArWsf"&amp;"oBt2692TMi6x_854/edit?usp=sharing"",""อ่างทอง!Q181"")"),0)</f>
        <v>0</v>
      </c>
      <c r="R181" s="72">
        <f ca="1">IFERROR(__xludf.DUMMYFUNCTION("IMPORTRANGE(""https://docs.google.com/spreadsheets/d/13wPX838HrBrQMCywv1BsuMkt4PEKTChp52zj44s2izQ/edit?usp=sharing"",""กาญจนบุรี!R181"")+IMPORTRANGE(""https://docs.google.com/spreadsheets/d/1ddFKvqj1W1NEiWytbGlB1zMx_ykJDVtmfEQ-6-lIUBA/edit?usp=sharing"","&amp;"""จันทบุรี!R181"")+IMPORTRANGE(""https://docs.google.com/spreadsheets/d/1T1PQvRODqOBZk8BRht_U031fIS1beLA0Ub2CEytj2q0/edit?usp=sharing"",""ฉะเชิงเทรา!R181"")+IMPORTRANGE(""https://docs.google.com/spreadsheets/d/11tr1B-Bhyr79v2bkwVh5h_fR-PStkgjlZtkrZpYurG0/"&amp;"edit?usp=sharing"",""ชลบุรี!R181"")+IMPORTRANGE(""https://docs.google.com/spreadsheets/d/1hh-FVnSX0vozXhGluamEcS54Dw9_zqW0N7qJUWgJ0Sw/edit?usp=sharing"",""ชัยนาท!R181"")+IMPORTRANGE(""https://docs.google.com/spreadsheets/d/1jkqa6GXxSacMcY1eN8AHjMNJ_7dDXMJ"&amp;"VRLDlaFSOdPM/edit?usp=sharing"",""ตราด!R181"")+IMPORTRANGE(""https://docs.google.com/spreadsheets/d/18hSgUJ3VwClqi_qtULmmW3cLr0oe3OKaSYoKzdpTsYQ/edit?usp=sharing"",""นครนายก!R181"")+IMPORTRANGE(""https://docs.google.com/spreadsheets/d/1YTZo6WM2dQ6Ix6FSdnL"&amp;"5P7uVnVKu40sxZu975tgG10E/edit?usp=sharing"",""นครปฐม!R181"")+IMPORTRANGE(""https://docs.google.com/spreadsheets/d/1OYoGg4WDg5RIzwGeB10padOxJF9E_Vljuvvct_M7RDo/edit?usp=sharing"",""ปทุมธานี!R181"")+IMPORTRANGE(""https://docs.google.com/spreadsheets/d/1GbCI"&amp;"E4D4wk9FUozzqk7SxfDMxDVBwVmI5zcaVUSzKAc/edit?usp=sharing"",""ประจวบคีรีขันธ์!R181"")+IMPORTRANGE(""https://docs.google.com/spreadsheets/d/1vVf6wykvW_lAyu7Yo9L4hUTqHqIeP_qcVuxCtosJEbg/edit?usp=sharing"",""ปราจีนบุรี!R181"")+IMPORTRANGE(""https://docs.googl"&amp;"e.com/spreadsheets/d/1BIDqLLg5jk3v59G8NlR8rk5xfQDKne0sAvZHSj7TI6I/edit?usp=sharing"",""พระนครศรีอยุธยา!R181"")+IMPORTRANGE(""https://docs.google.com/spreadsheets/d/1YXvxf8Yu6_rV4hTBrwMqAcAnv6DfhUxh5emyM3CJp_w/edit?usp=sharing"",""เพชรบุรี!R181"")+IMPORTRA"&amp;"NGE(""https://docs.google.com/spreadsheets/d/19KBlQQs7uwvsao6t2n-KvW3Ax8J8uRRfZPq1zPbXgKc/edit?usp=sharing"",""ระยอง!R181"")+IMPORTRANGE(""https://docs.google.com/spreadsheets/d/1jQ6P4QcrGM89YfqcC_PxOHGCMq5ezhucwJd8ci-NHng/edit?usp=sharing"",""ราชบุรี!R18"&amp;"1"")+IMPORTRANGE(""https://docs.google.com/spreadsheets/d/1lufeA2cfFqM-elVq2hznhDzC6Pr7wkJ9ZG_sYNGCMCU/edit?usp=sharing"",""ลพบุรี!R181"")+IMPORTRANGE(""https://docs.google.com/spreadsheets/d/10oOiF7loTyfsTkbd4MpaIm0HQ9SwB7IYHdIUvt-U1Uc/edit?usp=sharing"""&amp;",""สระแก้ว!R181"")+IMPORTRANGE(""https://docs.google.com/spreadsheets/d/1xmPlrr1QbdSIKvl1dWUl9K4PjAfSL9oeMr_37QVzcxc/edit?usp=sharing"",""สระบุรี!R181"")+IMPORTRANGE(""https://docs.google.com/spreadsheets/d/1j51vR6CYVGhABJpv6tkstgok82RLpXieLzW1yOY5rHw/edi"&amp;"t?usp=sharing"",""สิงห์บุรี!R181"")+IMPORTRANGE(""https://docs.google.com/spreadsheets/d/1H1EalTWKUSzO4Z1-1CwzoDUaVffgrThEBe2sl74kKG0/edit?usp=sharing"",""สุพรรณบุรี!R181"")+IMPORTRANGE(""https://docs.google.com/spreadsheets/d/1BmIruG_sIrJLYao_Pdr7zVArWsf"&amp;"oBt2692TMi6x_854/edit?usp=sharing"",""อ่างทอง!R181"")"),0)</f>
        <v>0</v>
      </c>
      <c r="S181" s="72">
        <f ca="1">IFERROR(__xludf.DUMMYFUNCTION("IMPORTRANGE(""https://docs.google.com/spreadsheets/d/13wPX838HrBrQMCywv1BsuMkt4PEKTChp52zj44s2izQ/edit?usp=sharing"",""กาญจนบุรี!S181"")+IMPORTRANGE(""https://docs.google.com/spreadsheets/d/1ddFKvqj1W1NEiWytbGlB1zMx_ykJDVtmfEQ-6-lIUBA/edit?usp=sharing"","&amp;"""จันทบุรี!S181"")+IMPORTRANGE(""https://docs.google.com/spreadsheets/d/1T1PQvRODqOBZk8BRht_U031fIS1beLA0Ub2CEytj2q0/edit?usp=sharing"",""ฉะเชิงเทรา!S181"")+IMPORTRANGE(""https://docs.google.com/spreadsheets/d/11tr1B-Bhyr79v2bkwVh5h_fR-PStkgjlZtkrZpYurG0/"&amp;"edit?usp=sharing"",""ชลบุรี!S181"")+IMPORTRANGE(""https://docs.google.com/spreadsheets/d/1hh-FVnSX0vozXhGluamEcS54Dw9_zqW0N7qJUWgJ0Sw/edit?usp=sharing"",""ชัยนาท!S181"")+IMPORTRANGE(""https://docs.google.com/spreadsheets/d/1jkqa6GXxSacMcY1eN8AHjMNJ_7dDXMJ"&amp;"VRLDlaFSOdPM/edit?usp=sharing"",""ตราด!S181"")+IMPORTRANGE(""https://docs.google.com/spreadsheets/d/18hSgUJ3VwClqi_qtULmmW3cLr0oe3OKaSYoKzdpTsYQ/edit?usp=sharing"",""นครนายก!S181"")+IMPORTRANGE(""https://docs.google.com/spreadsheets/d/1YTZo6WM2dQ6Ix6FSdnL"&amp;"5P7uVnVKu40sxZu975tgG10E/edit?usp=sharing"",""นครปฐม!S181"")+IMPORTRANGE(""https://docs.google.com/spreadsheets/d/1OYoGg4WDg5RIzwGeB10padOxJF9E_Vljuvvct_M7RDo/edit?usp=sharing"",""ปทุมธานี!S181"")+IMPORTRANGE(""https://docs.google.com/spreadsheets/d/1GbCI"&amp;"E4D4wk9FUozzqk7SxfDMxDVBwVmI5zcaVUSzKAc/edit?usp=sharing"",""ประจวบคีรีขันธ์!S181"")+IMPORTRANGE(""https://docs.google.com/spreadsheets/d/1vVf6wykvW_lAyu7Yo9L4hUTqHqIeP_qcVuxCtosJEbg/edit?usp=sharing"",""ปราจีนบุรี!S181"")+IMPORTRANGE(""https://docs.googl"&amp;"e.com/spreadsheets/d/1BIDqLLg5jk3v59G8NlR8rk5xfQDKne0sAvZHSj7TI6I/edit?usp=sharing"",""พระนครศรีอยุธยา!S181"")+IMPORTRANGE(""https://docs.google.com/spreadsheets/d/1YXvxf8Yu6_rV4hTBrwMqAcAnv6DfhUxh5emyM3CJp_w/edit?usp=sharing"",""เพชรบุรี!S181"")+IMPORTRA"&amp;"NGE(""https://docs.google.com/spreadsheets/d/19KBlQQs7uwvsao6t2n-KvW3Ax8J8uRRfZPq1zPbXgKc/edit?usp=sharing"",""ระยอง!S181"")+IMPORTRANGE(""https://docs.google.com/spreadsheets/d/1jQ6P4QcrGM89YfqcC_PxOHGCMq5ezhucwJd8ci-NHng/edit?usp=sharing"",""ราชบุรี!S18"&amp;"1"")+IMPORTRANGE(""https://docs.google.com/spreadsheets/d/1lufeA2cfFqM-elVq2hznhDzC6Pr7wkJ9ZG_sYNGCMCU/edit?usp=sharing"",""ลพบุรี!S181"")+IMPORTRANGE(""https://docs.google.com/spreadsheets/d/10oOiF7loTyfsTkbd4MpaIm0HQ9SwB7IYHdIUvt-U1Uc/edit?usp=sharing"""&amp;",""สระแก้ว!S181"")+IMPORTRANGE(""https://docs.google.com/spreadsheets/d/1xmPlrr1QbdSIKvl1dWUl9K4PjAfSL9oeMr_37QVzcxc/edit?usp=sharing"",""สระบุรี!S181"")+IMPORTRANGE(""https://docs.google.com/spreadsheets/d/1j51vR6CYVGhABJpv6tkstgok82RLpXieLzW1yOY5rHw/edi"&amp;"t?usp=sharing"",""สิงห์บุรี!S181"")+IMPORTRANGE(""https://docs.google.com/spreadsheets/d/1H1EalTWKUSzO4Z1-1CwzoDUaVffgrThEBe2sl74kKG0/edit?usp=sharing"",""สุพรรณบุรี!S181"")+IMPORTRANGE(""https://docs.google.com/spreadsheets/d/1BmIruG_sIrJLYao_Pdr7zVArWsf"&amp;"oBt2692TMi6x_854/edit?usp=sharing"",""อ่างทอง!S181"")"),0)</f>
        <v>0</v>
      </c>
      <c r="T181" s="130">
        <f t="shared" ca="1" si="145"/>
        <v>0</v>
      </c>
      <c r="U181" s="130">
        <f t="shared" ca="1" si="146"/>
        <v>0</v>
      </c>
    </row>
    <row r="182" spans="1:21" ht="19.5" x14ac:dyDescent="0.3">
      <c r="A182" s="220"/>
      <c r="B182" s="221"/>
      <c r="C182" s="208" t="s">
        <v>18</v>
      </c>
      <c r="D182" s="222" t="s">
        <v>38</v>
      </c>
      <c r="E182" s="223"/>
      <c r="F182" s="223"/>
      <c r="G182" s="224"/>
      <c r="H182" s="314"/>
      <c r="I182" s="69"/>
      <c r="J182" s="69"/>
      <c r="K182" s="70"/>
      <c r="L182" s="70"/>
      <c r="M182" s="70"/>
      <c r="N182" s="70"/>
      <c r="O182" s="70"/>
      <c r="P182" s="70"/>
      <c r="Q182" s="84"/>
      <c r="R182" s="85"/>
      <c r="S182" s="85"/>
      <c r="T182" s="85"/>
      <c r="U182" s="85"/>
    </row>
    <row r="183" spans="1:21" ht="18.75" x14ac:dyDescent="0.25">
      <c r="A183" s="364"/>
      <c r="B183" s="65"/>
      <c r="C183" s="365"/>
      <c r="D183" s="365" t="s">
        <v>75</v>
      </c>
      <c r="E183" s="65"/>
      <c r="F183" s="65"/>
      <c r="G183" s="67"/>
      <c r="H183" s="366" t="s">
        <v>35</v>
      </c>
      <c r="I183" s="237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201)</f>
        <v>201</v>
      </c>
      <c r="J183" s="237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140)</f>
        <v>140</v>
      </c>
      <c r="K183" s="86">
        <f t="shared" ref="K183:K185" ca="1" si="155">IF(I183&gt;0,J183*100/I183,0)</f>
        <v>69.651741293532339</v>
      </c>
      <c r="L183" s="70"/>
      <c r="M183" s="70"/>
      <c r="N183" s="70"/>
      <c r="O183" s="70"/>
      <c r="P183" s="70"/>
      <c r="Q183" s="84"/>
      <c r="R183" s="85"/>
      <c r="S183" s="85"/>
      <c r="T183" s="85"/>
      <c r="U183" s="85"/>
    </row>
    <row r="184" spans="1:21" ht="18.75" x14ac:dyDescent="0.25">
      <c r="A184" s="364"/>
      <c r="B184" s="367"/>
      <c r="C184" s="365"/>
      <c r="D184" s="365" t="s">
        <v>76</v>
      </c>
      <c r="E184" s="65"/>
      <c r="F184" s="65"/>
      <c r="G184" s="67"/>
      <c r="H184" s="366" t="s">
        <v>35</v>
      </c>
      <c r="I184" s="237">
        <v>70</v>
      </c>
      <c r="J184" s="237">
        <v>0</v>
      </c>
      <c r="K184" s="86">
        <f t="shared" si="155"/>
        <v>0</v>
      </c>
      <c r="L184" s="70"/>
      <c r="M184" s="70"/>
      <c r="N184" s="70"/>
      <c r="O184" s="70"/>
      <c r="P184" s="70"/>
      <c r="Q184" s="84"/>
      <c r="R184" s="85"/>
      <c r="S184" s="85"/>
      <c r="T184" s="85"/>
      <c r="U184" s="85"/>
    </row>
    <row r="185" spans="1:21" ht="19.5" x14ac:dyDescent="0.3">
      <c r="A185" s="355"/>
      <c r="B185" s="356" t="s">
        <v>77</v>
      </c>
      <c r="C185" s="357"/>
      <c r="D185" s="223"/>
      <c r="E185" s="223"/>
      <c r="F185" s="223"/>
      <c r="G185" s="224"/>
      <c r="H185" s="358" t="s">
        <v>35</v>
      </c>
      <c r="I185" s="359">
        <f t="shared" ref="I185:J185" ca="1" si="156">I230+I231</f>
        <v>0</v>
      </c>
      <c r="J185" s="359">
        <f t="shared" ca="1" si="156"/>
        <v>0</v>
      </c>
      <c r="K185" s="360">
        <f t="shared" ca="1" si="155"/>
        <v>0</v>
      </c>
      <c r="L185" s="361"/>
      <c r="M185" s="361"/>
      <c r="N185" s="361"/>
      <c r="O185" s="361"/>
      <c r="P185" s="361"/>
      <c r="Q185" s="362"/>
      <c r="R185" s="363"/>
      <c r="S185" s="363"/>
      <c r="T185" s="363"/>
      <c r="U185" s="363"/>
    </row>
    <row r="186" spans="1:21" ht="19.5" x14ac:dyDescent="0.3">
      <c r="A186" s="207"/>
      <c r="B186" s="65"/>
      <c r="C186" s="208" t="s">
        <v>18</v>
      </c>
      <c r="D186" s="209" t="s">
        <v>19</v>
      </c>
      <c r="E186" s="65"/>
      <c r="F186" s="65"/>
      <c r="G186" s="67"/>
      <c r="H186" s="210" t="s">
        <v>14</v>
      </c>
      <c r="I186" s="69"/>
      <c r="J186" s="69"/>
      <c r="K186" s="70"/>
      <c r="L186" s="211">
        <f t="shared" ref="L186:N186" ca="1" si="157">L187+L188</f>
        <v>5836312</v>
      </c>
      <c r="M186" s="211">
        <f t="shared" ca="1" si="157"/>
        <v>6197551</v>
      </c>
      <c r="N186" s="211">
        <f t="shared" ca="1" si="157"/>
        <v>3089668.05</v>
      </c>
      <c r="O186" s="211">
        <f t="shared" ref="O186:O194" ca="1" si="158">IF(L186&gt;0,N186*100/L186,0)</f>
        <v>52.938705984190015</v>
      </c>
      <c r="P186" s="211">
        <f t="shared" ref="P186:P194" ca="1" si="159">IF(M186&gt;0,N186*100/M186,0)</f>
        <v>49.853047598962881</v>
      </c>
      <c r="Q186" s="212">
        <f t="shared" ref="Q186:S186" ca="1" si="160">Q187+Q188</f>
        <v>1356738</v>
      </c>
      <c r="R186" s="213">
        <f t="shared" ca="1" si="160"/>
        <v>1356738</v>
      </c>
      <c r="S186" s="213">
        <f t="shared" ca="1" si="160"/>
        <v>612913.69999999995</v>
      </c>
      <c r="T186" s="213">
        <f t="shared" ref="T186:T194" ca="1" si="161">IF(Q186&gt;0,S186*100/Q186,0)</f>
        <v>45.175538681749899</v>
      </c>
      <c r="U186" s="213">
        <f t="shared" ref="U186:U194" ca="1" si="162">IF(R186&gt;0,S186*100/R186,0)</f>
        <v>45.175538681749899</v>
      </c>
    </row>
    <row r="187" spans="1:21" ht="18.75" hidden="1" x14ac:dyDescent="0.25">
      <c r="A187" s="207"/>
      <c r="B187" s="65"/>
      <c r="C187" s="65"/>
      <c r="D187" s="65"/>
      <c r="E187" s="73" t="s">
        <v>20</v>
      </c>
      <c r="F187" s="65"/>
      <c r="G187" s="67"/>
      <c r="H187" s="214" t="s">
        <v>14</v>
      </c>
      <c r="I187" s="69"/>
      <c r="J187" s="69"/>
      <c r="K187" s="70"/>
      <c r="L187" s="86">
        <f t="shared" ref="L187:N187" ca="1" si="163">L190+L193</f>
        <v>0</v>
      </c>
      <c r="M187" s="86">
        <f t="shared" ca="1" si="163"/>
        <v>0</v>
      </c>
      <c r="N187" s="86">
        <f t="shared" ca="1" si="163"/>
        <v>0</v>
      </c>
      <c r="O187" s="86">
        <f t="shared" ca="1" si="158"/>
        <v>0</v>
      </c>
      <c r="P187" s="86">
        <f t="shared" ca="1" si="159"/>
        <v>0</v>
      </c>
      <c r="Q187" s="215">
        <f t="shared" ref="Q187:S187" ca="1" si="164">Q190+Q193</f>
        <v>0</v>
      </c>
      <c r="R187" s="131">
        <f t="shared" ca="1" si="164"/>
        <v>0</v>
      </c>
      <c r="S187" s="131">
        <f t="shared" ca="1" si="164"/>
        <v>0</v>
      </c>
      <c r="T187" s="131">
        <f t="shared" ca="1" si="161"/>
        <v>0</v>
      </c>
      <c r="U187" s="131">
        <f t="shared" ca="1" si="162"/>
        <v>0</v>
      </c>
    </row>
    <row r="188" spans="1:21" ht="18.75" hidden="1" x14ac:dyDescent="0.25">
      <c r="A188" s="207"/>
      <c r="B188" s="65"/>
      <c r="C188" s="65"/>
      <c r="D188" s="65"/>
      <c r="E188" s="73" t="s">
        <v>21</v>
      </c>
      <c r="F188" s="65"/>
      <c r="G188" s="67"/>
      <c r="H188" s="214" t="s">
        <v>14</v>
      </c>
      <c r="I188" s="69"/>
      <c r="J188" s="69"/>
      <c r="K188" s="70"/>
      <c r="L188" s="86">
        <f t="shared" ref="L188:N188" ca="1" si="165">L191+L194</f>
        <v>5836312</v>
      </c>
      <c r="M188" s="86">
        <f t="shared" ca="1" si="165"/>
        <v>6197551</v>
      </c>
      <c r="N188" s="86">
        <f t="shared" ca="1" si="165"/>
        <v>3089668.05</v>
      </c>
      <c r="O188" s="86">
        <f t="shared" ca="1" si="158"/>
        <v>52.938705984190015</v>
      </c>
      <c r="P188" s="86">
        <f t="shared" ca="1" si="159"/>
        <v>49.853047598962881</v>
      </c>
      <c r="Q188" s="129">
        <f t="shared" ref="Q188:S188" ca="1" si="166">Q191+Q194</f>
        <v>1356738</v>
      </c>
      <c r="R188" s="130">
        <f t="shared" ca="1" si="166"/>
        <v>1356738</v>
      </c>
      <c r="S188" s="130">
        <f t="shared" ca="1" si="166"/>
        <v>612913.69999999995</v>
      </c>
      <c r="T188" s="130">
        <f t="shared" ca="1" si="161"/>
        <v>45.175538681749899</v>
      </c>
      <c r="U188" s="130">
        <f t="shared" ca="1" si="162"/>
        <v>45.175538681749899</v>
      </c>
    </row>
    <row r="189" spans="1:21" ht="18.75" x14ac:dyDescent="0.25">
      <c r="A189" s="207"/>
      <c r="B189" s="65"/>
      <c r="C189" s="65"/>
      <c r="D189" s="66" t="s">
        <v>22</v>
      </c>
      <c r="E189" s="65"/>
      <c r="F189" s="65"/>
      <c r="G189" s="67"/>
      <c r="H189" s="216" t="s">
        <v>14</v>
      </c>
      <c r="I189" s="217"/>
      <c r="J189" s="217"/>
      <c r="K189" s="218"/>
      <c r="L189" s="86">
        <f t="shared" ref="L189:N189" ca="1" si="167">L190+L191</f>
        <v>4184312</v>
      </c>
      <c r="M189" s="86">
        <f t="shared" ca="1" si="167"/>
        <v>4545551</v>
      </c>
      <c r="N189" s="86">
        <f t="shared" ca="1" si="167"/>
        <v>3089668.05</v>
      </c>
      <c r="O189" s="86">
        <f t="shared" ca="1" si="158"/>
        <v>73.839332487634763</v>
      </c>
      <c r="P189" s="86">
        <f t="shared" ca="1" si="159"/>
        <v>67.971254749974207</v>
      </c>
      <c r="Q189" s="129">
        <f t="shared" ref="Q189:S189" ca="1" si="168">Q190+Q191</f>
        <v>1272738</v>
      </c>
      <c r="R189" s="130">
        <f t="shared" ca="1" si="168"/>
        <v>1272738</v>
      </c>
      <c r="S189" s="130">
        <f t="shared" ca="1" si="168"/>
        <v>612913.69999999995</v>
      </c>
      <c r="T189" s="130">
        <f t="shared" ca="1" si="161"/>
        <v>48.157099104450403</v>
      </c>
      <c r="U189" s="130">
        <f t="shared" ca="1" si="162"/>
        <v>48.157099104450403</v>
      </c>
    </row>
    <row r="190" spans="1:21" ht="18.75" hidden="1" x14ac:dyDescent="0.25">
      <c r="A190" s="207"/>
      <c r="B190" s="65"/>
      <c r="C190" s="65"/>
      <c r="D190" s="65"/>
      <c r="E190" s="73" t="s">
        <v>36</v>
      </c>
      <c r="F190" s="65"/>
      <c r="G190" s="67"/>
      <c r="H190" s="216" t="s">
        <v>14</v>
      </c>
      <c r="I190" s="217"/>
      <c r="J190" s="217"/>
      <c r="K190" s="218"/>
      <c r="L190" s="86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0" s="86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0" s="86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0" s="86">
        <f t="shared" ca="1" si="158"/>
        <v>0</v>
      </c>
      <c r="P190" s="86">
        <f t="shared" ca="1" si="159"/>
        <v>0</v>
      </c>
      <c r="Q190" s="74">
        <f ca="1">IFERROR(__xludf.DUMMYFUNCTION("IMPORTRANGE(""https://docs.google.com/spreadsheets/d/13wPX838HrBrQMCywv1BsuMkt4PEKTChp52zj44s2izQ/edit?usp=sharing"",""กาญจนบุรี!Q190"")+IMPORTRANGE(""https://docs.google.com/spreadsheets/d/1ddFKvqj1W1NEiWytbGlB1zMx_ykJDVtmfEQ-6-lIUBA/edit?usp=sharing"","&amp;"""จันทบุรี!Q190"")+IMPORTRANGE(""https://docs.google.com/spreadsheets/d/1T1PQvRODqOBZk8BRht_U031fIS1beLA0Ub2CEytj2q0/edit?usp=sharing"",""ฉะเชิงเทรา!Q190"")+IMPORTRANGE(""https://docs.google.com/spreadsheets/d/11tr1B-Bhyr79v2bkwVh5h_fR-PStkgjlZtkrZpYurG0/"&amp;"edit?usp=sharing"",""ชลบุรี!Q190"")+IMPORTRANGE(""https://docs.google.com/spreadsheets/d/1hh-FVnSX0vozXhGluamEcS54Dw9_zqW0N7qJUWgJ0Sw/edit?usp=sharing"",""ชัยนาท!Q190"")+IMPORTRANGE(""https://docs.google.com/spreadsheets/d/1jkqa6GXxSacMcY1eN8AHjMNJ_7dDXMJ"&amp;"VRLDlaFSOdPM/edit?usp=sharing"",""ตราด!Q190"")+IMPORTRANGE(""https://docs.google.com/spreadsheets/d/18hSgUJ3VwClqi_qtULmmW3cLr0oe3OKaSYoKzdpTsYQ/edit?usp=sharing"",""นครนายก!Q190"")+IMPORTRANGE(""https://docs.google.com/spreadsheets/d/1YTZo6WM2dQ6Ix6FSdnL"&amp;"5P7uVnVKu40sxZu975tgG10E/edit?usp=sharing"",""นครปฐม!Q190"")+IMPORTRANGE(""https://docs.google.com/spreadsheets/d/1OYoGg4WDg5RIzwGeB10padOxJF9E_Vljuvvct_M7RDo/edit?usp=sharing"",""ปทุมธานี!Q190"")+IMPORTRANGE(""https://docs.google.com/spreadsheets/d/1GbCI"&amp;"E4D4wk9FUozzqk7SxfDMxDVBwVmI5zcaVUSzKAc/edit?usp=sharing"",""ประจวบคีรีขันธ์!Q190"")+IMPORTRANGE(""https://docs.google.com/spreadsheets/d/1vVf6wykvW_lAyu7Yo9L4hUTqHqIeP_qcVuxCtosJEbg/edit?usp=sharing"",""ปราจีนบุรี!Q190"")+IMPORTRANGE(""https://docs.googl"&amp;"e.com/spreadsheets/d/1BIDqLLg5jk3v59G8NlR8rk5xfQDKne0sAvZHSj7TI6I/edit?usp=sharing"",""พระนครศรีอยุธยา!Q190"")+IMPORTRANGE(""https://docs.google.com/spreadsheets/d/1YXvxf8Yu6_rV4hTBrwMqAcAnv6DfhUxh5emyM3CJp_w/edit?usp=sharing"",""เพชรบุรี!Q190"")+IMPORTRA"&amp;"NGE(""https://docs.google.com/spreadsheets/d/19KBlQQs7uwvsao6t2n-KvW3Ax8J8uRRfZPq1zPbXgKc/edit?usp=sharing"",""ระยอง!Q190"")+IMPORTRANGE(""https://docs.google.com/spreadsheets/d/1jQ6P4QcrGM89YfqcC_PxOHGCMq5ezhucwJd8ci-NHng/edit?usp=sharing"",""ราชบุรี!Q19"&amp;"0"")+IMPORTRANGE(""https://docs.google.com/spreadsheets/d/1lufeA2cfFqM-elVq2hznhDzC6Pr7wkJ9ZG_sYNGCMCU/edit?usp=sharing"",""ลพบุรี!Q190"")+IMPORTRANGE(""https://docs.google.com/spreadsheets/d/10oOiF7loTyfsTkbd4MpaIm0HQ9SwB7IYHdIUvt-U1Uc/edit?usp=sharing"""&amp;",""สระแก้ว!Q190"")+IMPORTRANGE(""https://docs.google.com/spreadsheets/d/1xmPlrr1QbdSIKvl1dWUl9K4PjAfSL9oeMr_37QVzcxc/edit?usp=sharing"",""สระบุรี!Q190"")+IMPORTRANGE(""https://docs.google.com/spreadsheets/d/1j51vR6CYVGhABJpv6tkstgok82RLpXieLzW1yOY5rHw/edi"&amp;"t?usp=sharing"",""สิงห์บุรี!Q190"")+IMPORTRANGE(""https://docs.google.com/spreadsheets/d/1H1EalTWKUSzO4Z1-1CwzoDUaVffgrThEBe2sl74kKG0/edit?usp=sharing"",""สุพรรณบุรี!Q190"")+IMPORTRANGE(""https://docs.google.com/spreadsheets/d/1BmIruG_sIrJLYao_Pdr7zVArWsf"&amp;"oBt2692TMi6x_854/edit?usp=sharing"",""อ่างทอง!Q190"")"),0)</f>
        <v>0</v>
      </c>
      <c r="R190" s="75">
        <f ca="1">IFERROR(__xludf.DUMMYFUNCTION("IMPORTRANGE(""https://docs.google.com/spreadsheets/d/13wPX838HrBrQMCywv1BsuMkt4PEKTChp52zj44s2izQ/edit?usp=sharing"",""กาญจนบุรี!R190"")+IMPORTRANGE(""https://docs.google.com/spreadsheets/d/1ddFKvqj1W1NEiWytbGlB1zMx_ykJDVtmfEQ-6-lIUBA/edit?usp=sharing"","&amp;"""จันทบุรี!R190"")+IMPORTRANGE(""https://docs.google.com/spreadsheets/d/1T1PQvRODqOBZk8BRht_U031fIS1beLA0Ub2CEytj2q0/edit?usp=sharing"",""ฉะเชิงเทรา!R190"")+IMPORTRANGE(""https://docs.google.com/spreadsheets/d/11tr1B-Bhyr79v2bkwVh5h_fR-PStkgjlZtkrZpYurG0/"&amp;"edit?usp=sharing"",""ชลบุรี!R190"")+IMPORTRANGE(""https://docs.google.com/spreadsheets/d/1hh-FVnSX0vozXhGluamEcS54Dw9_zqW0N7qJUWgJ0Sw/edit?usp=sharing"",""ชัยนาท!R190"")+IMPORTRANGE(""https://docs.google.com/spreadsheets/d/1jkqa6GXxSacMcY1eN8AHjMNJ_7dDXMJ"&amp;"VRLDlaFSOdPM/edit?usp=sharing"",""ตราด!R190"")+IMPORTRANGE(""https://docs.google.com/spreadsheets/d/18hSgUJ3VwClqi_qtULmmW3cLr0oe3OKaSYoKzdpTsYQ/edit?usp=sharing"",""นครนายก!R190"")+IMPORTRANGE(""https://docs.google.com/spreadsheets/d/1YTZo6WM2dQ6Ix6FSdnL"&amp;"5P7uVnVKu40sxZu975tgG10E/edit?usp=sharing"",""นครปฐม!R190"")+IMPORTRANGE(""https://docs.google.com/spreadsheets/d/1OYoGg4WDg5RIzwGeB10padOxJF9E_Vljuvvct_M7RDo/edit?usp=sharing"",""ปทุมธานี!R190"")+IMPORTRANGE(""https://docs.google.com/spreadsheets/d/1GbCI"&amp;"E4D4wk9FUozzqk7SxfDMxDVBwVmI5zcaVUSzKAc/edit?usp=sharing"",""ประจวบคีรีขันธ์!R190"")+IMPORTRANGE(""https://docs.google.com/spreadsheets/d/1vVf6wykvW_lAyu7Yo9L4hUTqHqIeP_qcVuxCtosJEbg/edit?usp=sharing"",""ปราจีนบุรี!R190"")+IMPORTRANGE(""https://docs.googl"&amp;"e.com/spreadsheets/d/1BIDqLLg5jk3v59G8NlR8rk5xfQDKne0sAvZHSj7TI6I/edit?usp=sharing"",""พระนครศรีอยุธยา!R190"")+IMPORTRANGE(""https://docs.google.com/spreadsheets/d/1YXvxf8Yu6_rV4hTBrwMqAcAnv6DfhUxh5emyM3CJp_w/edit?usp=sharing"",""เพชรบุรี!R190"")+IMPORTRA"&amp;"NGE(""https://docs.google.com/spreadsheets/d/19KBlQQs7uwvsao6t2n-KvW3Ax8J8uRRfZPq1zPbXgKc/edit?usp=sharing"",""ระยอง!R190"")+IMPORTRANGE(""https://docs.google.com/spreadsheets/d/1jQ6P4QcrGM89YfqcC_PxOHGCMq5ezhucwJd8ci-NHng/edit?usp=sharing"",""ราชบุรี!R19"&amp;"0"")+IMPORTRANGE(""https://docs.google.com/spreadsheets/d/1lufeA2cfFqM-elVq2hznhDzC6Pr7wkJ9ZG_sYNGCMCU/edit?usp=sharing"",""ลพบุรี!R190"")+IMPORTRANGE(""https://docs.google.com/spreadsheets/d/10oOiF7loTyfsTkbd4MpaIm0HQ9SwB7IYHdIUvt-U1Uc/edit?usp=sharing"""&amp;",""สระแก้ว!R190"")+IMPORTRANGE(""https://docs.google.com/spreadsheets/d/1xmPlrr1QbdSIKvl1dWUl9K4PjAfSL9oeMr_37QVzcxc/edit?usp=sharing"",""สระบุรี!R190"")+IMPORTRANGE(""https://docs.google.com/spreadsheets/d/1j51vR6CYVGhABJpv6tkstgok82RLpXieLzW1yOY5rHw/edi"&amp;"t?usp=sharing"",""สิงห์บุรี!R190"")+IMPORTRANGE(""https://docs.google.com/spreadsheets/d/1H1EalTWKUSzO4Z1-1CwzoDUaVffgrThEBe2sl74kKG0/edit?usp=sharing"",""สุพรรณบุรี!R190"")+IMPORTRANGE(""https://docs.google.com/spreadsheets/d/1BmIruG_sIrJLYao_Pdr7zVArWsf"&amp;"oBt2692TMi6x_854/edit?usp=sharing"",""อ่างทอง!R190"")"),0)</f>
        <v>0</v>
      </c>
      <c r="S190" s="75">
        <f ca="1">IFERROR(__xludf.DUMMYFUNCTION("IMPORTRANGE(""https://docs.google.com/spreadsheets/d/13wPX838HrBrQMCywv1BsuMkt4PEKTChp52zj44s2izQ/edit?usp=sharing"",""กาญจนบุรี!S190"")+IMPORTRANGE(""https://docs.google.com/spreadsheets/d/1ddFKvqj1W1NEiWytbGlB1zMx_ykJDVtmfEQ-6-lIUBA/edit?usp=sharing"","&amp;"""จันทบุรี!S190"")+IMPORTRANGE(""https://docs.google.com/spreadsheets/d/1T1PQvRODqOBZk8BRht_U031fIS1beLA0Ub2CEytj2q0/edit?usp=sharing"",""ฉะเชิงเทรา!S190"")+IMPORTRANGE(""https://docs.google.com/spreadsheets/d/11tr1B-Bhyr79v2bkwVh5h_fR-PStkgjlZtkrZpYurG0/"&amp;"edit?usp=sharing"",""ชลบุรี!S190"")+IMPORTRANGE(""https://docs.google.com/spreadsheets/d/1hh-FVnSX0vozXhGluamEcS54Dw9_zqW0N7qJUWgJ0Sw/edit?usp=sharing"",""ชัยนาท!S190"")+IMPORTRANGE(""https://docs.google.com/spreadsheets/d/1jkqa6GXxSacMcY1eN8AHjMNJ_7dDXMJ"&amp;"VRLDlaFSOdPM/edit?usp=sharing"",""ตราด!S190"")+IMPORTRANGE(""https://docs.google.com/spreadsheets/d/18hSgUJ3VwClqi_qtULmmW3cLr0oe3OKaSYoKzdpTsYQ/edit?usp=sharing"",""นครนายก!S190"")+IMPORTRANGE(""https://docs.google.com/spreadsheets/d/1YTZo6WM2dQ6Ix6FSdnL"&amp;"5P7uVnVKu40sxZu975tgG10E/edit?usp=sharing"",""นครปฐม!S190"")+IMPORTRANGE(""https://docs.google.com/spreadsheets/d/1OYoGg4WDg5RIzwGeB10padOxJF9E_Vljuvvct_M7RDo/edit?usp=sharing"",""ปทุมธานี!S190"")+IMPORTRANGE(""https://docs.google.com/spreadsheets/d/1GbCI"&amp;"E4D4wk9FUozzqk7SxfDMxDVBwVmI5zcaVUSzKAc/edit?usp=sharing"",""ประจวบคีรีขันธ์!S190"")+IMPORTRANGE(""https://docs.google.com/spreadsheets/d/1vVf6wykvW_lAyu7Yo9L4hUTqHqIeP_qcVuxCtosJEbg/edit?usp=sharing"",""ปราจีนบุรี!S190"")+IMPORTRANGE(""https://docs.googl"&amp;"e.com/spreadsheets/d/1BIDqLLg5jk3v59G8NlR8rk5xfQDKne0sAvZHSj7TI6I/edit?usp=sharing"",""พระนครศรีอยุธยา!S190"")+IMPORTRANGE(""https://docs.google.com/spreadsheets/d/1YXvxf8Yu6_rV4hTBrwMqAcAnv6DfhUxh5emyM3CJp_w/edit?usp=sharing"",""เพชรบุรี!S190"")+IMPORTRA"&amp;"NGE(""https://docs.google.com/spreadsheets/d/19KBlQQs7uwvsao6t2n-KvW3Ax8J8uRRfZPq1zPbXgKc/edit?usp=sharing"",""ระยอง!S190"")+IMPORTRANGE(""https://docs.google.com/spreadsheets/d/1jQ6P4QcrGM89YfqcC_PxOHGCMq5ezhucwJd8ci-NHng/edit?usp=sharing"",""ราชบุรี!S19"&amp;"0"")+IMPORTRANGE(""https://docs.google.com/spreadsheets/d/1lufeA2cfFqM-elVq2hznhDzC6Pr7wkJ9ZG_sYNGCMCU/edit?usp=sharing"",""ลพบุรี!S190"")+IMPORTRANGE(""https://docs.google.com/spreadsheets/d/10oOiF7loTyfsTkbd4MpaIm0HQ9SwB7IYHdIUvt-U1Uc/edit?usp=sharing"""&amp;",""สระแก้ว!S190"")+IMPORTRANGE(""https://docs.google.com/spreadsheets/d/1xmPlrr1QbdSIKvl1dWUl9K4PjAfSL9oeMr_37QVzcxc/edit?usp=sharing"",""สระบุรี!S190"")+IMPORTRANGE(""https://docs.google.com/spreadsheets/d/1j51vR6CYVGhABJpv6tkstgok82RLpXieLzW1yOY5rHw/edi"&amp;"t?usp=sharing"",""สิงห์บุรี!S190"")+IMPORTRANGE(""https://docs.google.com/spreadsheets/d/1H1EalTWKUSzO4Z1-1CwzoDUaVffgrThEBe2sl74kKG0/edit?usp=sharing"",""สุพรรณบุรี!S190"")+IMPORTRANGE(""https://docs.google.com/spreadsheets/d/1BmIruG_sIrJLYao_Pdr7zVArWsf"&amp;"oBt2692TMi6x_854/edit?usp=sharing"",""อ่างทอง!S190"")"),0)</f>
        <v>0</v>
      </c>
      <c r="T190" s="131">
        <f t="shared" ca="1" si="161"/>
        <v>0</v>
      </c>
      <c r="U190" s="131">
        <f t="shared" ca="1" si="162"/>
        <v>0</v>
      </c>
    </row>
    <row r="191" spans="1:21" ht="18.75" hidden="1" x14ac:dyDescent="0.25">
      <c r="A191" s="207"/>
      <c r="B191" s="65"/>
      <c r="C191" s="65"/>
      <c r="D191" s="65"/>
      <c r="E191" s="73" t="s">
        <v>37</v>
      </c>
      <c r="F191" s="65"/>
      <c r="G191" s="67"/>
      <c r="H191" s="216" t="s">
        <v>14</v>
      </c>
      <c r="I191" s="217"/>
      <c r="J191" s="217"/>
      <c r="K191" s="218"/>
      <c r="L191" s="86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4184312)</f>
        <v>4184312</v>
      </c>
      <c r="M191" s="86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4545551)</f>
        <v>4545551</v>
      </c>
      <c r="N191" s="86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3089668.05)</f>
        <v>3089668.05</v>
      </c>
      <c r="O191" s="86">
        <f t="shared" ca="1" si="158"/>
        <v>73.839332487634763</v>
      </c>
      <c r="P191" s="86">
        <f t="shared" ca="1" si="159"/>
        <v>67.971254749974207</v>
      </c>
      <c r="Q191" s="129">
        <f ca="1">IFERROR(__xludf.DUMMYFUNCTION("IMPORTRANGE(""https://docs.google.com/spreadsheets/d/13wPX838HrBrQMCywv1BsuMkt4PEKTChp52zj44s2izQ/edit?usp=sharing"",""กาญจนบุรี!Q191"")+IMPORTRANGE(""https://docs.google.com/spreadsheets/d/1ddFKvqj1W1NEiWytbGlB1zMx_ykJDVtmfEQ-6-lIUBA/edit?usp=sharing"","&amp;"""จันทบุรี!Q191"")+IMPORTRANGE(""https://docs.google.com/spreadsheets/d/1T1PQvRODqOBZk8BRht_U031fIS1beLA0Ub2CEytj2q0/edit?usp=sharing"",""ฉะเชิงเทรา!Q191"")+IMPORTRANGE(""https://docs.google.com/spreadsheets/d/11tr1B-Bhyr79v2bkwVh5h_fR-PStkgjlZtkrZpYurG0/"&amp;"edit?usp=sharing"",""ชลบุรี!Q191"")+IMPORTRANGE(""https://docs.google.com/spreadsheets/d/1hh-FVnSX0vozXhGluamEcS54Dw9_zqW0N7qJUWgJ0Sw/edit?usp=sharing"",""ชัยนาท!Q191"")+IMPORTRANGE(""https://docs.google.com/spreadsheets/d/1jkqa6GXxSacMcY1eN8AHjMNJ_7dDXMJ"&amp;"VRLDlaFSOdPM/edit?usp=sharing"",""ตราด!Q191"")+IMPORTRANGE(""https://docs.google.com/spreadsheets/d/18hSgUJ3VwClqi_qtULmmW3cLr0oe3OKaSYoKzdpTsYQ/edit?usp=sharing"",""นครนายก!Q191"")+IMPORTRANGE(""https://docs.google.com/spreadsheets/d/1YTZo6WM2dQ6Ix6FSdnL"&amp;"5P7uVnVKu40sxZu975tgG10E/edit?usp=sharing"",""นครปฐม!Q191"")+IMPORTRANGE(""https://docs.google.com/spreadsheets/d/1OYoGg4WDg5RIzwGeB10padOxJF9E_Vljuvvct_M7RDo/edit?usp=sharing"",""ปทุมธานี!Q191"")+IMPORTRANGE(""https://docs.google.com/spreadsheets/d/1GbCI"&amp;"E4D4wk9FUozzqk7SxfDMxDVBwVmI5zcaVUSzKAc/edit?usp=sharing"",""ประจวบคีรีขันธ์!Q191"")+IMPORTRANGE(""https://docs.google.com/spreadsheets/d/1vVf6wykvW_lAyu7Yo9L4hUTqHqIeP_qcVuxCtosJEbg/edit?usp=sharing"",""ปราจีนบุรี!Q191"")+IMPORTRANGE(""https://docs.googl"&amp;"e.com/spreadsheets/d/1BIDqLLg5jk3v59G8NlR8rk5xfQDKne0sAvZHSj7TI6I/edit?usp=sharing"",""พระนครศรีอยุธยา!Q191"")+IMPORTRANGE(""https://docs.google.com/spreadsheets/d/1YXvxf8Yu6_rV4hTBrwMqAcAnv6DfhUxh5emyM3CJp_w/edit?usp=sharing"",""เพชรบุรี!Q191"")+IMPORTRA"&amp;"NGE(""https://docs.google.com/spreadsheets/d/19KBlQQs7uwvsao6t2n-KvW3Ax8J8uRRfZPq1zPbXgKc/edit?usp=sharing"",""ระยอง!Q191"")+IMPORTRANGE(""https://docs.google.com/spreadsheets/d/1jQ6P4QcrGM89YfqcC_PxOHGCMq5ezhucwJd8ci-NHng/edit?usp=sharing"",""ราชบุรี!Q19"&amp;"1"")+IMPORTRANGE(""https://docs.google.com/spreadsheets/d/1lufeA2cfFqM-elVq2hznhDzC6Pr7wkJ9ZG_sYNGCMCU/edit?usp=sharing"",""ลพบุรี!Q191"")+IMPORTRANGE(""https://docs.google.com/spreadsheets/d/10oOiF7loTyfsTkbd4MpaIm0HQ9SwB7IYHdIUvt-U1Uc/edit?usp=sharing"""&amp;",""สระแก้ว!Q191"")+IMPORTRANGE(""https://docs.google.com/spreadsheets/d/1xmPlrr1QbdSIKvl1dWUl9K4PjAfSL9oeMr_37QVzcxc/edit?usp=sharing"",""สระบุรี!Q191"")+IMPORTRANGE(""https://docs.google.com/spreadsheets/d/1j51vR6CYVGhABJpv6tkstgok82RLpXieLzW1yOY5rHw/edi"&amp;"t?usp=sharing"",""สิงห์บุรี!Q191"")+IMPORTRANGE(""https://docs.google.com/spreadsheets/d/1H1EalTWKUSzO4Z1-1CwzoDUaVffgrThEBe2sl74kKG0/edit?usp=sharing"",""สุพรรณบุรี!Q191"")+IMPORTRANGE(""https://docs.google.com/spreadsheets/d/1BmIruG_sIrJLYao_Pdr7zVArWsf"&amp;"oBt2692TMi6x_854/edit?usp=sharing"",""อ่างทอง!Q191"")"),1272738)</f>
        <v>1272738</v>
      </c>
      <c r="R191" s="130">
        <f ca="1">IFERROR(__xludf.DUMMYFUNCTION("IMPORTRANGE(""https://docs.google.com/spreadsheets/d/13wPX838HrBrQMCywv1BsuMkt4PEKTChp52zj44s2izQ/edit?usp=sharing"",""กาญจนบุรี!R191"")+IMPORTRANGE(""https://docs.google.com/spreadsheets/d/1ddFKvqj1W1NEiWytbGlB1zMx_ykJDVtmfEQ-6-lIUBA/edit?usp=sharing"","&amp;"""จันทบุรี!R191"")+IMPORTRANGE(""https://docs.google.com/spreadsheets/d/1T1PQvRODqOBZk8BRht_U031fIS1beLA0Ub2CEytj2q0/edit?usp=sharing"",""ฉะเชิงเทรา!R191"")+IMPORTRANGE(""https://docs.google.com/spreadsheets/d/11tr1B-Bhyr79v2bkwVh5h_fR-PStkgjlZtkrZpYurG0/"&amp;"edit?usp=sharing"",""ชลบุรี!R191"")+IMPORTRANGE(""https://docs.google.com/spreadsheets/d/1hh-FVnSX0vozXhGluamEcS54Dw9_zqW0N7qJUWgJ0Sw/edit?usp=sharing"",""ชัยนาท!R191"")+IMPORTRANGE(""https://docs.google.com/spreadsheets/d/1jkqa6GXxSacMcY1eN8AHjMNJ_7dDXMJ"&amp;"VRLDlaFSOdPM/edit?usp=sharing"",""ตราด!R191"")+IMPORTRANGE(""https://docs.google.com/spreadsheets/d/18hSgUJ3VwClqi_qtULmmW3cLr0oe3OKaSYoKzdpTsYQ/edit?usp=sharing"",""นครนายก!R191"")+IMPORTRANGE(""https://docs.google.com/spreadsheets/d/1YTZo6WM2dQ6Ix6FSdnL"&amp;"5P7uVnVKu40sxZu975tgG10E/edit?usp=sharing"",""นครปฐม!R191"")+IMPORTRANGE(""https://docs.google.com/spreadsheets/d/1OYoGg4WDg5RIzwGeB10padOxJF9E_Vljuvvct_M7RDo/edit?usp=sharing"",""ปทุมธานี!R191"")+IMPORTRANGE(""https://docs.google.com/spreadsheets/d/1GbCI"&amp;"E4D4wk9FUozzqk7SxfDMxDVBwVmI5zcaVUSzKAc/edit?usp=sharing"",""ประจวบคีรีขันธ์!R191"")+IMPORTRANGE(""https://docs.google.com/spreadsheets/d/1vVf6wykvW_lAyu7Yo9L4hUTqHqIeP_qcVuxCtosJEbg/edit?usp=sharing"",""ปราจีนบุรี!R191"")+IMPORTRANGE(""https://docs.googl"&amp;"e.com/spreadsheets/d/1BIDqLLg5jk3v59G8NlR8rk5xfQDKne0sAvZHSj7TI6I/edit?usp=sharing"",""พระนครศรีอยุธยา!R191"")+IMPORTRANGE(""https://docs.google.com/spreadsheets/d/1YXvxf8Yu6_rV4hTBrwMqAcAnv6DfhUxh5emyM3CJp_w/edit?usp=sharing"",""เพชรบุรี!R191"")+IMPORTRA"&amp;"NGE(""https://docs.google.com/spreadsheets/d/19KBlQQs7uwvsao6t2n-KvW3Ax8J8uRRfZPq1zPbXgKc/edit?usp=sharing"",""ระยอง!R191"")+IMPORTRANGE(""https://docs.google.com/spreadsheets/d/1jQ6P4QcrGM89YfqcC_PxOHGCMq5ezhucwJd8ci-NHng/edit?usp=sharing"",""ราชบุรี!R19"&amp;"1"")+IMPORTRANGE(""https://docs.google.com/spreadsheets/d/1lufeA2cfFqM-elVq2hznhDzC6Pr7wkJ9ZG_sYNGCMCU/edit?usp=sharing"",""ลพบุรี!R191"")+IMPORTRANGE(""https://docs.google.com/spreadsheets/d/10oOiF7loTyfsTkbd4MpaIm0HQ9SwB7IYHdIUvt-U1Uc/edit?usp=sharing"""&amp;",""สระแก้ว!R191"")+IMPORTRANGE(""https://docs.google.com/spreadsheets/d/1xmPlrr1QbdSIKvl1dWUl9K4PjAfSL9oeMr_37QVzcxc/edit?usp=sharing"",""สระบุรี!R191"")+IMPORTRANGE(""https://docs.google.com/spreadsheets/d/1j51vR6CYVGhABJpv6tkstgok82RLpXieLzW1yOY5rHw/edi"&amp;"t?usp=sharing"",""สิงห์บุรี!R191"")+IMPORTRANGE(""https://docs.google.com/spreadsheets/d/1H1EalTWKUSzO4Z1-1CwzoDUaVffgrThEBe2sl74kKG0/edit?usp=sharing"",""สุพรรณบุรี!R191"")+IMPORTRANGE(""https://docs.google.com/spreadsheets/d/1BmIruG_sIrJLYao_Pdr7zVArWsf"&amp;"oBt2692TMi6x_854/edit?usp=sharing"",""อ่างทอง!R191"")"),1272738)</f>
        <v>1272738</v>
      </c>
      <c r="S191" s="130">
        <f ca="1">IFERROR(__xludf.DUMMYFUNCTION("IMPORTRANGE(""https://docs.google.com/spreadsheets/d/13wPX838HrBrQMCywv1BsuMkt4PEKTChp52zj44s2izQ/edit?usp=sharing"",""กาญจนบุรี!S191"")+IMPORTRANGE(""https://docs.google.com/spreadsheets/d/1ddFKvqj1W1NEiWytbGlB1zMx_ykJDVtmfEQ-6-lIUBA/edit?usp=sharing"","&amp;"""จันทบุรี!S191"")+IMPORTRANGE(""https://docs.google.com/spreadsheets/d/1T1PQvRODqOBZk8BRht_U031fIS1beLA0Ub2CEytj2q0/edit?usp=sharing"",""ฉะเชิงเทรา!S191"")+IMPORTRANGE(""https://docs.google.com/spreadsheets/d/11tr1B-Bhyr79v2bkwVh5h_fR-PStkgjlZtkrZpYurG0/"&amp;"edit?usp=sharing"",""ชลบุรี!S191"")+IMPORTRANGE(""https://docs.google.com/spreadsheets/d/1hh-FVnSX0vozXhGluamEcS54Dw9_zqW0N7qJUWgJ0Sw/edit?usp=sharing"",""ชัยนาท!S191"")+IMPORTRANGE(""https://docs.google.com/spreadsheets/d/1jkqa6GXxSacMcY1eN8AHjMNJ_7dDXMJ"&amp;"VRLDlaFSOdPM/edit?usp=sharing"",""ตราด!S191"")+IMPORTRANGE(""https://docs.google.com/spreadsheets/d/18hSgUJ3VwClqi_qtULmmW3cLr0oe3OKaSYoKzdpTsYQ/edit?usp=sharing"",""นครนายก!S191"")+IMPORTRANGE(""https://docs.google.com/spreadsheets/d/1YTZo6WM2dQ6Ix6FSdnL"&amp;"5P7uVnVKu40sxZu975tgG10E/edit?usp=sharing"",""นครปฐม!S191"")+IMPORTRANGE(""https://docs.google.com/spreadsheets/d/1OYoGg4WDg5RIzwGeB10padOxJF9E_Vljuvvct_M7RDo/edit?usp=sharing"",""ปทุมธานี!S191"")+IMPORTRANGE(""https://docs.google.com/spreadsheets/d/1GbCI"&amp;"E4D4wk9FUozzqk7SxfDMxDVBwVmI5zcaVUSzKAc/edit?usp=sharing"",""ประจวบคีรีขันธ์!S191"")+IMPORTRANGE(""https://docs.google.com/spreadsheets/d/1vVf6wykvW_lAyu7Yo9L4hUTqHqIeP_qcVuxCtosJEbg/edit?usp=sharing"",""ปราจีนบุรี!S191"")+IMPORTRANGE(""https://docs.googl"&amp;"e.com/spreadsheets/d/1BIDqLLg5jk3v59G8NlR8rk5xfQDKne0sAvZHSj7TI6I/edit?usp=sharing"",""พระนครศรีอยุธยา!S191"")+IMPORTRANGE(""https://docs.google.com/spreadsheets/d/1YXvxf8Yu6_rV4hTBrwMqAcAnv6DfhUxh5emyM3CJp_w/edit?usp=sharing"",""เพชรบุรี!S191"")+IMPORTRA"&amp;"NGE(""https://docs.google.com/spreadsheets/d/19KBlQQs7uwvsao6t2n-KvW3Ax8J8uRRfZPq1zPbXgKc/edit?usp=sharing"",""ระยอง!S191"")+IMPORTRANGE(""https://docs.google.com/spreadsheets/d/1jQ6P4QcrGM89YfqcC_PxOHGCMq5ezhucwJd8ci-NHng/edit?usp=sharing"",""ราชบุรี!S19"&amp;"1"")+IMPORTRANGE(""https://docs.google.com/spreadsheets/d/1lufeA2cfFqM-elVq2hznhDzC6Pr7wkJ9ZG_sYNGCMCU/edit?usp=sharing"",""ลพบุรี!S191"")+IMPORTRANGE(""https://docs.google.com/spreadsheets/d/10oOiF7loTyfsTkbd4MpaIm0HQ9SwB7IYHdIUvt-U1Uc/edit?usp=sharing"""&amp;",""สระแก้ว!S191"")+IMPORTRANGE(""https://docs.google.com/spreadsheets/d/1xmPlrr1QbdSIKvl1dWUl9K4PjAfSL9oeMr_37QVzcxc/edit?usp=sharing"",""สระบุรี!S191"")+IMPORTRANGE(""https://docs.google.com/spreadsheets/d/1j51vR6CYVGhABJpv6tkstgok82RLpXieLzW1yOY5rHw/edi"&amp;"t?usp=sharing"",""สิงห์บุรี!S191"")+IMPORTRANGE(""https://docs.google.com/spreadsheets/d/1H1EalTWKUSzO4Z1-1CwzoDUaVffgrThEBe2sl74kKG0/edit?usp=sharing"",""สุพรรณบุรี!S191"")+IMPORTRANGE(""https://docs.google.com/spreadsheets/d/1BmIruG_sIrJLYao_Pdr7zVArWsf"&amp;"oBt2692TMi6x_854/edit?usp=sharing"",""อ่างทอง!S191"")"),612913.7)</f>
        <v>612913.69999999995</v>
      </c>
      <c r="T191" s="130">
        <f t="shared" ca="1" si="161"/>
        <v>48.157099104450403</v>
      </c>
      <c r="U191" s="130">
        <f t="shared" ca="1" si="162"/>
        <v>48.157099104450403</v>
      </c>
    </row>
    <row r="192" spans="1:21" ht="18.75" x14ac:dyDescent="0.25">
      <c r="A192" s="207"/>
      <c r="B192" s="65"/>
      <c r="C192" s="65"/>
      <c r="D192" s="66" t="s">
        <v>23</v>
      </c>
      <c r="E192" s="65"/>
      <c r="F192" s="65"/>
      <c r="G192" s="67"/>
      <c r="H192" s="219" t="s">
        <v>14</v>
      </c>
      <c r="I192" s="217"/>
      <c r="J192" s="217"/>
      <c r="K192" s="218"/>
      <c r="L192" s="86">
        <f t="shared" ref="L192:N192" ca="1" si="169">L193+L194</f>
        <v>1652000</v>
      </c>
      <c r="M192" s="86">
        <f t="shared" ca="1" si="169"/>
        <v>1652000</v>
      </c>
      <c r="N192" s="86">
        <f t="shared" ca="1" si="169"/>
        <v>0</v>
      </c>
      <c r="O192" s="86">
        <f t="shared" ca="1" si="158"/>
        <v>0</v>
      </c>
      <c r="P192" s="86">
        <f t="shared" ca="1" si="159"/>
        <v>0</v>
      </c>
      <c r="Q192" s="129">
        <f t="shared" ref="Q192:S192" ca="1" si="170">Q193+Q194</f>
        <v>84000</v>
      </c>
      <c r="R192" s="130">
        <f t="shared" ca="1" si="170"/>
        <v>84000</v>
      </c>
      <c r="S192" s="130">
        <f t="shared" ca="1" si="170"/>
        <v>0</v>
      </c>
      <c r="T192" s="130">
        <f t="shared" ca="1" si="161"/>
        <v>0</v>
      </c>
      <c r="U192" s="130">
        <f t="shared" ca="1" si="162"/>
        <v>0</v>
      </c>
    </row>
    <row r="193" spans="1:21" ht="18.75" hidden="1" x14ac:dyDescent="0.25">
      <c r="A193" s="207"/>
      <c r="B193" s="65"/>
      <c r="C193" s="65"/>
      <c r="D193" s="65"/>
      <c r="E193" s="73" t="s">
        <v>20</v>
      </c>
      <c r="F193" s="65"/>
      <c r="G193" s="67"/>
      <c r="H193" s="216" t="s">
        <v>14</v>
      </c>
      <c r="I193" s="217"/>
      <c r="J193" s="217"/>
      <c r="K193" s="218"/>
      <c r="L193" s="86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3" s="86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3" s="86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3" s="86">
        <f t="shared" ca="1" si="158"/>
        <v>0</v>
      </c>
      <c r="P193" s="86">
        <f t="shared" ca="1" si="159"/>
        <v>0</v>
      </c>
      <c r="Q193" s="74">
        <f ca="1">IFERROR(__xludf.DUMMYFUNCTION("IMPORTRANGE(""https://docs.google.com/spreadsheets/d/13wPX838HrBrQMCywv1BsuMkt4PEKTChp52zj44s2izQ/edit?usp=sharing"",""กาญจนบุรี!Q193"")+IMPORTRANGE(""https://docs.google.com/spreadsheets/d/1ddFKvqj1W1NEiWytbGlB1zMx_ykJDVtmfEQ-6-lIUBA/edit?usp=sharing"","&amp;"""จันทบุรี!Q193"")+IMPORTRANGE(""https://docs.google.com/spreadsheets/d/1T1PQvRODqOBZk8BRht_U031fIS1beLA0Ub2CEytj2q0/edit?usp=sharing"",""ฉะเชิงเทรา!Q193"")+IMPORTRANGE(""https://docs.google.com/spreadsheets/d/11tr1B-Bhyr79v2bkwVh5h_fR-PStkgjlZtkrZpYurG0/"&amp;"edit?usp=sharing"",""ชลบุรี!Q193"")+IMPORTRANGE(""https://docs.google.com/spreadsheets/d/1hh-FVnSX0vozXhGluamEcS54Dw9_zqW0N7qJUWgJ0Sw/edit?usp=sharing"",""ชัยนาท!Q193"")+IMPORTRANGE(""https://docs.google.com/spreadsheets/d/1jkqa6GXxSacMcY1eN8AHjMNJ_7dDXMJ"&amp;"VRLDlaFSOdPM/edit?usp=sharing"",""ตราด!Q193"")+IMPORTRANGE(""https://docs.google.com/spreadsheets/d/18hSgUJ3VwClqi_qtULmmW3cLr0oe3OKaSYoKzdpTsYQ/edit?usp=sharing"",""นครนายก!Q193"")+IMPORTRANGE(""https://docs.google.com/spreadsheets/d/1YTZo6WM2dQ6Ix6FSdnL"&amp;"5P7uVnVKu40sxZu975tgG10E/edit?usp=sharing"",""นครปฐม!Q193"")+IMPORTRANGE(""https://docs.google.com/spreadsheets/d/1OYoGg4WDg5RIzwGeB10padOxJF9E_Vljuvvct_M7RDo/edit?usp=sharing"",""ปทุมธานี!Q193"")+IMPORTRANGE(""https://docs.google.com/spreadsheets/d/1GbCI"&amp;"E4D4wk9FUozzqk7SxfDMxDVBwVmI5zcaVUSzKAc/edit?usp=sharing"",""ประจวบคีรีขันธ์!Q193"")+IMPORTRANGE(""https://docs.google.com/spreadsheets/d/1vVf6wykvW_lAyu7Yo9L4hUTqHqIeP_qcVuxCtosJEbg/edit?usp=sharing"",""ปราจีนบุรี!Q193"")+IMPORTRANGE(""https://docs.googl"&amp;"e.com/spreadsheets/d/1BIDqLLg5jk3v59G8NlR8rk5xfQDKne0sAvZHSj7TI6I/edit?usp=sharing"",""พระนครศรีอยุธยา!Q193"")+IMPORTRANGE(""https://docs.google.com/spreadsheets/d/1YXvxf8Yu6_rV4hTBrwMqAcAnv6DfhUxh5emyM3CJp_w/edit?usp=sharing"",""เพชรบุรี!Q193"")+IMPORTRA"&amp;"NGE(""https://docs.google.com/spreadsheets/d/19KBlQQs7uwvsao6t2n-KvW3Ax8J8uRRfZPq1zPbXgKc/edit?usp=sharing"",""ระยอง!Q193"")+IMPORTRANGE(""https://docs.google.com/spreadsheets/d/1jQ6P4QcrGM89YfqcC_PxOHGCMq5ezhucwJd8ci-NHng/edit?usp=sharing"",""ราชบุรี!Q19"&amp;"3"")+IMPORTRANGE(""https://docs.google.com/spreadsheets/d/1lufeA2cfFqM-elVq2hznhDzC6Pr7wkJ9ZG_sYNGCMCU/edit?usp=sharing"",""ลพบุรี!Q193"")+IMPORTRANGE(""https://docs.google.com/spreadsheets/d/10oOiF7loTyfsTkbd4MpaIm0HQ9SwB7IYHdIUvt-U1Uc/edit?usp=sharing"""&amp;",""สระแก้ว!Q193"")+IMPORTRANGE(""https://docs.google.com/spreadsheets/d/1xmPlrr1QbdSIKvl1dWUl9K4PjAfSL9oeMr_37QVzcxc/edit?usp=sharing"",""สระบุรี!Q193"")+IMPORTRANGE(""https://docs.google.com/spreadsheets/d/1j51vR6CYVGhABJpv6tkstgok82RLpXieLzW1yOY5rHw/edi"&amp;"t?usp=sharing"",""สิงห์บุรี!Q193"")+IMPORTRANGE(""https://docs.google.com/spreadsheets/d/1H1EalTWKUSzO4Z1-1CwzoDUaVffgrThEBe2sl74kKG0/edit?usp=sharing"",""สุพรรณบุรี!Q193"")+IMPORTRANGE(""https://docs.google.com/spreadsheets/d/1BmIruG_sIrJLYao_Pdr7zVArWsf"&amp;"oBt2692TMi6x_854/edit?usp=sharing"",""อ่างทอง!Q193"")"),0)</f>
        <v>0</v>
      </c>
      <c r="R193" s="75">
        <f ca="1">IFERROR(__xludf.DUMMYFUNCTION("IMPORTRANGE(""https://docs.google.com/spreadsheets/d/13wPX838HrBrQMCywv1BsuMkt4PEKTChp52zj44s2izQ/edit?usp=sharing"",""กาญจนบุรี!R193"")+IMPORTRANGE(""https://docs.google.com/spreadsheets/d/1ddFKvqj1W1NEiWytbGlB1zMx_ykJDVtmfEQ-6-lIUBA/edit?usp=sharing"","&amp;"""จันทบุรี!R193"")+IMPORTRANGE(""https://docs.google.com/spreadsheets/d/1T1PQvRODqOBZk8BRht_U031fIS1beLA0Ub2CEytj2q0/edit?usp=sharing"",""ฉะเชิงเทรา!R193"")+IMPORTRANGE(""https://docs.google.com/spreadsheets/d/11tr1B-Bhyr79v2bkwVh5h_fR-PStkgjlZtkrZpYurG0/"&amp;"edit?usp=sharing"",""ชลบุรี!R193"")+IMPORTRANGE(""https://docs.google.com/spreadsheets/d/1hh-FVnSX0vozXhGluamEcS54Dw9_zqW0N7qJUWgJ0Sw/edit?usp=sharing"",""ชัยนาท!R193"")+IMPORTRANGE(""https://docs.google.com/spreadsheets/d/1jkqa6GXxSacMcY1eN8AHjMNJ_7dDXMJ"&amp;"VRLDlaFSOdPM/edit?usp=sharing"",""ตราด!R193"")+IMPORTRANGE(""https://docs.google.com/spreadsheets/d/18hSgUJ3VwClqi_qtULmmW3cLr0oe3OKaSYoKzdpTsYQ/edit?usp=sharing"",""นครนายก!R193"")+IMPORTRANGE(""https://docs.google.com/spreadsheets/d/1YTZo6WM2dQ6Ix6FSdnL"&amp;"5P7uVnVKu40sxZu975tgG10E/edit?usp=sharing"",""นครปฐม!R193"")+IMPORTRANGE(""https://docs.google.com/spreadsheets/d/1OYoGg4WDg5RIzwGeB10padOxJF9E_Vljuvvct_M7RDo/edit?usp=sharing"",""ปทุมธานี!R193"")+IMPORTRANGE(""https://docs.google.com/spreadsheets/d/1GbCI"&amp;"E4D4wk9FUozzqk7SxfDMxDVBwVmI5zcaVUSzKAc/edit?usp=sharing"",""ประจวบคีรีขันธ์!R193"")+IMPORTRANGE(""https://docs.google.com/spreadsheets/d/1vVf6wykvW_lAyu7Yo9L4hUTqHqIeP_qcVuxCtosJEbg/edit?usp=sharing"",""ปราจีนบุรี!R193"")+IMPORTRANGE(""https://docs.googl"&amp;"e.com/spreadsheets/d/1BIDqLLg5jk3v59G8NlR8rk5xfQDKne0sAvZHSj7TI6I/edit?usp=sharing"",""พระนครศรีอยุธยา!R193"")+IMPORTRANGE(""https://docs.google.com/spreadsheets/d/1YXvxf8Yu6_rV4hTBrwMqAcAnv6DfhUxh5emyM3CJp_w/edit?usp=sharing"",""เพชรบุรี!R193"")+IMPORTRA"&amp;"NGE(""https://docs.google.com/spreadsheets/d/19KBlQQs7uwvsao6t2n-KvW3Ax8J8uRRfZPq1zPbXgKc/edit?usp=sharing"",""ระยอง!R193"")+IMPORTRANGE(""https://docs.google.com/spreadsheets/d/1jQ6P4QcrGM89YfqcC_PxOHGCMq5ezhucwJd8ci-NHng/edit?usp=sharing"",""ราชบุรี!R19"&amp;"3"")+IMPORTRANGE(""https://docs.google.com/spreadsheets/d/1lufeA2cfFqM-elVq2hznhDzC6Pr7wkJ9ZG_sYNGCMCU/edit?usp=sharing"",""ลพบุรี!R193"")+IMPORTRANGE(""https://docs.google.com/spreadsheets/d/10oOiF7loTyfsTkbd4MpaIm0HQ9SwB7IYHdIUvt-U1Uc/edit?usp=sharing"""&amp;",""สระแก้ว!R193"")+IMPORTRANGE(""https://docs.google.com/spreadsheets/d/1xmPlrr1QbdSIKvl1dWUl9K4PjAfSL9oeMr_37QVzcxc/edit?usp=sharing"",""สระบุรี!R193"")+IMPORTRANGE(""https://docs.google.com/spreadsheets/d/1j51vR6CYVGhABJpv6tkstgok82RLpXieLzW1yOY5rHw/edi"&amp;"t?usp=sharing"",""สิงห์บุรี!R193"")+IMPORTRANGE(""https://docs.google.com/spreadsheets/d/1H1EalTWKUSzO4Z1-1CwzoDUaVffgrThEBe2sl74kKG0/edit?usp=sharing"",""สุพรรณบุรี!R193"")+IMPORTRANGE(""https://docs.google.com/spreadsheets/d/1BmIruG_sIrJLYao_Pdr7zVArWsf"&amp;"oBt2692TMi6x_854/edit?usp=sharing"",""อ่างทอง!R193"")"),0)</f>
        <v>0</v>
      </c>
      <c r="S193" s="75">
        <f ca="1">IFERROR(__xludf.DUMMYFUNCTION("IMPORTRANGE(""https://docs.google.com/spreadsheets/d/13wPX838HrBrQMCywv1BsuMkt4PEKTChp52zj44s2izQ/edit?usp=sharing"",""กาญจนบุรี!S193"")+IMPORTRANGE(""https://docs.google.com/spreadsheets/d/1ddFKvqj1W1NEiWytbGlB1zMx_ykJDVtmfEQ-6-lIUBA/edit?usp=sharing"","&amp;"""จันทบุรี!S193"")+IMPORTRANGE(""https://docs.google.com/spreadsheets/d/1T1PQvRODqOBZk8BRht_U031fIS1beLA0Ub2CEytj2q0/edit?usp=sharing"",""ฉะเชิงเทรา!S193"")+IMPORTRANGE(""https://docs.google.com/spreadsheets/d/11tr1B-Bhyr79v2bkwVh5h_fR-PStkgjlZtkrZpYurG0/"&amp;"edit?usp=sharing"",""ชลบุรี!S193"")+IMPORTRANGE(""https://docs.google.com/spreadsheets/d/1hh-FVnSX0vozXhGluamEcS54Dw9_zqW0N7qJUWgJ0Sw/edit?usp=sharing"",""ชัยนาท!S193"")+IMPORTRANGE(""https://docs.google.com/spreadsheets/d/1jkqa6GXxSacMcY1eN8AHjMNJ_7dDXMJ"&amp;"VRLDlaFSOdPM/edit?usp=sharing"",""ตราด!S193"")+IMPORTRANGE(""https://docs.google.com/spreadsheets/d/18hSgUJ3VwClqi_qtULmmW3cLr0oe3OKaSYoKzdpTsYQ/edit?usp=sharing"",""นครนายก!S193"")+IMPORTRANGE(""https://docs.google.com/spreadsheets/d/1YTZo6WM2dQ6Ix6FSdnL"&amp;"5P7uVnVKu40sxZu975tgG10E/edit?usp=sharing"",""นครปฐม!S193"")+IMPORTRANGE(""https://docs.google.com/spreadsheets/d/1OYoGg4WDg5RIzwGeB10padOxJF9E_Vljuvvct_M7RDo/edit?usp=sharing"",""ปทุมธานี!S193"")+IMPORTRANGE(""https://docs.google.com/spreadsheets/d/1GbCI"&amp;"E4D4wk9FUozzqk7SxfDMxDVBwVmI5zcaVUSzKAc/edit?usp=sharing"",""ประจวบคีรีขันธ์!S193"")+IMPORTRANGE(""https://docs.google.com/spreadsheets/d/1vVf6wykvW_lAyu7Yo9L4hUTqHqIeP_qcVuxCtosJEbg/edit?usp=sharing"",""ปราจีนบุรี!S193"")+IMPORTRANGE(""https://docs.googl"&amp;"e.com/spreadsheets/d/1BIDqLLg5jk3v59G8NlR8rk5xfQDKne0sAvZHSj7TI6I/edit?usp=sharing"",""พระนครศรีอยุธยา!S193"")+IMPORTRANGE(""https://docs.google.com/spreadsheets/d/1YXvxf8Yu6_rV4hTBrwMqAcAnv6DfhUxh5emyM3CJp_w/edit?usp=sharing"",""เพชรบุรี!S193"")+IMPORTRA"&amp;"NGE(""https://docs.google.com/spreadsheets/d/19KBlQQs7uwvsao6t2n-KvW3Ax8J8uRRfZPq1zPbXgKc/edit?usp=sharing"",""ระยอง!S193"")+IMPORTRANGE(""https://docs.google.com/spreadsheets/d/1jQ6P4QcrGM89YfqcC_PxOHGCMq5ezhucwJd8ci-NHng/edit?usp=sharing"",""ราชบุรี!S19"&amp;"3"")+IMPORTRANGE(""https://docs.google.com/spreadsheets/d/1lufeA2cfFqM-elVq2hznhDzC6Pr7wkJ9ZG_sYNGCMCU/edit?usp=sharing"",""ลพบุรี!S193"")+IMPORTRANGE(""https://docs.google.com/spreadsheets/d/10oOiF7loTyfsTkbd4MpaIm0HQ9SwB7IYHdIUvt-U1Uc/edit?usp=sharing"""&amp;",""สระแก้ว!S193"")+IMPORTRANGE(""https://docs.google.com/spreadsheets/d/1xmPlrr1QbdSIKvl1dWUl9K4PjAfSL9oeMr_37QVzcxc/edit?usp=sharing"",""สระบุรี!S193"")+IMPORTRANGE(""https://docs.google.com/spreadsheets/d/1j51vR6CYVGhABJpv6tkstgok82RLpXieLzW1yOY5rHw/edi"&amp;"t?usp=sharing"",""สิงห์บุรี!S193"")+IMPORTRANGE(""https://docs.google.com/spreadsheets/d/1H1EalTWKUSzO4Z1-1CwzoDUaVffgrThEBe2sl74kKG0/edit?usp=sharing"",""สุพรรณบุรี!S193"")+IMPORTRANGE(""https://docs.google.com/spreadsheets/d/1BmIruG_sIrJLYao_Pdr7zVArWsf"&amp;"oBt2692TMi6x_854/edit?usp=sharing"",""อ่างทอง!S193"")"),0)</f>
        <v>0</v>
      </c>
      <c r="T193" s="131">
        <f t="shared" ca="1" si="161"/>
        <v>0</v>
      </c>
      <c r="U193" s="131">
        <f t="shared" ca="1" si="162"/>
        <v>0</v>
      </c>
    </row>
    <row r="194" spans="1:21" ht="18.75" hidden="1" x14ac:dyDescent="0.25">
      <c r="A194" s="207"/>
      <c r="B194" s="65"/>
      <c r="C194" s="65"/>
      <c r="D194" s="65"/>
      <c r="E194" s="73" t="s">
        <v>21</v>
      </c>
      <c r="F194" s="65"/>
      <c r="G194" s="67"/>
      <c r="H194" s="219" t="s">
        <v>14</v>
      </c>
      <c r="I194" s="217"/>
      <c r="J194" s="217"/>
      <c r="K194" s="218"/>
      <c r="L194" s="86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1652000)</f>
        <v>1652000</v>
      </c>
      <c r="M194" s="86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1652000)</f>
        <v>1652000</v>
      </c>
      <c r="N194" s="86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4" s="86">
        <f t="shared" ca="1" si="158"/>
        <v>0</v>
      </c>
      <c r="P194" s="86">
        <f t="shared" ca="1" si="159"/>
        <v>0</v>
      </c>
      <c r="Q194" s="71">
        <f ca="1">IFERROR(__xludf.DUMMYFUNCTION("IMPORTRANGE(""https://docs.google.com/spreadsheets/d/13wPX838HrBrQMCywv1BsuMkt4PEKTChp52zj44s2izQ/edit?usp=sharing"",""กาญจนบุรี!Q194"")+IMPORTRANGE(""https://docs.google.com/spreadsheets/d/1ddFKvqj1W1NEiWytbGlB1zMx_ykJDVtmfEQ-6-lIUBA/edit?usp=sharing"","&amp;"""จันทบุรี!Q194"")+IMPORTRANGE(""https://docs.google.com/spreadsheets/d/1T1PQvRODqOBZk8BRht_U031fIS1beLA0Ub2CEytj2q0/edit?usp=sharing"",""ฉะเชิงเทรา!Q194"")+IMPORTRANGE(""https://docs.google.com/spreadsheets/d/11tr1B-Bhyr79v2bkwVh5h_fR-PStkgjlZtkrZpYurG0/"&amp;"edit?usp=sharing"",""ชลบุรี!Q194"")+IMPORTRANGE(""https://docs.google.com/spreadsheets/d/1hh-FVnSX0vozXhGluamEcS54Dw9_zqW0N7qJUWgJ0Sw/edit?usp=sharing"",""ชัยนาท!Q194"")+IMPORTRANGE(""https://docs.google.com/spreadsheets/d/1jkqa6GXxSacMcY1eN8AHjMNJ_7dDXMJ"&amp;"VRLDlaFSOdPM/edit?usp=sharing"",""ตราด!Q194"")+IMPORTRANGE(""https://docs.google.com/spreadsheets/d/18hSgUJ3VwClqi_qtULmmW3cLr0oe3OKaSYoKzdpTsYQ/edit?usp=sharing"",""นครนายก!Q194"")+IMPORTRANGE(""https://docs.google.com/spreadsheets/d/1YTZo6WM2dQ6Ix6FSdnL"&amp;"5P7uVnVKu40sxZu975tgG10E/edit?usp=sharing"",""นครปฐม!Q194"")+IMPORTRANGE(""https://docs.google.com/spreadsheets/d/1OYoGg4WDg5RIzwGeB10padOxJF9E_Vljuvvct_M7RDo/edit?usp=sharing"",""ปทุมธานี!Q194"")+IMPORTRANGE(""https://docs.google.com/spreadsheets/d/1GbCI"&amp;"E4D4wk9FUozzqk7SxfDMxDVBwVmI5zcaVUSzKAc/edit?usp=sharing"",""ประจวบคีรีขันธ์!Q194"")+IMPORTRANGE(""https://docs.google.com/spreadsheets/d/1vVf6wykvW_lAyu7Yo9L4hUTqHqIeP_qcVuxCtosJEbg/edit?usp=sharing"",""ปราจีนบุรี!Q194"")+IMPORTRANGE(""https://docs.googl"&amp;"e.com/spreadsheets/d/1BIDqLLg5jk3v59G8NlR8rk5xfQDKne0sAvZHSj7TI6I/edit?usp=sharing"",""พระนครศรีอยุธยา!Q194"")+IMPORTRANGE(""https://docs.google.com/spreadsheets/d/1YXvxf8Yu6_rV4hTBrwMqAcAnv6DfhUxh5emyM3CJp_w/edit?usp=sharing"",""เพชรบุรี!Q194"")+IMPORTRA"&amp;"NGE(""https://docs.google.com/spreadsheets/d/19KBlQQs7uwvsao6t2n-KvW3Ax8J8uRRfZPq1zPbXgKc/edit?usp=sharing"",""ระยอง!Q194"")+IMPORTRANGE(""https://docs.google.com/spreadsheets/d/1jQ6P4QcrGM89YfqcC_PxOHGCMq5ezhucwJd8ci-NHng/edit?usp=sharing"",""ราชบุรี!Q19"&amp;"4"")+IMPORTRANGE(""https://docs.google.com/spreadsheets/d/1lufeA2cfFqM-elVq2hznhDzC6Pr7wkJ9ZG_sYNGCMCU/edit?usp=sharing"",""ลพบุรี!Q194"")+IMPORTRANGE(""https://docs.google.com/spreadsheets/d/10oOiF7loTyfsTkbd4MpaIm0HQ9SwB7IYHdIUvt-U1Uc/edit?usp=sharing"""&amp;",""สระแก้ว!Q194"")+IMPORTRANGE(""https://docs.google.com/spreadsheets/d/1xmPlrr1QbdSIKvl1dWUl9K4PjAfSL9oeMr_37QVzcxc/edit?usp=sharing"",""สระบุรี!Q194"")+IMPORTRANGE(""https://docs.google.com/spreadsheets/d/1j51vR6CYVGhABJpv6tkstgok82RLpXieLzW1yOY5rHw/edi"&amp;"t?usp=sharing"",""สิงห์บุรี!Q194"")+IMPORTRANGE(""https://docs.google.com/spreadsheets/d/1H1EalTWKUSzO4Z1-1CwzoDUaVffgrThEBe2sl74kKG0/edit?usp=sharing"",""สุพรรณบุรี!Q194"")+IMPORTRANGE(""https://docs.google.com/spreadsheets/d/1BmIruG_sIrJLYao_Pdr7zVArWsf"&amp;"oBt2692TMi6x_854/edit?usp=sharing"",""อ่างทอง!Q194"")"),84000)</f>
        <v>84000</v>
      </c>
      <c r="R194" s="72">
        <f ca="1">IFERROR(__xludf.DUMMYFUNCTION("IMPORTRANGE(""https://docs.google.com/spreadsheets/d/13wPX838HrBrQMCywv1BsuMkt4PEKTChp52zj44s2izQ/edit?usp=sharing"",""กาญจนบุรี!R194"")+IMPORTRANGE(""https://docs.google.com/spreadsheets/d/1ddFKvqj1W1NEiWytbGlB1zMx_ykJDVtmfEQ-6-lIUBA/edit?usp=sharing"","&amp;"""จันทบุรี!R194"")+IMPORTRANGE(""https://docs.google.com/spreadsheets/d/1T1PQvRODqOBZk8BRht_U031fIS1beLA0Ub2CEytj2q0/edit?usp=sharing"",""ฉะเชิงเทรา!R194"")+IMPORTRANGE(""https://docs.google.com/spreadsheets/d/11tr1B-Bhyr79v2bkwVh5h_fR-PStkgjlZtkrZpYurG0/"&amp;"edit?usp=sharing"",""ชลบุรี!R194"")+IMPORTRANGE(""https://docs.google.com/spreadsheets/d/1hh-FVnSX0vozXhGluamEcS54Dw9_zqW0N7qJUWgJ0Sw/edit?usp=sharing"",""ชัยนาท!R194"")+IMPORTRANGE(""https://docs.google.com/spreadsheets/d/1jkqa6GXxSacMcY1eN8AHjMNJ_7dDXMJ"&amp;"VRLDlaFSOdPM/edit?usp=sharing"",""ตราด!R194"")+IMPORTRANGE(""https://docs.google.com/spreadsheets/d/18hSgUJ3VwClqi_qtULmmW3cLr0oe3OKaSYoKzdpTsYQ/edit?usp=sharing"",""นครนายก!R194"")+IMPORTRANGE(""https://docs.google.com/spreadsheets/d/1YTZo6WM2dQ6Ix6FSdnL"&amp;"5P7uVnVKu40sxZu975tgG10E/edit?usp=sharing"",""นครปฐม!R194"")+IMPORTRANGE(""https://docs.google.com/spreadsheets/d/1OYoGg4WDg5RIzwGeB10padOxJF9E_Vljuvvct_M7RDo/edit?usp=sharing"",""ปทุมธานี!R194"")+IMPORTRANGE(""https://docs.google.com/spreadsheets/d/1GbCI"&amp;"E4D4wk9FUozzqk7SxfDMxDVBwVmI5zcaVUSzKAc/edit?usp=sharing"",""ประจวบคีรีขันธ์!R194"")+IMPORTRANGE(""https://docs.google.com/spreadsheets/d/1vVf6wykvW_lAyu7Yo9L4hUTqHqIeP_qcVuxCtosJEbg/edit?usp=sharing"",""ปราจีนบุรี!R194"")+IMPORTRANGE(""https://docs.googl"&amp;"e.com/spreadsheets/d/1BIDqLLg5jk3v59G8NlR8rk5xfQDKne0sAvZHSj7TI6I/edit?usp=sharing"",""พระนครศรีอยุธยา!R194"")+IMPORTRANGE(""https://docs.google.com/spreadsheets/d/1YXvxf8Yu6_rV4hTBrwMqAcAnv6DfhUxh5emyM3CJp_w/edit?usp=sharing"",""เพชรบุรี!R194"")+IMPORTRA"&amp;"NGE(""https://docs.google.com/spreadsheets/d/19KBlQQs7uwvsao6t2n-KvW3Ax8J8uRRfZPq1zPbXgKc/edit?usp=sharing"",""ระยอง!R194"")+IMPORTRANGE(""https://docs.google.com/spreadsheets/d/1jQ6P4QcrGM89YfqcC_PxOHGCMq5ezhucwJd8ci-NHng/edit?usp=sharing"",""ราชบุรี!R19"&amp;"4"")+IMPORTRANGE(""https://docs.google.com/spreadsheets/d/1lufeA2cfFqM-elVq2hznhDzC6Pr7wkJ9ZG_sYNGCMCU/edit?usp=sharing"",""ลพบุรี!R194"")+IMPORTRANGE(""https://docs.google.com/spreadsheets/d/10oOiF7loTyfsTkbd4MpaIm0HQ9SwB7IYHdIUvt-U1Uc/edit?usp=sharing"""&amp;",""สระแก้ว!R194"")+IMPORTRANGE(""https://docs.google.com/spreadsheets/d/1xmPlrr1QbdSIKvl1dWUl9K4PjAfSL9oeMr_37QVzcxc/edit?usp=sharing"",""สระบุรี!R194"")+IMPORTRANGE(""https://docs.google.com/spreadsheets/d/1j51vR6CYVGhABJpv6tkstgok82RLpXieLzW1yOY5rHw/edi"&amp;"t?usp=sharing"",""สิงห์บุรี!R194"")+IMPORTRANGE(""https://docs.google.com/spreadsheets/d/1H1EalTWKUSzO4Z1-1CwzoDUaVffgrThEBe2sl74kKG0/edit?usp=sharing"",""สุพรรณบุรี!R194"")+IMPORTRANGE(""https://docs.google.com/spreadsheets/d/1BmIruG_sIrJLYao_Pdr7zVArWsf"&amp;"oBt2692TMi6x_854/edit?usp=sharing"",""อ่างทอง!R194"")"),84000)</f>
        <v>84000</v>
      </c>
      <c r="S194" s="72">
        <f ca="1">IFERROR(__xludf.DUMMYFUNCTION("IMPORTRANGE(""https://docs.google.com/spreadsheets/d/13wPX838HrBrQMCywv1BsuMkt4PEKTChp52zj44s2izQ/edit?usp=sharing"",""กาญจนบุรี!S194"")+IMPORTRANGE(""https://docs.google.com/spreadsheets/d/1ddFKvqj1W1NEiWytbGlB1zMx_ykJDVtmfEQ-6-lIUBA/edit?usp=sharing"","&amp;"""จันทบุรี!S194"")+IMPORTRANGE(""https://docs.google.com/spreadsheets/d/1T1PQvRODqOBZk8BRht_U031fIS1beLA0Ub2CEytj2q0/edit?usp=sharing"",""ฉะเชิงเทรา!S194"")+IMPORTRANGE(""https://docs.google.com/spreadsheets/d/11tr1B-Bhyr79v2bkwVh5h_fR-PStkgjlZtkrZpYurG0/"&amp;"edit?usp=sharing"",""ชลบุรี!S194"")+IMPORTRANGE(""https://docs.google.com/spreadsheets/d/1hh-FVnSX0vozXhGluamEcS54Dw9_zqW0N7qJUWgJ0Sw/edit?usp=sharing"",""ชัยนาท!S194"")+IMPORTRANGE(""https://docs.google.com/spreadsheets/d/1jkqa6GXxSacMcY1eN8AHjMNJ_7dDXMJ"&amp;"VRLDlaFSOdPM/edit?usp=sharing"",""ตราด!S194"")+IMPORTRANGE(""https://docs.google.com/spreadsheets/d/18hSgUJ3VwClqi_qtULmmW3cLr0oe3OKaSYoKzdpTsYQ/edit?usp=sharing"",""นครนายก!S194"")+IMPORTRANGE(""https://docs.google.com/spreadsheets/d/1YTZo6WM2dQ6Ix6FSdnL"&amp;"5P7uVnVKu40sxZu975tgG10E/edit?usp=sharing"",""นครปฐม!S194"")+IMPORTRANGE(""https://docs.google.com/spreadsheets/d/1OYoGg4WDg5RIzwGeB10padOxJF9E_Vljuvvct_M7RDo/edit?usp=sharing"",""ปทุมธานี!S194"")+IMPORTRANGE(""https://docs.google.com/spreadsheets/d/1GbCI"&amp;"E4D4wk9FUozzqk7SxfDMxDVBwVmI5zcaVUSzKAc/edit?usp=sharing"",""ประจวบคีรีขันธ์!S194"")+IMPORTRANGE(""https://docs.google.com/spreadsheets/d/1vVf6wykvW_lAyu7Yo9L4hUTqHqIeP_qcVuxCtosJEbg/edit?usp=sharing"",""ปราจีนบุรี!S194"")+IMPORTRANGE(""https://docs.googl"&amp;"e.com/spreadsheets/d/1BIDqLLg5jk3v59G8NlR8rk5xfQDKne0sAvZHSj7TI6I/edit?usp=sharing"",""พระนครศรีอยุธยา!S194"")+IMPORTRANGE(""https://docs.google.com/spreadsheets/d/1YXvxf8Yu6_rV4hTBrwMqAcAnv6DfhUxh5emyM3CJp_w/edit?usp=sharing"",""เพชรบุรี!S194"")+IMPORTRA"&amp;"NGE(""https://docs.google.com/spreadsheets/d/19KBlQQs7uwvsao6t2n-KvW3Ax8J8uRRfZPq1zPbXgKc/edit?usp=sharing"",""ระยอง!S194"")+IMPORTRANGE(""https://docs.google.com/spreadsheets/d/1jQ6P4QcrGM89YfqcC_PxOHGCMq5ezhucwJd8ci-NHng/edit?usp=sharing"",""ราชบุรี!S19"&amp;"4"")+IMPORTRANGE(""https://docs.google.com/spreadsheets/d/1lufeA2cfFqM-elVq2hznhDzC6Pr7wkJ9ZG_sYNGCMCU/edit?usp=sharing"",""ลพบุรี!S194"")+IMPORTRANGE(""https://docs.google.com/spreadsheets/d/10oOiF7loTyfsTkbd4MpaIm0HQ9SwB7IYHdIUvt-U1Uc/edit?usp=sharing"""&amp;",""สระแก้ว!S194"")+IMPORTRANGE(""https://docs.google.com/spreadsheets/d/1xmPlrr1QbdSIKvl1dWUl9K4PjAfSL9oeMr_37QVzcxc/edit?usp=sharing"",""สระบุรี!S194"")+IMPORTRANGE(""https://docs.google.com/spreadsheets/d/1j51vR6CYVGhABJpv6tkstgok82RLpXieLzW1yOY5rHw/edi"&amp;"t?usp=sharing"",""สิงห์บุรี!S194"")+IMPORTRANGE(""https://docs.google.com/spreadsheets/d/1H1EalTWKUSzO4Z1-1CwzoDUaVffgrThEBe2sl74kKG0/edit?usp=sharing"",""สุพรรณบุรี!S194"")+IMPORTRANGE(""https://docs.google.com/spreadsheets/d/1BmIruG_sIrJLYao_Pdr7zVArWsf"&amp;"oBt2692TMi6x_854/edit?usp=sharing"",""อ่างทอง!S194"")"),0)</f>
        <v>0</v>
      </c>
      <c r="T194" s="130">
        <f t="shared" ca="1" si="161"/>
        <v>0</v>
      </c>
      <c r="U194" s="130">
        <f t="shared" ca="1" si="162"/>
        <v>0</v>
      </c>
    </row>
    <row r="195" spans="1:21" ht="19.5" x14ac:dyDescent="0.3">
      <c r="A195" s="368"/>
      <c r="B195" s="369"/>
      <c r="C195" s="370" t="s">
        <v>78</v>
      </c>
      <c r="D195" s="371"/>
      <c r="E195" s="371"/>
      <c r="F195" s="371"/>
      <c r="G195" s="372"/>
      <c r="H195" s="373" t="s">
        <v>79</v>
      </c>
      <c r="I195" s="374">
        <f t="shared" ref="I195:J195" ca="1" si="171">I198</f>
        <v>84</v>
      </c>
      <c r="J195" s="374">
        <f t="shared" ca="1" si="171"/>
        <v>57</v>
      </c>
      <c r="K195" s="375">
        <f ca="1">IF(I195&gt;0,J195*100/I195,0)</f>
        <v>67.857142857142861</v>
      </c>
      <c r="L195" s="376"/>
      <c r="M195" s="376"/>
      <c r="N195" s="376"/>
      <c r="O195" s="376"/>
      <c r="P195" s="376"/>
      <c r="Q195" s="377"/>
      <c r="R195" s="378"/>
      <c r="S195" s="378"/>
      <c r="T195" s="378"/>
      <c r="U195" s="378"/>
    </row>
    <row r="196" spans="1:21" ht="19.5" x14ac:dyDescent="0.3">
      <c r="A196" s="207"/>
      <c r="B196" s="65"/>
      <c r="C196" s="208" t="s">
        <v>18</v>
      </c>
      <c r="D196" s="379" t="s">
        <v>19</v>
      </c>
      <c r="E196" s="65"/>
      <c r="F196" s="65"/>
      <c r="G196" s="67"/>
      <c r="H196" s="380" t="s">
        <v>14</v>
      </c>
      <c r="I196" s="69"/>
      <c r="J196" s="69"/>
      <c r="K196" s="70"/>
      <c r="L196" s="211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6" s="70"/>
      <c r="N196" s="211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59535)</f>
        <v>59535</v>
      </c>
      <c r="O196" s="211">
        <f ca="1">IF(L196&gt;0,N196*100/L196,0)</f>
        <v>47.25</v>
      </c>
      <c r="P196" s="211"/>
      <c r="Q196" s="84"/>
      <c r="R196" s="85"/>
      <c r="S196" s="85"/>
      <c r="T196" s="85"/>
      <c r="U196" s="85"/>
    </row>
    <row r="197" spans="1:21" ht="19.5" x14ac:dyDescent="0.3">
      <c r="A197" s="220"/>
      <c r="B197" s="221"/>
      <c r="C197" s="208" t="s">
        <v>18</v>
      </c>
      <c r="D197" s="222" t="s">
        <v>38</v>
      </c>
      <c r="E197" s="223"/>
      <c r="F197" s="223"/>
      <c r="G197" s="224"/>
      <c r="H197" s="225"/>
      <c r="I197" s="69"/>
      <c r="J197" s="69"/>
      <c r="K197" s="70"/>
      <c r="L197" s="70"/>
      <c r="M197" s="70"/>
      <c r="N197" s="70"/>
      <c r="O197" s="70"/>
      <c r="P197" s="70"/>
      <c r="Q197" s="84"/>
      <c r="R197" s="85"/>
      <c r="S197" s="85"/>
      <c r="T197" s="85"/>
      <c r="U197" s="85"/>
    </row>
    <row r="198" spans="1:21" ht="18.75" x14ac:dyDescent="0.25">
      <c r="A198" s="220"/>
      <c r="B198" s="221"/>
      <c r="C198" s="221"/>
      <c r="D198" s="234" t="s">
        <v>80</v>
      </c>
      <c r="E198" s="229"/>
      <c r="F198" s="229"/>
      <c r="G198" s="225"/>
      <c r="H198" s="235" t="s">
        <v>79</v>
      </c>
      <c r="I198" s="237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8" s="237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57)</f>
        <v>57</v>
      </c>
      <c r="K198" s="86">
        <f ca="1">IF(I198&gt;0,J198*100/I198,0)</f>
        <v>67.857142857142861</v>
      </c>
      <c r="L198" s="70"/>
      <c r="M198" s="70"/>
      <c r="N198" s="70"/>
      <c r="O198" s="70"/>
      <c r="P198" s="70"/>
      <c r="Q198" s="84"/>
      <c r="R198" s="85"/>
      <c r="S198" s="85"/>
      <c r="T198" s="85"/>
      <c r="U198" s="85"/>
    </row>
    <row r="199" spans="1:21" ht="19.5" x14ac:dyDescent="0.3">
      <c r="A199" s="220"/>
      <c r="B199" s="221"/>
      <c r="C199" s="221"/>
      <c r="D199" s="234" t="s">
        <v>81</v>
      </c>
      <c r="E199" s="229"/>
      <c r="F199" s="229"/>
      <c r="G199" s="225"/>
      <c r="H199" s="381" t="s">
        <v>35</v>
      </c>
      <c r="I199" s="69"/>
      <c r="J199" s="231">
        <f ca="1">J200+J201</f>
        <v>2183</v>
      </c>
      <c r="K199" s="70"/>
      <c r="L199" s="70"/>
      <c r="M199" s="70"/>
      <c r="N199" s="70"/>
      <c r="O199" s="70"/>
      <c r="P199" s="70"/>
      <c r="Q199" s="84"/>
      <c r="R199" s="85"/>
      <c r="S199" s="85"/>
      <c r="T199" s="85"/>
      <c r="U199" s="85"/>
    </row>
    <row r="200" spans="1:21" ht="18.75" x14ac:dyDescent="0.25">
      <c r="A200" s="220"/>
      <c r="B200" s="221"/>
      <c r="C200" s="221"/>
      <c r="D200" s="221"/>
      <c r="E200" s="234" t="s">
        <v>82</v>
      </c>
      <c r="F200" s="229"/>
      <c r="G200" s="225"/>
      <c r="H200" s="366" t="s">
        <v>35</v>
      </c>
      <c r="I200" s="69"/>
      <c r="J200" s="237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2183)</f>
        <v>2183</v>
      </c>
      <c r="K200" s="70"/>
      <c r="L200" s="70"/>
      <c r="M200" s="70"/>
      <c r="N200" s="70"/>
      <c r="O200" s="70"/>
      <c r="P200" s="70"/>
      <c r="Q200" s="84"/>
      <c r="R200" s="85"/>
      <c r="S200" s="85"/>
      <c r="T200" s="85"/>
      <c r="U200" s="85"/>
    </row>
    <row r="201" spans="1:21" ht="18.75" x14ac:dyDescent="0.25">
      <c r="A201" s="220"/>
      <c r="B201" s="221"/>
      <c r="C201" s="221"/>
      <c r="D201" s="221"/>
      <c r="E201" s="234" t="s">
        <v>83</v>
      </c>
      <c r="F201" s="229"/>
      <c r="G201" s="225"/>
      <c r="H201" s="366" t="s">
        <v>35</v>
      </c>
      <c r="I201" s="69"/>
      <c r="J201" s="237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1" s="70"/>
      <c r="L201" s="70"/>
      <c r="M201" s="70"/>
      <c r="N201" s="70"/>
      <c r="O201" s="70"/>
      <c r="P201" s="70"/>
      <c r="Q201" s="84"/>
      <c r="R201" s="85"/>
      <c r="S201" s="85"/>
      <c r="T201" s="85"/>
      <c r="U201" s="85"/>
    </row>
    <row r="202" spans="1:21" ht="19.5" x14ac:dyDescent="0.3">
      <c r="A202" s="368"/>
      <c r="B202" s="369"/>
      <c r="C202" s="370" t="s">
        <v>84</v>
      </c>
      <c r="D202" s="371"/>
      <c r="E202" s="371"/>
      <c r="F202" s="371"/>
      <c r="G202" s="372"/>
      <c r="H202" s="382" t="s">
        <v>85</v>
      </c>
      <c r="I202" s="374">
        <f t="shared" ref="I202:J202" ca="1" si="172">I209</f>
        <v>35</v>
      </c>
      <c r="J202" s="374">
        <f t="shared" ca="1" si="172"/>
        <v>26</v>
      </c>
      <c r="K202" s="375">
        <f ca="1">IF(I202&gt;0,J202*100/I202,0)</f>
        <v>74.285714285714292</v>
      </c>
      <c r="L202" s="376"/>
      <c r="M202" s="376"/>
      <c r="N202" s="376"/>
      <c r="O202" s="376"/>
      <c r="P202" s="376"/>
      <c r="Q202" s="377"/>
      <c r="R202" s="378"/>
      <c r="S202" s="378"/>
      <c r="T202" s="378"/>
      <c r="U202" s="378"/>
    </row>
    <row r="203" spans="1:21" ht="19.5" x14ac:dyDescent="0.3">
      <c r="A203" s="207"/>
      <c r="B203" s="65"/>
      <c r="C203" s="208" t="s">
        <v>18</v>
      </c>
      <c r="D203" s="379" t="s">
        <v>19</v>
      </c>
      <c r="E203" s="65"/>
      <c r="F203" s="65"/>
      <c r="G203" s="67"/>
      <c r="H203" s="380" t="s">
        <v>14</v>
      </c>
      <c r="I203" s="217"/>
      <c r="J203" s="217"/>
      <c r="K203" s="218"/>
      <c r="L203" s="211">
        <f ca="1">L204+L205+L206+L207</f>
        <v>224162</v>
      </c>
      <c r="M203" s="70"/>
      <c r="N203" s="211">
        <f ca="1">N204+N205+N206+N207</f>
        <v>133771</v>
      </c>
      <c r="O203" s="211">
        <f ca="1">IF(L203&gt;0,N203*100/L203,0)</f>
        <v>59.676037865472296</v>
      </c>
      <c r="P203" s="211"/>
      <c r="Q203" s="383">
        <f ca="1">Q204+Q205+Q206+Q207</f>
        <v>435838</v>
      </c>
      <c r="R203" s="384"/>
      <c r="S203" s="385">
        <f ca="1">S204+S205+S206+S207</f>
        <v>266200.7</v>
      </c>
      <c r="T203" s="385">
        <f ca="1">IF(Q203&gt;0,S203*100/Q203,0)</f>
        <v>61.077900504315821</v>
      </c>
      <c r="U203" s="385">
        <f>IF(R203&gt;0,S203*100/R203,0)</f>
        <v>0</v>
      </c>
    </row>
    <row r="204" spans="1:21" ht="18.75" x14ac:dyDescent="0.25">
      <c r="A204" s="207"/>
      <c r="B204" s="367"/>
      <c r="C204" s="65"/>
      <c r="D204" s="386" t="s">
        <v>86</v>
      </c>
      <c r="E204" s="65"/>
      <c r="F204" s="65"/>
      <c r="G204" s="67"/>
      <c r="H204" s="216" t="s">
        <v>14</v>
      </c>
      <c r="I204" s="217"/>
      <c r="J204" s="217"/>
      <c r="K204" s="218"/>
      <c r="L204" s="86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35000)</f>
        <v>35000</v>
      </c>
      <c r="M204" s="70"/>
      <c r="N204" s="86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17024)</f>
        <v>17024</v>
      </c>
      <c r="O204" s="238"/>
      <c r="P204" s="70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364"/>
      <c r="B205" s="367"/>
      <c r="C205" s="65"/>
      <c r="D205" s="265" t="s">
        <v>87</v>
      </c>
      <c r="E205" s="65"/>
      <c r="F205" s="65"/>
      <c r="G205" s="67"/>
      <c r="H205" s="68" t="s">
        <v>14</v>
      </c>
      <c r="I205" s="69"/>
      <c r="J205" s="69"/>
      <c r="K205" s="70"/>
      <c r="L205" s="86">
        <v>0</v>
      </c>
      <c r="M205" s="70"/>
      <c r="N205" s="86">
        <v>0</v>
      </c>
      <c r="O205" s="238"/>
      <c r="P205" s="70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364"/>
      <c r="B206" s="367"/>
      <c r="C206" s="65"/>
      <c r="D206" s="265" t="s">
        <v>88</v>
      </c>
      <c r="E206" s="65"/>
      <c r="F206" s="65"/>
      <c r="G206" s="67"/>
      <c r="H206" s="68" t="s">
        <v>14</v>
      </c>
      <c r="I206" s="69"/>
      <c r="J206" s="69"/>
      <c r="K206" s="70"/>
      <c r="L206" s="86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36162)</f>
        <v>36162</v>
      </c>
      <c r="M206" s="70"/>
      <c r="N206" s="86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6" s="238"/>
      <c r="P206" s="70"/>
      <c r="Q206" s="71">
        <f ca="1">IFERROR(__xludf.DUMMYFUNCTION("IMPORTRANGE(""https://docs.google.com/spreadsheets/d/13wPX838HrBrQMCywv1BsuMkt4PEKTChp52zj44s2izQ/edit?usp=sharing"",""กาญจนบุรี!Q206"")+IMPORTRANGE(""https://docs.google.com/spreadsheets/d/1ddFKvqj1W1NEiWytbGlB1zMx_ykJDVtmfEQ-6-lIUBA/edit?usp=sharing"","&amp;"""จันทบุรี!Q206"")+IMPORTRANGE(""https://docs.google.com/spreadsheets/d/1T1PQvRODqOBZk8BRht_U031fIS1beLA0Ub2CEytj2q0/edit?usp=sharing"",""ฉะเชิงเทรา!Q206"")+IMPORTRANGE(""https://docs.google.com/spreadsheets/d/11tr1B-Bhyr79v2bkwVh5h_fR-PStkgjlZtkrZpYurG0/"&amp;"edit?usp=sharing"",""ชลบุรี!Q206"")+IMPORTRANGE(""https://docs.google.com/spreadsheets/d/1hh-FVnSX0vozXhGluamEcS54Dw9_zqW0N7qJUWgJ0Sw/edit?usp=sharing"",""ชัยนาท!Q206"")+IMPORTRANGE(""https://docs.google.com/spreadsheets/d/1jkqa6GXxSacMcY1eN8AHjMNJ_7dDXMJ"&amp;"VRLDlaFSOdPM/edit?usp=sharing"",""ตราด!Q206"")+IMPORTRANGE(""https://docs.google.com/spreadsheets/d/18hSgUJ3VwClqi_qtULmmW3cLr0oe3OKaSYoKzdpTsYQ/edit?usp=sharing"",""นครนายก!Q206"")+IMPORTRANGE(""https://docs.google.com/spreadsheets/d/1YTZo6WM2dQ6Ix6FSdnL"&amp;"5P7uVnVKu40sxZu975tgG10E/edit?usp=sharing"",""นครปฐม!Q206"")+IMPORTRANGE(""https://docs.google.com/spreadsheets/d/1OYoGg4WDg5RIzwGeB10padOxJF9E_Vljuvvct_M7RDo/edit?usp=sharing"",""ปทุมธานี!Q206"")+IMPORTRANGE(""https://docs.google.com/spreadsheets/d/1GbCI"&amp;"E4D4wk9FUozzqk7SxfDMxDVBwVmI5zcaVUSzKAc/edit?usp=sharing"",""ประจวบคีรีขันธ์!Q206"")+IMPORTRANGE(""https://docs.google.com/spreadsheets/d/1vVf6wykvW_lAyu7Yo9L4hUTqHqIeP_qcVuxCtosJEbg/edit?usp=sharing"",""ปราจีนบุรี!Q206"")+IMPORTRANGE(""https://docs.googl"&amp;"e.com/spreadsheets/d/1BIDqLLg5jk3v59G8NlR8rk5xfQDKne0sAvZHSj7TI6I/edit?usp=sharing"",""พระนครศรีอยุธยา!Q206"")+IMPORTRANGE(""https://docs.google.com/spreadsheets/d/1YXvxf8Yu6_rV4hTBrwMqAcAnv6DfhUxh5emyM3CJp_w/edit?usp=sharing"",""เพชรบุรี!Q206"")+IMPORTRA"&amp;"NGE(""https://docs.google.com/spreadsheets/d/19KBlQQs7uwvsao6t2n-KvW3Ax8J8uRRfZPq1zPbXgKc/edit?usp=sharing"",""ระยอง!Q206"")+IMPORTRANGE(""https://docs.google.com/spreadsheets/d/1jQ6P4QcrGM89YfqcC_PxOHGCMq5ezhucwJd8ci-NHng/edit?usp=sharing"",""ราชบุรี!Q20"&amp;"6"")+IMPORTRANGE(""https://docs.google.com/spreadsheets/d/1lufeA2cfFqM-elVq2hznhDzC6Pr7wkJ9ZG_sYNGCMCU/edit?usp=sharing"",""ลพบุรี!Q206"")+IMPORTRANGE(""https://docs.google.com/spreadsheets/d/10oOiF7loTyfsTkbd4MpaIm0HQ9SwB7IYHdIUvt-U1Uc/edit?usp=sharing"""&amp;",""สระแก้ว!Q206"")+IMPORTRANGE(""https://docs.google.com/spreadsheets/d/1xmPlrr1QbdSIKvl1dWUl9K4PjAfSL9oeMr_37QVzcxc/edit?usp=sharing"",""สระบุรี!Q206"")+IMPORTRANGE(""https://docs.google.com/spreadsheets/d/1j51vR6CYVGhABJpv6tkstgok82RLpXieLzW1yOY5rHw/edi"&amp;"t?usp=sharing"",""สิงห์บุรี!Q206"")+IMPORTRANGE(""https://docs.google.com/spreadsheets/d/1H1EalTWKUSzO4Z1-1CwzoDUaVffgrThEBe2sl74kKG0/edit?usp=sharing"",""สุพรรณบุรี!Q206"")+IMPORTRANGE(""https://docs.google.com/spreadsheets/d/1BmIruG_sIrJLYao_Pdr7zVArWsf"&amp;"oBt2692TMi6x_854/edit?usp=sharing"",""อ่างทอง!Q206"")"),435838)</f>
        <v>435838</v>
      </c>
      <c r="R206" s="85"/>
      <c r="S206" s="387">
        <f ca="1">IFERROR(__xludf.DUMMYFUNCTION("IMPORTRANGE(""https://docs.google.com/spreadsheets/d/13wPX838HrBrQMCywv1BsuMkt4PEKTChp52zj44s2izQ/edit?usp=sharing"",""กาญจนบุรี!S206"")+IMPORTRANGE(""https://docs.google.com/spreadsheets/d/1ddFKvqj1W1NEiWytbGlB1zMx_ykJDVtmfEQ-6-lIUBA/edit?usp=sharing"","&amp;"""จันทบุรี!S206"")+IMPORTRANGE(""https://docs.google.com/spreadsheets/d/1T1PQvRODqOBZk8BRht_U031fIS1beLA0Ub2CEytj2q0/edit?usp=sharing"",""ฉะเชิงเทรา!S206"")+IMPORTRANGE(""https://docs.google.com/spreadsheets/d/11tr1B-Bhyr79v2bkwVh5h_fR-PStkgjlZtkrZpYurG0/"&amp;"edit?usp=sharing"",""ชลบุรี!S206"")+IMPORTRANGE(""https://docs.google.com/spreadsheets/d/1hh-FVnSX0vozXhGluamEcS54Dw9_zqW0N7qJUWgJ0Sw/edit?usp=sharing"",""ชัยนาท!S206"")+IMPORTRANGE(""https://docs.google.com/spreadsheets/d/1jkqa6GXxSacMcY1eN8AHjMNJ_7dDXMJ"&amp;"VRLDlaFSOdPM/edit?usp=sharing"",""ตราด!S206"")+IMPORTRANGE(""https://docs.google.com/spreadsheets/d/18hSgUJ3VwClqi_qtULmmW3cLr0oe3OKaSYoKzdpTsYQ/edit?usp=sharing"",""นครนายก!S206"")+IMPORTRANGE(""https://docs.google.com/spreadsheets/d/1YTZo6WM2dQ6Ix6FSdnL"&amp;"5P7uVnVKu40sxZu975tgG10E/edit?usp=sharing"",""นครปฐม!S206"")+IMPORTRANGE(""https://docs.google.com/spreadsheets/d/1OYoGg4WDg5RIzwGeB10padOxJF9E_Vljuvvct_M7RDo/edit?usp=sharing"",""ปทุมธานี!S206"")+IMPORTRANGE(""https://docs.google.com/spreadsheets/d/1GbCI"&amp;"E4D4wk9FUozzqk7SxfDMxDVBwVmI5zcaVUSzKAc/edit?usp=sharing"",""ประจวบคีรีขันธ์!S206"")+IMPORTRANGE(""https://docs.google.com/spreadsheets/d/1vVf6wykvW_lAyu7Yo9L4hUTqHqIeP_qcVuxCtosJEbg/edit?usp=sharing"",""ปราจีนบุรี!S206"")+IMPORTRANGE(""https://docs.googl"&amp;"e.com/spreadsheets/d/1BIDqLLg5jk3v59G8NlR8rk5xfQDKne0sAvZHSj7TI6I/edit?usp=sharing"",""พระนครศรีอยุธยา!S206"")+IMPORTRANGE(""https://docs.google.com/spreadsheets/d/1YXvxf8Yu6_rV4hTBrwMqAcAnv6DfhUxh5emyM3CJp_w/edit?usp=sharing"",""เพชรบุรี!S206"")+IMPORTRA"&amp;"NGE(""https://docs.google.com/spreadsheets/d/19KBlQQs7uwvsao6t2n-KvW3Ax8J8uRRfZPq1zPbXgKc/edit?usp=sharing"",""ระยอง!S206"")+IMPORTRANGE(""https://docs.google.com/spreadsheets/d/1jQ6P4QcrGM89YfqcC_PxOHGCMq5ezhucwJd8ci-NHng/edit?usp=sharing"",""ราชบุรี!S20"&amp;"6"")+IMPORTRANGE(""https://docs.google.com/spreadsheets/d/1lufeA2cfFqM-elVq2hznhDzC6Pr7wkJ9ZG_sYNGCMCU/edit?usp=sharing"",""ลพบุรี!S206"")+IMPORTRANGE(""https://docs.google.com/spreadsheets/d/10oOiF7loTyfsTkbd4MpaIm0HQ9SwB7IYHdIUvt-U1Uc/edit?usp=sharing"""&amp;",""สระแก้ว!S206"")+IMPORTRANGE(""https://docs.google.com/spreadsheets/d/1xmPlrr1QbdSIKvl1dWUl9K4PjAfSL9oeMr_37QVzcxc/edit?usp=sharing"",""สระบุรี!S206"")+IMPORTRANGE(""https://docs.google.com/spreadsheets/d/1j51vR6CYVGhABJpv6tkstgok82RLpXieLzW1yOY5rHw/edi"&amp;"t?usp=sharing"",""สิงห์บุรี!S206"")+IMPORTRANGE(""https://docs.google.com/spreadsheets/d/1H1EalTWKUSzO4Z1-1CwzoDUaVffgrThEBe2sl74kKG0/edit?usp=sharing"",""สุพรรณบุรี!S206"")+IMPORTRANGE(""https://docs.google.com/spreadsheets/d/1BmIruG_sIrJLYao_Pdr7zVArWsf"&amp;"oBt2692TMi6x_854/edit?usp=sharing"",""อ่างทอง!S206"")"),266200.7)</f>
        <v>266200.7</v>
      </c>
      <c r="T206" s="227"/>
      <c r="U206" s="85"/>
    </row>
    <row r="207" spans="1:21" ht="18.75" x14ac:dyDescent="0.25">
      <c r="A207" s="364"/>
      <c r="B207" s="367"/>
      <c r="C207" s="65"/>
      <c r="D207" s="265" t="s">
        <v>89</v>
      </c>
      <c r="E207" s="65"/>
      <c r="F207" s="65"/>
      <c r="G207" s="67"/>
      <c r="H207" s="68" t="s">
        <v>14</v>
      </c>
      <c r="I207" s="69"/>
      <c r="J207" s="69"/>
      <c r="K207" s="70"/>
      <c r="L207" s="86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153000)</f>
        <v>153000</v>
      </c>
      <c r="M207" s="70"/>
      <c r="N207" s="86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80000)</f>
        <v>80000</v>
      </c>
      <c r="O207" s="238"/>
      <c r="P207" s="70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20"/>
      <c r="B208" s="221"/>
      <c r="C208" s="208" t="s">
        <v>18</v>
      </c>
      <c r="D208" s="222" t="s">
        <v>38</v>
      </c>
      <c r="E208" s="223"/>
      <c r="F208" s="223"/>
      <c r="G208" s="224"/>
      <c r="H208" s="225"/>
      <c r="I208" s="217"/>
      <c r="J208" s="217"/>
      <c r="K208" s="218"/>
      <c r="L208" s="218"/>
      <c r="M208" s="218"/>
      <c r="N208" s="218"/>
      <c r="O208" s="218"/>
      <c r="P208" s="218"/>
      <c r="Q208" s="226"/>
      <c r="R208" s="227"/>
      <c r="S208" s="227"/>
      <c r="T208" s="227"/>
      <c r="U208" s="227"/>
    </row>
    <row r="209" spans="1:21" ht="18.75" x14ac:dyDescent="0.25">
      <c r="A209" s="220"/>
      <c r="B209" s="221"/>
      <c r="C209" s="221"/>
      <c r="D209" s="228" t="s">
        <v>90</v>
      </c>
      <c r="E209" s="229"/>
      <c r="F209" s="229"/>
      <c r="G209" s="225"/>
      <c r="H209" s="388" t="s">
        <v>85</v>
      </c>
      <c r="I209" s="237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35)</f>
        <v>35</v>
      </c>
      <c r="J209" s="237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26)</f>
        <v>26</v>
      </c>
      <c r="K209" s="238">
        <f ca="1">IF(I209&gt;0,J209*100/I209,0)</f>
        <v>74.285714285714292</v>
      </c>
      <c r="L209" s="70"/>
      <c r="M209" s="70"/>
      <c r="N209" s="70"/>
      <c r="O209" s="70"/>
      <c r="P209" s="70"/>
      <c r="Q209" s="84"/>
      <c r="R209" s="85"/>
      <c r="S209" s="85"/>
      <c r="T209" s="85"/>
      <c r="U209" s="85"/>
    </row>
    <row r="210" spans="1:21" ht="18.75" x14ac:dyDescent="0.25">
      <c r="A210" s="220"/>
      <c r="B210" s="221"/>
      <c r="C210" s="221"/>
      <c r="D210" s="234" t="s">
        <v>50</v>
      </c>
      <c r="E210" s="229"/>
      <c r="F210" s="229"/>
      <c r="G210" s="225"/>
      <c r="H210" s="225"/>
      <c r="I210" s="69"/>
      <c r="J210" s="69"/>
      <c r="K210" s="218"/>
      <c r="L210" s="70"/>
      <c r="M210" s="70"/>
      <c r="N210" s="70"/>
      <c r="O210" s="70"/>
      <c r="P210" s="70"/>
      <c r="Q210" s="84"/>
      <c r="R210" s="85"/>
      <c r="S210" s="85"/>
      <c r="T210" s="85"/>
      <c r="U210" s="85"/>
    </row>
    <row r="211" spans="1:21" ht="18.75" x14ac:dyDescent="0.25">
      <c r="A211" s="220"/>
      <c r="B211" s="221"/>
      <c r="C211" s="221"/>
      <c r="D211" s="229"/>
      <c r="E211" s="234" t="s">
        <v>91</v>
      </c>
      <c r="F211" s="229"/>
      <c r="G211" s="225"/>
      <c r="H211" s="388" t="s">
        <v>85</v>
      </c>
      <c r="I211" s="237">
        <v>0</v>
      </c>
      <c r="J211" s="237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19)</f>
        <v>19</v>
      </c>
      <c r="K211" s="238">
        <f t="shared" ref="K211:K213" si="173">IF(I211&gt;0,J211*100/I211,0)</f>
        <v>0</v>
      </c>
      <c r="L211" s="70"/>
      <c r="M211" s="70"/>
      <c r="N211" s="70"/>
      <c r="O211" s="70"/>
      <c r="P211" s="70"/>
      <c r="Q211" s="84"/>
      <c r="R211" s="85"/>
      <c r="S211" s="85"/>
      <c r="T211" s="85"/>
      <c r="U211" s="85"/>
    </row>
    <row r="212" spans="1:21" ht="18.75" x14ac:dyDescent="0.25">
      <c r="A212" s="220"/>
      <c r="B212" s="221"/>
      <c r="C212" s="221"/>
      <c r="D212" s="229"/>
      <c r="E212" s="234" t="s">
        <v>92</v>
      </c>
      <c r="F212" s="229"/>
      <c r="G212" s="229"/>
      <c r="H212" s="235" t="s">
        <v>93</v>
      </c>
      <c r="I212" s="237">
        <v>0</v>
      </c>
      <c r="J212" s="237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2)</f>
        <v>2</v>
      </c>
      <c r="K212" s="238">
        <f t="shared" si="173"/>
        <v>0</v>
      </c>
      <c r="L212" s="70"/>
      <c r="M212" s="70"/>
      <c r="N212" s="70"/>
      <c r="O212" s="70"/>
      <c r="P212" s="70"/>
      <c r="Q212" s="84"/>
      <c r="R212" s="85"/>
      <c r="S212" s="85"/>
      <c r="T212" s="85"/>
      <c r="U212" s="85"/>
    </row>
    <row r="213" spans="1:21" ht="19.5" x14ac:dyDescent="0.3">
      <c r="A213" s="368"/>
      <c r="B213" s="369"/>
      <c r="C213" s="370" t="s">
        <v>94</v>
      </c>
      <c r="D213" s="371"/>
      <c r="E213" s="371"/>
      <c r="F213" s="371"/>
      <c r="G213" s="372"/>
      <c r="H213" s="382" t="s">
        <v>85</v>
      </c>
      <c r="I213" s="374">
        <f t="shared" ref="I213:J213" ca="1" si="174">I220</f>
        <v>17</v>
      </c>
      <c r="J213" s="374">
        <f t="shared" ca="1" si="174"/>
        <v>14</v>
      </c>
      <c r="K213" s="375">
        <f t="shared" ca="1" si="173"/>
        <v>82.352941176470594</v>
      </c>
      <c r="L213" s="376"/>
      <c r="M213" s="376"/>
      <c r="N213" s="376"/>
      <c r="O213" s="376"/>
      <c r="P213" s="376"/>
      <c r="Q213" s="377"/>
      <c r="R213" s="378"/>
      <c r="S213" s="378"/>
      <c r="T213" s="378"/>
      <c r="U213" s="378"/>
    </row>
    <row r="214" spans="1:21" ht="19.5" x14ac:dyDescent="0.3">
      <c r="A214" s="207"/>
      <c r="B214" s="65"/>
      <c r="C214" s="208" t="s">
        <v>18</v>
      </c>
      <c r="D214" s="379" t="s">
        <v>19</v>
      </c>
      <c r="E214" s="65"/>
      <c r="F214" s="65"/>
      <c r="G214" s="67"/>
      <c r="H214" s="380" t="s">
        <v>14</v>
      </c>
      <c r="I214" s="217"/>
      <c r="J214" s="217"/>
      <c r="K214" s="218"/>
      <c r="L214" s="211">
        <f ca="1">L215+L216+L217</f>
        <v>110000</v>
      </c>
      <c r="M214" s="70"/>
      <c r="N214" s="211">
        <f ca="1">N215+N216+N217</f>
        <v>14000</v>
      </c>
      <c r="O214" s="211">
        <f ca="1">IF(L214&gt;0,N214*100/L214,0)</f>
        <v>12.727272727272727</v>
      </c>
      <c r="P214" s="211"/>
      <c r="Q214" s="389">
        <f ca="1">Q215+Q216+Q217</f>
        <v>836900</v>
      </c>
      <c r="R214" s="85"/>
      <c r="S214" s="262">
        <f ca="1">S215+S216+S217</f>
        <v>346920</v>
      </c>
      <c r="T214" s="262">
        <f ca="1">IF(Q214&gt;0,S214*100/Q214,0)</f>
        <v>41.45298124029155</v>
      </c>
      <c r="U214" s="262">
        <f>IF(R214&gt;0,S214*100/R214,0)</f>
        <v>0</v>
      </c>
    </row>
    <row r="215" spans="1:21" ht="18.75" x14ac:dyDescent="0.25">
      <c r="A215" s="207"/>
      <c r="B215" s="367"/>
      <c r="C215" s="65"/>
      <c r="D215" s="73" t="s">
        <v>86</v>
      </c>
      <c r="E215" s="65"/>
      <c r="F215" s="65"/>
      <c r="G215" s="67"/>
      <c r="H215" s="216" t="s">
        <v>14</v>
      </c>
      <c r="I215" s="217"/>
      <c r="J215" s="217"/>
      <c r="K215" s="218"/>
      <c r="L215" s="86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17000)</f>
        <v>17000</v>
      </c>
      <c r="M215" s="70"/>
      <c r="N215" s="86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1000)</f>
        <v>1000</v>
      </c>
      <c r="O215" s="238"/>
      <c r="P215" s="70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364"/>
      <c r="B216" s="367"/>
      <c r="C216" s="367"/>
      <c r="D216" s="73" t="s">
        <v>95</v>
      </c>
      <c r="E216" s="65"/>
      <c r="F216" s="65"/>
      <c r="G216" s="67"/>
      <c r="H216" s="216" t="s">
        <v>14</v>
      </c>
      <c r="I216" s="69"/>
      <c r="J216" s="69"/>
      <c r="K216" s="70"/>
      <c r="L216" s="86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85000)</f>
        <v>85000</v>
      </c>
      <c r="M216" s="70"/>
      <c r="N216" s="86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5000)</f>
        <v>5000</v>
      </c>
      <c r="O216" s="238"/>
      <c r="P216" s="70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364"/>
      <c r="B217" s="367"/>
      <c r="C217" s="367"/>
      <c r="D217" s="73" t="s">
        <v>88</v>
      </c>
      <c r="E217" s="65"/>
      <c r="F217" s="65"/>
      <c r="G217" s="67"/>
      <c r="H217" s="216" t="s">
        <v>14</v>
      </c>
      <c r="I217" s="69"/>
      <c r="J217" s="69"/>
      <c r="K217" s="70"/>
      <c r="L217" s="86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8000)</f>
        <v>8000</v>
      </c>
      <c r="M217" s="70"/>
      <c r="N217" s="86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8000)</f>
        <v>8000</v>
      </c>
      <c r="O217" s="238"/>
      <c r="P217" s="70"/>
      <c r="Q217" s="71">
        <f ca="1">IFERROR(__xludf.DUMMYFUNCTION("IMPORTRANGE(""https://docs.google.com/spreadsheets/d/13wPX838HrBrQMCywv1BsuMkt4PEKTChp52zj44s2izQ/edit?usp=sharing"",""กาญจนบุรี!Q217"")+IMPORTRANGE(""https://docs.google.com/spreadsheets/d/1ddFKvqj1W1NEiWytbGlB1zMx_ykJDVtmfEQ-6-lIUBA/edit?usp=sharing"","&amp;"""จันทบุรี!Q217"")+IMPORTRANGE(""https://docs.google.com/spreadsheets/d/1T1PQvRODqOBZk8BRht_U031fIS1beLA0Ub2CEytj2q0/edit?usp=sharing"",""ฉะเชิงเทรา!Q217"")+IMPORTRANGE(""https://docs.google.com/spreadsheets/d/11tr1B-Bhyr79v2bkwVh5h_fR-PStkgjlZtkrZpYurG0/"&amp;"edit?usp=sharing"",""ชลบุรี!Q217"")+IMPORTRANGE(""https://docs.google.com/spreadsheets/d/1hh-FVnSX0vozXhGluamEcS54Dw9_zqW0N7qJUWgJ0Sw/edit?usp=sharing"",""ชัยนาท!Q217"")+IMPORTRANGE(""https://docs.google.com/spreadsheets/d/1jkqa6GXxSacMcY1eN8AHjMNJ_7dDXMJ"&amp;"VRLDlaFSOdPM/edit?usp=sharing"",""ตราด!Q217"")+IMPORTRANGE(""https://docs.google.com/spreadsheets/d/18hSgUJ3VwClqi_qtULmmW3cLr0oe3OKaSYoKzdpTsYQ/edit?usp=sharing"",""นครนายก!Q217"")+IMPORTRANGE(""https://docs.google.com/spreadsheets/d/1YTZo6WM2dQ6Ix6FSdnL"&amp;"5P7uVnVKu40sxZu975tgG10E/edit?usp=sharing"",""นครปฐม!Q217"")+IMPORTRANGE(""https://docs.google.com/spreadsheets/d/1OYoGg4WDg5RIzwGeB10padOxJF9E_Vljuvvct_M7RDo/edit?usp=sharing"",""ปทุมธานี!Q217"")+IMPORTRANGE(""https://docs.google.com/spreadsheets/d/1GbCI"&amp;"E4D4wk9FUozzqk7SxfDMxDVBwVmI5zcaVUSzKAc/edit?usp=sharing"",""ประจวบคีรีขันธ์!Q217"")+IMPORTRANGE(""https://docs.google.com/spreadsheets/d/1vVf6wykvW_lAyu7Yo9L4hUTqHqIeP_qcVuxCtosJEbg/edit?usp=sharing"",""ปราจีนบุรี!Q217"")+IMPORTRANGE(""https://docs.googl"&amp;"e.com/spreadsheets/d/1BIDqLLg5jk3v59G8NlR8rk5xfQDKne0sAvZHSj7TI6I/edit?usp=sharing"",""พระนครศรีอยุธยา!Q217"")+IMPORTRANGE(""https://docs.google.com/spreadsheets/d/1YXvxf8Yu6_rV4hTBrwMqAcAnv6DfhUxh5emyM3CJp_w/edit?usp=sharing"",""เพชรบุรี!Q217"")+IMPORTRA"&amp;"NGE(""https://docs.google.com/spreadsheets/d/19KBlQQs7uwvsao6t2n-KvW3Ax8J8uRRfZPq1zPbXgKc/edit?usp=sharing"",""ระยอง!Q217"")+IMPORTRANGE(""https://docs.google.com/spreadsheets/d/1jQ6P4QcrGM89YfqcC_PxOHGCMq5ezhucwJd8ci-NHng/edit?usp=sharing"",""ราชบุรี!Q21"&amp;"7"")+IMPORTRANGE(""https://docs.google.com/spreadsheets/d/1lufeA2cfFqM-elVq2hznhDzC6Pr7wkJ9ZG_sYNGCMCU/edit?usp=sharing"",""ลพบุรี!Q217"")+IMPORTRANGE(""https://docs.google.com/spreadsheets/d/10oOiF7loTyfsTkbd4MpaIm0HQ9SwB7IYHdIUvt-U1Uc/edit?usp=sharing"""&amp;",""สระแก้ว!Q217"")+IMPORTRANGE(""https://docs.google.com/spreadsheets/d/1xmPlrr1QbdSIKvl1dWUl9K4PjAfSL9oeMr_37QVzcxc/edit?usp=sharing"",""สระบุรี!Q217"")+IMPORTRANGE(""https://docs.google.com/spreadsheets/d/1j51vR6CYVGhABJpv6tkstgok82RLpXieLzW1yOY5rHw/edi"&amp;"t?usp=sharing"",""สิงห์บุรี!Q217"")+IMPORTRANGE(""https://docs.google.com/spreadsheets/d/1H1EalTWKUSzO4Z1-1CwzoDUaVffgrThEBe2sl74kKG0/edit?usp=sharing"",""สุพรรณบุรี!Q217"")+IMPORTRANGE(""https://docs.google.com/spreadsheets/d/1BmIruG_sIrJLYao_Pdr7zVArWsf"&amp;"oBt2692TMi6x_854/edit?usp=sharing"",""อ่างทอง!Q217"")"),836900)</f>
        <v>836900</v>
      </c>
      <c r="R217" s="85"/>
      <c r="S217" s="387">
        <f ca="1">IFERROR(__xludf.DUMMYFUNCTION("IMPORTRANGE(""https://docs.google.com/spreadsheets/d/13wPX838HrBrQMCywv1BsuMkt4PEKTChp52zj44s2izQ/edit?usp=sharing"",""กาญจนบุรี!S217"")+IMPORTRANGE(""https://docs.google.com/spreadsheets/d/1ddFKvqj1W1NEiWytbGlB1zMx_ykJDVtmfEQ-6-lIUBA/edit?usp=sharing"","&amp;"""จันทบุรี!S217"")+IMPORTRANGE(""https://docs.google.com/spreadsheets/d/1T1PQvRODqOBZk8BRht_U031fIS1beLA0Ub2CEytj2q0/edit?usp=sharing"",""ฉะเชิงเทรา!S217"")+IMPORTRANGE(""https://docs.google.com/spreadsheets/d/11tr1B-Bhyr79v2bkwVh5h_fR-PStkgjlZtkrZpYurG0/"&amp;"edit?usp=sharing"",""ชลบุรี!S217"")+IMPORTRANGE(""https://docs.google.com/spreadsheets/d/1hh-FVnSX0vozXhGluamEcS54Dw9_zqW0N7qJUWgJ0Sw/edit?usp=sharing"",""ชัยนาท!S217"")+IMPORTRANGE(""https://docs.google.com/spreadsheets/d/1jkqa6GXxSacMcY1eN8AHjMNJ_7dDXMJ"&amp;"VRLDlaFSOdPM/edit?usp=sharing"",""ตราด!S217"")+IMPORTRANGE(""https://docs.google.com/spreadsheets/d/18hSgUJ3VwClqi_qtULmmW3cLr0oe3OKaSYoKzdpTsYQ/edit?usp=sharing"",""นครนายก!S217"")+IMPORTRANGE(""https://docs.google.com/spreadsheets/d/1YTZo6WM2dQ6Ix6FSdnL"&amp;"5P7uVnVKu40sxZu975tgG10E/edit?usp=sharing"",""นครปฐม!S217"")+IMPORTRANGE(""https://docs.google.com/spreadsheets/d/1OYoGg4WDg5RIzwGeB10padOxJF9E_Vljuvvct_M7RDo/edit?usp=sharing"",""ปทุมธานี!S217"")+IMPORTRANGE(""https://docs.google.com/spreadsheets/d/1GbCI"&amp;"E4D4wk9FUozzqk7SxfDMxDVBwVmI5zcaVUSzKAc/edit?usp=sharing"",""ประจวบคีรีขันธ์!S217"")+IMPORTRANGE(""https://docs.google.com/spreadsheets/d/1vVf6wykvW_lAyu7Yo9L4hUTqHqIeP_qcVuxCtosJEbg/edit?usp=sharing"",""ปราจีนบุรี!S217"")+IMPORTRANGE(""https://docs.googl"&amp;"e.com/spreadsheets/d/1BIDqLLg5jk3v59G8NlR8rk5xfQDKne0sAvZHSj7TI6I/edit?usp=sharing"",""พระนครศรีอยุธยา!S217"")+IMPORTRANGE(""https://docs.google.com/spreadsheets/d/1YXvxf8Yu6_rV4hTBrwMqAcAnv6DfhUxh5emyM3CJp_w/edit?usp=sharing"",""เพชรบุรี!S217"")+IMPORTRA"&amp;"NGE(""https://docs.google.com/spreadsheets/d/19KBlQQs7uwvsao6t2n-KvW3Ax8J8uRRfZPq1zPbXgKc/edit?usp=sharing"",""ระยอง!S217"")+IMPORTRANGE(""https://docs.google.com/spreadsheets/d/1jQ6P4QcrGM89YfqcC_PxOHGCMq5ezhucwJd8ci-NHng/edit?usp=sharing"",""ราชบุรี!S21"&amp;"7"")+IMPORTRANGE(""https://docs.google.com/spreadsheets/d/1lufeA2cfFqM-elVq2hznhDzC6Pr7wkJ9ZG_sYNGCMCU/edit?usp=sharing"",""ลพบุรี!S217"")+IMPORTRANGE(""https://docs.google.com/spreadsheets/d/10oOiF7loTyfsTkbd4MpaIm0HQ9SwB7IYHdIUvt-U1Uc/edit?usp=sharing"""&amp;",""สระแก้ว!S217"")+IMPORTRANGE(""https://docs.google.com/spreadsheets/d/1xmPlrr1QbdSIKvl1dWUl9K4PjAfSL9oeMr_37QVzcxc/edit?usp=sharing"",""สระบุรี!S217"")+IMPORTRANGE(""https://docs.google.com/spreadsheets/d/1j51vR6CYVGhABJpv6tkstgok82RLpXieLzW1yOY5rHw/edi"&amp;"t?usp=sharing"",""สิงห์บุรี!S217"")+IMPORTRANGE(""https://docs.google.com/spreadsheets/d/1H1EalTWKUSzO4Z1-1CwzoDUaVffgrThEBe2sl74kKG0/edit?usp=sharing"",""สุพรรณบุรี!S217"")+IMPORTRANGE(""https://docs.google.com/spreadsheets/d/1BmIruG_sIrJLYao_Pdr7zVArWsf"&amp;"oBt2692TMi6x_854/edit?usp=sharing"",""อ่างทอง!S217"")"),346920)</f>
        <v>346920</v>
      </c>
      <c r="T217" s="227"/>
      <c r="U217" s="85"/>
    </row>
    <row r="218" spans="1:21" ht="19.5" x14ac:dyDescent="0.3">
      <c r="A218" s="220"/>
      <c r="B218" s="221"/>
      <c r="C218" s="390" t="s">
        <v>18</v>
      </c>
      <c r="D218" s="222" t="s">
        <v>38</v>
      </c>
      <c r="E218" s="223"/>
      <c r="F218" s="223"/>
      <c r="G218" s="224"/>
      <c r="H218" s="225"/>
      <c r="I218" s="217"/>
      <c r="J218" s="69"/>
      <c r="K218" s="70"/>
      <c r="L218" s="70"/>
      <c r="M218" s="70"/>
      <c r="N218" s="70"/>
      <c r="O218" s="218"/>
      <c r="P218" s="218"/>
      <c r="Q218" s="84"/>
      <c r="R218" s="85"/>
      <c r="S218" s="85"/>
      <c r="T218" s="227"/>
      <c r="U218" s="227"/>
    </row>
    <row r="219" spans="1:21" ht="18.75" x14ac:dyDescent="0.25">
      <c r="A219" s="220"/>
      <c r="B219" s="221"/>
      <c r="C219" s="221"/>
      <c r="D219" s="228" t="s">
        <v>96</v>
      </c>
      <c r="E219" s="229"/>
      <c r="F219" s="229"/>
      <c r="G219" s="225"/>
      <c r="H219" s="388" t="s">
        <v>85</v>
      </c>
      <c r="I219" s="237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17)</f>
        <v>17</v>
      </c>
      <c r="J219" s="237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2)</f>
        <v>2</v>
      </c>
      <c r="K219" s="86">
        <f t="shared" ref="K219:K221" ca="1" si="175">IF(I219&gt;0,J219*100/I219,0)</f>
        <v>11.764705882352942</v>
      </c>
      <c r="L219" s="70"/>
      <c r="M219" s="70"/>
      <c r="N219" s="70"/>
      <c r="O219" s="70"/>
      <c r="P219" s="70"/>
      <c r="Q219" s="84"/>
      <c r="R219" s="85"/>
      <c r="S219" s="85"/>
      <c r="T219" s="85"/>
      <c r="U219" s="85"/>
    </row>
    <row r="220" spans="1:21" ht="18.75" x14ac:dyDescent="0.25">
      <c r="A220" s="220"/>
      <c r="B220" s="221"/>
      <c r="C220" s="221"/>
      <c r="D220" s="228" t="s">
        <v>97</v>
      </c>
      <c r="E220" s="229"/>
      <c r="F220" s="229"/>
      <c r="G220" s="225"/>
      <c r="H220" s="388" t="s">
        <v>85</v>
      </c>
      <c r="I220" s="237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17)</f>
        <v>17</v>
      </c>
      <c r="J220" s="237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14)</f>
        <v>14</v>
      </c>
      <c r="K220" s="86">
        <f t="shared" ca="1" si="175"/>
        <v>82.352941176470594</v>
      </c>
      <c r="L220" s="70"/>
      <c r="M220" s="70"/>
      <c r="N220" s="70"/>
      <c r="O220" s="70"/>
      <c r="P220" s="70"/>
      <c r="Q220" s="84"/>
      <c r="R220" s="85"/>
      <c r="S220" s="85"/>
      <c r="T220" s="85"/>
      <c r="U220" s="85"/>
    </row>
    <row r="221" spans="1:21" ht="19.5" x14ac:dyDescent="0.3">
      <c r="A221" s="368"/>
      <c r="B221" s="369"/>
      <c r="C221" s="370" t="s">
        <v>98</v>
      </c>
      <c r="D221" s="371"/>
      <c r="E221" s="371"/>
      <c r="F221" s="371"/>
      <c r="G221" s="372"/>
      <c r="H221" s="373" t="s">
        <v>99</v>
      </c>
      <c r="I221" s="374">
        <f t="shared" ref="I221:J221" ca="1" si="176">I229</f>
        <v>482200</v>
      </c>
      <c r="J221" s="374">
        <f t="shared" ca="1" si="176"/>
        <v>262200</v>
      </c>
      <c r="K221" s="375">
        <f t="shared" ca="1" si="175"/>
        <v>54.37577768560763</v>
      </c>
      <c r="L221" s="376"/>
      <c r="M221" s="376"/>
      <c r="N221" s="376"/>
      <c r="O221" s="376"/>
      <c r="P221" s="376"/>
      <c r="Q221" s="377"/>
      <c r="R221" s="378"/>
      <c r="S221" s="378"/>
      <c r="T221" s="378"/>
      <c r="U221" s="378"/>
    </row>
    <row r="222" spans="1:21" ht="19.5" x14ac:dyDescent="0.3">
      <c r="A222" s="207"/>
      <c r="B222" s="65"/>
      <c r="C222" s="208" t="s">
        <v>18</v>
      </c>
      <c r="D222" s="379" t="s">
        <v>19</v>
      </c>
      <c r="E222" s="65"/>
      <c r="F222" s="65"/>
      <c r="G222" s="67"/>
      <c r="H222" s="380" t="s">
        <v>14</v>
      </c>
      <c r="I222" s="217"/>
      <c r="J222" s="217"/>
      <c r="K222" s="218"/>
      <c r="L222" s="211">
        <f ca="1">L223+L224+L225</f>
        <v>112500</v>
      </c>
      <c r="M222" s="70"/>
      <c r="N222" s="211">
        <f ca="1">N223+N224+N225</f>
        <v>35560</v>
      </c>
      <c r="O222" s="211">
        <f ca="1">IF(L222&gt;0,N222*100/L222,0)</f>
        <v>31.608888888888888</v>
      </c>
      <c r="P222" s="211"/>
      <c r="Q222" s="84"/>
      <c r="R222" s="85"/>
      <c r="S222" s="85"/>
      <c r="T222" s="85"/>
      <c r="U222" s="85"/>
    </row>
    <row r="223" spans="1:21" ht="18.75" x14ac:dyDescent="0.25">
      <c r="A223" s="207"/>
      <c r="B223" s="367"/>
      <c r="C223" s="65"/>
      <c r="D223" s="73" t="s">
        <v>86</v>
      </c>
      <c r="E223" s="65"/>
      <c r="F223" s="65"/>
      <c r="G223" s="67"/>
      <c r="H223" s="216" t="s">
        <v>14</v>
      </c>
      <c r="I223" s="217"/>
      <c r="J223" s="217"/>
      <c r="K223" s="218"/>
      <c r="L223" s="86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52500)</f>
        <v>52500</v>
      </c>
      <c r="M223" s="70"/>
      <c r="N223" s="86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19535)</f>
        <v>19535</v>
      </c>
      <c r="O223" s="238"/>
      <c r="P223" s="70"/>
      <c r="Q223" s="84"/>
      <c r="R223" s="85"/>
      <c r="S223" s="85"/>
      <c r="T223" s="227"/>
      <c r="U223" s="85"/>
    </row>
    <row r="224" spans="1:21" ht="18.75" x14ac:dyDescent="0.25">
      <c r="A224" s="364"/>
      <c r="B224" s="367"/>
      <c r="C224" s="367"/>
      <c r="D224" s="73" t="s">
        <v>100</v>
      </c>
      <c r="E224" s="65"/>
      <c r="F224" s="65"/>
      <c r="G224" s="67"/>
      <c r="H224" s="216" t="s">
        <v>14</v>
      </c>
      <c r="I224" s="69"/>
      <c r="J224" s="69"/>
      <c r="K224" s="70"/>
      <c r="L224" s="86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60000)</f>
        <v>60000</v>
      </c>
      <c r="M224" s="70"/>
      <c r="N224" s="86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16025)</f>
        <v>16025</v>
      </c>
      <c r="O224" s="238"/>
      <c r="P224" s="70"/>
      <c r="Q224" s="84"/>
      <c r="R224" s="85"/>
      <c r="S224" s="85"/>
      <c r="T224" s="227"/>
      <c r="U224" s="85"/>
    </row>
    <row r="225" spans="1:21" ht="18.75" hidden="1" x14ac:dyDescent="0.25">
      <c r="A225" s="391"/>
      <c r="B225" s="392"/>
      <c r="C225" s="392"/>
      <c r="D225" s="393"/>
      <c r="E225" s="394"/>
      <c r="F225" s="394"/>
      <c r="G225" s="395"/>
      <c r="H225" s="396"/>
      <c r="I225" s="397"/>
      <c r="J225" s="397"/>
      <c r="K225" s="398"/>
      <c r="L225" s="399"/>
      <c r="M225" s="398"/>
      <c r="N225" s="399"/>
      <c r="O225" s="399"/>
      <c r="P225" s="398"/>
      <c r="Q225" s="84"/>
      <c r="R225" s="85"/>
      <c r="S225" s="85"/>
      <c r="T225" s="227"/>
      <c r="U225" s="85"/>
    </row>
    <row r="226" spans="1:21" ht="19.5" x14ac:dyDescent="0.3">
      <c r="A226" s="220"/>
      <c r="B226" s="221"/>
      <c r="C226" s="390" t="s">
        <v>18</v>
      </c>
      <c r="D226" s="222" t="s">
        <v>38</v>
      </c>
      <c r="E226" s="223"/>
      <c r="F226" s="223"/>
      <c r="G226" s="224"/>
      <c r="H226" s="225"/>
      <c r="I226" s="217"/>
      <c r="J226" s="217"/>
      <c r="K226" s="218"/>
      <c r="L226" s="218"/>
      <c r="M226" s="218"/>
      <c r="N226" s="218"/>
      <c r="O226" s="218"/>
      <c r="P226" s="218"/>
      <c r="Q226" s="226"/>
      <c r="R226" s="227"/>
      <c r="S226" s="227"/>
      <c r="T226" s="227"/>
      <c r="U226" s="227"/>
    </row>
    <row r="227" spans="1:21" ht="18.75" x14ac:dyDescent="0.25">
      <c r="A227" s="220"/>
      <c r="B227" s="221"/>
      <c r="C227" s="221"/>
      <c r="D227" s="73" t="s">
        <v>101</v>
      </c>
      <c r="E227" s="229"/>
      <c r="F227" s="229"/>
      <c r="G227" s="225"/>
      <c r="H227" s="225"/>
      <c r="I227" s="69"/>
      <c r="J227" s="69"/>
      <c r="K227" s="218"/>
      <c r="L227" s="218"/>
      <c r="M227" s="218"/>
      <c r="N227" s="218"/>
      <c r="O227" s="218"/>
      <c r="P227" s="218"/>
      <c r="Q227" s="226"/>
      <c r="R227" s="227"/>
      <c r="S227" s="227"/>
      <c r="T227" s="227"/>
      <c r="U227" s="227"/>
    </row>
    <row r="228" spans="1:21" ht="18.75" x14ac:dyDescent="0.25">
      <c r="A228" s="220"/>
      <c r="B228" s="221"/>
      <c r="C228" s="221"/>
      <c r="D228" s="221"/>
      <c r="E228" s="228" t="s">
        <v>102</v>
      </c>
      <c r="F228" s="229"/>
      <c r="G228" s="225"/>
      <c r="H228" s="235" t="s">
        <v>99</v>
      </c>
      <c r="I228" s="237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8" s="237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412200)</f>
        <v>412200</v>
      </c>
      <c r="K228" s="238">
        <f t="shared" ref="K228:K231" ca="1" si="177">IF(I228&gt;0,J228*100/I228,0)</f>
        <v>85.483201990875159</v>
      </c>
      <c r="L228" s="218"/>
      <c r="M228" s="218"/>
      <c r="N228" s="218"/>
      <c r="O228" s="218"/>
      <c r="P228" s="218"/>
      <c r="Q228" s="226"/>
      <c r="R228" s="227"/>
      <c r="S228" s="227"/>
      <c r="T228" s="227"/>
      <c r="U228" s="227"/>
    </row>
    <row r="229" spans="1:21" ht="18.75" x14ac:dyDescent="0.25">
      <c r="A229" s="220"/>
      <c r="B229" s="221"/>
      <c r="C229" s="221"/>
      <c r="D229" s="221"/>
      <c r="E229" s="228" t="s">
        <v>103</v>
      </c>
      <c r="F229" s="229"/>
      <c r="G229" s="225"/>
      <c r="H229" s="235" t="s">
        <v>99</v>
      </c>
      <c r="I229" s="237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29" s="237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262200)</f>
        <v>262200</v>
      </c>
      <c r="K229" s="238">
        <f t="shared" ca="1" si="177"/>
        <v>54.37577768560763</v>
      </c>
      <c r="L229" s="70"/>
      <c r="M229" s="70"/>
      <c r="N229" s="70"/>
      <c r="O229" s="70"/>
      <c r="P229" s="70"/>
      <c r="Q229" s="84"/>
      <c r="R229" s="85"/>
      <c r="S229" s="85"/>
      <c r="T229" s="85"/>
      <c r="U229" s="85"/>
    </row>
    <row r="230" spans="1:21" ht="18.75" x14ac:dyDescent="0.25">
      <c r="A230" s="220"/>
      <c r="B230" s="221"/>
      <c r="C230" s="221"/>
      <c r="D230" s="73" t="s">
        <v>104</v>
      </c>
      <c r="E230" s="229"/>
      <c r="F230" s="229"/>
      <c r="G230" s="225"/>
      <c r="H230" s="235" t="s">
        <v>35</v>
      </c>
      <c r="I230" s="237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0" s="237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0" s="238">
        <f t="shared" ca="1" si="177"/>
        <v>0</v>
      </c>
      <c r="L230" s="70"/>
      <c r="M230" s="70"/>
      <c r="N230" s="70"/>
      <c r="O230" s="70"/>
      <c r="P230" s="70"/>
      <c r="Q230" s="84"/>
      <c r="R230" s="85"/>
      <c r="S230" s="85"/>
      <c r="T230" s="85"/>
      <c r="U230" s="85"/>
    </row>
    <row r="231" spans="1:21" ht="19.5" x14ac:dyDescent="0.3">
      <c r="A231" s="368"/>
      <c r="B231" s="369"/>
      <c r="C231" s="370" t="s">
        <v>105</v>
      </c>
      <c r="D231" s="371"/>
      <c r="E231" s="371"/>
      <c r="F231" s="371"/>
      <c r="G231" s="372"/>
      <c r="H231" s="373" t="s">
        <v>35</v>
      </c>
      <c r="I231" s="374">
        <f t="shared" ref="I231:J231" si="178">I242+I253</f>
        <v>0</v>
      </c>
      <c r="J231" s="374">
        <f t="shared" si="178"/>
        <v>0</v>
      </c>
      <c r="K231" s="375">
        <f t="shared" si="177"/>
        <v>0</v>
      </c>
      <c r="L231" s="376"/>
      <c r="M231" s="376"/>
      <c r="N231" s="376"/>
      <c r="O231" s="376"/>
      <c r="P231" s="376"/>
      <c r="Q231" s="377"/>
      <c r="R231" s="378"/>
      <c r="S231" s="378"/>
      <c r="T231" s="378"/>
      <c r="U231" s="378"/>
    </row>
    <row r="232" spans="1:21" ht="19.5" x14ac:dyDescent="0.3">
      <c r="A232" s="207"/>
      <c r="B232" s="65"/>
      <c r="C232" s="208" t="s">
        <v>18</v>
      </c>
      <c r="D232" s="209" t="s">
        <v>19</v>
      </c>
      <c r="E232" s="65"/>
      <c r="F232" s="65"/>
      <c r="G232" s="67"/>
      <c r="H232" s="380" t="s">
        <v>14</v>
      </c>
      <c r="I232" s="217"/>
      <c r="J232" s="217"/>
      <c r="K232" s="218"/>
      <c r="L232" s="211">
        <f ca="1">L233+L234+L235+L236</f>
        <v>1488350</v>
      </c>
      <c r="M232" s="70"/>
      <c r="N232" s="211">
        <f ca="1">N233+N234+N235+N236</f>
        <v>918538</v>
      </c>
      <c r="O232" s="211">
        <f ca="1">IF(L232&gt;0,N232*100/L232,0)</f>
        <v>61.715187959821279</v>
      </c>
      <c r="P232" s="70"/>
      <c r="Q232" s="389">
        <f ca="1">Q233+Q234+Q235</f>
        <v>0</v>
      </c>
      <c r="R232" s="85"/>
      <c r="S232" s="262">
        <f ca="1">S233+S234+S235</f>
        <v>0</v>
      </c>
      <c r="T232" s="262">
        <f ca="1">IF(Q232&gt;0,S232*100/Q232,0)</f>
        <v>0</v>
      </c>
      <c r="U232" s="262">
        <f>IF(R232&gt;0,S232*100/R232,0)</f>
        <v>0</v>
      </c>
    </row>
    <row r="233" spans="1:21" ht="18.75" x14ac:dyDescent="0.25">
      <c r="A233" s="207"/>
      <c r="B233" s="367"/>
      <c r="C233" s="65"/>
      <c r="D233" s="73" t="s">
        <v>86</v>
      </c>
      <c r="E233" s="65"/>
      <c r="F233" s="65"/>
      <c r="G233" s="67"/>
      <c r="H233" s="216" t="s">
        <v>14</v>
      </c>
      <c r="I233" s="217"/>
      <c r="J233" s="217"/>
      <c r="K233" s="218"/>
      <c r="L233" s="86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340000)</f>
        <v>340000</v>
      </c>
      <c r="M233" s="70"/>
      <c r="N233" s="86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67908)</f>
        <v>67908</v>
      </c>
      <c r="O233" s="70"/>
      <c r="P233" s="70"/>
      <c r="Q233" s="71">
        <v>0</v>
      </c>
      <c r="R233" s="85"/>
      <c r="S233" s="72">
        <v>0</v>
      </c>
      <c r="T233" s="227"/>
      <c r="U233" s="85"/>
    </row>
    <row r="234" spans="1:21" ht="18.75" x14ac:dyDescent="0.25">
      <c r="A234" s="364"/>
      <c r="B234" s="367"/>
      <c r="C234" s="367"/>
      <c r="D234" s="73" t="s">
        <v>88</v>
      </c>
      <c r="E234" s="65"/>
      <c r="F234" s="65"/>
      <c r="G234" s="67"/>
      <c r="H234" s="216" t="s">
        <v>14</v>
      </c>
      <c r="I234" s="69"/>
      <c r="J234" s="69"/>
      <c r="K234" s="70"/>
      <c r="L234" s="86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35000)</f>
        <v>35000</v>
      </c>
      <c r="M234" s="70"/>
      <c r="N234" s="86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93720)</f>
        <v>93720</v>
      </c>
      <c r="O234" s="70"/>
      <c r="P234" s="70"/>
      <c r="Q234" s="71">
        <v>0</v>
      </c>
      <c r="R234" s="85"/>
      <c r="S234" s="72">
        <v>0</v>
      </c>
      <c r="T234" s="227"/>
      <c r="U234" s="85"/>
    </row>
    <row r="235" spans="1:21" ht="18.75" x14ac:dyDescent="0.25">
      <c r="A235" s="364"/>
      <c r="B235" s="367"/>
      <c r="C235" s="367"/>
      <c r="D235" s="73" t="s">
        <v>106</v>
      </c>
      <c r="E235" s="65"/>
      <c r="F235" s="65"/>
      <c r="G235" s="67"/>
      <c r="H235" s="216" t="s">
        <v>14</v>
      </c>
      <c r="I235" s="69"/>
      <c r="J235" s="69"/>
      <c r="K235" s="70"/>
      <c r="L235" s="86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565850)</f>
        <v>565850</v>
      </c>
      <c r="M235" s="70"/>
      <c r="N235" s="86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467430)</f>
        <v>467430</v>
      </c>
      <c r="O235" s="70"/>
      <c r="P235" s="70"/>
      <c r="Q235" s="71">
        <f ca="1">IFERROR(__xludf.DUMMYFUNCTION("IMPORTRANGE(""https://docs.google.com/spreadsheets/d/13wPX838HrBrQMCywv1BsuMkt4PEKTChp52zj44s2izQ/edit?usp=sharing"",""กาญจนบุรี!Q235"")+IMPORTRANGE(""https://docs.google.com/spreadsheets/d/1ddFKvqj1W1NEiWytbGlB1zMx_ykJDVtmfEQ-6-lIUBA/edit?usp=sharing"","&amp;"""จันทบุรี!Q235"")+IMPORTRANGE(""https://docs.google.com/spreadsheets/d/1T1PQvRODqOBZk8BRht_U031fIS1beLA0Ub2CEytj2q0/edit?usp=sharing"",""ฉะเชิงเทรา!Q235"")+IMPORTRANGE(""https://docs.google.com/spreadsheets/d/11tr1B-Bhyr79v2bkwVh5h_fR-PStkgjlZtkrZpYurG0/"&amp;"edit?usp=sharing"",""ชลบุรี!Q235"")+IMPORTRANGE(""https://docs.google.com/spreadsheets/d/1hh-FVnSX0vozXhGluamEcS54Dw9_zqW0N7qJUWgJ0Sw/edit?usp=sharing"",""ชัยนาท!Q235"")+IMPORTRANGE(""https://docs.google.com/spreadsheets/d/1jkqa6GXxSacMcY1eN8AHjMNJ_7dDXMJ"&amp;"VRLDlaFSOdPM/edit?usp=sharing"",""ตราด!Q235"")+IMPORTRANGE(""https://docs.google.com/spreadsheets/d/18hSgUJ3VwClqi_qtULmmW3cLr0oe3OKaSYoKzdpTsYQ/edit?usp=sharing"",""นครนายก!Q235"")+IMPORTRANGE(""https://docs.google.com/spreadsheets/d/1YTZo6WM2dQ6Ix6FSdnL"&amp;"5P7uVnVKu40sxZu975tgG10E/edit?usp=sharing"",""นครปฐม!Q235"")+IMPORTRANGE(""https://docs.google.com/spreadsheets/d/1OYoGg4WDg5RIzwGeB10padOxJF9E_Vljuvvct_M7RDo/edit?usp=sharing"",""ปทุมธานี!Q235"")+IMPORTRANGE(""https://docs.google.com/spreadsheets/d/1GbCI"&amp;"E4D4wk9FUozzqk7SxfDMxDVBwVmI5zcaVUSzKAc/edit?usp=sharing"",""ประจวบคีรีขันธ์!Q235"")+IMPORTRANGE(""https://docs.google.com/spreadsheets/d/1vVf6wykvW_lAyu7Yo9L4hUTqHqIeP_qcVuxCtosJEbg/edit?usp=sharing"",""ปราจีนบุรี!Q235"")+IMPORTRANGE(""https://docs.googl"&amp;"e.com/spreadsheets/d/1BIDqLLg5jk3v59G8NlR8rk5xfQDKne0sAvZHSj7TI6I/edit?usp=sharing"",""พระนครศรีอยุธยา!Q235"")+IMPORTRANGE(""https://docs.google.com/spreadsheets/d/1YXvxf8Yu6_rV4hTBrwMqAcAnv6DfhUxh5emyM3CJp_w/edit?usp=sharing"",""เพชรบุรี!Q235"")+IMPORTRA"&amp;"NGE(""https://docs.google.com/spreadsheets/d/19KBlQQs7uwvsao6t2n-KvW3Ax8J8uRRfZPq1zPbXgKc/edit?usp=sharing"",""ระยอง!Q235"")+IMPORTRANGE(""https://docs.google.com/spreadsheets/d/1jQ6P4QcrGM89YfqcC_PxOHGCMq5ezhucwJd8ci-NHng/edit?usp=sharing"",""ราชบุรี!Q23"&amp;"5"")+IMPORTRANGE(""https://docs.google.com/spreadsheets/d/1lufeA2cfFqM-elVq2hznhDzC6Pr7wkJ9ZG_sYNGCMCU/edit?usp=sharing"",""ลพบุรี!Q235"")+IMPORTRANGE(""https://docs.google.com/spreadsheets/d/10oOiF7loTyfsTkbd4MpaIm0HQ9SwB7IYHdIUvt-U1Uc/edit?usp=sharing"""&amp;",""สระแก้ว!Q235"")+IMPORTRANGE(""https://docs.google.com/spreadsheets/d/1xmPlrr1QbdSIKvl1dWUl9K4PjAfSL9oeMr_37QVzcxc/edit?usp=sharing"",""สระบุรี!Q235"")+IMPORTRANGE(""https://docs.google.com/spreadsheets/d/1j51vR6CYVGhABJpv6tkstgok82RLpXieLzW1yOY5rHw/edi"&amp;"t?usp=sharing"",""สิงห์บุรี!Q235"")+IMPORTRANGE(""https://docs.google.com/spreadsheets/d/1H1EalTWKUSzO4Z1-1CwzoDUaVffgrThEBe2sl74kKG0/edit?usp=sharing"",""สุพรรณบุรี!Q235"")+IMPORTRANGE(""https://docs.google.com/spreadsheets/d/1BmIruG_sIrJLYao_Pdr7zVArWsf"&amp;"oBt2692TMi6x_854/edit?usp=sharing"",""อ่างทอง!Q235"")"),0)</f>
        <v>0</v>
      </c>
      <c r="R235" s="85"/>
      <c r="S235" s="387">
        <f ca="1">IFERROR(__xludf.DUMMYFUNCTION("IMPORTRANGE(""https://docs.google.com/spreadsheets/d/13wPX838HrBrQMCywv1BsuMkt4PEKTChp52zj44s2izQ/edit?usp=sharing"",""กาญจนบุรี!S235"")+IMPORTRANGE(""https://docs.google.com/spreadsheets/d/1ddFKvqj1W1NEiWytbGlB1zMx_ykJDVtmfEQ-6-lIUBA/edit?usp=sharing"","&amp;"""จันทบุรี!S235"")+IMPORTRANGE(""https://docs.google.com/spreadsheets/d/1T1PQvRODqOBZk8BRht_U031fIS1beLA0Ub2CEytj2q0/edit?usp=sharing"",""ฉะเชิงเทรา!S235"")+IMPORTRANGE(""https://docs.google.com/spreadsheets/d/11tr1B-Bhyr79v2bkwVh5h_fR-PStkgjlZtkrZpYurG0/"&amp;"edit?usp=sharing"",""ชลบุรี!S235"")+IMPORTRANGE(""https://docs.google.com/spreadsheets/d/1hh-FVnSX0vozXhGluamEcS54Dw9_zqW0N7qJUWgJ0Sw/edit?usp=sharing"",""ชัยนาท!S235"")+IMPORTRANGE(""https://docs.google.com/spreadsheets/d/1jkqa6GXxSacMcY1eN8AHjMNJ_7dDXMJ"&amp;"VRLDlaFSOdPM/edit?usp=sharing"",""ตราด!S235"")+IMPORTRANGE(""https://docs.google.com/spreadsheets/d/18hSgUJ3VwClqi_qtULmmW3cLr0oe3OKaSYoKzdpTsYQ/edit?usp=sharing"",""นครนายก!S235"")+IMPORTRANGE(""https://docs.google.com/spreadsheets/d/1YTZo6WM2dQ6Ix6FSdnL"&amp;"5P7uVnVKu40sxZu975tgG10E/edit?usp=sharing"",""นครปฐม!S235"")+IMPORTRANGE(""https://docs.google.com/spreadsheets/d/1OYoGg4WDg5RIzwGeB10padOxJF9E_Vljuvvct_M7RDo/edit?usp=sharing"",""ปทุมธานี!S235"")+IMPORTRANGE(""https://docs.google.com/spreadsheets/d/1GbCI"&amp;"E4D4wk9FUozzqk7SxfDMxDVBwVmI5zcaVUSzKAc/edit?usp=sharing"",""ประจวบคีรีขันธ์!S235"")+IMPORTRANGE(""https://docs.google.com/spreadsheets/d/1vVf6wykvW_lAyu7Yo9L4hUTqHqIeP_qcVuxCtosJEbg/edit?usp=sharing"",""ปราจีนบุรี!S235"")+IMPORTRANGE(""https://docs.googl"&amp;"e.com/spreadsheets/d/1BIDqLLg5jk3v59G8NlR8rk5xfQDKne0sAvZHSj7TI6I/edit?usp=sharing"",""พระนครศรีอยุธยา!S235"")+IMPORTRANGE(""https://docs.google.com/spreadsheets/d/1YXvxf8Yu6_rV4hTBrwMqAcAnv6DfhUxh5emyM3CJp_w/edit?usp=sharing"",""เพชรบุรี!S235"")+IMPORTRA"&amp;"NGE(""https://docs.google.com/spreadsheets/d/19KBlQQs7uwvsao6t2n-KvW3Ax8J8uRRfZPq1zPbXgKc/edit?usp=sharing"",""ระยอง!S235"")+IMPORTRANGE(""https://docs.google.com/spreadsheets/d/1jQ6P4QcrGM89YfqcC_PxOHGCMq5ezhucwJd8ci-NHng/edit?usp=sharing"",""ราชบุรี!S23"&amp;"5"")+IMPORTRANGE(""https://docs.google.com/spreadsheets/d/1lufeA2cfFqM-elVq2hznhDzC6Pr7wkJ9ZG_sYNGCMCU/edit?usp=sharing"",""ลพบุรี!S235"")+IMPORTRANGE(""https://docs.google.com/spreadsheets/d/10oOiF7loTyfsTkbd4MpaIm0HQ9SwB7IYHdIUvt-U1Uc/edit?usp=sharing"""&amp;",""สระแก้ว!S235"")+IMPORTRANGE(""https://docs.google.com/spreadsheets/d/1xmPlrr1QbdSIKvl1dWUl9K4PjAfSL9oeMr_37QVzcxc/edit?usp=sharing"",""สระบุรี!S235"")+IMPORTRANGE(""https://docs.google.com/spreadsheets/d/1j51vR6CYVGhABJpv6tkstgok82RLpXieLzW1yOY5rHw/edi"&amp;"t?usp=sharing"",""สิงห์บุรี!S235"")+IMPORTRANGE(""https://docs.google.com/spreadsheets/d/1H1EalTWKUSzO4Z1-1CwzoDUaVffgrThEBe2sl74kKG0/edit?usp=sharing"",""สุพรรณบุรี!S235"")+IMPORTRANGE(""https://docs.google.com/spreadsheets/d/1BmIruG_sIrJLYao_Pdr7zVArWsf"&amp;"oBt2692TMi6x_854/edit?usp=sharing"",""อ่างทอง!S235"")"),0)</f>
        <v>0</v>
      </c>
      <c r="T235" s="227"/>
      <c r="U235" s="85"/>
    </row>
    <row r="236" spans="1:21" ht="18.75" x14ac:dyDescent="0.25">
      <c r="A236" s="364"/>
      <c r="B236" s="367"/>
      <c r="C236" s="367"/>
      <c r="D236" s="73" t="s">
        <v>107</v>
      </c>
      <c r="E236" s="65"/>
      <c r="F236" s="65"/>
      <c r="G236" s="67"/>
      <c r="H236" s="216" t="s">
        <v>14</v>
      </c>
      <c r="I236" s="69"/>
      <c r="J236" s="69"/>
      <c r="K236" s="70"/>
      <c r="L236" s="86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547500)</f>
        <v>547500</v>
      </c>
      <c r="M236" s="70"/>
      <c r="N236" s="86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289480)</f>
        <v>289480</v>
      </c>
      <c r="O236" s="70"/>
      <c r="P236" s="70"/>
      <c r="Q236" s="84"/>
      <c r="R236" s="85"/>
      <c r="S236" s="85"/>
      <c r="T236" s="85"/>
      <c r="U236" s="85"/>
    </row>
    <row r="237" spans="1:21" ht="19.5" x14ac:dyDescent="0.3">
      <c r="A237" s="220"/>
      <c r="B237" s="221"/>
      <c r="C237" s="390" t="s">
        <v>18</v>
      </c>
      <c r="D237" s="222" t="s">
        <v>38</v>
      </c>
      <c r="E237" s="223"/>
      <c r="F237" s="223"/>
      <c r="G237" s="224"/>
      <c r="H237" s="225"/>
      <c r="I237" s="217"/>
      <c r="J237" s="69"/>
      <c r="K237" s="70"/>
      <c r="L237" s="70"/>
      <c r="M237" s="70"/>
      <c r="N237" s="70"/>
      <c r="O237" s="218"/>
      <c r="P237" s="218"/>
      <c r="Q237" s="84"/>
      <c r="R237" s="85"/>
      <c r="S237" s="85"/>
      <c r="T237" s="227"/>
      <c r="U237" s="227"/>
    </row>
    <row r="238" spans="1:21" ht="18.75" x14ac:dyDescent="0.25">
      <c r="A238" s="220"/>
      <c r="B238" s="221"/>
      <c r="C238" s="221"/>
      <c r="D238" s="234" t="s">
        <v>108</v>
      </c>
      <c r="E238" s="229"/>
      <c r="F238" s="229"/>
      <c r="G238" s="225"/>
      <c r="H238" s="235" t="s">
        <v>35</v>
      </c>
      <c r="I238" s="237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460)</f>
        <v>460</v>
      </c>
      <c r="J238" s="237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395)</f>
        <v>395</v>
      </c>
      <c r="K238" s="86">
        <f ca="1">IF(I238&gt;0,J238*100/I238,0)</f>
        <v>85.869565217391298</v>
      </c>
      <c r="L238" s="70"/>
      <c r="M238" s="70"/>
      <c r="N238" s="70"/>
      <c r="O238" s="70"/>
      <c r="P238" s="70"/>
      <c r="Q238" s="84"/>
      <c r="R238" s="85"/>
      <c r="S238" s="85"/>
      <c r="T238" s="85"/>
      <c r="U238" s="85"/>
    </row>
    <row r="239" spans="1:21" ht="18.75" x14ac:dyDescent="0.25">
      <c r="A239" s="220"/>
      <c r="B239" s="221"/>
      <c r="C239" s="221"/>
      <c r="D239" s="400" t="s">
        <v>43</v>
      </c>
      <c r="E239" s="229"/>
      <c r="F239" s="229"/>
      <c r="G239" s="225"/>
      <c r="H239" s="225"/>
      <c r="I239" s="69"/>
      <c r="J239" s="69"/>
      <c r="K239" s="70"/>
      <c r="L239" s="70"/>
      <c r="M239" s="70"/>
      <c r="N239" s="70"/>
      <c r="O239" s="218"/>
      <c r="P239" s="218"/>
      <c r="Q239" s="84"/>
      <c r="R239" s="85"/>
      <c r="S239" s="85"/>
      <c r="T239" s="227"/>
      <c r="U239" s="227"/>
    </row>
    <row r="240" spans="1:21" ht="18.75" x14ac:dyDescent="0.25">
      <c r="A240" s="220"/>
      <c r="B240" s="221"/>
      <c r="C240" s="221"/>
      <c r="D240" s="221"/>
      <c r="E240" s="228" t="s">
        <v>109</v>
      </c>
      <c r="F240" s="229"/>
      <c r="G240" s="225"/>
      <c r="H240" s="235" t="s">
        <v>35</v>
      </c>
      <c r="I240" s="237">
        <v>0</v>
      </c>
      <c r="J240" s="237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295)</f>
        <v>295</v>
      </c>
      <c r="K240" s="86">
        <f t="shared" ref="K240:K241" si="179">IF(I240&gt;0,J240*100/I240,0)</f>
        <v>0</v>
      </c>
      <c r="L240" s="70"/>
      <c r="M240" s="70"/>
      <c r="N240" s="70"/>
      <c r="O240" s="70"/>
      <c r="P240" s="70"/>
      <c r="Q240" s="84"/>
      <c r="R240" s="85"/>
      <c r="S240" s="85"/>
      <c r="T240" s="85"/>
      <c r="U240" s="85"/>
    </row>
    <row r="241" spans="1:21" ht="18.75" x14ac:dyDescent="0.25">
      <c r="A241" s="220"/>
      <c r="B241" s="221"/>
      <c r="C241" s="221"/>
      <c r="D241" s="221"/>
      <c r="E241" s="228" t="s">
        <v>110</v>
      </c>
      <c r="F241" s="229"/>
      <c r="G241" s="225"/>
      <c r="H241" s="235" t="s">
        <v>61</v>
      </c>
      <c r="I241" s="237">
        <v>0</v>
      </c>
      <c r="J241" s="237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12)</f>
        <v>12</v>
      </c>
      <c r="K241" s="86">
        <f t="shared" si="179"/>
        <v>0</v>
      </c>
      <c r="L241" s="70"/>
      <c r="M241" s="70"/>
      <c r="N241" s="70"/>
      <c r="O241" s="70"/>
      <c r="P241" s="70"/>
      <c r="Q241" s="84"/>
      <c r="R241" s="85"/>
      <c r="S241" s="85"/>
      <c r="T241" s="85"/>
      <c r="U241" s="85"/>
    </row>
    <row r="242" spans="1:21" ht="19.5" hidden="1" x14ac:dyDescent="0.3">
      <c r="A242" s="401"/>
      <c r="B242" s="402"/>
      <c r="C242" s="403" t="s">
        <v>111</v>
      </c>
      <c r="D242" s="404"/>
      <c r="E242" s="404"/>
      <c r="F242" s="404"/>
      <c r="G242" s="405"/>
      <c r="H242" s="406" t="s">
        <v>35</v>
      </c>
      <c r="I242" s="407"/>
      <c r="J242" s="407"/>
      <c r="K242" s="408"/>
      <c r="L242" s="398"/>
      <c r="M242" s="398"/>
      <c r="N242" s="398"/>
      <c r="O242" s="398"/>
      <c r="P242" s="398"/>
      <c r="Q242" s="377"/>
      <c r="R242" s="378"/>
      <c r="S242" s="378"/>
      <c r="T242" s="378"/>
      <c r="U242" s="378"/>
    </row>
    <row r="243" spans="1:21" ht="19.5" hidden="1" x14ac:dyDescent="0.3">
      <c r="A243" s="409"/>
      <c r="B243" s="404"/>
      <c r="C243" s="403" t="s">
        <v>18</v>
      </c>
      <c r="D243" s="410" t="s">
        <v>19</v>
      </c>
      <c r="E243" s="404"/>
      <c r="F243" s="404"/>
      <c r="G243" s="405"/>
      <c r="H243" s="411" t="s">
        <v>14</v>
      </c>
      <c r="I243" s="412"/>
      <c r="J243" s="412"/>
      <c r="K243" s="413"/>
      <c r="L243" s="414"/>
      <c r="M243" s="398"/>
      <c r="N243" s="414"/>
      <c r="O243" s="414"/>
      <c r="P243" s="414"/>
      <c r="Q243" s="84"/>
      <c r="R243" s="85"/>
      <c r="S243" s="85"/>
      <c r="T243" s="85"/>
      <c r="U243" s="85"/>
    </row>
    <row r="244" spans="1:21" ht="18.75" hidden="1" x14ac:dyDescent="0.25">
      <c r="A244" s="409"/>
      <c r="B244" s="402"/>
      <c r="C244" s="404"/>
      <c r="D244" s="415" t="s">
        <v>86</v>
      </c>
      <c r="E244" s="404"/>
      <c r="F244" s="404"/>
      <c r="G244" s="405"/>
      <c r="H244" s="416" t="s">
        <v>14</v>
      </c>
      <c r="I244" s="412"/>
      <c r="J244" s="412"/>
      <c r="K244" s="413"/>
      <c r="L244" s="399"/>
      <c r="M244" s="398"/>
      <c r="N244" s="399"/>
      <c r="O244" s="398"/>
      <c r="P244" s="398"/>
      <c r="Q244" s="84"/>
      <c r="R244" s="85"/>
      <c r="S244" s="85"/>
      <c r="T244" s="85"/>
      <c r="U244" s="85"/>
    </row>
    <row r="245" spans="1:21" ht="18.75" hidden="1" x14ac:dyDescent="0.25">
      <c r="A245" s="401"/>
      <c r="B245" s="402"/>
      <c r="C245" s="402"/>
      <c r="D245" s="415" t="s">
        <v>88</v>
      </c>
      <c r="E245" s="404"/>
      <c r="F245" s="404"/>
      <c r="G245" s="405"/>
      <c r="H245" s="416" t="s">
        <v>14</v>
      </c>
      <c r="I245" s="412"/>
      <c r="J245" s="412"/>
      <c r="K245" s="413"/>
      <c r="L245" s="399"/>
      <c r="M245" s="398"/>
      <c r="N245" s="399"/>
      <c r="O245" s="398"/>
      <c r="P245" s="398"/>
      <c r="Q245" s="84"/>
      <c r="R245" s="85"/>
      <c r="S245" s="85"/>
      <c r="T245" s="85"/>
      <c r="U245" s="85"/>
    </row>
    <row r="246" spans="1:21" ht="18.75" hidden="1" x14ac:dyDescent="0.25">
      <c r="A246" s="401"/>
      <c r="B246" s="402"/>
      <c r="C246" s="402"/>
      <c r="D246" s="415" t="s">
        <v>106</v>
      </c>
      <c r="E246" s="404"/>
      <c r="F246" s="404"/>
      <c r="G246" s="405"/>
      <c r="H246" s="416" t="s">
        <v>14</v>
      </c>
      <c r="I246" s="412"/>
      <c r="J246" s="412"/>
      <c r="K246" s="413"/>
      <c r="L246" s="399"/>
      <c r="M246" s="398"/>
      <c r="N246" s="399"/>
      <c r="O246" s="398"/>
      <c r="P246" s="398"/>
      <c r="Q246" s="84"/>
      <c r="R246" s="85"/>
      <c r="S246" s="85"/>
      <c r="T246" s="85"/>
      <c r="U246" s="85"/>
    </row>
    <row r="247" spans="1:21" ht="18.75" hidden="1" x14ac:dyDescent="0.25">
      <c r="A247" s="401"/>
      <c r="B247" s="402"/>
      <c r="C247" s="402"/>
      <c r="D247" s="415" t="s">
        <v>107</v>
      </c>
      <c r="E247" s="404"/>
      <c r="F247" s="404"/>
      <c r="G247" s="405"/>
      <c r="H247" s="416" t="s">
        <v>14</v>
      </c>
      <c r="I247" s="412"/>
      <c r="J247" s="412"/>
      <c r="K247" s="413"/>
      <c r="L247" s="399"/>
      <c r="M247" s="398"/>
      <c r="N247" s="399"/>
      <c r="O247" s="398"/>
      <c r="P247" s="398"/>
      <c r="Q247" s="84"/>
      <c r="R247" s="85"/>
      <c r="S247" s="85"/>
      <c r="T247" s="85"/>
      <c r="U247" s="85"/>
    </row>
    <row r="248" spans="1:21" ht="19.5" hidden="1" x14ac:dyDescent="0.3">
      <c r="A248" s="401"/>
      <c r="B248" s="402"/>
      <c r="C248" s="417" t="s">
        <v>18</v>
      </c>
      <c r="D248" s="418" t="s">
        <v>38</v>
      </c>
      <c r="E248" s="404"/>
      <c r="F248" s="404"/>
      <c r="G248" s="405"/>
      <c r="H248" s="405"/>
      <c r="I248" s="412"/>
      <c r="J248" s="412"/>
      <c r="K248" s="413"/>
      <c r="L248" s="398"/>
      <c r="M248" s="398"/>
      <c r="N248" s="398"/>
      <c r="O248" s="398"/>
      <c r="P248" s="398"/>
      <c r="Q248" s="84"/>
      <c r="R248" s="85"/>
      <c r="S248" s="85"/>
      <c r="T248" s="227"/>
      <c r="U248" s="227"/>
    </row>
    <row r="249" spans="1:21" ht="18.75" hidden="1" x14ac:dyDescent="0.25">
      <c r="A249" s="401"/>
      <c r="B249" s="402"/>
      <c r="C249" s="402"/>
      <c r="D249" s="415" t="s">
        <v>108</v>
      </c>
      <c r="E249" s="404"/>
      <c r="F249" s="404"/>
      <c r="G249" s="405"/>
      <c r="H249" s="419" t="s">
        <v>35</v>
      </c>
      <c r="I249" s="420"/>
      <c r="J249" s="420"/>
      <c r="K249" s="421"/>
      <c r="L249" s="398"/>
      <c r="M249" s="398"/>
      <c r="N249" s="398"/>
      <c r="O249" s="398"/>
      <c r="P249" s="398"/>
      <c r="Q249" s="84"/>
      <c r="R249" s="85"/>
      <c r="S249" s="85"/>
      <c r="T249" s="85"/>
      <c r="U249" s="85"/>
    </row>
    <row r="250" spans="1:21" ht="18.75" hidden="1" x14ac:dyDescent="0.25">
      <c r="A250" s="401"/>
      <c r="B250" s="402"/>
      <c r="C250" s="402"/>
      <c r="D250" s="422" t="s">
        <v>43</v>
      </c>
      <c r="E250" s="404"/>
      <c r="F250" s="404"/>
      <c r="G250" s="405"/>
      <c r="H250" s="405"/>
      <c r="I250" s="412"/>
      <c r="J250" s="412"/>
      <c r="K250" s="413"/>
      <c r="L250" s="398"/>
      <c r="M250" s="398"/>
      <c r="N250" s="398"/>
      <c r="O250" s="398"/>
      <c r="P250" s="398"/>
      <c r="Q250" s="84"/>
      <c r="R250" s="85"/>
      <c r="S250" s="85"/>
      <c r="T250" s="227"/>
      <c r="U250" s="227"/>
    </row>
    <row r="251" spans="1:21" ht="18.75" hidden="1" x14ac:dyDescent="0.25">
      <c r="A251" s="401"/>
      <c r="B251" s="402"/>
      <c r="C251" s="402"/>
      <c r="D251" s="402"/>
      <c r="E251" s="423" t="s">
        <v>109</v>
      </c>
      <c r="F251" s="404"/>
      <c r="G251" s="405"/>
      <c r="H251" s="419" t="s">
        <v>35</v>
      </c>
      <c r="I251" s="420"/>
      <c r="J251" s="420"/>
      <c r="K251" s="421"/>
      <c r="L251" s="398"/>
      <c r="M251" s="398"/>
      <c r="N251" s="398"/>
      <c r="O251" s="398"/>
      <c r="P251" s="398"/>
      <c r="Q251" s="84"/>
      <c r="R251" s="85"/>
      <c r="S251" s="85"/>
      <c r="T251" s="85"/>
      <c r="U251" s="85"/>
    </row>
    <row r="252" spans="1:21" ht="18.75" hidden="1" x14ac:dyDescent="0.25">
      <c r="A252" s="401"/>
      <c r="B252" s="402"/>
      <c r="C252" s="402"/>
      <c r="D252" s="402"/>
      <c r="E252" s="423" t="s">
        <v>110</v>
      </c>
      <c r="F252" s="404"/>
      <c r="G252" s="405"/>
      <c r="H252" s="419" t="s">
        <v>61</v>
      </c>
      <c r="I252" s="420"/>
      <c r="J252" s="420"/>
      <c r="K252" s="421"/>
      <c r="L252" s="398"/>
      <c r="M252" s="398"/>
      <c r="N252" s="398"/>
      <c r="O252" s="398"/>
      <c r="P252" s="398"/>
      <c r="Q252" s="84"/>
      <c r="R252" s="85"/>
      <c r="S252" s="85"/>
      <c r="T252" s="85"/>
      <c r="U252" s="85"/>
    </row>
    <row r="253" spans="1:21" ht="19.5" hidden="1" x14ac:dyDescent="0.3">
      <c r="A253" s="401"/>
      <c r="B253" s="402"/>
      <c r="C253" s="403" t="s">
        <v>112</v>
      </c>
      <c r="D253" s="404"/>
      <c r="E253" s="404"/>
      <c r="F253" s="404"/>
      <c r="G253" s="405"/>
      <c r="H253" s="406" t="s">
        <v>35</v>
      </c>
      <c r="I253" s="407"/>
      <c r="J253" s="407"/>
      <c r="K253" s="408"/>
      <c r="L253" s="398"/>
      <c r="M253" s="398"/>
      <c r="N253" s="398"/>
      <c r="O253" s="398"/>
      <c r="P253" s="398"/>
      <c r="Q253" s="377"/>
      <c r="R253" s="378"/>
      <c r="S253" s="378"/>
      <c r="T253" s="378"/>
      <c r="U253" s="378"/>
    </row>
    <row r="254" spans="1:21" ht="19.5" hidden="1" x14ac:dyDescent="0.3">
      <c r="A254" s="409"/>
      <c r="B254" s="404"/>
      <c r="C254" s="403" t="s">
        <v>18</v>
      </c>
      <c r="D254" s="418" t="s">
        <v>19</v>
      </c>
      <c r="E254" s="404"/>
      <c r="F254" s="404"/>
      <c r="G254" s="405"/>
      <c r="H254" s="411" t="s">
        <v>14</v>
      </c>
      <c r="I254" s="412"/>
      <c r="J254" s="412"/>
      <c r="K254" s="413"/>
      <c r="L254" s="414"/>
      <c r="M254" s="398"/>
      <c r="N254" s="414"/>
      <c r="O254" s="414"/>
      <c r="P254" s="414"/>
      <c r="Q254" s="84"/>
      <c r="R254" s="85"/>
      <c r="S254" s="85"/>
      <c r="T254" s="85"/>
      <c r="U254" s="85"/>
    </row>
    <row r="255" spans="1:21" ht="18.75" hidden="1" x14ac:dyDescent="0.25">
      <c r="A255" s="409"/>
      <c r="B255" s="402"/>
      <c r="C255" s="404"/>
      <c r="D255" s="415" t="s">
        <v>86</v>
      </c>
      <c r="E255" s="404"/>
      <c r="F255" s="404"/>
      <c r="G255" s="405"/>
      <c r="H255" s="416" t="s">
        <v>14</v>
      </c>
      <c r="I255" s="412"/>
      <c r="J255" s="412"/>
      <c r="K255" s="413"/>
      <c r="L255" s="399"/>
      <c r="M255" s="398"/>
      <c r="N255" s="399"/>
      <c r="O255" s="398"/>
      <c r="P255" s="398"/>
      <c r="Q255" s="84"/>
      <c r="R255" s="85"/>
      <c r="S255" s="85"/>
      <c r="T255" s="85"/>
      <c r="U255" s="85"/>
    </row>
    <row r="256" spans="1:21" ht="18.75" hidden="1" x14ac:dyDescent="0.25">
      <c r="A256" s="401"/>
      <c r="B256" s="402"/>
      <c r="C256" s="402"/>
      <c r="D256" s="415" t="s">
        <v>88</v>
      </c>
      <c r="E256" s="404"/>
      <c r="F256" s="404"/>
      <c r="G256" s="405"/>
      <c r="H256" s="416" t="s">
        <v>14</v>
      </c>
      <c r="I256" s="412"/>
      <c r="J256" s="412"/>
      <c r="K256" s="413"/>
      <c r="L256" s="399"/>
      <c r="M256" s="398"/>
      <c r="N256" s="399"/>
      <c r="O256" s="398"/>
      <c r="P256" s="398"/>
      <c r="Q256" s="84"/>
      <c r="R256" s="85"/>
      <c r="S256" s="85"/>
      <c r="T256" s="85"/>
      <c r="U256" s="85"/>
    </row>
    <row r="257" spans="1:21" ht="18.75" hidden="1" x14ac:dyDescent="0.25">
      <c r="A257" s="401"/>
      <c r="B257" s="402"/>
      <c r="C257" s="402"/>
      <c r="D257" s="415" t="s">
        <v>106</v>
      </c>
      <c r="E257" s="404"/>
      <c r="F257" s="404"/>
      <c r="G257" s="405"/>
      <c r="H257" s="416" t="s">
        <v>14</v>
      </c>
      <c r="I257" s="412"/>
      <c r="J257" s="412"/>
      <c r="K257" s="413"/>
      <c r="L257" s="399"/>
      <c r="M257" s="398"/>
      <c r="N257" s="399"/>
      <c r="O257" s="398"/>
      <c r="P257" s="398"/>
      <c r="Q257" s="84"/>
      <c r="R257" s="85"/>
      <c r="S257" s="85"/>
      <c r="T257" s="85"/>
      <c r="U257" s="85"/>
    </row>
    <row r="258" spans="1:21" ht="18.75" hidden="1" x14ac:dyDescent="0.25">
      <c r="A258" s="401"/>
      <c r="B258" s="402"/>
      <c r="C258" s="402"/>
      <c r="D258" s="415" t="s">
        <v>107</v>
      </c>
      <c r="E258" s="404"/>
      <c r="F258" s="404"/>
      <c r="G258" s="405"/>
      <c r="H258" s="416" t="s">
        <v>14</v>
      </c>
      <c r="I258" s="412"/>
      <c r="J258" s="412"/>
      <c r="K258" s="413"/>
      <c r="L258" s="399"/>
      <c r="M258" s="398"/>
      <c r="N258" s="399"/>
      <c r="O258" s="398"/>
      <c r="P258" s="398"/>
      <c r="Q258" s="84"/>
      <c r="R258" s="85"/>
      <c r="S258" s="85"/>
      <c r="T258" s="85"/>
      <c r="U258" s="85"/>
    </row>
    <row r="259" spans="1:21" ht="19.5" hidden="1" x14ac:dyDescent="0.3">
      <c r="A259" s="401"/>
      <c r="B259" s="402"/>
      <c r="C259" s="417" t="s">
        <v>18</v>
      </c>
      <c r="D259" s="418" t="s">
        <v>38</v>
      </c>
      <c r="E259" s="404"/>
      <c r="F259" s="404"/>
      <c r="G259" s="405"/>
      <c r="H259" s="405"/>
      <c r="I259" s="412"/>
      <c r="J259" s="412"/>
      <c r="K259" s="413"/>
      <c r="L259" s="398"/>
      <c r="M259" s="398"/>
      <c r="N259" s="398"/>
      <c r="O259" s="398"/>
      <c r="P259" s="398"/>
      <c r="Q259" s="84"/>
      <c r="R259" s="85"/>
      <c r="S259" s="85"/>
      <c r="T259" s="227"/>
      <c r="U259" s="227"/>
    </row>
    <row r="260" spans="1:21" ht="18.75" hidden="1" x14ac:dyDescent="0.25">
      <c r="A260" s="401"/>
      <c r="B260" s="402"/>
      <c r="C260" s="402"/>
      <c r="D260" s="415" t="s">
        <v>108</v>
      </c>
      <c r="E260" s="404"/>
      <c r="F260" s="404"/>
      <c r="G260" s="405"/>
      <c r="H260" s="419" t="s">
        <v>35</v>
      </c>
      <c r="I260" s="420"/>
      <c r="J260" s="420"/>
      <c r="K260" s="421"/>
      <c r="L260" s="398"/>
      <c r="M260" s="398"/>
      <c r="N260" s="398"/>
      <c r="O260" s="398"/>
      <c r="P260" s="398"/>
      <c r="Q260" s="84"/>
      <c r="R260" s="85"/>
      <c r="S260" s="85"/>
      <c r="T260" s="85"/>
      <c r="U260" s="85"/>
    </row>
    <row r="261" spans="1:21" ht="18.75" hidden="1" x14ac:dyDescent="0.25">
      <c r="A261" s="401"/>
      <c r="B261" s="402"/>
      <c r="C261" s="402"/>
      <c r="D261" s="422" t="s">
        <v>43</v>
      </c>
      <c r="E261" s="404"/>
      <c r="F261" s="404"/>
      <c r="G261" s="405"/>
      <c r="H261" s="405"/>
      <c r="I261" s="412"/>
      <c r="J261" s="412"/>
      <c r="K261" s="413"/>
      <c r="L261" s="398"/>
      <c r="M261" s="398"/>
      <c r="N261" s="398"/>
      <c r="O261" s="398"/>
      <c r="P261" s="398"/>
      <c r="Q261" s="84"/>
      <c r="R261" s="85"/>
      <c r="S261" s="85"/>
      <c r="T261" s="227"/>
      <c r="U261" s="227"/>
    </row>
    <row r="262" spans="1:21" ht="18.75" hidden="1" x14ac:dyDescent="0.25">
      <c r="A262" s="401"/>
      <c r="B262" s="402"/>
      <c r="C262" s="402"/>
      <c r="D262" s="402"/>
      <c r="E262" s="423" t="s">
        <v>109</v>
      </c>
      <c r="F262" s="404"/>
      <c r="G262" s="405"/>
      <c r="H262" s="419" t="s">
        <v>35</v>
      </c>
      <c r="I262" s="412"/>
      <c r="J262" s="420"/>
      <c r="K262" s="421"/>
      <c r="L262" s="398"/>
      <c r="M262" s="398"/>
      <c r="N262" s="398"/>
      <c r="O262" s="398"/>
      <c r="P262" s="398"/>
      <c r="Q262" s="84"/>
      <c r="R262" s="85"/>
      <c r="S262" s="85"/>
      <c r="T262" s="85"/>
      <c r="U262" s="85"/>
    </row>
    <row r="263" spans="1:21" ht="18.75" hidden="1" x14ac:dyDescent="0.25">
      <c r="A263" s="401"/>
      <c r="B263" s="402"/>
      <c r="C263" s="402"/>
      <c r="D263" s="402"/>
      <c r="E263" s="423" t="s">
        <v>110</v>
      </c>
      <c r="F263" s="404"/>
      <c r="G263" s="405"/>
      <c r="H263" s="419" t="s">
        <v>61</v>
      </c>
      <c r="I263" s="412"/>
      <c r="J263" s="420"/>
      <c r="K263" s="421"/>
      <c r="L263" s="398"/>
      <c r="M263" s="398"/>
      <c r="N263" s="398"/>
      <c r="O263" s="398"/>
      <c r="P263" s="398"/>
      <c r="Q263" s="84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352"/>
      <c r="M264" s="352"/>
      <c r="N264" s="352"/>
      <c r="O264" s="352"/>
      <c r="P264" s="352"/>
      <c r="Q264" s="353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359">
        <f ca="1">IFERROR(__xludf.DUMMYFUNCTION("IMPORTRANGE(""https://docs.google.com/spreadsheets/d/13wPX838HrBrQMCywv1BsuMkt4PEKTChp52zj44s2izQ/edit?usp=sharing"",""กาญจนบุรี!I265"")+IMPORTRANGE(""https://docs.google.com/spreadsheets/d/1ddFKvqj1W1NEiWytbGlB1zMx_ykJDVtmfEQ-6-lIUBA/edit?usp=sharing"","&amp;"""จันทบุรี!I265"")+IMPORTRANGE(""https://docs.google.com/spreadsheets/d/1T1PQvRODqOBZk8BRht_U031fIS1beLA0Ub2CEytj2q0/edit?usp=sharing"",""ฉะเชิงเทรา!I265"")+IMPORTRANGE(""https://docs.google.com/spreadsheets/d/11tr1B-Bhyr79v2bkwVh5h_fR-PStkgjlZtkrZpYurG0/"&amp;"edit?usp=sharing"",""ชลบุรี!I265"")+IMPORTRANGE(""https://docs.google.com/spreadsheets/d/1hh-FVnSX0vozXhGluamEcS54Dw9_zqW0N7qJUWgJ0Sw/edit?usp=sharing"",""ชัยนาท!I265"")+IMPORTRANGE(""https://docs.google.com/spreadsheets/d/1jkqa6GXxSacMcY1eN8AHjMNJ_7dDXMJ"&amp;"VRLDlaFSOdPM/edit?usp=sharing"",""ตราด!I265"")+IMPORTRANGE(""https://docs.google.com/spreadsheets/d/18hSgUJ3VwClqi_qtULmmW3cLr0oe3OKaSYoKzdpTsYQ/edit?usp=sharing"",""นครนายก!I265"")+IMPORTRANGE(""https://docs.google.com/spreadsheets/d/1YTZo6WM2dQ6Ix6FSdnL"&amp;"5P7uVnVKu40sxZu975tgG10E/edit?usp=sharing"",""นครปฐม!I265"")+IMPORTRANGE(""https://docs.google.com/spreadsheets/d/1OYoGg4WDg5RIzwGeB10padOxJF9E_Vljuvvct_M7RDo/edit?usp=sharing"",""ปทุมธานี!I265"")+IMPORTRANGE(""https://docs.google.com/spreadsheets/d/1GbCI"&amp;"E4D4wk9FUozzqk7SxfDMxDVBwVmI5zcaVUSzKAc/edit?usp=sharing"",""ประจวบคีรีขันธ์!I265"")+IMPORTRANGE(""https://docs.google.com/spreadsheets/d/1vVf6wykvW_lAyu7Yo9L4hUTqHqIeP_qcVuxCtosJEbg/edit?usp=sharing"",""ปราจีนบุรี!I265"")+IMPORTRANGE(""https://docs.googl"&amp;"e.com/spreadsheets/d/1BIDqLLg5jk3v59G8NlR8rk5xfQDKne0sAvZHSj7TI6I/edit?usp=sharing"",""พระนครศรีอยุธยา!I265"")+IMPORTRANGE(""https://docs.google.com/spreadsheets/d/1YXvxf8Yu6_rV4hTBrwMqAcAnv6DfhUxh5emyM3CJp_w/edit?usp=sharing"",""เพชรบุรี!I265"")+IMPORTRA"&amp;"NGE(""https://docs.google.com/spreadsheets/d/19KBlQQs7uwvsao6t2n-KvW3Ax8J8uRRfZPq1zPbXgKc/edit?usp=sharing"",""ระยอง!I265"")+IMPORTRANGE(""https://docs.google.com/spreadsheets/d/1jQ6P4QcrGM89YfqcC_PxOHGCMq5ezhucwJd8ci-NHng/edit?usp=sharing"",""ราชบุรี!I26"&amp;"5"")+IMPORTRANGE(""https://docs.google.com/spreadsheets/d/1lufeA2cfFqM-elVq2hznhDzC6Pr7wkJ9ZG_sYNGCMCU/edit?usp=sharing"",""ลพบุรี!I265"")+IMPORTRANGE(""https://docs.google.com/spreadsheets/d/10oOiF7loTyfsTkbd4MpaIm0HQ9SwB7IYHdIUvt-U1Uc/edit?usp=sharing"""&amp;",""สระแก้ว!I265"")+IMPORTRANGE(""https://docs.google.com/spreadsheets/d/1xmPlrr1QbdSIKvl1dWUl9K4PjAfSL9oeMr_37QVzcxc/edit?usp=sharing"",""สระบุรี!I265"")+IMPORTRANGE(""https://docs.google.com/spreadsheets/d/1j51vR6CYVGhABJpv6tkstgok82RLpXieLzW1yOY5rHw/edi"&amp;"t?usp=sharing"",""สิงห์บุรี!I265"")+IMPORTRANGE(""https://docs.google.com/spreadsheets/d/1H1EalTWKUSzO4Z1-1CwzoDUaVffgrThEBe2sl74kKG0/edit?usp=sharing"",""สุพรรณบุรี!I265"")+IMPORTRANGE(""https://docs.google.com/spreadsheets/d/1BmIruG_sIrJLYao_Pdr7zVArWsf"&amp;"oBt2692TMi6x_854/edit?usp=sharing"",""อ่างทอง!I265"")"),446)</f>
        <v>446</v>
      </c>
      <c r="J265" s="359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380)</f>
        <v>380</v>
      </c>
      <c r="K265" s="360">
        <f ca="1">IF(I265&gt;0,J265*100/I265,0)</f>
        <v>85.20179372197309</v>
      </c>
      <c r="L265" s="361"/>
      <c r="M265" s="361"/>
      <c r="N265" s="361"/>
      <c r="O265" s="361"/>
      <c r="P265" s="361"/>
      <c r="Q265" s="362"/>
      <c r="R265" s="363"/>
      <c r="S265" s="363"/>
      <c r="T265" s="363"/>
      <c r="U265" s="363"/>
    </row>
    <row r="266" spans="1:21" ht="19.5" x14ac:dyDescent="0.3">
      <c r="A266" s="207"/>
      <c r="B266" s="65"/>
      <c r="C266" s="208" t="s">
        <v>18</v>
      </c>
      <c r="D266" s="209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t="shared" ref="L266:N266" ca="1" si="180">L267+L268</f>
        <v>105000</v>
      </c>
      <c r="M266" s="211">
        <f t="shared" ca="1" si="180"/>
        <v>117605</v>
      </c>
      <c r="N266" s="211">
        <f t="shared" ca="1" si="180"/>
        <v>82581</v>
      </c>
      <c r="O266" s="211">
        <f t="shared" ref="O266:O274" ca="1" si="181">IF(L266&gt;0,N266*100/L266,0)</f>
        <v>78.648571428571429</v>
      </c>
      <c r="P266" s="211">
        <f t="shared" ref="P266:P274" ca="1" si="182">IF(M266&gt;0,N266*100/M266,0)</f>
        <v>70.218953275796096</v>
      </c>
      <c r="Q266" s="212">
        <f t="shared" ref="Q266:S266" ca="1" si="183">Q267+Q268</f>
        <v>1041620</v>
      </c>
      <c r="R266" s="213">
        <f t="shared" ca="1" si="183"/>
        <v>1041620</v>
      </c>
      <c r="S266" s="213">
        <f t="shared" ca="1" si="183"/>
        <v>678511</v>
      </c>
      <c r="T266" s="213">
        <f t="shared" ref="T266:T274" ca="1" si="184">IF(Q266&gt;0,S266*100/Q266,0)</f>
        <v>65.139974270847333</v>
      </c>
      <c r="U266" s="213">
        <f t="shared" ref="U266:U274" ca="1" si="185">IF(R266&gt;0,S266*100/R266,0)</f>
        <v>65.139974270847333</v>
      </c>
    </row>
    <row r="267" spans="1:21" ht="18.75" hidden="1" x14ac:dyDescent="0.25">
      <c r="A267" s="207"/>
      <c r="B267" s="65"/>
      <c r="C267" s="65"/>
      <c r="D267" s="65"/>
      <c r="E267" s="73" t="s">
        <v>20</v>
      </c>
      <c r="F267" s="65"/>
      <c r="G267" s="67"/>
      <c r="H267" s="214" t="s">
        <v>14</v>
      </c>
      <c r="I267" s="69"/>
      <c r="J267" s="69"/>
      <c r="K267" s="70"/>
      <c r="L267" s="86">
        <f t="shared" ref="L267:N267" ca="1" si="186">L270+L273</f>
        <v>0</v>
      </c>
      <c r="M267" s="86">
        <f t="shared" ca="1" si="186"/>
        <v>0</v>
      </c>
      <c r="N267" s="86">
        <f t="shared" ca="1" si="186"/>
        <v>0</v>
      </c>
      <c r="O267" s="86">
        <f t="shared" ca="1" si="181"/>
        <v>0</v>
      </c>
      <c r="P267" s="86">
        <f t="shared" ca="1" si="182"/>
        <v>0</v>
      </c>
      <c r="Q267" s="215">
        <f t="shared" ref="Q267:S267" ca="1" si="187">Q270+Q273</f>
        <v>0</v>
      </c>
      <c r="R267" s="131">
        <f t="shared" ca="1" si="187"/>
        <v>0</v>
      </c>
      <c r="S267" s="131">
        <f t="shared" ca="1" si="187"/>
        <v>0</v>
      </c>
      <c r="T267" s="131">
        <f t="shared" ca="1" si="184"/>
        <v>0</v>
      </c>
      <c r="U267" s="131">
        <f t="shared" ca="1" si="185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t="shared" ref="L268:N268" ca="1" si="188">L271+L274</f>
        <v>105000</v>
      </c>
      <c r="M268" s="86">
        <f t="shared" ca="1" si="188"/>
        <v>117605</v>
      </c>
      <c r="N268" s="86">
        <f t="shared" ca="1" si="188"/>
        <v>82581</v>
      </c>
      <c r="O268" s="86">
        <f t="shared" ca="1" si="181"/>
        <v>78.648571428571429</v>
      </c>
      <c r="P268" s="86">
        <f t="shared" ca="1" si="182"/>
        <v>70.218953275796096</v>
      </c>
      <c r="Q268" s="129">
        <f t="shared" ref="Q268:S268" ca="1" si="189">Q271+Q274</f>
        <v>1041620</v>
      </c>
      <c r="R268" s="130">
        <f t="shared" ca="1" si="189"/>
        <v>1041620</v>
      </c>
      <c r="S268" s="130">
        <f t="shared" ca="1" si="189"/>
        <v>678511</v>
      </c>
      <c r="T268" s="130">
        <f t="shared" ca="1" si="184"/>
        <v>65.139974270847333</v>
      </c>
      <c r="U268" s="130">
        <f t="shared" ca="1" si="185"/>
        <v>65.139974270847333</v>
      </c>
    </row>
    <row r="269" spans="1:21" ht="18.75" x14ac:dyDescent="0.25">
      <c r="A269" s="207"/>
      <c r="B269" s="65"/>
      <c r="C269" s="65"/>
      <c r="D269" s="66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t="shared" ref="L269:N269" ca="1" si="190">L270+L271</f>
        <v>105000</v>
      </c>
      <c r="M269" s="86">
        <f t="shared" ca="1" si="190"/>
        <v>117605</v>
      </c>
      <c r="N269" s="86">
        <f t="shared" ca="1" si="190"/>
        <v>82581</v>
      </c>
      <c r="O269" s="86">
        <f t="shared" ca="1" si="181"/>
        <v>78.648571428571429</v>
      </c>
      <c r="P269" s="86">
        <f t="shared" ca="1" si="182"/>
        <v>70.218953275796096</v>
      </c>
      <c r="Q269" s="129">
        <f t="shared" ref="Q269:S269" ca="1" si="191">Q270+Q271</f>
        <v>1041620</v>
      </c>
      <c r="R269" s="130">
        <f t="shared" ca="1" si="191"/>
        <v>1041620</v>
      </c>
      <c r="S269" s="130">
        <f t="shared" ca="1" si="191"/>
        <v>678511</v>
      </c>
      <c r="T269" s="130">
        <f t="shared" ca="1" si="184"/>
        <v>65.139974270847333</v>
      </c>
      <c r="U269" s="130">
        <f t="shared" ca="1" si="185"/>
        <v>65.139974270847333</v>
      </c>
    </row>
    <row r="270" spans="1:21" ht="18.75" hidden="1" x14ac:dyDescent="0.25">
      <c r="A270" s="207"/>
      <c r="B270" s="65"/>
      <c r="C270" s="65"/>
      <c r="D270" s="65"/>
      <c r="E270" s="73" t="s">
        <v>36</v>
      </c>
      <c r="F270" s="65"/>
      <c r="G270" s="67"/>
      <c r="H270" s="216" t="s">
        <v>14</v>
      </c>
      <c r="I270" s="217"/>
      <c r="J270" s="217"/>
      <c r="K270" s="218"/>
      <c r="L270" s="86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0" s="86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0" s="86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0" s="86">
        <f t="shared" ca="1" si="181"/>
        <v>0</v>
      </c>
      <c r="P270" s="86">
        <f t="shared" ca="1" si="182"/>
        <v>0</v>
      </c>
      <c r="Q270" s="74">
        <f ca="1">IFERROR(__xludf.DUMMYFUNCTION("IMPORTRANGE(""https://docs.google.com/spreadsheets/d/13wPX838HrBrQMCywv1BsuMkt4PEKTChp52zj44s2izQ/edit?usp=sharing"",""กาญจนบุรี!Q270"")+IMPORTRANGE(""https://docs.google.com/spreadsheets/d/1ddFKvqj1W1NEiWytbGlB1zMx_ykJDVtmfEQ-6-lIUBA/edit?usp=sharing"","&amp;"""จันทบุรี!Q270"")+IMPORTRANGE(""https://docs.google.com/spreadsheets/d/1T1PQvRODqOBZk8BRht_U031fIS1beLA0Ub2CEytj2q0/edit?usp=sharing"",""ฉะเชิงเทรา!Q270"")+IMPORTRANGE(""https://docs.google.com/spreadsheets/d/11tr1B-Bhyr79v2bkwVh5h_fR-PStkgjlZtkrZpYurG0/"&amp;"edit?usp=sharing"",""ชลบุรี!Q270"")+IMPORTRANGE(""https://docs.google.com/spreadsheets/d/1hh-FVnSX0vozXhGluamEcS54Dw9_zqW0N7qJUWgJ0Sw/edit?usp=sharing"",""ชัยนาท!Q270"")+IMPORTRANGE(""https://docs.google.com/spreadsheets/d/1jkqa6GXxSacMcY1eN8AHjMNJ_7dDXMJ"&amp;"VRLDlaFSOdPM/edit?usp=sharing"",""ตราด!Q270"")+IMPORTRANGE(""https://docs.google.com/spreadsheets/d/18hSgUJ3VwClqi_qtULmmW3cLr0oe3OKaSYoKzdpTsYQ/edit?usp=sharing"",""นครนายก!Q270"")+IMPORTRANGE(""https://docs.google.com/spreadsheets/d/1YTZo6WM2dQ6Ix6FSdnL"&amp;"5P7uVnVKu40sxZu975tgG10E/edit?usp=sharing"",""นครปฐม!Q270"")+IMPORTRANGE(""https://docs.google.com/spreadsheets/d/1OYoGg4WDg5RIzwGeB10padOxJF9E_Vljuvvct_M7RDo/edit?usp=sharing"",""ปทุมธานี!Q270"")+IMPORTRANGE(""https://docs.google.com/spreadsheets/d/1GbCI"&amp;"E4D4wk9FUozzqk7SxfDMxDVBwVmI5zcaVUSzKAc/edit?usp=sharing"",""ประจวบคีรีขันธ์!Q270"")+IMPORTRANGE(""https://docs.google.com/spreadsheets/d/1vVf6wykvW_lAyu7Yo9L4hUTqHqIeP_qcVuxCtosJEbg/edit?usp=sharing"",""ปราจีนบุรี!Q270"")+IMPORTRANGE(""https://docs.googl"&amp;"e.com/spreadsheets/d/1BIDqLLg5jk3v59G8NlR8rk5xfQDKne0sAvZHSj7TI6I/edit?usp=sharing"",""พระนครศรีอยุธยา!Q270"")+IMPORTRANGE(""https://docs.google.com/spreadsheets/d/1YXvxf8Yu6_rV4hTBrwMqAcAnv6DfhUxh5emyM3CJp_w/edit?usp=sharing"",""เพชรบุรี!Q270"")+IMPORTRA"&amp;"NGE(""https://docs.google.com/spreadsheets/d/19KBlQQs7uwvsao6t2n-KvW3Ax8J8uRRfZPq1zPbXgKc/edit?usp=sharing"",""ระยอง!Q270"")+IMPORTRANGE(""https://docs.google.com/spreadsheets/d/1jQ6P4QcrGM89YfqcC_PxOHGCMq5ezhucwJd8ci-NHng/edit?usp=sharing"",""ราชบุรี!Q27"&amp;"0"")+IMPORTRANGE(""https://docs.google.com/spreadsheets/d/1lufeA2cfFqM-elVq2hznhDzC6Pr7wkJ9ZG_sYNGCMCU/edit?usp=sharing"",""ลพบุรี!Q270"")+IMPORTRANGE(""https://docs.google.com/spreadsheets/d/10oOiF7loTyfsTkbd4MpaIm0HQ9SwB7IYHdIUvt-U1Uc/edit?usp=sharing"""&amp;",""สระแก้ว!Q270"")+IMPORTRANGE(""https://docs.google.com/spreadsheets/d/1xmPlrr1QbdSIKvl1dWUl9K4PjAfSL9oeMr_37QVzcxc/edit?usp=sharing"",""สระบุรี!Q270"")+IMPORTRANGE(""https://docs.google.com/spreadsheets/d/1j51vR6CYVGhABJpv6tkstgok82RLpXieLzW1yOY5rHw/edi"&amp;"t?usp=sharing"",""สิงห์บุรี!Q270"")+IMPORTRANGE(""https://docs.google.com/spreadsheets/d/1H1EalTWKUSzO4Z1-1CwzoDUaVffgrThEBe2sl74kKG0/edit?usp=sharing"",""สุพรรณบุรี!Q270"")+IMPORTRANGE(""https://docs.google.com/spreadsheets/d/1BmIruG_sIrJLYao_Pdr7zVArWsf"&amp;"oBt2692TMi6x_854/edit?usp=sharing"",""อ่างทอง!Q270"")"),0)</f>
        <v>0</v>
      </c>
      <c r="R270" s="75">
        <f ca="1">IFERROR(__xludf.DUMMYFUNCTION("IMPORTRANGE(""https://docs.google.com/spreadsheets/d/13wPX838HrBrQMCywv1BsuMkt4PEKTChp52zj44s2izQ/edit?usp=sharing"",""กาญจนบุรี!R270"")+IMPORTRANGE(""https://docs.google.com/spreadsheets/d/1ddFKvqj1W1NEiWytbGlB1zMx_ykJDVtmfEQ-6-lIUBA/edit?usp=sharing"","&amp;"""จันทบุรี!R270"")+IMPORTRANGE(""https://docs.google.com/spreadsheets/d/1T1PQvRODqOBZk8BRht_U031fIS1beLA0Ub2CEytj2q0/edit?usp=sharing"",""ฉะเชิงเทรา!R270"")+IMPORTRANGE(""https://docs.google.com/spreadsheets/d/11tr1B-Bhyr79v2bkwVh5h_fR-PStkgjlZtkrZpYurG0/"&amp;"edit?usp=sharing"",""ชลบุรี!R270"")+IMPORTRANGE(""https://docs.google.com/spreadsheets/d/1hh-FVnSX0vozXhGluamEcS54Dw9_zqW0N7qJUWgJ0Sw/edit?usp=sharing"",""ชัยนาท!R270"")+IMPORTRANGE(""https://docs.google.com/spreadsheets/d/1jkqa6GXxSacMcY1eN8AHjMNJ_7dDXMJ"&amp;"VRLDlaFSOdPM/edit?usp=sharing"",""ตราด!R270"")+IMPORTRANGE(""https://docs.google.com/spreadsheets/d/18hSgUJ3VwClqi_qtULmmW3cLr0oe3OKaSYoKzdpTsYQ/edit?usp=sharing"",""นครนายก!R270"")+IMPORTRANGE(""https://docs.google.com/spreadsheets/d/1YTZo6WM2dQ6Ix6FSdnL"&amp;"5P7uVnVKu40sxZu975tgG10E/edit?usp=sharing"",""นครปฐม!R270"")+IMPORTRANGE(""https://docs.google.com/spreadsheets/d/1OYoGg4WDg5RIzwGeB10padOxJF9E_Vljuvvct_M7RDo/edit?usp=sharing"",""ปทุมธานี!R270"")+IMPORTRANGE(""https://docs.google.com/spreadsheets/d/1GbCI"&amp;"E4D4wk9FUozzqk7SxfDMxDVBwVmI5zcaVUSzKAc/edit?usp=sharing"",""ประจวบคีรีขันธ์!R270"")+IMPORTRANGE(""https://docs.google.com/spreadsheets/d/1vVf6wykvW_lAyu7Yo9L4hUTqHqIeP_qcVuxCtosJEbg/edit?usp=sharing"",""ปราจีนบุรี!R270"")+IMPORTRANGE(""https://docs.googl"&amp;"e.com/spreadsheets/d/1BIDqLLg5jk3v59G8NlR8rk5xfQDKne0sAvZHSj7TI6I/edit?usp=sharing"",""พระนครศรีอยุธยา!R270"")+IMPORTRANGE(""https://docs.google.com/spreadsheets/d/1YXvxf8Yu6_rV4hTBrwMqAcAnv6DfhUxh5emyM3CJp_w/edit?usp=sharing"",""เพชรบุรี!R270"")+IMPORTRA"&amp;"NGE(""https://docs.google.com/spreadsheets/d/19KBlQQs7uwvsao6t2n-KvW3Ax8J8uRRfZPq1zPbXgKc/edit?usp=sharing"",""ระยอง!R270"")+IMPORTRANGE(""https://docs.google.com/spreadsheets/d/1jQ6P4QcrGM89YfqcC_PxOHGCMq5ezhucwJd8ci-NHng/edit?usp=sharing"",""ราชบุรี!R27"&amp;"0"")+IMPORTRANGE(""https://docs.google.com/spreadsheets/d/1lufeA2cfFqM-elVq2hznhDzC6Pr7wkJ9ZG_sYNGCMCU/edit?usp=sharing"",""ลพบุรี!R270"")+IMPORTRANGE(""https://docs.google.com/spreadsheets/d/10oOiF7loTyfsTkbd4MpaIm0HQ9SwB7IYHdIUvt-U1Uc/edit?usp=sharing"""&amp;",""สระแก้ว!R270"")+IMPORTRANGE(""https://docs.google.com/spreadsheets/d/1xmPlrr1QbdSIKvl1dWUl9K4PjAfSL9oeMr_37QVzcxc/edit?usp=sharing"",""สระบุรี!R270"")+IMPORTRANGE(""https://docs.google.com/spreadsheets/d/1j51vR6CYVGhABJpv6tkstgok82RLpXieLzW1yOY5rHw/edi"&amp;"t?usp=sharing"",""สิงห์บุรี!R270"")+IMPORTRANGE(""https://docs.google.com/spreadsheets/d/1H1EalTWKUSzO4Z1-1CwzoDUaVffgrThEBe2sl74kKG0/edit?usp=sharing"",""สุพรรณบุรี!R270"")+IMPORTRANGE(""https://docs.google.com/spreadsheets/d/1BmIruG_sIrJLYao_Pdr7zVArWsf"&amp;"oBt2692TMi6x_854/edit?usp=sharing"",""อ่างทอง!R270"")"),0)</f>
        <v>0</v>
      </c>
      <c r="S270" s="75">
        <f ca="1">IFERROR(__xludf.DUMMYFUNCTION("IMPORTRANGE(""https://docs.google.com/spreadsheets/d/13wPX838HrBrQMCywv1BsuMkt4PEKTChp52zj44s2izQ/edit?usp=sharing"",""กาญจนบุรี!S270"")+IMPORTRANGE(""https://docs.google.com/spreadsheets/d/1ddFKvqj1W1NEiWytbGlB1zMx_ykJDVtmfEQ-6-lIUBA/edit?usp=sharing"","&amp;"""จันทบุรี!S270"")+IMPORTRANGE(""https://docs.google.com/spreadsheets/d/1T1PQvRODqOBZk8BRht_U031fIS1beLA0Ub2CEytj2q0/edit?usp=sharing"",""ฉะเชิงเทรา!S270"")+IMPORTRANGE(""https://docs.google.com/spreadsheets/d/11tr1B-Bhyr79v2bkwVh5h_fR-PStkgjlZtkrZpYurG0/"&amp;"edit?usp=sharing"",""ชลบุรี!S270"")+IMPORTRANGE(""https://docs.google.com/spreadsheets/d/1hh-FVnSX0vozXhGluamEcS54Dw9_zqW0N7qJUWgJ0Sw/edit?usp=sharing"",""ชัยนาท!S270"")+IMPORTRANGE(""https://docs.google.com/spreadsheets/d/1jkqa6GXxSacMcY1eN8AHjMNJ_7dDXMJ"&amp;"VRLDlaFSOdPM/edit?usp=sharing"",""ตราด!S270"")+IMPORTRANGE(""https://docs.google.com/spreadsheets/d/18hSgUJ3VwClqi_qtULmmW3cLr0oe3OKaSYoKzdpTsYQ/edit?usp=sharing"",""นครนายก!S270"")+IMPORTRANGE(""https://docs.google.com/spreadsheets/d/1YTZo6WM2dQ6Ix6FSdnL"&amp;"5P7uVnVKu40sxZu975tgG10E/edit?usp=sharing"",""นครปฐม!S270"")+IMPORTRANGE(""https://docs.google.com/spreadsheets/d/1OYoGg4WDg5RIzwGeB10padOxJF9E_Vljuvvct_M7RDo/edit?usp=sharing"",""ปทุมธานี!S270"")+IMPORTRANGE(""https://docs.google.com/spreadsheets/d/1GbCI"&amp;"E4D4wk9FUozzqk7SxfDMxDVBwVmI5zcaVUSzKAc/edit?usp=sharing"",""ประจวบคีรีขันธ์!S270"")+IMPORTRANGE(""https://docs.google.com/spreadsheets/d/1vVf6wykvW_lAyu7Yo9L4hUTqHqIeP_qcVuxCtosJEbg/edit?usp=sharing"",""ปราจีนบุรี!S270"")+IMPORTRANGE(""https://docs.googl"&amp;"e.com/spreadsheets/d/1BIDqLLg5jk3v59G8NlR8rk5xfQDKne0sAvZHSj7TI6I/edit?usp=sharing"",""พระนครศรีอยุธยา!S270"")+IMPORTRANGE(""https://docs.google.com/spreadsheets/d/1YXvxf8Yu6_rV4hTBrwMqAcAnv6DfhUxh5emyM3CJp_w/edit?usp=sharing"",""เพชรบุรี!S270"")+IMPORTRA"&amp;"NGE(""https://docs.google.com/spreadsheets/d/19KBlQQs7uwvsao6t2n-KvW3Ax8J8uRRfZPq1zPbXgKc/edit?usp=sharing"",""ระยอง!S270"")+IMPORTRANGE(""https://docs.google.com/spreadsheets/d/1jQ6P4QcrGM89YfqcC_PxOHGCMq5ezhucwJd8ci-NHng/edit?usp=sharing"",""ราชบุรี!S27"&amp;"0"")+IMPORTRANGE(""https://docs.google.com/spreadsheets/d/1lufeA2cfFqM-elVq2hznhDzC6Pr7wkJ9ZG_sYNGCMCU/edit?usp=sharing"",""ลพบุรี!S270"")+IMPORTRANGE(""https://docs.google.com/spreadsheets/d/10oOiF7loTyfsTkbd4MpaIm0HQ9SwB7IYHdIUvt-U1Uc/edit?usp=sharing"""&amp;",""สระแก้ว!S270"")+IMPORTRANGE(""https://docs.google.com/spreadsheets/d/1xmPlrr1QbdSIKvl1dWUl9K4PjAfSL9oeMr_37QVzcxc/edit?usp=sharing"",""สระบุรี!S270"")+IMPORTRANGE(""https://docs.google.com/spreadsheets/d/1j51vR6CYVGhABJpv6tkstgok82RLpXieLzW1yOY5rHw/edi"&amp;"t?usp=sharing"",""สิงห์บุรี!S270"")+IMPORTRANGE(""https://docs.google.com/spreadsheets/d/1H1EalTWKUSzO4Z1-1CwzoDUaVffgrThEBe2sl74kKG0/edit?usp=sharing"",""สุพรรณบุรี!S270"")+IMPORTRANGE(""https://docs.google.com/spreadsheets/d/1BmIruG_sIrJLYao_Pdr7zVArWsf"&amp;"oBt2692TMi6x_854/edit?usp=sharing"",""อ่างทอง!S270"")"),0)</f>
        <v>0</v>
      </c>
      <c r="T270" s="131">
        <f t="shared" ca="1" si="184"/>
        <v>0</v>
      </c>
      <c r="U270" s="131">
        <f t="shared" ca="1" si="185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105000)</f>
        <v>105000</v>
      </c>
      <c r="M271" s="86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117605)</f>
        <v>117605</v>
      </c>
      <c r="N271" s="86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82581)</f>
        <v>82581</v>
      </c>
      <c r="O271" s="86">
        <f t="shared" ca="1" si="181"/>
        <v>78.648571428571429</v>
      </c>
      <c r="P271" s="86">
        <f t="shared" ca="1" si="182"/>
        <v>70.218953275796096</v>
      </c>
      <c r="Q271" s="129">
        <f ca="1">IFERROR(__xludf.DUMMYFUNCTION("IMPORTRANGE(""https://docs.google.com/spreadsheets/d/13wPX838HrBrQMCywv1BsuMkt4PEKTChp52zj44s2izQ/edit?usp=sharing"",""กาญจนบุรี!Q271"")+IMPORTRANGE(""https://docs.google.com/spreadsheets/d/1ddFKvqj1W1NEiWytbGlB1zMx_ykJDVtmfEQ-6-lIUBA/edit?usp=sharing"","&amp;"""จันทบุรี!Q271"")+IMPORTRANGE(""https://docs.google.com/spreadsheets/d/1T1PQvRODqOBZk8BRht_U031fIS1beLA0Ub2CEytj2q0/edit?usp=sharing"",""ฉะเชิงเทรา!Q271"")+IMPORTRANGE(""https://docs.google.com/spreadsheets/d/11tr1B-Bhyr79v2bkwVh5h_fR-PStkgjlZtkrZpYurG0/"&amp;"edit?usp=sharing"",""ชลบุรี!Q271"")+IMPORTRANGE(""https://docs.google.com/spreadsheets/d/1hh-FVnSX0vozXhGluamEcS54Dw9_zqW0N7qJUWgJ0Sw/edit?usp=sharing"",""ชัยนาท!Q271"")+IMPORTRANGE(""https://docs.google.com/spreadsheets/d/1jkqa6GXxSacMcY1eN8AHjMNJ_7dDXMJ"&amp;"VRLDlaFSOdPM/edit?usp=sharing"",""ตราด!Q271"")+IMPORTRANGE(""https://docs.google.com/spreadsheets/d/18hSgUJ3VwClqi_qtULmmW3cLr0oe3OKaSYoKzdpTsYQ/edit?usp=sharing"",""นครนายก!Q271"")+IMPORTRANGE(""https://docs.google.com/spreadsheets/d/1YTZo6WM2dQ6Ix6FSdnL"&amp;"5P7uVnVKu40sxZu975tgG10E/edit?usp=sharing"",""นครปฐม!Q271"")+IMPORTRANGE(""https://docs.google.com/spreadsheets/d/1OYoGg4WDg5RIzwGeB10padOxJF9E_Vljuvvct_M7RDo/edit?usp=sharing"",""ปทุมธานี!Q271"")+IMPORTRANGE(""https://docs.google.com/spreadsheets/d/1GbCI"&amp;"E4D4wk9FUozzqk7SxfDMxDVBwVmI5zcaVUSzKAc/edit?usp=sharing"",""ประจวบคีรีขันธ์!Q271"")+IMPORTRANGE(""https://docs.google.com/spreadsheets/d/1vVf6wykvW_lAyu7Yo9L4hUTqHqIeP_qcVuxCtosJEbg/edit?usp=sharing"",""ปราจีนบุรี!Q271"")+IMPORTRANGE(""https://docs.googl"&amp;"e.com/spreadsheets/d/1BIDqLLg5jk3v59G8NlR8rk5xfQDKne0sAvZHSj7TI6I/edit?usp=sharing"",""พระนครศรีอยุธยา!Q271"")+IMPORTRANGE(""https://docs.google.com/spreadsheets/d/1YXvxf8Yu6_rV4hTBrwMqAcAnv6DfhUxh5emyM3CJp_w/edit?usp=sharing"",""เพชรบุรี!Q271"")+IMPORTRA"&amp;"NGE(""https://docs.google.com/spreadsheets/d/19KBlQQs7uwvsao6t2n-KvW3Ax8J8uRRfZPq1zPbXgKc/edit?usp=sharing"",""ระยอง!Q271"")+IMPORTRANGE(""https://docs.google.com/spreadsheets/d/1jQ6P4QcrGM89YfqcC_PxOHGCMq5ezhucwJd8ci-NHng/edit?usp=sharing"",""ราชบุรี!Q27"&amp;"1"")+IMPORTRANGE(""https://docs.google.com/spreadsheets/d/1lufeA2cfFqM-elVq2hznhDzC6Pr7wkJ9ZG_sYNGCMCU/edit?usp=sharing"",""ลพบุรี!Q271"")+IMPORTRANGE(""https://docs.google.com/spreadsheets/d/10oOiF7loTyfsTkbd4MpaIm0HQ9SwB7IYHdIUvt-U1Uc/edit?usp=sharing"""&amp;",""สระแก้ว!Q271"")+IMPORTRANGE(""https://docs.google.com/spreadsheets/d/1xmPlrr1QbdSIKvl1dWUl9K4PjAfSL9oeMr_37QVzcxc/edit?usp=sharing"",""สระบุรี!Q271"")+IMPORTRANGE(""https://docs.google.com/spreadsheets/d/1j51vR6CYVGhABJpv6tkstgok82RLpXieLzW1yOY5rHw/edi"&amp;"t?usp=sharing"",""สิงห์บุรี!Q271"")+IMPORTRANGE(""https://docs.google.com/spreadsheets/d/1H1EalTWKUSzO4Z1-1CwzoDUaVffgrThEBe2sl74kKG0/edit?usp=sharing"",""สุพรรณบุรี!Q271"")+IMPORTRANGE(""https://docs.google.com/spreadsheets/d/1BmIruG_sIrJLYao_Pdr7zVArWsf"&amp;"oBt2692TMi6x_854/edit?usp=sharing"",""อ่างทอง!Q271"")"),1041620)</f>
        <v>1041620</v>
      </c>
      <c r="R271" s="130">
        <f ca="1">IFERROR(__xludf.DUMMYFUNCTION("IMPORTRANGE(""https://docs.google.com/spreadsheets/d/13wPX838HrBrQMCywv1BsuMkt4PEKTChp52zj44s2izQ/edit?usp=sharing"",""กาญจนบุรี!R271"")+IMPORTRANGE(""https://docs.google.com/spreadsheets/d/1ddFKvqj1W1NEiWytbGlB1zMx_ykJDVtmfEQ-6-lIUBA/edit?usp=sharing"","&amp;"""จันทบุรี!R271"")+IMPORTRANGE(""https://docs.google.com/spreadsheets/d/1T1PQvRODqOBZk8BRht_U031fIS1beLA0Ub2CEytj2q0/edit?usp=sharing"",""ฉะเชิงเทรา!R271"")+IMPORTRANGE(""https://docs.google.com/spreadsheets/d/11tr1B-Bhyr79v2bkwVh5h_fR-PStkgjlZtkrZpYurG0/"&amp;"edit?usp=sharing"",""ชลบุรี!R271"")+IMPORTRANGE(""https://docs.google.com/spreadsheets/d/1hh-FVnSX0vozXhGluamEcS54Dw9_zqW0N7qJUWgJ0Sw/edit?usp=sharing"",""ชัยนาท!R271"")+IMPORTRANGE(""https://docs.google.com/spreadsheets/d/1jkqa6GXxSacMcY1eN8AHjMNJ_7dDXMJ"&amp;"VRLDlaFSOdPM/edit?usp=sharing"",""ตราด!R271"")+IMPORTRANGE(""https://docs.google.com/spreadsheets/d/18hSgUJ3VwClqi_qtULmmW3cLr0oe3OKaSYoKzdpTsYQ/edit?usp=sharing"",""นครนายก!R271"")+IMPORTRANGE(""https://docs.google.com/spreadsheets/d/1YTZo6WM2dQ6Ix6FSdnL"&amp;"5P7uVnVKu40sxZu975tgG10E/edit?usp=sharing"",""นครปฐม!R271"")+IMPORTRANGE(""https://docs.google.com/spreadsheets/d/1OYoGg4WDg5RIzwGeB10padOxJF9E_Vljuvvct_M7RDo/edit?usp=sharing"",""ปทุมธานี!R271"")+IMPORTRANGE(""https://docs.google.com/spreadsheets/d/1GbCI"&amp;"E4D4wk9FUozzqk7SxfDMxDVBwVmI5zcaVUSzKAc/edit?usp=sharing"",""ประจวบคีรีขันธ์!R271"")+IMPORTRANGE(""https://docs.google.com/spreadsheets/d/1vVf6wykvW_lAyu7Yo9L4hUTqHqIeP_qcVuxCtosJEbg/edit?usp=sharing"",""ปราจีนบุรี!R271"")+IMPORTRANGE(""https://docs.googl"&amp;"e.com/spreadsheets/d/1BIDqLLg5jk3v59G8NlR8rk5xfQDKne0sAvZHSj7TI6I/edit?usp=sharing"",""พระนครศรีอยุธยา!R271"")+IMPORTRANGE(""https://docs.google.com/spreadsheets/d/1YXvxf8Yu6_rV4hTBrwMqAcAnv6DfhUxh5emyM3CJp_w/edit?usp=sharing"",""เพชรบุรี!R271"")+IMPORTRA"&amp;"NGE(""https://docs.google.com/spreadsheets/d/19KBlQQs7uwvsao6t2n-KvW3Ax8J8uRRfZPq1zPbXgKc/edit?usp=sharing"",""ระยอง!R271"")+IMPORTRANGE(""https://docs.google.com/spreadsheets/d/1jQ6P4QcrGM89YfqcC_PxOHGCMq5ezhucwJd8ci-NHng/edit?usp=sharing"",""ราชบุรี!R27"&amp;"1"")+IMPORTRANGE(""https://docs.google.com/spreadsheets/d/1lufeA2cfFqM-elVq2hznhDzC6Pr7wkJ9ZG_sYNGCMCU/edit?usp=sharing"",""ลพบุรี!R271"")+IMPORTRANGE(""https://docs.google.com/spreadsheets/d/10oOiF7loTyfsTkbd4MpaIm0HQ9SwB7IYHdIUvt-U1Uc/edit?usp=sharing"""&amp;",""สระแก้ว!R271"")+IMPORTRANGE(""https://docs.google.com/spreadsheets/d/1xmPlrr1QbdSIKvl1dWUl9K4PjAfSL9oeMr_37QVzcxc/edit?usp=sharing"",""สระบุรี!R271"")+IMPORTRANGE(""https://docs.google.com/spreadsheets/d/1j51vR6CYVGhABJpv6tkstgok82RLpXieLzW1yOY5rHw/edi"&amp;"t?usp=sharing"",""สิงห์บุรี!R271"")+IMPORTRANGE(""https://docs.google.com/spreadsheets/d/1H1EalTWKUSzO4Z1-1CwzoDUaVffgrThEBe2sl74kKG0/edit?usp=sharing"",""สุพรรณบุรี!R271"")+IMPORTRANGE(""https://docs.google.com/spreadsheets/d/1BmIruG_sIrJLYao_Pdr7zVArWsf"&amp;"oBt2692TMi6x_854/edit?usp=sharing"",""อ่างทอง!R271"")"),1041620)</f>
        <v>1041620</v>
      </c>
      <c r="S271" s="130">
        <f ca="1">IFERROR(__xludf.DUMMYFUNCTION("IMPORTRANGE(""https://docs.google.com/spreadsheets/d/13wPX838HrBrQMCywv1BsuMkt4PEKTChp52zj44s2izQ/edit?usp=sharing"",""กาญจนบุรี!S271"")+IMPORTRANGE(""https://docs.google.com/spreadsheets/d/1ddFKvqj1W1NEiWytbGlB1zMx_ykJDVtmfEQ-6-lIUBA/edit?usp=sharing"","&amp;"""จันทบุรี!S271"")+IMPORTRANGE(""https://docs.google.com/spreadsheets/d/1T1PQvRODqOBZk8BRht_U031fIS1beLA0Ub2CEytj2q0/edit?usp=sharing"",""ฉะเชิงเทรา!S271"")+IMPORTRANGE(""https://docs.google.com/spreadsheets/d/11tr1B-Bhyr79v2bkwVh5h_fR-PStkgjlZtkrZpYurG0/"&amp;"edit?usp=sharing"",""ชลบุรี!S271"")+IMPORTRANGE(""https://docs.google.com/spreadsheets/d/1hh-FVnSX0vozXhGluamEcS54Dw9_zqW0N7qJUWgJ0Sw/edit?usp=sharing"",""ชัยนาท!S271"")+IMPORTRANGE(""https://docs.google.com/spreadsheets/d/1jkqa6GXxSacMcY1eN8AHjMNJ_7dDXMJ"&amp;"VRLDlaFSOdPM/edit?usp=sharing"",""ตราด!S271"")+IMPORTRANGE(""https://docs.google.com/spreadsheets/d/18hSgUJ3VwClqi_qtULmmW3cLr0oe3OKaSYoKzdpTsYQ/edit?usp=sharing"",""นครนายก!S271"")+IMPORTRANGE(""https://docs.google.com/spreadsheets/d/1YTZo6WM2dQ6Ix6FSdnL"&amp;"5P7uVnVKu40sxZu975tgG10E/edit?usp=sharing"",""นครปฐม!S271"")+IMPORTRANGE(""https://docs.google.com/spreadsheets/d/1OYoGg4WDg5RIzwGeB10padOxJF9E_Vljuvvct_M7RDo/edit?usp=sharing"",""ปทุมธานี!S271"")+IMPORTRANGE(""https://docs.google.com/spreadsheets/d/1GbCI"&amp;"E4D4wk9FUozzqk7SxfDMxDVBwVmI5zcaVUSzKAc/edit?usp=sharing"",""ประจวบคีรีขันธ์!S271"")+IMPORTRANGE(""https://docs.google.com/spreadsheets/d/1vVf6wykvW_lAyu7Yo9L4hUTqHqIeP_qcVuxCtosJEbg/edit?usp=sharing"",""ปราจีนบุรี!S271"")+IMPORTRANGE(""https://docs.googl"&amp;"e.com/spreadsheets/d/1BIDqLLg5jk3v59G8NlR8rk5xfQDKne0sAvZHSj7TI6I/edit?usp=sharing"",""พระนครศรีอยุธยา!S271"")+IMPORTRANGE(""https://docs.google.com/spreadsheets/d/1YXvxf8Yu6_rV4hTBrwMqAcAnv6DfhUxh5emyM3CJp_w/edit?usp=sharing"",""เพชรบุรี!S271"")+IMPORTRA"&amp;"NGE(""https://docs.google.com/spreadsheets/d/19KBlQQs7uwvsao6t2n-KvW3Ax8J8uRRfZPq1zPbXgKc/edit?usp=sharing"",""ระยอง!S271"")+IMPORTRANGE(""https://docs.google.com/spreadsheets/d/1jQ6P4QcrGM89YfqcC_PxOHGCMq5ezhucwJd8ci-NHng/edit?usp=sharing"",""ราชบุรี!S27"&amp;"1"")+IMPORTRANGE(""https://docs.google.com/spreadsheets/d/1lufeA2cfFqM-elVq2hznhDzC6Pr7wkJ9ZG_sYNGCMCU/edit?usp=sharing"",""ลพบุรี!S271"")+IMPORTRANGE(""https://docs.google.com/spreadsheets/d/10oOiF7loTyfsTkbd4MpaIm0HQ9SwB7IYHdIUvt-U1Uc/edit?usp=sharing"""&amp;",""สระแก้ว!S271"")+IMPORTRANGE(""https://docs.google.com/spreadsheets/d/1xmPlrr1QbdSIKvl1dWUl9K4PjAfSL9oeMr_37QVzcxc/edit?usp=sharing"",""สระบุรี!S271"")+IMPORTRANGE(""https://docs.google.com/spreadsheets/d/1j51vR6CYVGhABJpv6tkstgok82RLpXieLzW1yOY5rHw/edi"&amp;"t?usp=sharing"",""สิงห์บุรี!S271"")+IMPORTRANGE(""https://docs.google.com/spreadsheets/d/1H1EalTWKUSzO4Z1-1CwzoDUaVffgrThEBe2sl74kKG0/edit?usp=sharing"",""สุพรรณบุรี!S271"")+IMPORTRANGE(""https://docs.google.com/spreadsheets/d/1BmIruG_sIrJLYao_Pdr7zVArWsf"&amp;"oBt2692TMi6x_854/edit?usp=sharing"",""อ่างทอง!S271"")"),678511)</f>
        <v>678511</v>
      </c>
      <c r="T271" s="130">
        <f t="shared" ca="1" si="184"/>
        <v>65.139974270847333</v>
      </c>
      <c r="U271" s="130">
        <f t="shared" ca="1" si="185"/>
        <v>65.139974270847333</v>
      </c>
    </row>
    <row r="272" spans="1:21" ht="18.75" x14ac:dyDescent="0.25">
      <c r="A272" s="207"/>
      <c r="B272" s="65"/>
      <c r="C272" s="65"/>
      <c r="D272" s="66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t="shared" ref="L272:N272" ca="1" si="192">L273+L274</f>
        <v>0</v>
      </c>
      <c r="M272" s="86">
        <f t="shared" ca="1" si="192"/>
        <v>0</v>
      </c>
      <c r="N272" s="86">
        <f t="shared" ca="1" si="192"/>
        <v>0</v>
      </c>
      <c r="O272" s="86">
        <f t="shared" ca="1" si="181"/>
        <v>0</v>
      </c>
      <c r="P272" s="86">
        <f t="shared" ca="1" si="182"/>
        <v>0</v>
      </c>
      <c r="Q272" s="129">
        <f t="shared" ref="Q272:S272" ca="1" si="193">Q273+Q274</f>
        <v>0</v>
      </c>
      <c r="R272" s="130">
        <f t="shared" ca="1" si="193"/>
        <v>0</v>
      </c>
      <c r="S272" s="130">
        <f t="shared" ca="1" si="193"/>
        <v>0</v>
      </c>
      <c r="T272" s="130">
        <f t="shared" ca="1" si="184"/>
        <v>0</v>
      </c>
      <c r="U272" s="130">
        <f t="shared" ca="1" si="185"/>
        <v>0</v>
      </c>
    </row>
    <row r="273" spans="1:21" ht="18.75" hidden="1" x14ac:dyDescent="0.25">
      <c r="A273" s="207"/>
      <c r="B273" s="65"/>
      <c r="C273" s="65"/>
      <c r="D273" s="65"/>
      <c r="E273" s="73" t="s">
        <v>20</v>
      </c>
      <c r="F273" s="65"/>
      <c r="G273" s="67"/>
      <c r="H273" s="216" t="s">
        <v>14</v>
      </c>
      <c r="I273" s="217"/>
      <c r="J273" s="217"/>
      <c r="K273" s="218"/>
      <c r="L273" s="86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3" s="86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3" s="86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3" s="86">
        <f t="shared" ca="1" si="181"/>
        <v>0</v>
      </c>
      <c r="P273" s="86">
        <f t="shared" ca="1" si="182"/>
        <v>0</v>
      </c>
      <c r="Q273" s="74">
        <f ca="1">IFERROR(__xludf.DUMMYFUNCTION("IMPORTRANGE(""https://docs.google.com/spreadsheets/d/13wPX838HrBrQMCywv1BsuMkt4PEKTChp52zj44s2izQ/edit?usp=sharing"",""กาญจนบุรี!Q273"")+IMPORTRANGE(""https://docs.google.com/spreadsheets/d/1ddFKvqj1W1NEiWytbGlB1zMx_ykJDVtmfEQ-6-lIUBA/edit?usp=sharing"","&amp;"""จันทบุรี!Q273"")+IMPORTRANGE(""https://docs.google.com/spreadsheets/d/1T1PQvRODqOBZk8BRht_U031fIS1beLA0Ub2CEytj2q0/edit?usp=sharing"",""ฉะเชิงเทรา!Q273"")+IMPORTRANGE(""https://docs.google.com/spreadsheets/d/11tr1B-Bhyr79v2bkwVh5h_fR-PStkgjlZtkrZpYurG0/"&amp;"edit?usp=sharing"",""ชลบุรี!Q273"")+IMPORTRANGE(""https://docs.google.com/spreadsheets/d/1hh-FVnSX0vozXhGluamEcS54Dw9_zqW0N7qJUWgJ0Sw/edit?usp=sharing"",""ชัยนาท!Q273"")+IMPORTRANGE(""https://docs.google.com/spreadsheets/d/1jkqa6GXxSacMcY1eN8AHjMNJ_7dDXMJ"&amp;"VRLDlaFSOdPM/edit?usp=sharing"",""ตราด!Q273"")+IMPORTRANGE(""https://docs.google.com/spreadsheets/d/18hSgUJ3VwClqi_qtULmmW3cLr0oe3OKaSYoKzdpTsYQ/edit?usp=sharing"",""นครนายก!Q273"")+IMPORTRANGE(""https://docs.google.com/spreadsheets/d/1YTZo6WM2dQ6Ix6FSdnL"&amp;"5P7uVnVKu40sxZu975tgG10E/edit?usp=sharing"",""นครปฐม!Q273"")+IMPORTRANGE(""https://docs.google.com/spreadsheets/d/1OYoGg4WDg5RIzwGeB10padOxJF9E_Vljuvvct_M7RDo/edit?usp=sharing"",""ปทุมธานี!Q273"")+IMPORTRANGE(""https://docs.google.com/spreadsheets/d/1GbCI"&amp;"E4D4wk9FUozzqk7SxfDMxDVBwVmI5zcaVUSzKAc/edit?usp=sharing"",""ประจวบคีรีขันธ์!Q273"")+IMPORTRANGE(""https://docs.google.com/spreadsheets/d/1vVf6wykvW_lAyu7Yo9L4hUTqHqIeP_qcVuxCtosJEbg/edit?usp=sharing"",""ปราจีนบุรี!Q273"")+IMPORTRANGE(""https://docs.googl"&amp;"e.com/spreadsheets/d/1BIDqLLg5jk3v59G8NlR8rk5xfQDKne0sAvZHSj7TI6I/edit?usp=sharing"",""พระนครศรีอยุธยา!Q273"")+IMPORTRANGE(""https://docs.google.com/spreadsheets/d/1YXvxf8Yu6_rV4hTBrwMqAcAnv6DfhUxh5emyM3CJp_w/edit?usp=sharing"",""เพชรบุรี!Q273"")+IMPORTRA"&amp;"NGE(""https://docs.google.com/spreadsheets/d/19KBlQQs7uwvsao6t2n-KvW3Ax8J8uRRfZPq1zPbXgKc/edit?usp=sharing"",""ระยอง!Q273"")+IMPORTRANGE(""https://docs.google.com/spreadsheets/d/1jQ6P4QcrGM89YfqcC_PxOHGCMq5ezhucwJd8ci-NHng/edit?usp=sharing"",""ราชบุรี!Q27"&amp;"3"")+IMPORTRANGE(""https://docs.google.com/spreadsheets/d/1lufeA2cfFqM-elVq2hznhDzC6Pr7wkJ9ZG_sYNGCMCU/edit?usp=sharing"",""ลพบุรี!Q273"")+IMPORTRANGE(""https://docs.google.com/spreadsheets/d/10oOiF7loTyfsTkbd4MpaIm0HQ9SwB7IYHdIUvt-U1Uc/edit?usp=sharing"""&amp;",""สระแก้ว!Q273"")+IMPORTRANGE(""https://docs.google.com/spreadsheets/d/1xmPlrr1QbdSIKvl1dWUl9K4PjAfSL9oeMr_37QVzcxc/edit?usp=sharing"",""สระบุรี!Q273"")+IMPORTRANGE(""https://docs.google.com/spreadsheets/d/1j51vR6CYVGhABJpv6tkstgok82RLpXieLzW1yOY5rHw/edi"&amp;"t?usp=sharing"",""สิงห์บุรี!Q273"")+IMPORTRANGE(""https://docs.google.com/spreadsheets/d/1H1EalTWKUSzO4Z1-1CwzoDUaVffgrThEBe2sl74kKG0/edit?usp=sharing"",""สุพรรณบุรี!Q273"")+IMPORTRANGE(""https://docs.google.com/spreadsheets/d/1BmIruG_sIrJLYao_Pdr7zVArWsf"&amp;"oBt2692TMi6x_854/edit?usp=sharing"",""อ่างทอง!Q273"")"),0)</f>
        <v>0</v>
      </c>
      <c r="R273" s="75">
        <f ca="1">IFERROR(__xludf.DUMMYFUNCTION("IMPORTRANGE(""https://docs.google.com/spreadsheets/d/13wPX838HrBrQMCywv1BsuMkt4PEKTChp52zj44s2izQ/edit?usp=sharing"",""กาญจนบุรี!R273"")+IMPORTRANGE(""https://docs.google.com/spreadsheets/d/1ddFKvqj1W1NEiWytbGlB1zMx_ykJDVtmfEQ-6-lIUBA/edit?usp=sharing"","&amp;"""จันทบุรี!R273"")+IMPORTRANGE(""https://docs.google.com/spreadsheets/d/1T1PQvRODqOBZk8BRht_U031fIS1beLA0Ub2CEytj2q0/edit?usp=sharing"",""ฉะเชิงเทรา!R273"")+IMPORTRANGE(""https://docs.google.com/spreadsheets/d/11tr1B-Bhyr79v2bkwVh5h_fR-PStkgjlZtkrZpYurG0/"&amp;"edit?usp=sharing"",""ชลบุรี!R273"")+IMPORTRANGE(""https://docs.google.com/spreadsheets/d/1hh-FVnSX0vozXhGluamEcS54Dw9_zqW0N7qJUWgJ0Sw/edit?usp=sharing"",""ชัยนาท!R273"")+IMPORTRANGE(""https://docs.google.com/spreadsheets/d/1jkqa6GXxSacMcY1eN8AHjMNJ_7dDXMJ"&amp;"VRLDlaFSOdPM/edit?usp=sharing"",""ตราด!R273"")+IMPORTRANGE(""https://docs.google.com/spreadsheets/d/18hSgUJ3VwClqi_qtULmmW3cLr0oe3OKaSYoKzdpTsYQ/edit?usp=sharing"",""นครนายก!R273"")+IMPORTRANGE(""https://docs.google.com/spreadsheets/d/1YTZo6WM2dQ6Ix6FSdnL"&amp;"5P7uVnVKu40sxZu975tgG10E/edit?usp=sharing"",""นครปฐม!R273"")+IMPORTRANGE(""https://docs.google.com/spreadsheets/d/1OYoGg4WDg5RIzwGeB10padOxJF9E_Vljuvvct_M7RDo/edit?usp=sharing"",""ปทุมธานี!R273"")+IMPORTRANGE(""https://docs.google.com/spreadsheets/d/1GbCI"&amp;"E4D4wk9FUozzqk7SxfDMxDVBwVmI5zcaVUSzKAc/edit?usp=sharing"",""ประจวบคีรีขันธ์!R273"")+IMPORTRANGE(""https://docs.google.com/spreadsheets/d/1vVf6wykvW_lAyu7Yo9L4hUTqHqIeP_qcVuxCtosJEbg/edit?usp=sharing"",""ปราจีนบุรี!R273"")+IMPORTRANGE(""https://docs.googl"&amp;"e.com/spreadsheets/d/1BIDqLLg5jk3v59G8NlR8rk5xfQDKne0sAvZHSj7TI6I/edit?usp=sharing"",""พระนครศรีอยุธยา!R273"")+IMPORTRANGE(""https://docs.google.com/spreadsheets/d/1YXvxf8Yu6_rV4hTBrwMqAcAnv6DfhUxh5emyM3CJp_w/edit?usp=sharing"",""เพชรบุรี!R273"")+IMPORTRA"&amp;"NGE(""https://docs.google.com/spreadsheets/d/19KBlQQs7uwvsao6t2n-KvW3Ax8J8uRRfZPq1zPbXgKc/edit?usp=sharing"",""ระยอง!R273"")+IMPORTRANGE(""https://docs.google.com/spreadsheets/d/1jQ6P4QcrGM89YfqcC_PxOHGCMq5ezhucwJd8ci-NHng/edit?usp=sharing"",""ราชบุรี!R27"&amp;"3"")+IMPORTRANGE(""https://docs.google.com/spreadsheets/d/1lufeA2cfFqM-elVq2hznhDzC6Pr7wkJ9ZG_sYNGCMCU/edit?usp=sharing"",""ลพบุรี!R273"")+IMPORTRANGE(""https://docs.google.com/spreadsheets/d/10oOiF7loTyfsTkbd4MpaIm0HQ9SwB7IYHdIUvt-U1Uc/edit?usp=sharing"""&amp;",""สระแก้ว!R273"")+IMPORTRANGE(""https://docs.google.com/spreadsheets/d/1xmPlrr1QbdSIKvl1dWUl9K4PjAfSL9oeMr_37QVzcxc/edit?usp=sharing"",""สระบุรี!R273"")+IMPORTRANGE(""https://docs.google.com/spreadsheets/d/1j51vR6CYVGhABJpv6tkstgok82RLpXieLzW1yOY5rHw/edi"&amp;"t?usp=sharing"",""สิงห์บุรี!R273"")+IMPORTRANGE(""https://docs.google.com/spreadsheets/d/1H1EalTWKUSzO4Z1-1CwzoDUaVffgrThEBe2sl74kKG0/edit?usp=sharing"",""สุพรรณบุรี!R273"")+IMPORTRANGE(""https://docs.google.com/spreadsheets/d/1BmIruG_sIrJLYao_Pdr7zVArWsf"&amp;"oBt2692TMi6x_854/edit?usp=sharing"",""อ่างทอง!R273"")"),0)</f>
        <v>0</v>
      </c>
      <c r="S273" s="75">
        <f ca="1">IFERROR(__xludf.DUMMYFUNCTION("IMPORTRANGE(""https://docs.google.com/spreadsheets/d/13wPX838HrBrQMCywv1BsuMkt4PEKTChp52zj44s2izQ/edit?usp=sharing"",""กาญจนบุรี!S273"")+IMPORTRANGE(""https://docs.google.com/spreadsheets/d/1ddFKvqj1W1NEiWytbGlB1zMx_ykJDVtmfEQ-6-lIUBA/edit?usp=sharing"","&amp;"""จันทบุรี!S273"")+IMPORTRANGE(""https://docs.google.com/spreadsheets/d/1T1PQvRODqOBZk8BRht_U031fIS1beLA0Ub2CEytj2q0/edit?usp=sharing"",""ฉะเชิงเทรา!S273"")+IMPORTRANGE(""https://docs.google.com/spreadsheets/d/11tr1B-Bhyr79v2bkwVh5h_fR-PStkgjlZtkrZpYurG0/"&amp;"edit?usp=sharing"",""ชลบุรี!S273"")+IMPORTRANGE(""https://docs.google.com/spreadsheets/d/1hh-FVnSX0vozXhGluamEcS54Dw9_zqW0N7qJUWgJ0Sw/edit?usp=sharing"",""ชัยนาท!S273"")+IMPORTRANGE(""https://docs.google.com/spreadsheets/d/1jkqa6GXxSacMcY1eN8AHjMNJ_7dDXMJ"&amp;"VRLDlaFSOdPM/edit?usp=sharing"",""ตราด!S273"")+IMPORTRANGE(""https://docs.google.com/spreadsheets/d/18hSgUJ3VwClqi_qtULmmW3cLr0oe3OKaSYoKzdpTsYQ/edit?usp=sharing"",""นครนายก!S273"")+IMPORTRANGE(""https://docs.google.com/spreadsheets/d/1YTZo6WM2dQ6Ix6FSdnL"&amp;"5P7uVnVKu40sxZu975tgG10E/edit?usp=sharing"",""นครปฐม!S273"")+IMPORTRANGE(""https://docs.google.com/spreadsheets/d/1OYoGg4WDg5RIzwGeB10padOxJF9E_Vljuvvct_M7RDo/edit?usp=sharing"",""ปทุมธานี!S273"")+IMPORTRANGE(""https://docs.google.com/spreadsheets/d/1GbCI"&amp;"E4D4wk9FUozzqk7SxfDMxDVBwVmI5zcaVUSzKAc/edit?usp=sharing"",""ประจวบคีรีขันธ์!S273"")+IMPORTRANGE(""https://docs.google.com/spreadsheets/d/1vVf6wykvW_lAyu7Yo9L4hUTqHqIeP_qcVuxCtosJEbg/edit?usp=sharing"",""ปราจีนบุรี!S273"")+IMPORTRANGE(""https://docs.googl"&amp;"e.com/spreadsheets/d/1BIDqLLg5jk3v59G8NlR8rk5xfQDKne0sAvZHSj7TI6I/edit?usp=sharing"",""พระนครศรีอยุธยา!S273"")+IMPORTRANGE(""https://docs.google.com/spreadsheets/d/1YXvxf8Yu6_rV4hTBrwMqAcAnv6DfhUxh5emyM3CJp_w/edit?usp=sharing"",""เพชรบุรี!S273"")+IMPORTRA"&amp;"NGE(""https://docs.google.com/spreadsheets/d/19KBlQQs7uwvsao6t2n-KvW3Ax8J8uRRfZPq1zPbXgKc/edit?usp=sharing"",""ระยอง!S273"")+IMPORTRANGE(""https://docs.google.com/spreadsheets/d/1jQ6P4QcrGM89YfqcC_PxOHGCMq5ezhucwJd8ci-NHng/edit?usp=sharing"",""ราชบุรี!S27"&amp;"3"")+IMPORTRANGE(""https://docs.google.com/spreadsheets/d/1lufeA2cfFqM-elVq2hznhDzC6Pr7wkJ9ZG_sYNGCMCU/edit?usp=sharing"",""ลพบุรี!S273"")+IMPORTRANGE(""https://docs.google.com/spreadsheets/d/10oOiF7loTyfsTkbd4MpaIm0HQ9SwB7IYHdIUvt-U1Uc/edit?usp=sharing"""&amp;",""สระแก้ว!S273"")+IMPORTRANGE(""https://docs.google.com/spreadsheets/d/1xmPlrr1QbdSIKvl1dWUl9K4PjAfSL9oeMr_37QVzcxc/edit?usp=sharing"",""สระบุรี!S273"")+IMPORTRANGE(""https://docs.google.com/spreadsheets/d/1j51vR6CYVGhABJpv6tkstgok82RLpXieLzW1yOY5rHw/edi"&amp;"t?usp=sharing"",""สิงห์บุรี!S273"")+IMPORTRANGE(""https://docs.google.com/spreadsheets/d/1H1EalTWKUSzO4Z1-1CwzoDUaVffgrThEBe2sl74kKG0/edit?usp=sharing"",""สุพรรณบุรี!S273"")+IMPORTRANGE(""https://docs.google.com/spreadsheets/d/1BmIruG_sIrJLYao_Pdr7zVArWsf"&amp;"oBt2692TMi6x_854/edit?usp=sharing"",""อ่างทอง!S273"")"),0)</f>
        <v>0</v>
      </c>
      <c r="T273" s="131">
        <f t="shared" ca="1" si="184"/>
        <v>0</v>
      </c>
      <c r="U273" s="131">
        <f t="shared" ca="1" si="185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4" s="86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4" s="86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4" s="86">
        <f t="shared" ca="1" si="181"/>
        <v>0</v>
      </c>
      <c r="P274" s="86">
        <f t="shared" ca="1" si="182"/>
        <v>0</v>
      </c>
      <c r="Q274" s="71">
        <f ca="1">IFERROR(__xludf.DUMMYFUNCTION("IMPORTRANGE(""https://docs.google.com/spreadsheets/d/13wPX838HrBrQMCywv1BsuMkt4PEKTChp52zj44s2izQ/edit?usp=sharing"",""กาญจนบุรี!Q274"")+IMPORTRANGE(""https://docs.google.com/spreadsheets/d/1ddFKvqj1W1NEiWytbGlB1zMx_ykJDVtmfEQ-6-lIUBA/edit?usp=sharing"","&amp;"""จันทบุรี!Q274"")+IMPORTRANGE(""https://docs.google.com/spreadsheets/d/1T1PQvRODqOBZk8BRht_U031fIS1beLA0Ub2CEytj2q0/edit?usp=sharing"",""ฉะเชิงเทรา!Q274"")+IMPORTRANGE(""https://docs.google.com/spreadsheets/d/11tr1B-Bhyr79v2bkwVh5h_fR-PStkgjlZtkrZpYurG0/"&amp;"edit?usp=sharing"",""ชลบุรี!Q274"")+IMPORTRANGE(""https://docs.google.com/spreadsheets/d/1hh-FVnSX0vozXhGluamEcS54Dw9_zqW0N7qJUWgJ0Sw/edit?usp=sharing"",""ชัยนาท!Q274"")+IMPORTRANGE(""https://docs.google.com/spreadsheets/d/1jkqa6GXxSacMcY1eN8AHjMNJ_7dDXMJ"&amp;"VRLDlaFSOdPM/edit?usp=sharing"",""ตราด!Q274"")+IMPORTRANGE(""https://docs.google.com/spreadsheets/d/18hSgUJ3VwClqi_qtULmmW3cLr0oe3OKaSYoKzdpTsYQ/edit?usp=sharing"",""นครนายก!Q274"")+IMPORTRANGE(""https://docs.google.com/spreadsheets/d/1YTZo6WM2dQ6Ix6FSdnL"&amp;"5P7uVnVKu40sxZu975tgG10E/edit?usp=sharing"",""นครปฐม!Q274"")+IMPORTRANGE(""https://docs.google.com/spreadsheets/d/1OYoGg4WDg5RIzwGeB10padOxJF9E_Vljuvvct_M7RDo/edit?usp=sharing"",""ปทุมธานี!Q274"")+IMPORTRANGE(""https://docs.google.com/spreadsheets/d/1GbCI"&amp;"E4D4wk9FUozzqk7SxfDMxDVBwVmI5zcaVUSzKAc/edit?usp=sharing"",""ประจวบคีรีขันธ์!Q274"")+IMPORTRANGE(""https://docs.google.com/spreadsheets/d/1vVf6wykvW_lAyu7Yo9L4hUTqHqIeP_qcVuxCtosJEbg/edit?usp=sharing"",""ปราจีนบุรี!Q274"")+IMPORTRANGE(""https://docs.googl"&amp;"e.com/spreadsheets/d/1BIDqLLg5jk3v59G8NlR8rk5xfQDKne0sAvZHSj7TI6I/edit?usp=sharing"",""พระนครศรีอยุธยา!Q274"")+IMPORTRANGE(""https://docs.google.com/spreadsheets/d/1YXvxf8Yu6_rV4hTBrwMqAcAnv6DfhUxh5emyM3CJp_w/edit?usp=sharing"",""เพชรบุรี!Q274"")+IMPORTRA"&amp;"NGE(""https://docs.google.com/spreadsheets/d/19KBlQQs7uwvsao6t2n-KvW3Ax8J8uRRfZPq1zPbXgKc/edit?usp=sharing"",""ระยอง!Q274"")+IMPORTRANGE(""https://docs.google.com/spreadsheets/d/1jQ6P4QcrGM89YfqcC_PxOHGCMq5ezhucwJd8ci-NHng/edit?usp=sharing"",""ราชบุรี!Q27"&amp;"4"")+IMPORTRANGE(""https://docs.google.com/spreadsheets/d/1lufeA2cfFqM-elVq2hznhDzC6Pr7wkJ9ZG_sYNGCMCU/edit?usp=sharing"",""ลพบุรี!Q274"")+IMPORTRANGE(""https://docs.google.com/spreadsheets/d/10oOiF7loTyfsTkbd4MpaIm0HQ9SwB7IYHdIUvt-U1Uc/edit?usp=sharing"""&amp;",""สระแก้ว!Q274"")+IMPORTRANGE(""https://docs.google.com/spreadsheets/d/1xmPlrr1QbdSIKvl1dWUl9K4PjAfSL9oeMr_37QVzcxc/edit?usp=sharing"",""สระบุรี!Q274"")+IMPORTRANGE(""https://docs.google.com/spreadsheets/d/1j51vR6CYVGhABJpv6tkstgok82RLpXieLzW1yOY5rHw/edi"&amp;"t?usp=sharing"",""สิงห์บุรี!Q274"")+IMPORTRANGE(""https://docs.google.com/spreadsheets/d/1H1EalTWKUSzO4Z1-1CwzoDUaVffgrThEBe2sl74kKG0/edit?usp=sharing"",""สุพรรณบุรี!Q274"")+IMPORTRANGE(""https://docs.google.com/spreadsheets/d/1BmIruG_sIrJLYao_Pdr7zVArWsf"&amp;"oBt2692TMi6x_854/edit?usp=sharing"",""อ่างทอง!Q274"")"),0)</f>
        <v>0</v>
      </c>
      <c r="R274" s="72">
        <f ca="1">IFERROR(__xludf.DUMMYFUNCTION("IMPORTRANGE(""https://docs.google.com/spreadsheets/d/13wPX838HrBrQMCywv1BsuMkt4PEKTChp52zj44s2izQ/edit?usp=sharing"",""กาญจนบุรี!R274"")+IMPORTRANGE(""https://docs.google.com/spreadsheets/d/1ddFKvqj1W1NEiWytbGlB1zMx_ykJDVtmfEQ-6-lIUBA/edit?usp=sharing"","&amp;"""จันทบุรี!R274"")+IMPORTRANGE(""https://docs.google.com/spreadsheets/d/1T1PQvRODqOBZk8BRht_U031fIS1beLA0Ub2CEytj2q0/edit?usp=sharing"",""ฉะเชิงเทรา!R274"")+IMPORTRANGE(""https://docs.google.com/spreadsheets/d/11tr1B-Bhyr79v2bkwVh5h_fR-PStkgjlZtkrZpYurG0/"&amp;"edit?usp=sharing"",""ชลบุรี!R274"")+IMPORTRANGE(""https://docs.google.com/spreadsheets/d/1hh-FVnSX0vozXhGluamEcS54Dw9_zqW0N7qJUWgJ0Sw/edit?usp=sharing"",""ชัยนาท!R274"")+IMPORTRANGE(""https://docs.google.com/spreadsheets/d/1jkqa6GXxSacMcY1eN8AHjMNJ_7dDXMJ"&amp;"VRLDlaFSOdPM/edit?usp=sharing"",""ตราด!R274"")+IMPORTRANGE(""https://docs.google.com/spreadsheets/d/18hSgUJ3VwClqi_qtULmmW3cLr0oe3OKaSYoKzdpTsYQ/edit?usp=sharing"",""นครนายก!R274"")+IMPORTRANGE(""https://docs.google.com/spreadsheets/d/1YTZo6WM2dQ6Ix6FSdnL"&amp;"5P7uVnVKu40sxZu975tgG10E/edit?usp=sharing"",""นครปฐม!R274"")+IMPORTRANGE(""https://docs.google.com/spreadsheets/d/1OYoGg4WDg5RIzwGeB10padOxJF9E_Vljuvvct_M7RDo/edit?usp=sharing"",""ปทุมธานี!R274"")+IMPORTRANGE(""https://docs.google.com/spreadsheets/d/1GbCI"&amp;"E4D4wk9FUozzqk7SxfDMxDVBwVmI5zcaVUSzKAc/edit?usp=sharing"",""ประจวบคีรีขันธ์!R274"")+IMPORTRANGE(""https://docs.google.com/spreadsheets/d/1vVf6wykvW_lAyu7Yo9L4hUTqHqIeP_qcVuxCtosJEbg/edit?usp=sharing"",""ปราจีนบุรี!R274"")+IMPORTRANGE(""https://docs.googl"&amp;"e.com/spreadsheets/d/1BIDqLLg5jk3v59G8NlR8rk5xfQDKne0sAvZHSj7TI6I/edit?usp=sharing"",""พระนครศรีอยุธยา!R274"")+IMPORTRANGE(""https://docs.google.com/spreadsheets/d/1YXvxf8Yu6_rV4hTBrwMqAcAnv6DfhUxh5emyM3CJp_w/edit?usp=sharing"",""เพชรบุรี!R274"")+IMPORTRA"&amp;"NGE(""https://docs.google.com/spreadsheets/d/19KBlQQs7uwvsao6t2n-KvW3Ax8J8uRRfZPq1zPbXgKc/edit?usp=sharing"",""ระยอง!R274"")+IMPORTRANGE(""https://docs.google.com/spreadsheets/d/1jQ6P4QcrGM89YfqcC_PxOHGCMq5ezhucwJd8ci-NHng/edit?usp=sharing"",""ราชบุรี!R27"&amp;"4"")+IMPORTRANGE(""https://docs.google.com/spreadsheets/d/1lufeA2cfFqM-elVq2hznhDzC6Pr7wkJ9ZG_sYNGCMCU/edit?usp=sharing"",""ลพบุรี!R274"")+IMPORTRANGE(""https://docs.google.com/spreadsheets/d/10oOiF7loTyfsTkbd4MpaIm0HQ9SwB7IYHdIUvt-U1Uc/edit?usp=sharing"""&amp;",""สระแก้ว!R274"")+IMPORTRANGE(""https://docs.google.com/spreadsheets/d/1xmPlrr1QbdSIKvl1dWUl9K4PjAfSL9oeMr_37QVzcxc/edit?usp=sharing"",""สระบุรี!R274"")+IMPORTRANGE(""https://docs.google.com/spreadsheets/d/1j51vR6CYVGhABJpv6tkstgok82RLpXieLzW1yOY5rHw/edi"&amp;"t?usp=sharing"",""สิงห์บุรี!R274"")+IMPORTRANGE(""https://docs.google.com/spreadsheets/d/1H1EalTWKUSzO4Z1-1CwzoDUaVffgrThEBe2sl74kKG0/edit?usp=sharing"",""สุพรรณบุรี!R274"")+IMPORTRANGE(""https://docs.google.com/spreadsheets/d/1BmIruG_sIrJLYao_Pdr7zVArWsf"&amp;"oBt2692TMi6x_854/edit?usp=sharing"",""อ่างทอง!R274"")"),0)</f>
        <v>0</v>
      </c>
      <c r="S274" s="72">
        <f ca="1">IFERROR(__xludf.DUMMYFUNCTION("IMPORTRANGE(""https://docs.google.com/spreadsheets/d/13wPX838HrBrQMCywv1BsuMkt4PEKTChp52zj44s2izQ/edit?usp=sharing"",""กาญจนบุรี!S274"")+IMPORTRANGE(""https://docs.google.com/spreadsheets/d/1ddFKvqj1W1NEiWytbGlB1zMx_ykJDVtmfEQ-6-lIUBA/edit?usp=sharing"","&amp;"""จันทบุรี!S274"")+IMPORTRANGE(""https://docs.google.com/spreadsheets/d/1T1PQvRODqOBZk8BRht_U031fIS1beLA0Ub2CEytj2q0/edit?usp=sharing"",""ฉะเชิงเทรา!S274"")+IMPORTRANGE(""https://docs.google.com/spreadsheets/d/11tr1B-Bhyr79v2bkwVh5h_fR-PStkgjlZtkrZpYurG0/"&amp;"edit?usp=sharing"",""ชลบุรี!S274"")+IMPORTRANGE(""https://docs.google.com/spreadsheets/d/1hh-FVnSX0vozXhGluamEcS54Dw9_zqW0N7qJUWgJ0Sw/edit?usp=sharing"",""ชัยนาท!S274"")+IMPORTRANGE(""https://docs.google.com/spreadsheets/d/1jkqa6GXxSacMcY1eN8AHjMNJ_7dDXMJ"&amp;"VRLDlaFSOdPM/edit?usp=sharing"",""ตราด!S274"")+IMPORTRANGE(""https://docs.google.com/spreadsheets/d/18hSgUJ3VwClqi_qtULmmW3cLr0oe3OKaSYoKzdpTsYQ/edit?usp=sharing"",""นครนายก!S274"")+IMPORTRANGE(""https://docs.google.com/spreadsheets/d/1YTZo6WM2dQ6Ix6FSdnL"&amp;"5P7uVnVKu40sxZu975tgG10E/edit?usp=sharing"",""นครปฐม!S274"")+IMPORTRANGE(""https://docs.google.com/spreadsheets/d/1OYoGg4WDg5RIzwGeB10padOxJF9E_Vljuvvct_M7RDo/edit?usp=sharing"",""ปทุมธานี!S274"")+IMPORTRANGE(""https://docs.google.com/spreadsheets/d/1GbCI"&amp;"E4D4wk9FUozzqk7SxfDMxDVBwVmI5zcaVUSzKAc/edit?usp=sharing"",""ประจวบคีรีขันธ์!S274"")+IMPORTRANGE(""https://docs.google.com/spreadsheets/d/1vVf6wykvW_lAyu7Yo9L4hUTqHqIeP_qcVuxCtosJEbg/edit?usp=sharing"",""ปราจีนบุรี!S274"")+IMPORTRANGE(""https://docs.googl"&amp;"e.com/spreadsheets/d/1BIDqLLg5jk3v59G8NlR8rk5xfQDKne0sAvZHSj7TI6I/edit?usp=sharing"",""พระนครศรีอยุธยา!S274"")+IMPORTRANGE(""https://docs.google.com/spreadsheets/d/1YXvxf8Yu6_rV4hTBrwMqAcAnv6DfhUxh5emyM3CJp_w/edit?usp=sharing"",""เพชรบุรี!S274"")+IMPORTRA"&amp;"NGE(""https://docs.google.com/spreadsheets/d/19KBlQQs7uwvsao6t2n-KvW3Ax8J8uRRfZPq1zPbXgKc/edit?usp=sharing"",""ระยอง!S274"")+IMPORTRANGE(""https://docs.google.com/spreadsheets/d/1jQ6P4QcrGM89YfqcC_PxOHGCMq5ezhucwJd8ci-NHng/edit?usp=sharing"",""ราชบุรี!S27"&amp;"4"")+IMPORTRANGE(""https://docs.google.com/spreadsheets/d/1lufeA2cfFqM-elVq2hznhDzC6Pr7wkJ9ZG_sYNGCMCU/edit?usp=sharing"",""ลพบุรี!S274"")+IMPORTRANGE(""https://docs.google.com/spreadsheets/d/10oOiF7loTyfsTkbd4MpaIm0HQ9SwB7IYHdIUvt-U1Uc/edit?usp=sharing"""&amp;",""สระแก้ว!S274"")+IMPORTRANGE(""https://docs.google.com/spreadsheets/d/1xmPlrr1QbdSIKvl1dWUl9K4PjAfSL9oeMr_37QVzcxc/edit?usp=sharing"",""สระบุรี!S274"")+IMPORTRANGE(""https://docs.google.com/spreadsheets/d/1j51vR6CYVGhABJpv6tkstgok82RLpXieLzW1yOY5rHw/edi"&amp;"t?usp=sharing"",""สิงห์บุรี!S274"")+IMPORTRANGE(""https://docs.google.com/spreadsheets/d/1H1EalTWKUSzO4Z1-1CwzoDUaVffgrThEBe2sl74kKG0/edit?usp=sharing"",""สุพรรณบุรี!S274"")+IMPORTRANGE(""https://docs.google.com/spreadsheets/d/1BmIruG_sIrJLYao_Pdr7zVArWsf"&amp;"oBt2692TMi6x_854/edit?usp=sharing"",""อ่างทอง!S274"")"),0)</f>
        <v>0</v>
      </c>
      <c r="T274" s="130">
        <f t="shared" ca="1" si="184"/>
        <v>0</v>
      </c>
      <c r="U274" s="130">
        <f t="shared" ca="1" si="185"/>
        <v>0</v>
      </c>
    </row>
    <row r="275" spans="1:21" ht="19.5" x14ac:dyDescent="0.3">
      <c r="A275" s="220"/>
      <c r="B275" s="221"/>
      <c r="C275" s="73" t="s">
        <v>18</v>
      </c>
      <c r="D275" s="222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226"/>
      <c r="R275" s="227"/>
      <c r="S275" s="227"/>
      <c r="T275" s="227"/>
      <c r="U275" s="227"/>
    </row>
    <row r="276" spans="1:21" ht="18.75" x14ac:dyDescent="0.25">
      <c r="A276" s="424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0">
        <f ca="1">IFERROR(__xludf.DUMMYFUNCTION("IMPORTRANGE(""https://docs.google.com/spreadsheets/d/13wPX838HrBrQMCywv1BsuMkt4PEKTChp52zj44s2izQ/edit?usp=sharing"",""กาญจนบุรี!I276"")+IMPORTRANGE(""https://docs.google.com/spreadsheets/d/1ddFKvqj1W1NEiWytbGlB1zMx_ykJDVtmfEQ-6-lIUBA/edit?usp=sharing"","&amp;"""จันทบุรี!I276"")+IMPORTRANGE(""https://docs.google.com/spreadsheets/d/1T1PQvRODqOBZk8BRht_U031fIS1beLA0Ub2CEytj2q0/edit?usp=sharing"",""ฉะเชิงเทรา!I276"")+IMPORTRANGE(""https://docs.google.com/spreadsheets/d/11tr1B-Bhyr79v2bkwVh5h_fR-PStkgjlZtkrZpYurG0/"&amp;"edit?usp=sharing"",""ชลบุรี!I276"")+IMPORTRANGE(""https://docs.google.com/spreadsheets/d/1hh-FVnSX0vozXhGluamEcS54Dw9_zqW0N7qJUWgJ0Sw/edit?usp=sharing"",""ชัยนาท!I276"")+IMPORTRANGE(""https://docs.google.com/spreadsheets/d/1jkqa6GXxSacMcY1eN8AHjMNJ_7dDXMJ"&amp;"VRLDlaFSOdPM/edit?usp=sharing"",""ตราด!I276"")+IMPORTRANGE(""https://docs.google.com/spreadsheets/d/18hSgUJ3VwClqi_qtULmmW3cLr0oe3OKaSYoKzdpTsYQ/edit?usp=sharing"",""นครนายก!I276"")+IMPORTRANGE(""https://docs.google.com/spreadsheets/d/1YTZo6WM2dQ6Ix6FSdnL"&amp;"5P7uVnVKu40sxZu975tgG10E/edit?usp=sharing"",""นครปฐม!I276"")+IMPORTRANGE(""https://docs.google.com/spreadsheets/d/1OYoGg4WDg5RIzwGeB10padOxJF9E_Vljuvvct_M7RDo/edit?usp=sharing"",""ปทุมธานี!I276"")+IMPORTRANGE(""https://docs.google.com/spreadsheets/d/1GbCI"&amp;"E4D4wk9FUozzqk7SxfDMxDVBwVmI5zcaVUSzKAc/edit?usp=sharing"",""ประจวบคีรีขันธ์!I276"")+IMPORTRANGE(""https://docs.google.com/spreadsheets/d/1vVf6wykvW_lAyu7Yo9L4hUTqHqIeP_qcVuxCtosJEbg/edit?usp=sharing"",""ปราจีนบุรี!I276"")+IMPORTRANGE(""https://docs.googl"&amp;"e.com/spreadsheets/d/1BIDqLLg5jk3v59G8NlR8rk5xfQDKne0sAvZHSj7TI6I/edit?usp=sharing"",""พระนครศรีอยุธยา!I276"")+IMPORTRANGE(""https://docs.google.com/spreadsheets/d/1YXvxf8Yu6_rV4hTBrwMqAcAnv6DfhUxh5emyM3CJp_w/edit?usp=sharing"",""เพชรบุรี!I276"")+IMPORTRA"&amp;"NGE(""https://docs.google.com/spreadsheets/d/19KBlQQs7uwvsao6t2n-KvW3Ax8J8uRRfZPq1zPbXgKc/edit?usp=sharing"",""ระยอง!I276"")+IMPORTRANGE(""https://docs.google.com/spreadsheets/d/1jQ6P4QcrGM89YfqcC_PxOHGCMq5ezhucwJd8ci-NHng/edit?usp=sharing"",""ราชบุรี!I27"&amp;"6"")+IMPORTRANGE(""https://docs.google.com/spreadsheets/d/1lufeA2cfFqM-elVq2hznhDzC6Pr7wkJ9ZG_sYNGCMCU/edit?usp=sharing"",""ลพบุรี!I276"")+IMPORTRANGE(""https://docs.google.com/spreadsheets/d/10oOiF7loTyfsTkbd4MpaIm0HQ9SwB7IYHdIUvt-U1Uc/edit?usp=sharing"""&amp;",""สระแก้ว!I276"")+IMPORTRANGE(""https://docs.google.com/spreadsheets/d/1xmPlrr1QbdSIKvl1dWUl9K4PjAfSL9oeMr_37QVzcxc/edit?usp=sharing"",""สระบุรี!I276"")+IMPORTRANGE(""https://docs.google.com/spreadsheets/d/1j51vR6CYVGhABJpv6tkstgok82RLpXieLzW1yOY5rHw/edi"&amp;"t?usp=sharing"",""สิงห์บุรี!I276"")+IMPORTRANGE(""https://docs.google.com/spreadsheets/d/1H1EalTWKUSzO4Z1-1CwzoDUaVffgrThEBe2sl74kKG0/edit?usp=sharing"",""สุพรรณบุรี!I276"")+IMPORTRANGE(""https://docs.google.com/spreadsheets/d/1BmIruG_sIrJLYao_Pdr7zVArWsf"&amp;"oBt2692TMi6x_854/edit?usp=sharing"",""อ่างทอง!I276"")"),446)</f>
        <v>446</v>
      </c>
      <c r="J276" s="43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380)</f>
        <v>380</v>
      </c>
      <c r="K276" s="432">
        <f ca="1">IF(I276&gt;0,J276*100/I276,0)</f>
        <v>85.20179372197309</v>
      </c>
      <c r="L276" s="384"/>
      <c r="M276" s="384"/>
      <c r="N276" s="384"/>
      <c r="O276" s="384"/>
      <c r="P276" s="384"/>
      <c r="Q276" s="384"/>
      <c r="R276" s="384"/>
      <c r="S276" s="384"/>
      <c r="T276" s="384"/>
      <c r="U276" s="384"/>
    </row>
    <row r="277" spans="1:21" ht="18.75" x14ac:dyDescent="0.25">
      <c r="A277" s="433"/>
      <c r="B277" s="434"/>
      <c r="C277" s="434"/>
      <c r="D277" s="435" t="s">
        <v>116</v>
      </c>
      <c r="E277" s="436"/>
      <c r="F277" s="436"/>
      <c r="G277" s="437"/>
      <c r="H277" s="176" t="s">
        <v>35</v>
      </c>
      <c r="I277" s="337">
        <v>0</v>
      </c>
      <c r="J277" s="337">
        <v>0</v>
      </c>
      <c r="K277" s="438">
        <v>0</v>
      </c>
      <c r="L277" s="439"/>
      <c r="M277" s="439"/>
      <c r="N277" s="439"/>
      <c r="O277" s="439"/>
      <c r="P277" s="439"/>
      <c r="Q277" s="440"/>
      <c r="R277" s="441"/>
      <c r="S277" s="441"/>
      <c r="T277" s="441"/>
      <c r="U277" s="441"/>
    </row>
    <row r="278" spans="1:21" ht="19.5" x14ac:dyDescent="0.3">
      <c r="A278" s="442" t="s">
        <v>117</v>
      </c>
      <c r="B278" s="443"/>
      <c r="C278" s="443"/>
      <c r="D278" s="443"/>
      <c r="E278" s="444"/>
      <c r="F278" s="444"/>
      <c r="G278" s="444"/>
      <c r="H278" s="444"/>
      <c r="I278" s="445"/>
      <c r="J278" s="445"/>
      <c r="K278" s="446"/>
      <c r="L278" s="447"/>
      <c r="M278" s="447"/>
      <c r="N278" s="447"/>
      <c r="O278" s="447"/>
      <c r="P278" s="448"/>
      <c r="Q278" s="449"/>
      <c r="R278" s="450"/>
      <c r="S278" s="450"/>
      <c r="T278" s="450"/>
      <c r="U278" s="451"/>
    </row>
    <row r="279" spans="1:21" ht="19.5" x14ac:dyDescent="0.3">
      <c r="A279" s="452" t="s">
        <v>118</v>
      </c>
      <c r="B279" s="453"/>
      <c r="C279" s="454"/>
      <c r="D279" s="453"/>
      <c r="E279" s="453"/>
      <c r="F279" s="453"/>
      <c r="G279" s="453"/>
      <c r="H279" s="453"/>
      <c r="I279" s="455"/>
      <c r="J279" s="456"/>
      <c r="K279" s="457"/>
      <c r="L279" s="457"/>
      <c r="M279" s="457"/>
      <c r="N279" s="457"/>
      <c r="O279" s="457"/>
      <c r="P279" s="457"/>
      <c r="Q279" s="458"/>
      <c r="R279" s="459"/>
      <c r="S279" s="459"/>
      <c r="T279" s="459"/>
      <c r="U279" s="459"/>
    </row>
    <row r="280" spans="1:21" ht="19.5" x14ac:dyDescent="0.3">
      <c r="A280" s="460"/>
      <c r="B280" s="461" t="s">
        <v>119</v>
      </c>
      <c r="C280" s="462"/>
      <c r="D280" s="463"/>
      <c r="E280" s="462"/>
      <c r="F280" s="462"/>
      <c r="G280" s="464"/>
      <c r="H280" s="465" t="s">
        <v>35</v>
      </c>
      <c r="I280" s="466">
        <f t="shared" ref="I280:J280" ca="1" si="194">I293</f>
        <v>140</v>
      </c>
      <c r="J280" s="466">
        <f t="shared" ca="1" si="194"/>
        <v>10</v>
      </c>
      <c r="K280" s="467">
        <f t="shared" ref="K280:K281" ca="1" si="195">IF(I280&gt;0,J280*100/I280,0)</f>
        <v>7.1428571428571432</v>
      </c>
      <c r="L280" s="468"/>
      <c r="M280" s="468"/>
      <c r="N280" s="468"/>
      <c r="O280" s="468"/>
      <c r="P280" s="468"/>
      <c r="Q280" s="469"/>
      <c r="R280" s="470"/>
      <c r="S280" s="470"/>
      <c r="T280" s="470"/>
      <c r="U280" s="470"/>
    </row>
    <row r="281" spans="1:21" ht="19.5" x14ac:dyDescent="0.3">
      <c r="A281" s="460"/>
      <c r="B281" s="462"/>
      <c r="C281" s="462"/>
      <c r="D281" s="463"/>
      <c r="E281" s="462"/>
      <c r="F281" s="462"/>
      <c r="G281" s="464"/>
      <c r="H281" s="465" t="s">
        <v>46</v>
      </c>
      <c r="I281" s="466">
        <f t="shared" ref="I281:J281" ca="1" si="196">I292</f>
        <v>1400</v>
      </c>
      <c r="J281" s="466">
        <f t="shared" ca="1" si="196"/>
        <v>100</v>
      </c>
      <c r="K281" s="467">
        <f t="shared" ca="1" si="195"/>
        <v>7.1428571428571432</v>
      </c>
      <c r="L281" s="468"/>
      <c r="M281" s="468"/>
      <c r="N281" s="468"/>
      <c r="O281" s="468"/>
      <c r="P281" s="468"/>
      <c r="Q281" s="469"/>
      <c r="R281" s="470"/>
      <c r="S281" s="470"/>
      <c r="T281" s="470"/>
      <c r="U281" s="470"/>
    </row>
    <row r="282" spans="1:21" ht="19.5" x14ac:dyDescent="0.3">
      <c r="A282" s="207"/>
      <c r="B282" s="65"/>
      <c r="C282" s="208" t="s">
        <v>18</v>
      </c>
      <c r="D282" s="209" t="s">
        <v>19</v>
      </c>
      <c r="E282" s="65"/>
      <c r="F282" s="65"/>
      <c r="G282" s="67"/>
      <c r="H282" s="210" t="s">
        <v>14</v>
      </c>
      <c r="I282" s="69"/>
      <c r="J282" s="69"/>
      <c r="K282" s="70"/>
      <c r="L282" s="211">
        <f t="shared" ref="L282:N282" ca="1" si="197">L283+L284</f>
        <v>567120</v>
      </c>
      <c r="M282" s="211">
        <f t="shared" ca="1" si="197"/>
        <v>567120</v>
      </c>
      <c r="N282" s="211">
        <f t="shared" ca="1" si="197"/>
        <v>143375</v>
      </c>
      <c r="O282" s="211">
        <f t="shared" ref="O282:O290" ca="1" si="198">IF(L282&gt;0,N282*100/L282,0)</f>
        <v>25.281245591761884</v>
      </c>
      <c r="P282" s="211">
        <f t="shared" ref="P282:P290" ca="1" si="199">IF(M282&gt;0,N282*100/M282,0)</f>
        <v>25.281245591761884</v>
      </c>
      <c r="Q282" s="212">
        <f t="shared" ref="Q282:S282" ca="1" si="200">Q283+Q284</f>
        <v>0</v>
      </c>
      <c r="R282" s="213">
        <f t="shared" ca="1" si="200"/>
        <v>0</v>
      </c>
      <c r="S282" s="213">
        <f t="shared" ca="1" si="200"/>
        <v>0</v>
      </c>
      <c r="T282" s="213">
        <f t="shared" ref="T282:T290" ca="1" si="201">IF(Q282&gt;0,S282*100/Q282,0)</f>
        <v>0</v>
      </c>
      <c r="U282" s="213">
        <f t="shared" ref="U282:U290" ca="1" si="202">IF(R282&gt;0,S282*100/R282,0)</f>
        <v>0</v>
      </c>
    </row>
    <row r="283" spans="1:21" ht="18.75" hidden="1" x14ac:dyDescent="0.25">
      <c r="A283" s="207"/>
      <c r="B283" s="65"/>
      <c r="C283" s="65"/>
      <c r="D283" s="65"/>
      <c r="E283" s="73" t="s">
        <v>20</v>
      </c>
      <c r="F283" s="65"/>
      <c r="G283" s="67"/>
      <c r="H283" s="214" t="s">
        <v>14</v>
      </c>
      <c r="I283" s="69"/>
      <c r="J283" s="69"/>
      <c r="K283" s="70"/>
      <c r="L283" s="86">
        <f t="shared" ref="L283:N283" ca="1" si="203">L286+L289</f>
        <v>0</v>
      </c>
      <c r="M283" s="86">
        <f t="shared" ca="1" si="203"/>
        <v>0</v>
      </c>
      <c r="N283" s="86">
        <f t="shared" ca="1" si="203"/>
        <v>0</v>
      </c>
      <c r="O283" s="86">
        <f t="shared" ca="1" si="198"/>
        <v>0</v>
      </c>
      <c r="P283" s="86">
        <f t="shared" ca="1" si="199"/>
        <v>0</v>
      </c>
      <c r="Q283" s="215">
        <f t="shared" ref="Q283:S283" ca="1" si="204">Q286+Q289</f>
        <v>0</v>
      </c>
      <c r="R283" s="131">
        <f t="shared" ca="1" si="204"/>
        <v>0</v>
      </c>
      <c r="S283" s="131">
        <f t="shared" ca="1" si="204"/>
        <v>0</v>
      </c>
      <c r="T283" s="131">
        <f t="shared" ca="1" si="201"/>
        <v>0</v>
      </c>
      <c r="U283" s="131">
        <f t="shared" ca="1" si="202"/>
        <v>0</v>
      </c>
    </row>
    <row r="284" spans="1:21" ht="18.75" hidden="1" x14ac:dyDescent="0.25">
      <c r="A284" s="207"/>
      <c r="B284" s="65"/>
      <c r="C284" s="65"/>
      <c r="D284" s="65"/>
      <c r="E284" s="73" t="s">
        <v>21</v>
      </c>
      <c r="F284" s="65"/>
      <c r="G284" s="67"/>
      <c r="H284" s="214" t="s">
        <v>14</v>
      </c>
      <c r="I284" s="69"/>
      <c r="J284" s="69"/>
      <c r="K284" s="70"/>
      <c r="L284" s="86">
        <f t="shared" ref="L284:N284" ca="1" si="205">L287+L290</f>
        <v>567120</v>
      </c>
      <c r="M284" s="86">
        <f t="shared" ca="1" si="205"/>
        <v>567120</v>
      </c>
      <c r="N284" s="86">
        <f t="shared" ca="1" si="205"/>
        <v>143375</v>
      </c>
      <c r="O284" s="86">
        <f t="shared" ca="1" si="198"/>
        <v>25.281245591761884</v>
      </c>
      <c r="P284" s="86">
        <f t="shared" ca="1" si="199"/>
        <v>25.281245591761884</v>
      </c>
      <c r="Q284" s="129">
        <f t="shared" ref="Q284:S284" ca="1" si="206">Q287+Q290</f>
        <v>0</v>
      </c>
      <c r="R284" s="130">
        <f t="shared" ca="1" si="206"/>
        <v>0</v>
      </c>
      <c r="S284" s="130">
        <f t="shared" ca="1" si="206"/>
        <v>0</v>
      </c>
      <c r="T284" s="130">
        <f t="shared" ca="1" si="201"/>
        <v>0</v>
      </c>
      <c r="U284" s="130">
        <f t="shared" ca="1" si="202"/>
        <v>0</v>
      </c>
    </row>
    <row r="285" spans="1:21" ht="18.75" x14ac:dyDescent="0.25">
      <c r="A285" s="207"/>
      <c r="B285" s="65"/>
      <c r="C285" s="65"/>
      <c r="D285" s="66" t="s">
        <v>22</v>
      </c>
      <c r="E285" s="65"/>
      <c r="F285" s="65"/>
      <c r="G285" s="67"/>
      <c r="H285" s="216" t="s">
        <v>14</v>
      </c>
      <c r="I285" s="217"/>
      <c r="J285" s="217"/>
      <c r="K285" s="218"/>
      <c r="L285" s="86">
        <f t="shared" ref="L285:N285" ca="1" si="207">L286+L287</f>
        <v>567120</v>
      </c>
      <c r="M285" s="86">
        <f t="shared" ca="1" si="207"/>
        <v>567120</v>
      </c>
      <c r="N285" s="86">
        <f t="shared" ca="1" si="207"/>
        <v>143375</v>
      </c>
      <c r="O285" s="86">
        <f t="shared" ca="1" si="198"/>
        <v>25.281245591761884</v>
      </c>
      <c r="P285" s="86">
        <f t="shared" ca="1" si="199"/>
        <v>25.281245591761884</v>
      </c>
      <c r="Q285" s="129">
        <f t="shared" ref="Q285:S285" ca="1" si="208">Q286+Q287</f>
        <v>0</v>
      </c>
      <c r="R285" s="130">
        <f t="shared" ca="1" si="208"/>
        <v>0</v>
      </c>
      <c r="S285" s="130">
        <f t="shared" ca="1" si="208"/>
        <v>0</v>
      </c>
      <c r="T285" s="130">
        <f t="shared" ca="1" si="201"/>
        <v>0</v>
      </c>
      <c r="U285" s="130">
        <f t="shared" ca="1" si="202"/>
        <v>0</v>
      </c>
    </row>
    <row r="286" spans="1:21" ht="18.75" hidden="1" x14ac:dyDescent="0.25">
      <c r="A286" s="207"/>
      <c r="B286" s="65"/>
      <c r="C286" s="65"/>
      <c r="D286" s="65"/>
      <c r="E286" s="73" t="s">
        <v>36</v>
      </c>
      <c r="F286" s="65"/>
      <c r="G286" s="67"/>
      <c r="H286" s="216" t="s">
        <v>14</v>
      </c>
      <c r="I286" s="217"/>
      <c r="J286" s="217"/>
      <c r="K286" s="218"/>
      <c r="L286" s="86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6" s="86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6" s="86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6" s="86">
        <f t="shared" ca="1" si="198"/>
        <v>0</v>
      </c>
      <c r="P286" s="86">
        <f t="shared" ca="1" si="199"/>
        <v>0</v>
      </c>
      <c r="Q286" s="74">
        <f ca="1">IFERROR(__xludf.DUMMYFUNCTION("IMPORTRANGE(""https://docs.google.com/spreadsheets/d/13wPX838HrBrQMCywv1BsuMkt4PEKTChp52zj44s2izQ/edit?usp=sharing"",""กาญจนบุรี!Q286"")+IMPORTRANGE(""https://docs.google.com/spreadsheets/d/1ddFKvqj1W1NEiWytbGlB1zMx_ykJDVtmfEQ-6-lIUBA/edit?usp=sharing"","&amp;"""จันทบุรี!Q286"")+IMPORTRANGE(""https://docs.google.com/spreadsheets/d/1T1PQvRODqOBZk8BRht_U031fIS1beLA0Ub2CEytj2q0/edit?usp=sharing"",""ฉะเชิงเทรา!Q286"")+IMPORTRANGE(""https://docs.google.com/spreadsheets/d/11tr1B-Bhyr79v2bkwVh5h_fR-PStkgjlZtkrZpYurG0/"&amp;"edit?usp=sharing"",""ชลบุรี!Q286"")+IMPORTRANGE(""https://docs.google.com/spreadsheets/d/1hh-FVnSX0vozXhGluamEcS54Dw9_zqW0N7qJUWgJ0Sw/edit?usp=sharing"",""ชัยนาท!Q286"")+IMPORTRANGE(""https://docs.google.com/spreadsheets/d/1jkqa6GXxSacMcY1eN8AHjMNJ_7dDXMJ"&amp;"VRLDlaFSOdPM/edit?usp=sharing"",""ตราด!Q286"")+IMPORTRANGE(""https://docs.google.com/spreadsheets/d/18hSgUJ3VwClqi_qtULmmW3cLr0oe3OKaSYoKzdpTsYQ/edit?usp=sharing"",""นครนายก!Q286"")+IMPORTRANGE(""https://docs.google.com/spreadsheets/d/1YTZo6WM2dQ6Ix6FSdnL"&amp;"5P7uVnVKu40sxZu975tgG10E/edit?usp=sharing"",""นครปฐม!Q286"")+IMPORTRANGE(""https://docs.google.com/spreadsheets/d/1OYoGg4WDg5RIzwGeB10padOxJF9E_Vljuvvct_M7RDo/edit?usp=sharing"",""ปทุมธานี!Q286"")+IMPORTRANGE(""https://docs.google.com/spreadsheets/d/1GbCI"&amp;"E4D4wk9FUozzqk7SxfDMxDVBwVmI5zcaVUSzKAc/edit?usp=sharing"",""ประจวบคีรีขันธ์!Q286"")+IMPORTRANGE(""https://docs.google.com/spreadsheets/d/1vVf6wykvW_lAyu7Yo9L4hUTqHqIeP_qcVuxCtosJEbg/edit?usp=sharing"",""ปราจีนบุรี!Q286"")+IMPORTRANGE(""https://docs.googl"&amp;"e.com/spreadsheets/d/1BIDqLLg5jk3v59G8NlR8rk5xfQDKne0sAvZHSj7TI6I/edit?usp=sharing"",""พระนครศรีอยุธยา!Q286"")+IMPORTRANGE(""https://docs.google.com/spreadsheets/d/1YXvxf8Yu6_rV4hTBrwMqAcAnv6DfhUxh5emyM3CJp_w/edit?usp=sharing"",""เพชรบุรี!Q286"")+IMPORTRA"&amp;"NGE(""https://docs.google.com/spreadsheets/d/19KBlQQs7uwvsao6t2n-KvW3Ax8J8uRRfZPq1zPbXgKc/edit?usp=sharing"",""ระยอง!Q286"")+IMPORTRANGE(""https://docs.google.com/spreadsheets/d/1jQ6P4QcrGM89YfqcC_PxOHGCMq5ezhucwJd8ci-NHng/edit?usp=sharing"",""ราชบุรี!Q28"&amp;"6"")+IMPORTRANGE(""https://docs.google.com/spreadsheets/d/1lufeA2cfFqM-elVq2hznhDzC6Pr7wkJ9ZG_sYNGCMCU/edit?usp=sharing"",""ลพบุรี!Q286"")+IMPORTRANGE(""https://docs.google.com/spreadsheets/d/10oOiF7loTyfsTkbd4MpaIm0HQ9SwB7IYHdIUvt-U1Uc/edit?usp=sharing"""&amp;",""สระแก้ว!Q286"")+IMPORTRANGE(""https://docs.google.com/spreadsheets/d/1xmPlrr1QbdSIKvl1dWUl9K4PjAfSL9oeMr_37QVzcxc/edit?usp=sharing"",""สระบุรี!Q286"")+IMPORTRANGE(""https://docs.google.com/spreadsheets/d/1j51vR6CYVGhABJpv6tkstgok82RLpXieLzW1yOY5rHw/edi"&amp;"t?usp=sharing"",""สิงห์บุรี!Q286"")+IMPORTRANGE(""https://docs.google.com/spreadsheets/d/1H1EalTWKUSzO4Z1-1CwzoDUaVffgrThEBe2sl74kKG0/edit?usp=sharing"",""สุพรรณบุรี!Q286"")+IMPORTRANGE(""https://docs.google.com/spreadsheets/d/1BmIruG_sIrJLYao_Pdr7zVArWsf"&amp;"oBt2692TMi6x_854/edit?usp=sharing"",""อ่างทอง!Q286"")"),0)</f>
        <v>0</v>
      </c>
      <c r="R286" s="75">
        <f ca="1">IFERROR(__xludf.DUMMYFUNCTION("IMPORTRANGE(""https://docs.google.com/spreadsheets/d/13wPX838HrBrQMCywv1BsuMkt4PEKTChp52zj44s2izQ/edit?usp=sharing"",""กาญจนบุรี!R286"")+IMPORTRANGE(""https://docs.google.com/spreadsheets/d/1ddFKvqj1W1NEiWytbGlB1zMx_ykJDVtmfEQ-6-lIUBA/edit?usp=sharing"","&amp;"""จันทบุรี!R286"")+IMPORTRANGE(""https://docs.google.com/spreadsheets/d/1T1PQvRODqOBZk8BRht_U031fIS1beLA0Ub2CEytj2q0/edit?usp=sharing"",""ฉะเชิงเทรา!R286"")+IMPORTRANGE(""https://docs.google.com/spreadsheets/d/11tr1B-Bhyr79v2bkwVh5h_fR-PStkgjlZtkrZpYurG0/"&amp;"edit?usp=sharing"",""ชลบุรี!R286"")+IMPORTRANGE(""https://docs.google.com/spreadsheets/d/1hh-FVnSX0vozXhGluamEcS54Dw9_zqW0N7qJUWgJ0Sw/edit?usp=sharing"",""ชัยนาท!R286"")+IMPORTRANGE(""https://docs.google.com/spreadsheets/d/1jkqa6GXxSacMcY1eN8AHjMNJ_7dDXMJ"&amp;"VRLDlaFSOdPM/edit?usp=sharing"",""ตราด!R286"")+IMPORTRANGE(""https://docs.google.com/spreadsheets/d/18hSgUJ3VwClqi_qtULmmW3cLr0oe3OKaSYoKzdpTsYQ/edit?usp=sharing"",""นครนายก!R286"")+IMPORTRANGE(""https://docs.google.com/spreadsheets/d/1YTZo6WM2dQ6Ix6FSdnL"&amp;"5P7uVnVKu40sxZu975tgG10E/edit?usp=sharing"",""นครปฐม!R286"")+IMPORTRANGE(""https://docs.google.com/spreadsheets/d/1OYoGg4WDg5RIzwGeB10padOxJF9E_Vljuvvct_M7RDo/edit?usp=sharing"",""ปทุมธานี!R286"")+IMPORTRANGE(""https://docs.google.com/spreadsheets/d/1GbCI"&amp;"E4D4wk9FUozzqk7SxfDMxDVBwVmI5zcaVUSzKAc/edit?usp=sharing"",""ประจวบคีรีขันธ์!R286"")+IMPORTRANGE(""https://docs.google.com/spreadsheets/d/1vVf6wykvW_lAyu7Yo9L4hUTqHqIeP_qcVuxCtosJEbg/edit?usp=sharing"",""ปราจีนบุรี!R286"")+IMPORTRANGE(""https://docs.googl"&amp;"e.com/spreadsheets/d/1BIDqLLg5jk3v59G8NlR8rk5xfQDKne0sAvZHSj7TI6I/edit?usp=sharing"",""พระนครศรีอยุธยา!R286"")+IMPORTRANGE(""https://docs.google.com/spreadsheets/d/1YXvxf8Yu6_rV4hTBrwMqAcAnv6DfhUxh5emyM3CJp_w/edit?usp=sharing"",""เพชรบุรี!R286"")+IMPORTRA"&amp;"NGE(""https://docs.google.com/spreadsheets/d/19KBlQQs7uwvsao6t2n-KvW3Ax8J8uRRfZPq1zPbXgKc/edit?usp=sharing"",""ระยอง!R286"")+IMPORTRANGE(""https://docs.google.com/spreadsheets/d/1jQ6P4QcrGM89YfqcC_PxOHGCMq5ezhucwJd8ci-NHng/edit?usp=sharing"",""ราชบุรี!R28"&amp;"6"")+IMPORTRANGE(""https://docs.google.com/spreadsheets/d/1lufeA2cfFqM-elVq2hznhDzC6Pr7wkJ9ZG_sYNGCMCU/edit?usp=sharing"",""ลพบุรี!R286"")+IMPORTRANGE(""https://docs.google.com/spreadsheets/d/10oOiF7loTyfsTkbd4MpaIm0HQ9SwB7IYHdIUvt-U1Uc/edit?usp=sharing"""&amp;",""สระแก้ว!R286"")+IMPORTRANGE(""https://docs.google.com/spreadsheets/d/1xmPlrr1QbdSIKvl1dWUl9K4PjAfSL9oeMr_37QVzcxc/edit?usp=sharing"",""สระบุรี!R286"")+IMPORTRANGE(""https://docs.google.com/spreadsheets/d/1j51vR6CYVGhABJpv6tkstgok82RLpXieLzW1yOY5rHw/edi"&amp;"t?usp=sharing"",""สิงห์บุรี!R286"")+IMPORTRANGE(""https://docs.google.com/spreadsheets/d/1H1EalTWKUSzO4Z1-1CwzoDUaVffgrThEBe2sl74kKG0/edit?usp=sharing"",""สุพรรณบุรี!R286"")+IMPORTRANGE(""https://docs.google.com/spreadsheets/d/1BmIruG_sIrJLYao_Pdr7zVArWsf"&amp;"oBt2692TMi6x_854/edit?usp=sharing"",""อ่างทอง!R286"")"),0)</f>
        <v>0</v>
      </c>
      <c r="S286" s="75">
        <f ca="1">IFERROR(__xludf.DUMMYFUNCTION("IMPORTRANGE(""https://docs.google.com/spreadsheets/d/13wPX838HrBrQMCywv1BsuMkt4PEKTChp52zj44s2izQ/edit?usp=sharing"",""กาญจนบุรี!S286"")+IMPORTRANGE(""https://docs.google.com/spreadsheets/d/1ddFKvqj1W1NEiWytbGlB1zMx_ykJDVtmfEQ-6-lIUBA/edit?usp=sharing"","&amp;"""จันทบุรี!S286"")+IMPORTRANGE(""https://docs.google.com/spreadsheets/d/1T1PQvRODqOBZk8BRht_U031fIS1beLA0Ub2CEytj2q0/edit?usp=sharing"",""ฉะเชิงเทรา!S286"")+IMPORTRANGE(""https://docs.google.com/spreadsheets/d/11tr1B-Bhyr79v2bkwVh5h_fR-PStkgjlZtkrZpYurG0/"&amp;"edit?usp=sharing"",""ชลบุรี!S286"")+IMPORTRANGE(""https://docs.google.com/spreadsheets/d/1hh-FVnSX0vozXhGluamEcS54Dw9_zqW0N7qJUWgJ0Sw/edit?usp=sharing"",""ชัยนาท!S286"")+IMPORTRANGE(""https://docs.google.com/spreadsheets/d/1jkqa6GXxSacMcY1eN8AHjMNJ_7dDXMJ"&amp;"VRLDlaFSOdPM/edit?usp=sharing"",""ตราด!S286"")+IMPORTRANGE(""https://docs.google.com/spreadsheets/d/18hSgUJ3VwClqi_qtULmmW3cLr0oe3OKaSYoKzdpTsYQ/edit?usp=sharing"",""นครนายก!S286"")+IMPORTRANGE(""https://docs.google.com/spreadsheets/d/1YTZo6WM2dQ6Ix6FSdnL"&amp;"5P7uVnVKu40sxZu975tgG10E/edit?usp=sharing"",""นครปฐม!S286"")+IMPORTRANGE(""https://docs.google.com/spreadsheets/d/1OYoGg4WDg5RIzwGeB10padOxJF9E_Vljuvvct_M7RDo/edit?usp=sharing"",""ปทุมธานี!S286"")+IMPORTRANGE(""https://docs.google.com/spreadsheets/d/1GbCI"&amp;"E4D4wk9FUozzqk7SxfDMxDVBwVmI5zcaVUSzKAc/edit?usp=sharing"",""ประจวบคีรีขันธ์!S286"")+IMPORTRANGE(""https://docs.google.com/spreadsheets/d/1vVf6wykvW_lAyu7Yo9L4hUTqHqIeP_qcVuxCtosJEbg/edit?usp=sharing"",""ปราจีนบุรี!S286"")+IMPORTRANGE(""https://docs.googl"&amp;"e.com/spreadsheets/d/1BIDqLLg5jk3v59G8NlR8rk5xfQDKne0sAvZHSj7TI6I/edit?usp=sharing"",""พระนครศรีอยุธยา!S286"")+IMPORTRANGE(""https://docs.google.com/spreadsheets/d/1YXvxf8Yu6_rV4hTBrwMqAcAnv6DfhUxh5emyM3CJp_w/edit?usp=sharing"",""เพชรบุรี!S286"")+IMPORTRA"&amp;"NGE(""https://docs.google.com/spreadsheets/d/19KBlQQs7uwvsao6t2n-KvW3Ax8J8uRRfZPq1zPbXgKc/edit?usp=sharing"",""ระยอง!S286"")+IMPORTRANGE(""https://docs.google.com/spreadsheets/d/1jQ6P4QcrGM89YfqcC_PxOHGCMq5ezhucwJd8ci-NHng/edit?usp=sharing"",""ราชบุรี!S28"&amp;"6"")+IMPORTRANGE(""https://docs.google.com/spreadsheets/d/1lufeA2cfFqM-elVq2hznhDzC6Pr7wkJ9ZG_sYNGCMCU/edit?usp=sharing"",""ลพบุรี!S286"")+IMPORTRANGE(""https://docs.google.com/spreadsheets/d/10oOiF7loTyfsTkbd4MpaIm0HQ9SwB7IYHdIUvt-U1Uc/edit?usp=sharing"""&amp;",""สระแก้ว!S286"")+IMPORTRANGE(""https://docs.google.com/spreadsheets/d/1xmPlrr1QbdSIKvl1dWUl9K4PjAfSL9oeMr_37QVzcxc/edit?usp=sharing"",""สระบุรี!S286"")+IMPORTRANGE(""https://docs.google.com/spreadsheets/d/1j51vR6CYVGhABJpv6tkstgok82RLpXieLzW1yOY5rHw/edi"&amp;"t?usp=sharing"",""สิงห์บุรี!S286"")+IMPORTRANGE(""https://docs.google.com/spreadsheets/d/1H1EalTWKUSzO4Z1-1CwzoDUaVffgrThEBe2sl74kKG0/edit?usp=sharing"",""สุพรรณบุรี!S286"")+IMPORTRANGE(""https://docs.google.com/spreadsheets/d/1BmIruG_sIrJLYao_Pdr7zVArWsf"&amp;"oBt2692TMi6x_854/edit?usp=sharing"",""อ่างทอง!S286"")"),0)</f>
        <v>0</v>
      </c>
      <c r="T286" s="131">
        <f t="shared" ca="1" si="201"/>
        <v>0</v>
      </c>
      <c r="U286" s="131">
        <f t="shared" ca="1" si="202"/>
        <v>0</v>
      </c>
    </row>
    <row r="287" spans="1:21" ht="18.75" hidden="1" x14ac:dyDescent="0.25">
      <c r="A287" s="207"/>
      <c r="B287" s="65"/>
      <c r="C287" s="65"/>
      <c r="D287" s="65"/>
      <c r="E287" s="73" t="s">
        <v>37</v>
      </c>
      <c r="F287" s="65"/>
      <c r="G287" s="67"/>
      <c r="H287" s="216" t="s">
        <v>14</v>
      </c>
      <c r="I287" s="217"/>
      <c r="J287" s="217"/>
      <c r="K287" s="218"/>
      <c r="L287" s="86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567120)</f>
        <v>567120</v>
      </c>
      <c r="M287" s="86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567120)</f>
        <v>567120</v>
      </c>
      <c r="N287" s="86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143375)</f>
        <v>143375</v>
      </c>
      <c r="O287" s="86">
        <f t="shared" ca="1" si="198"/>
        <v>25.281245591761884</v>
      </c>
      <c r="P287" s="86">
        <f t="shared" ca="1" si="199"/>
        <v>25.281245591761884</v>
      </c>
      <c r="Q287" s="71">
        <f ca="1">IFERROR(__xludf.DUMMYFUNCTION("IMPORTRANGE(""https://docs.google.com/spreadsheets/d/13wPX838HrBrQMCywv1BsuMkt4PEKTChp52zj44s2izQ/edit?usp=sharing"",""กาญจนบุรี!Q287"")+IMPORTRANGE(""https://docs.google.com/spreadsheets/d/1ddFKvqj1W1NEiWytbGlB1zMx_ykJDVtmfEQ-6-lIUBA/edit?usp=sharing"","&amp;"""จันทบุรี!Q287"")+IMPORTRANGE(""https://docs.google.com/spreadsheets/d/1T1PQvRODqOBZk8BRht_U031fIS1beLA0Ub2CEytj2q0/edit?usp=sharing"",""ฉะเชิงเทรา!Q287"")+IMPORTRANGE(""https://docs.google.com/spreadsheets/d/11tr1B-Bhyr79v2bkwVh5h_fR-PStkgjlZtkrZpYurG0/"&amp;"edit?usp=sharing"",""ชลบุรี!Q287"")+IMPORTRANGE(""https://docs.google.com/spreadsheets/d/1hh-FVnSX0vozXhGluamEcS54Dw9_zqW0N7qJUWgJ0Sw/edit?usp=sharing"",""ชัยนาท!Q287"")+IMPORTRANGE(""https://docs.google.com/spreadsheets/d/1jkqa6GXxSacMcY1eN8AHjMNJ_7dDXMJ"&amp;"VRLDlaFSOdPM/edit?usp=sharing"",""ตราด!Q287"")+IMPORTRANGE(""https://docs.google.com/spreadsheets/d/18hSgUJ3VwClqi_qtULmmW3cLr0oe3OKaSYoKzdpTsYQ/edit?usp=sharing"",""นครนายก!Q287"")+IMPORTRANGE(""https://docs.google.com/spreadsheets/d/1YTZo6WM2dQ6Ix6FSdnL"&amp;"5P7uVnVKu40sxZu975tgG10E/edit?usp=sharing"",""นครปฐม!Q287"")+IMPORTRANGE(""https://docs.google.com/spreadsheets/d/1OYoGg4WDg5RIzwGeB10padOxJF9E_Vljuvvct_M7RDo/edit?usp=sharing"",""ปทุมธานี!Q287"")+IMPORTRANGE(""https://docs.google.com/spreadsheets/d/1GbCI"&amp;"E4D4wk9FUozzqk7SxfDMxDVBwVmI5zcaVUSzKAc/edit?usp=sharing"",""ประจวบคีรีขันธ์!Q287"")+IMPORTRANGE(""https://docs.google.com/spreadsheets/d/1vVf6wykvW_lAyu7Yo9L4hUTqHqIeP_qcVuxCtosJEbg/edit?usp=sharing"",""ปราจีนบุรี!Q287"")+IMPORTRANGE(""https://docs.googl"&amp;"e.com/spreadsheets/d/1BIDqLLg5jk3v59G8NlR8rk5xfQDKne0sAvZHSj7TI6I/edit?usp=sharing"",""พระนครศรีอยุธยา!Q287"")+IMPORTRANGE(""https://docs.google.com/spreadsheets/d/1YXvxf8Yu6_rV4hTBrwMqAcAnv6DfhUxh5emyM3CJp_w/edit?usp=sharing"",""เพชรบุรี!Q287"")+IMPORTRA"&amp;"NGE(""https://docs.google.com/spreadsheets/d/19KBlQQs7uwvsao6t2n-KvW3Ax8J8uRRfZPq1zPbXgKc/edit?usp=sharing"",""ระยอง!Q287"")+IMPORTRANGE(""https://docs.google.com/spreadsheets/d/1jQ6P4QcrGM89YfqcC_PxOHGCMq5ezhucwJd8ci-NHng/edit?usp=sharing"",""ราชบุรี!Q28"&amp;"7"")+IMPORTRANGE(""https://docs.google.com/spreadsheets/d/1lufeA2cfFqM-elVq2hznhDzC6Pr7wkJ9ZG_sYNGCMCU/edit?usp=sharing"",""ลพบุรี!Q287"")+IMPORTRANGE(""https://docs.google.com/spreadsheets/d/10oOiF7loTyfsTkbd4MpaIm0HQ9SwB7IYHdIUvt-U1Uc/edit?usp=sharing"""&amp;",""สระแก้ว!Q287"")+IMPORTRANGE(""https://docs.google.com/spreadsheets/d/1xmPlrr1QbdSIKvl1dWUl9K4PjAfSL9oeMr_37QVzcxc/edit?usp=sharing"",""สระบุรี!Q287"")+IMPORTRANGE(""https://docs.google.com/spreadsheets/d/1j51vR6CYVGhABJpv6tkstgok82RLpXieLzW1yOY5rHw/edi"&amp;"t?usp=sharing"",""สิงห์บุรี!Q287"")+IMPORTRANGE(""https://docs.google.com/spreadsheets/d/1H1EalTWKUSzO4Z1-1CwzoDUaVffgrThEBe2sl74kKG0/edit?usp=sharing"",""สุพรรณบุรี!Q287"")+IMPORTRANGE(""https://docs.google.com/spreadsheets/d/1BmIruG_sIrJLYao_Pdr7zVArWsf"&amp;"oBt2692TMi6x_854/edit?usp=sharing"",""อ่างทอง!Q287"")"),0)</f>
        <v>0</v>
      </c>
      <c r="R287" s="72">
        <f ca="1">IFERROR(__xludf.DUMMYFUNCTION("IMPORTRANGE(""https://docs.google.com/spreadsheets/d/13wPX838HrBrQMCywv1BsuMkt4PEKTChp52zj44s2izQ/edit?usp=sharing"",""กาญจนบุรี!R287"")+IMPORTRANGE(""https://docs.google.com/spreadsheets/d/1ddFKvqj1W1NEiWytbGlB1zMx_ykJDVtmfEQ-6-lIUBA/edit?usp=sharing"","&amp;"""จันทบุรี!R287"")+IMPORTRANGE(""https://docs.google.com/spreadsheets/d/1T1PQvRODqOBZk8BRht_U031fIS1beLA0Ub2CEytj2q0/edit?usp=sharing"",""ฉะเชิงเทรา!R287"")+IMPORTRANGE(""https://docs.google.com/spreadsheets/d/11tr1B-Bhyr79v2bkwVh5h_fR-PStkgjlZtkrZpYurG0/"&amp;"edit?usp=sharing"",""ชลบุรี!R287"")+IMPORTRANGE(""https://docs.google.com/spreadsheets/d/1hh-FVnSX0vozXhGluamEcS54Dw9_zqW0N7qJUWgJ0Sw/edit?usp=sharing"",""ชัยนาท!R287"")+IMPORTRANGE(""https://docs.google.com/spreadsheets/d/1jkqa6GXxSacMcY1eN8AHjMNJ_7dDXMJ"&amp;"VRLDlaFSOdPM/edit?usp=sharing"",""ตราด!R287"")+IMPORTRANGE(""https://docs.google.com/spreadsheets/d/18hSgUJ3VwClqi_qtULmmW3cLr0oe3OKaSYoKzdpTsYQ/edit?usp=sharing"",""นครนายก!R287"")+IMPORTRANGE(""https://docs.google.com/spreadsheets/d/1YTZo6WM2dQ6Ix6FSdnL"&amp;"5P7uVnVKu40sxZu975tgG10E/edit?usp=sharing"",""นครปฐม!R287"")+IMPORTRANGE(""https://docs.google.com/spreadsheets/d/1OYoGg4WDg5RIzwGeB10padOxJF9E_Vljuvvct_M7RDo/edit?usp=sharing"",""ปทุมธานี!R287"")+IMPORTRANGE(""https://docs.google.com/spreadsheets/d/1GbCI"&amp;"E4D4wk9FUozzqk7SxfDMxDVBwVmI5zcaVUSzKAc/edit?usp=sharing"",""ประจวบคีรีขันธ์!R287"")+IMPORTRANGE(""https://docs.google.com/spreadsheets/d/1vVf6wykvW_lAyu7Yo9L4hUTqHqIeP_qcVuxCtosJEbg/edit?usp=sharing"",""ปราจีนบุรี!R287"")+IMPORTRANGE(""https://docs.googl"&amp;"e.com/spreadsheets/d/1BIDqLLg5jk3v59G8NlR8rk5xfQDKne0sAvZHSj7TI6I/edit?usp=sharing"",""พระนครศรีอยุธยา!R287"")+IMPORTRANGE(""https://docs.google.com/spreadsheets/d/1YXvxf8Yu6_rV4hTBrwMqAcAnv6DfhUxh5emyM3CJp_w/edit?usp=sharing"",""เพชรบุรี!R287"")+IMPORTRA"&amp;"NGE(""https://docs.google.com/spreadsheets/d/19KBlQQs7uwvsao6t2n-KvW3Ax8J8uRRfZPq1zPbXgKc/edit?usp=sharing"",""ระยอง!R287"")+IMPORTRANGE(""https://docs.google.com/spreadsheets/d/1jQ6P4QcrGM89YfqcC_PxOHGCMq5ezhucwJd8ci-NHng/edit?usp=sharing"",""ราชบุรี!R28"&amp;"7"")+IMPORTRANGE(""https://docs.google.com/spreadsheets/d/1lufeA2cfFqM-elVq2hznhDzC6Pr7wkJ9ZG_sYNGCMCU/edit?usp=sharing"",""ลพบุรี!R287"")+IMPORTRANGE(""https://docs.google.com/spreadsheets/d/10oOiF7loTyfsTkbd4MpaIm0HQ9SwB7IYHdIUvt-U1Uc/edit?usp=sharing"""&amp;",""สระแก้ว!R287"")+IMPORTRANGE(""https://docs.google.com/spreadsheets/d/1xmPlrr1QbdSIKvl1dWUl9K4PjAfSL9oeMr_37QVzcxc/edit?usp=sharing"",""สระบุรี!R287"")+IMPORTRANGE(""https://docs.google.com/spreadsheets/d/1j51vR6CYVGhABJpv6tkstgok82RLpXieLzW1yOY5rHw/edi"&amp;"t?usp=sharing"",""สิงห์บุรี!R287"")+IMPORTRANGE(""https://docs.google.com/spreadsheets/d/1H1EalTWKUSzO4Z1-1CwzoDUaVffgrThEBe2sl74kKG0/edit?usp=sharing"",""สุพรรณบุรี!R287"")+IMPORTRANGE(""https://docs.google.com/spreadsheets/d/1BmIruG_sIrJLYao_Pdr7zVArWsf"&amp;"oBt2692TMi6x_854/edit?usp=sharing"",""อ่างทอง!R287"")"),0)</f>
        <v>0</v>
      </c>
      <c r="S287" s="72">
        <f ca="1">IFERROR(__xludf.DUMMYFUNCTION("IMPORTRANGE(""https://docs.google.com/spreadsheets/d/13wPX838HrBrQMCywv1BsuMkt4PEKTChp52zj44s2izQ/edit?usp=sharing"",""กาญจนบุรี!S287"")+IMPORTRANGE(""https://docs.google.com/spreadsheets/d/1ddFKvqj1W1NEiWytbGlB1zMx_ykJDVtmfEQ-6-lIUBA/edit?usp=sharing"","&amp;"""จันทบุรี!S287"")+IMPORTRANGE(""https://docs.google.com/spreadsheets/d/1T1PQvRODqOBZk8BRht_U031fIS1beLA0Ub2CEytj2q0/edit?usp=sharing"",""ฉะเชิงเทรา!S287"")+IMPORTRANGE(""https://docs.google.com/spreadsheets/d/11tr1B-Bhyr79v2bkwVh5h_fR-PStkgjlZtkrZpYurG0/"&amp;"edit?usp=sharing"",""ชลบุรี!S287"")+IMPORTRANGE(""https://docs.google.com/spreadsheets/d/1hh-FVnSX0vozXhGluamEcS54Dw9_zqW0N7qJUWgJ0Sw/edit?usp=sharing"",""ชัยนาท!S287"")+IMPORTRANGE(""https://docs.google.com/spreadsheets/d/1jkqa6GXxSacMcY1eN8AHjMNJ_7dDXMJ"&amp;"VRLDlaFSOdPM/edit?usp=sharing"",""ตราด!S287"")+IMPORTRANGE(""https://docs.google.com/spreadsheets/d/18hSgUJ3VwClqi_qtULmmW3cLr0oe3OKaSYoKzdpTsYQ/edit?usp=sharing"",""นครนายก!S287"")+IMPORTRANGE(""https://docs.google.com/spreadsheets/d/1YTZo6WM2dQ6Ix6FSdnL"&amp;"5P7uVnVKu40sxZu975tgG10E/edit?usp=sharing"",""นครปฐม!S287"")+IMPORTRANGE(""https://docs.google.com/spreadsheets/d/1OYoGg4WDg5RIzwGeB10padOxJF9E_Vljuvvct_M7RDo/edit?usp=sharing"",""ปทุมธานี!S287"")+IMPORTRANGE(""https://docs.google.com/spreadsheets/d/1GbCI"&amp;"E4D4wk9FUozzqk7SxfDMxDVBwVmI5zcaVUSzKAc/edit?usp=sharing"",""ประจวบคีรีขันธ์!S287"")+IMPORTRANGE(""https://docs.google.com/spreadsheets/d/1vVf6wykvW_lAyu7Yo9L4hUTqHqIeP_qcVuxCtosJEbg/edit?usp=sharing"",""ปราจีนบุรี!S287"")+IMPORTRANGE(""https://docs.googl"&amp;"e.com/spreadsheets/d/1BIDqLLg5jk3v59G8NlR8rk5xfQDKne0sAvZHSj7TI6I/edit?usp=sharing"",""พระนครศรีอยุธยา!S287"")+IMPORTRANGE(""https://docs.google.com/spreadsheets/d/1YXvxf8Yu6_rV4hTBrwMqAcAnv6DfhUxh5emyM3CJp_w/edit?usp=sharing"",""เพชรบุรี!S287"")+IMPORTRA"&amp;"NGE(""https://docs.google.com/spreadsheets/d/19KBlQQs7uwvsao6t2n-KvW3Ax8J8uRRfZPq1zPbXgKc/edit?usp=sharing"",""ระยอง!S287"")+IMPORTRANGE(""https://docs.google.com/spreadsheets/d/1jQ6P4QcrGM89YfqcC_PxOHGCMq5ezhucwJd8ci-NHng/edit?usp=sharing"",""ราชบุรี!S28"&amp;"7"")+IMPORTRANGE(""https://docs.google.com/spreadsheets/d/1lufeA2cfFqM-elVq2hznhDzC6Pr7wkJ9ZG_sYNGCMCU/edit?usp=sharing"",""ลพบุรี!S287"")+IMPORTRANGE(""https://docs.google.com/spreadsheets/d/10oOiF7loTyfsTkbd4MpaIm0HQ9SwB7IYHdIUvt-U1Uc/edit?usp=sharing"""&amp;",""สระแก้ว!S287"")+IMPORTRANGE(""https://docs.google.com/spreadsheets/d/1xmPlrr1QbdSIKvl1dWUl9K4PjAfSL9oeMr_37QVzcxc/edit?usp=sharing"",""สระบุรี!S287"")+IMPORTRANGE(""https://docs.google.com/spreadsheets/d/1j51vR6CYVGhABJpv6tkstgok82RLpXieLzW1yOY5rHw/edi"&amp;"t?usp=sharing"",""สิงห์บุรี!S287"")+IMPORTRANGE(""https://docs.google.com/spreadsheets/d/1H1EalTWKUSzO4Z1-1CwzoDUaVffgrThEBe2sl74kKG0/edit?usp=sharing"",""สุพรรณบุรี!S287"")+IMPORTRANGE(""https://docs.google.com/spreadsheets/d/1BmIruG_sIrJLYao_Pdr7zVArWsf"&amp;"oBt2692TMi6x_854/edit?usp=sharing"",""อ่างทอง!S287"")"),0)</f>
        <v>0</v>
      </c>
      <c r="T287" s="131">
        <f t="shared" ca="1" si="201"/>
        <v>0</v>
      </c>
      <c r="U287" s="131">
        <f t="shared" ca="1" si="202"/>
        <v>0</v>
      </c>
    </row>
    <row r="288" spans="1:21" ht="18.75" x14ac:dyDescent="0.25">
      <c r="A288" s="207"/>
      <c r="B288" s="65"/>
      <c r="C288" s="65"/>
      <c r="D288" s="66" t="s">
        <v>23</v>
      </c>
      <c r="E288" s="65"/>
      <c r="F288" s="65"/>
      <c r="G288" s="67"/>
      <c r="H288" s="219" t="s">
        <v>14</v>
      </c>
      <c r="I288" s="217"/>
      <c r="J288" s="217"/>
      <c r="K288" s="218"/>
      <c r="L288" s="86">
        <f t="shared" ref="L288:N288" ca="1" si="209">L289+L290</f>
        <v>0</v>
      </c>
      <c r="M288" s="86">
        <f t="shared" ca="1" si="209"/>
        <v>0</v>
      </c>
      <c r="N288" s="86">
        <f t="shared" ca="1" si="209"/>
        <v>0</v>
      </c>
      <c r="O288" s="86">
        <f t="shared" ca="1" si="198"/>
        <v>0</v>
      </c>
      <c r="P288" s="86">
        <f t="shared" ca="1" si="199"/>
        <v>0</v>
      </c>
      <c r="Q288" s="129">
        <f t="shared" ref="Q288:S288" ca="1" si="210">Q289+Q290</f>
        <v>0</v>
      </c>
      <c r="R288" s="130">
        <f t="shared" ca="1" si="210"/>
        <v>0</v>
      </c>
      <c r="S288" s="130">
        <f t="shared" ca="1" si="210"/>
        <v>0</v>
      </c>
      <c r="T288" s="130">
        <f t="shared" ca="1" si="201"/>
        <v>0</v>
      </c>
      <c r="U288" s="130">
        <f t="shared" ca="1" si="202"/>
        <v>0</v>
      </c>
    </row>
    <row r="289" spans="1:21" ht="18.75" hidden="1" x14ac:dyDescent="0.25">
      <c r="A289" s="207"/>
      <c r="B289" s="65"/>
      <c r="C289" s="65"/>
      <c r="D289" s="65"/>
      <c r="E289" s="73" t="s">
        <v>20</v>
      </c>
      <c r="F289" s="65"/>
      <c r="G289" s="67"/>
      <c r="H289" s="216" t="s">
        <v>14</v>
      </c>
      <c r="I289" s="217"/>
      <c r="J289" s="217"/>
      <c r="K289" s="218"/>
      <c r="L289" s="86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89" s="86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89" s="86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89" s="86">
        <f t="shared" ca="1" si="198"/>
        <v>0</v>
      </c>
      <c r="P289" s="86">
        <f t="shared" ca="1" si="199"/>
        <v>0</v>
      </c>
      <c r="Q289" s="74">
        <f ca="1">IFERROR(__xludf.DUMMYFUNCTION("IMPORTRANGE(""https://docs.google.com/spreadsheets/d/13wPX838HrBrQMCywv1BsuMkt4PEKTChp52zj44s2izQ/edit?usp=sharing"",""กาญจนบุรี!Q289"")+IMPORTRANGE(""https://docs.google.com/spreadsheets/d/1ddFKvqj1W1NEiWytbGlB1zMx_ykJDVtmfEQ-6-lIUBA/edit?usp=sharing"","&amp;"""จันทบุรี!Q289"")+IMPORTRANGE(""https://docs.google.com/spreadsheets/d/1T1PQvRODqOBZk8BRht_U031fIS1beLA0Ub2CEytj2q0/edit?usp=sharing"",""ฉะเชิงเทรา!Q289"")+IMPORTRANGE(""https://docs.google.com/spreadsheets/d/11tr1B-Bhyr79v2bkwVh5h_fR-PStkgjlZtkrZpYurG0/"&amp;"edit?usp=sharing"",""ชลบุรี!Q289"")+IMPORTRANGE(""https://docs.google.com/spreadsheets/d/1hh-FVnSX0vozXhGluamEcS54Dw9_zqW0N7qJUWgJ0Sw/edit?usp=sharing"",""ชัยนาท!Q289"")+IMPORTRANGE(""https://docs.google.com/spreadsheets/d/1jkqa6GXxSacMcY1eN8AHjMNJ_7dDXMJ"&amp;"VRLDlaFSOdPM/edit?usp=sharing"",""ตราด!Q289"")+IMPORTRANGE(""https://docs.google.com/spreadsheets/d/18hSgUJ3VwClqi_qtULmmW3cLr0oe3OKaSYoKzdpTsYQ/edit?usp=sharing"",""นครนายก!Q289"")+IMPORTRANGE(""https://docs.google.com/spreadsheets/d/1YTZo6WM2dQ6Ix6FSdnL"&amp;"5P7uVnVKu40sxZu975tgG10E/edit?usp=sharing"",""นครปฐม!Q289"")+IMPORTRANGE(""https://docs.google.com/spreadsheets/d/1OYoGg4WDg5RIzwGeB10padOxJF9E_Vljuvvct_M7RDo/edit?usp=sharing"",""ปทุมธานี!Q289"")+IMPORTRANGE(""https://docs.google.com/spreadsheets/d/1GbCI"&amp;"E4D4wk9FUozzqk7SxfDMxDVBwVmI5zcaVUSzKAc/edit?usp=sharing"",""ประจวบคีรีขันธ์!Q289"")+IMPORTRANGE(""https://docs.google.com/spreadsheets/d/1vVf6wykvW_lAyu7Yo9L4hUTqHqIeP_qcVuxCtosJEbg/edit?usp=sharing"",""ปราจีนบุรี!Q289"")+IMPORTRANGE(""https://docs.googl"&amp;"e.com/spreadsheets/d/1BIDqLLg5jk3v59G8NlR8rk5xfQDKne0sAvZHSj7TI6I/edit?usp=sharing"",""พระนครศรีอยุธยา!Q289"")+IMPORTRANGE(""https://docs.google.com/spreadsheets/d/1YXvxf8Yu6_rV4hTBrwMqAcAnv6DfhUxh5emyM3CJp_w/edit?usp=sharing"",""เพชรบุรี!Q289"")+IMPORTRA"&amp;"NGE(""https://docs.google.com/spreadsheets/d/19KBlQQs7uwvsao6t2n-KvW3Ax8J8uRRfZPq1zPbXgKc/edit?usp=sharing"",""ระยอง!Q289"")+IMPORTRANGE(""https://docs.google.com/spreadsheets/d/1jQ6P4QcrGM89YfqcC_PxOHGCMq5ezhucwJd8ci-NHng/edit?usp=sharing"",""ราชบุรี!Q28"&amp;"9"")+IMPORTRANGE(""https://docs.google.com/spreadsheets/d/1lufeA2cfFqM-elVq2hznhDzC6Pr7wkJ9ZG_sYNGCMCU/edit?usp=sharing"",""ลพบุรี!Q289"")+IMPORTRANGE(""https://docs.google.com/spreadsheets/d/10oOiF7loTyfsTkbd4MpaIm0HQ9SwB7IYHdIUvt-U1Uc/edit?usp=sharing"""&amp;",""สระแก้ว!Q289"")+IMPORTRANGE(""https://docs.google.com/spreadsheets/d/1xmPlrr1QbdSIKvl1dWUl9K4PjAfSL9oeMr_37QVzcxc/edit?usp=sharing"",""สระบุรี!Q289"")+IMPORTRANGE(""https://docs.google.com/spreadsheets/d/1j51vR6CYVGhABJpv6tkstgok82RLpXieLzW1yOY5rHw/edi"&amp;"t?usp=sharing"",""สิงห์บุรี!Q289"")+IMPORTRANGE(""https://docs.google.com/spreadsheets/d/1H1EalTWKUSzO4Z1-1CwzoDUaVffgrThEBe2sl74kKG0/edit?usp=sharing"",""สุพรรณบุรี!Q289"")+IMPORTRANGE(""https://docs.google.com/spreadsheets/d/1BmIruG_sIrJLYao_Pdr7zVArWsf"&amp;"oBt2692TMi6x_854/edit?usp=sharing"",""อ่างทอง!Q289"")"),0)</f>
        <v>0</v>
      </c>
      <c r="R289" s="75">
        <f ca="1">IFERROR(__xludf.DUMMYFUNCTION("IMPORTRANGE(""https://docs.google.com/spreadsheets/d/13wPX838HrBrQMCywv1BsuMkt4PEKTChp52zj44s2izQ/edit?usp=sharing"",""กาญจนบุรี!R289"")+IMPORTRANGE(""https://docs.google.com/spreadsheets/d/1ddFKvqj1W1NEiWytbGlB1zMx_ykJDVtmfEQ-6-lIUBA/edit?usp=sharing"","&amp;"""จันทบุรี!R289"")+IMPORTRANGE(""https://docs.google.com/spreadsheets/d/1T1PQvRODqOBZk8BRht_U031fIS1beLA0Ub2CEytj2q0/edit?usp=sharing"",""ฉะเชิงเทรา!R289"")+IMPORTRANGE(""https://docs.google.com/spreadsheets/d/11tr1B-Bhyr79v2bkwVh5h_fR-PStkgjlZtkrZpYurG0/"&amp;"edit?usp=sharing"",""ชลบุรี!R289"")+IMPORTRANGE(""https://docs.google.com/spreadsheets/d/1hh-FVnSX0vozXhGluamEcS54Dw9_zqW0N7qJUWgJ0Sw/edit?usp=sharing"",""ชัยนาท!R289"")+IMPORTRANGE(""https://docs.google.com/spreadsheets/d/1jkqa6GXxSacMcY1eN8AHjMNJ_7dDXMJ"&amp;"VRLDlaFSOdPM/edit?usp=sharing"",""ตราด!R289"")+IMPORTRANGE(""https://docs.google.com/spreadsheets/d/18hSgUJ3VwClqi_qtULmmW3cLr0oe3OKaSYoKzdpTsYQ/edit?usp=sharing"",""นครนายก!R289"")+IMPORTRANGE(""https://docs.google.com/spreadsheets/d/1YTZo6WM2dQ6Ix6FSdnL"&amp;"5P7uVnVKu40sxZu975tgG10E/edit?usp=sharing"",""นครปฐม!R289"")+IMPORTRANGE(""https://docs.google.com/spreadsheets/d/1OYoGg4WDg5RIzwGeB10padOxJF9E_Vljuvvct_M7RDo/edit?usp=sharing"",""ปทุมธานี!R289"")+IMPORTRANGE(""https://docs.google.com/spreadsheets/d/1GbCI"&amp;"E4D4wk9FUozzqk7SxfDMxDVBwVmI5zcaVUSzKAc/edit?usp=sharing"",""ประจวบคีรีขันธ์!R289"")+IMPORTRANGE(""https://docs.google.com/spreadsheets/d/1vVf6wykvW_lAyu7Yo9L4hUTqHqIeP_qcVuxCtosJEbg/edit?usp=sharing"",""ปราจีนบุรี!R289"")+IMPORTRANGE(""https://docs.googl"&amp;"e.com/spreadsheets/d/1BIDqLLg5jk3v59G8NlR8rk5xfQDKne0sAvZHSj7TI6I/edit?usp=sharing"",""พระนครศรีอยุธยา!R289"")+IMPORTRANGE(""https://docs.google.com/spreadsheets/d/1YXvxf8Yu6_rV4hTBrwMqAcAnv6DfhUxh5emyM3CJp_w/edit?usp=sharing"",""เพชรบุรี!R289"")+IMPORTRA"&amp;"NGE(""https://docs.google.com/spreadsheets/d/19KBlQQs7uwvsao6t2n-KvW3Ax8J8uRRfZPq1zPbXgKc/edit?usp=sharing"",""ระยอง!R289"")+IMPORTRANGE(""https://docs.google.com/spreadsheets/d/1jQ6P4QcrGM89YfqcC_PxOHGCMq5ezhucwJd8ci-NHng/edit?usp=sharing"",""ราชบุรี!R28"&amp;"9"")+IMPORTRANGE(""https://docs.google.com/spreadsheets/d/1lufeA2cfFqM-elVq2hznhDzC6Pr7wkJ9ZG_sYNGCMCU/edit?usp=sharing"",""ลพบุรี!R289"")+IMPORTRANGE(""https://docs.google.com/spreadsheets/d/10oOiF7loTyfsTkbd4MpaIm0HQ9SwB7IYHdIUvt-U1Uc/edit?usp=sharing"""&amp;",""สระแก้ว!R289"")+IMPORTRANGE(""https://docs.google.com/spreadsheets/d/1xmPlrr1QbdSIKvl1dWUl9K4PjAfSL9oeMr_37QVzcxc/edit?usp=sharing"",""สระบุรี!R289"")+IMPORTRANGE(""https://docs.google.com/spreadsheets/d/1j51vR6CYVGhABJpv6tkstgok82RLpXieLzW1yOY5rHw/edi"&amp;"t?usp=sharing"",""สิงห์บุรี!R289"")+IMPORTRANGE(""https://docs.google.com/spreadsheets/d/1H1EalTWKUSzO4Z1-1CwzoDUaVffgrThEBe2sl74kKG0/edit?usp=sharing"",""สุพรรณบุรี!R289"")+IMPORTRANGE(""https://docs.google.com/spreadsheets/d/1BmIruG_sIrJLYao_Pdr7zVArWsf"&amp;"oBt2692TMi6x_854/edit?usp=sharing"",""อ่างทอง!R289"")"),0)</f>
        <v>0</v>
      </c>
      <c r="S289" s="75">
        <f ca="1">IFERROR(__xludf.DUMMYFUNCTION("IMPORTRANGE(""https://docs.google.com/spreadsheets/d/13wPX838HrBrQMCywv1BsuMkt4PEKTChp52zj44s2izQ/edit?usp=sharing"",""กาญจนบุรี!S289"")+IMPORTRANGE(""https://docs.google.com/spreadsheets/d/1ddFKvqj1W1NEiWytbGlB1zMx_ykJDVtmfEQ-6-lIUBA/edit?usp=sharing"","&amp;"""จันทบุรี!S289"")+IMPORTRANGE(""https://docs.google.com/spreadsheets/d/1T1PQvRODqOBZk8BRht_U031fIS1beLA0Ub2CEytj2q0/edit?usp=sharing"",""ฉะเชิงเทรา!S289"")+IMPORTRANGE(""https://docs.google.com/spreadsheets/d/11tr1B-Bhyr79v2bkwVh5h_fR-PStkgjlZtkrZpYurG0/"&amp;"edit?usp=sharing"",""ชลบุรี!S289"")+IMPORTRANGE(""https://docs.google.com/spreadsheets/d/1hh-FVnSX0vozXhGluamEcS54Dw9_zqW0N7qJUWgJ0Sw/edit?usp=sharing"",""ชัยนาท!S289"")+IMPORTRANGE(""https://docs.google.com/spreadsheets/d/1jkqa6GXxSacMcY1eN8AHjMNJ_7dDXMJ"&amp;"VRLDlaFSOdPM/edit?usp=sharing"",""ตราด!S289"")+IMPORTRANGE(""https://docs.google.com/spreadsheets/d/18hSgUJ3VwClqi_qtULmmW3cLr0oe3OKaSYoKzdpTsYQ/edit?usp=sharing"",""นครนายก!S289"")+IMPORTRANGE(""https://docs.google.com/spreadsheets/d/1YTZo6WM2dQ6Ix6FSdnL"&amp;"5P7uVnVKu40sxZu975tgG10E/edit?usp=sharing"",""นครปฐม!S289"")+IMPORTRANGE(""https://docs.google.com/spreadsheets/d/1OYoGg4WDg5RIzwGeB10padOxJF9E_Vljuvvct_M7RDo/edit?usp=sharing"",""ปทุมธานี!S289"")+IMPORTRANGE(""https://docs.google.com/spreadsheets/d/1GbCI"&amp;"E4D4wk9FUozzqk7SxfDMxDVBwVmI5zcaVUSzKAc/edit?usp=sharing"",""ประจวบคีรีขันธ์!S289"")+IMPORTRANGE(""https://docs.google.com/spreadsheets/d/1vVf6wykvW_lAyu7Yo9L4hUTqHqIeP_qcVuxCtosJEbg/edit?usp=sharing"",""ปราจีนบุรี!S289"")+IMPORTRANGE(""https://docs.googl"&amp;"e.com/spreadsheets/d/1BIDqLLg5jk3v59G8NlR8rk5xfQDKne0sAvZHSj7TI6I/edit?usp=sharing"",""พระนครศรีอยุธยา!S289"")+IMPORTRANGE(""https://docs.google.com/spreadsheets/d/1YXvxf8Yu6_rV4hTBrwMqAcAnv6DfhUxh5emyM3CJp_w/edit?usp=sharing"",""เพชรบุรี!S289"")+IMPORTRA"&amp;"NGE(""https://docs.google.com/spreadsheets/d/19KBlQQs7uwvsao6t2n-KvW3Ax8J8uRRfZPq1zPbXgKc/edit?usp=sharing"",""ระยอง!S289"")+IMPORTRANGE(""https://docs.google.com/spreadsheets/d/1jQ6P4QcrGM89YfqcC_PxOHGCMq5ezhucwJd8ci-NHng/edit?usp=sharing"",""ราชบุรี!S28"&amp;"9"")+IMPORTRANGE(""https://docs.google.com/spreadsheets/d/1lufeA2cfFqM-elVq2hznhDzC6Pr7wkJ9ZG_sYNGCMCU/edit?usp=sharing"",""ลพบุรี!S289"")+IMPORTRANGE(""https://docs.google.com/spreadsheets/d/10oOiF7loTyfsTkbd4MpaIm0HQ9SwB7IYHdIUvt-U1Uc/edit?usp=sharing"""&amp;",""สระแก้ว!S289"")+IMPORTRANGE(""https://docs.google.com/spreadsheets/d/1xmPlrr1QbdSIKvl1dWUl9K4PjAfSL9oeMr_37QVzcxc/edit?usp=sharing"",""สระบุรี!S289"")+IMPORTRANGE(""https://docs.google.com/spreadsheets/d/1j51vR6CYVGhABJpv6tkstgok82RLpXieLzW1yOY5rHw/edi"&amp;"t?usp=sharing"",""สิงห์บุรี!S289"")+IMPORTRANGE(""https://docs.google.com/spreadsheets/d/1H1EalTWKUSzO4Z1-1CwzoDUaVffgrThEBe2sl74kKG0/edit?usp=sharing"",""สุพรรณบุรี!S289"")+IMPORTRANGE(""https://docs.google.com/spreadsheets/d/1BmIruG_sIrJLYao_Pdr7zVArWsf"&amp;"oBt2692TMi6x_854/edit?usp=sharing"",""อ่างทอง!S289"")"),0)</f>
        <v>0</v>
      </c>
      <c r="T289" s="131">
        <f t="shared" ca="1" si="201"/>
        <v>0</v>
      </c>
      <c r="U289" s="131">
        <f t="shared" ca="1" si="202"/>
        <v>0</v>
      </c>
    </row>
    <row r="290" spans="1:21" ht="18.75" hidden="1" x14ac:dyDescent="0.25">
      <c r="A290" s="207"/>
      <c r="B290" s="65"/>
      <c r="C290" s="65"/>
      <c r="D290" s="65"/>
      <c r="E290" s="73" t="s">
        <v>21</v>
      </c>
      <c r="F290" s="65"/>
      <c r="G290" s="67"/>
      <c r="H290" s="219" t="s">
        <v>14</v>
      </c>
      <c r="I290" s="217"/>
      <c r="J290" s="217"/>
      <c r="K290" s="218"/>
      <c r="L290" s="86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0" s="86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0" s="86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0" s="86">
        <f t="shared" ca="1" si="198"/>
        <v>0</v>
      </c>
      <c r="P290" s="86">
        <f t="shared" ca="1" si="199"/>
        <v>0</v>
      </c>
      <c r="Q290" s="71">
        <f ca="1">IFERROR(__xludf.DUMMYFUNCTION("IMPORTRANGE(""https://docs.google.com/spreadsheets/d/13wPX838HrBrQMCywv1BsuMkt4PEKTChp52zj44s2izQ/edit?usp=sharing"",""กาญจนบุรี!Q290"")+IMPORTRANGE(""https://docs.google.com/spreadsheets/d/1ddFKvqj1W1NEiWytbGlB1zMx_ykJDVtmfEQ-6-lIUBA/edit?usp=sharing"","&amp;"""จันทบุรี!Q290"")+IMPORTRANGE(""https://docs.google.com/spreadsheets/d/1T1PQvRODqOBZk8BRht_U031fIS1beLA0Ub2CEytj2q0/edit?usp=sharing"",""ฉะเชิงเทรา!Q290"")+IMPORTRANGE(""https://docs.google.com/spreadsheets/d/11tr1B-Bhyr79v2bkwVh5h_fR-PStkgjlZtkrZpYurG0/"&amp;"edit?usp=sharing"",""ชลบุรี!Q290"")+IMPORTRANGE(""https://docs.google.com/spreadsheets/d/1hh-FVnSX0vozXhGluamEcS54Dw9_zqW0N7qJUWgJ0Sw/edit?usp=sharing"",""ชัยนาท!Q290"")+IMPORTRANGE(""https://docs.google.com/spreadsheets/d/1jkqa6GXxSacMcY1eN8AHjMNJ_7dDXMJ"&amp;"VRLDlaFSOdPM/edit?usp=sharing"",""ตราด!Q290"")+IMPORTRANGE(""https://docs.google.com/spreadsheets/d/18hSgUJ3VwClqi_qtULmmW3cLr0oe3OKaSYoKzdpTsYQ/edit?usp=sharing"",""นครนายก!Q290"")+IMPORTRANGE(""https://docs.google.com/spreadsheets/d/1YTZo6WM2dQ6Ix6FSdnL"&amp;"5P7uVnVKu40sxZu975tgG10E/edit?usp=sharing"",""นครปฐม!Q290"")+IMPORTRANGE(""https://docs.google.com/spreadsheets/d/1OYoGg4WDg5RIzwGeB10padOxJF9E_Vljuvvct_M7RDo/edit?usp=sharing"",""ปทุมธานี!Q290"")+IMPORTRANGE(""https://docs.google.com/spreadsheets/d/1GbCI"&amp;"E4D4wk9FUozzqk7SxfDMxDVBwVmI5zcaVUSzKAc/edit?usp=sharing"",""ประจวบคีรีขันธ์!Q290"")+IMPORTRANGE(""https://docs.google.com/spreadsheets/d/1vVf6wykvW_lAyu7Yo9L4hUTqHqIeP_qcVuxCtosJEbg/edit?usp=sharing"",""ปราจีนบุรี!Q290"")+IMPORTRANGE(""https://docs.googl"&amp;"e.com/spreadsheets/d/1BIDqLLg5jk3v59G8NlR8rk5xfQDKne0sAvZHSj7TI6I/edit?usp=sharing"",""พระนครศรีอยุธยา!Q290"")+IMPORTRANGE(""https://docs.google.com/spreadsheets/d/1YXvxf8Yu6_rV4hTBrwMqAcAnv6DfhUxh5emyM3CJp_w/edit?usp=sharing"",""เพชรบุรี!Q290"")+IMPORTRA"&amp;"NGE(""https://docs.google.com/spreadsheets/d/19KBlQQs7uwvsao6t2n-KvW3Ax8J8uRRfZPq1zPbXgKc/edit?usp=sharing"",""ระยอง!Q290"")+IMPORTRANGE(""https://docs.google.com/spreadsheets/d/1jQ6P4QcrGM89YfqcC_PxOHGCMq5ezhucwJd8ci-NHng/edit?usp=sharing"",""ราชบุรี!Q29"&amp;"0"")+IMPORTRANGE(""https://docs.google.com/spreadsheets/d/1lufeA2cfFqM-elVq2hznhDzC6Pr7wkJ9ZG_sYNGCMCU/edit?usp=sharing"",""ลพบุรี!Q290"")+IMPORTRANGE(""https://docs.google.com/spreadsheets/d/10oOiF7loTyfsTkbd4MpaIm0HQ9SwB7IYHdIUvt-U1Uc/edit?usp=sharing"""&amp;",""สระแก้ว!Q290"")+IMPORTRANGE(""https://docs.google.com/spreadsheets/d/1xmPlrr1QbdSIKvl1dWUl9K4PjAfSL9oeMr_37QVzcxc/edit?usp=sharing"",""สระบุรี!Q290"")+IMPORTRANGE(""https://docs.google.com/spreadsheets/d/1j51vR6CYVGhABJpv6tkstgok82RLpXieLzW1yOY5rHw/edi"&amp;"t?usp=sharing"",""สิงห์บุรี!Q290"")+IMPORTRANGE(""https://docs.google.com/spreadsheets/d/1H1EalTWKUSzO4Z1-1CwzoDUaVffgrThEBe2sl74kKG0/edit?usp=sharing"",""สุพรรณบุรี!Q290"")+IMPORTRANGE(""https://docs.google.com/spreadsheets/d/1BmIruG_sIrJLYao_Pdr7zVArWsf"&amp;"oBt2692TMi6x_854/edit?usp=sharing"",""อ่างทอง!Q290"")"),0)</f>
        <v>0</v>
      </c>
      <c r="R290" s="72">
        <f ca="1">IFERROR(__xludf.DUMMYFUNCTION("IMPORTRANGE(""https://docs.google.com/spreadsheets/d/13wPX838HrBrQMCywv1BsuMkt4PEKTChp52zj44s2izQ/edit?usp=sharing"",""กาญจนบุรี!R290"")+IMPORTRANGE(""https://docs.google.com/spreadsheets/d/1ddFKvqj1W1NEiWytbGlB1zMx_ykJDVtmfEQ-6-lIUBA/edit?usp=sharing"","&amp;"""จันทบุรี!R290"")+IMPORTRANGE(""https://docs.google.com/spreadsheets/d/1T1PQvRODqOBZk8BRht_U031fIS1beLA0Ub2CEytj2q0/edit?usp=sharing"",""ฉะเชิงเทรา!R290"")+IMPORTRANGE(""https://docs.google.com/spreadsheets/d/11tr1B-Bhyr79v2bkwVh5h_fR-PStkgjlZtkrZpYurG0/"&amp;"edit?usp=sharing"",""ชลบุรี!R290"")+IMPORTRANGE(""https://docs.google.com/spreadsheets/d/1hh-FVnSX0vozXhGluamEcS54Dw9_zqW0N7qJUWgJ0Sw/edit?usp=sharing"",""ชัยนาท!R290"")+IMPORTRANGE(""https://docs.google.com/spreadsheets/d/1jkqa6GXxSacMcY1eN8AHjMNJ_7dDXMJ"&amp;"VRLDlaFSOdPM/edit?usp=sharing"",""ตราด!R290"")+IMPORTRANGE(""https://docs.google.com/spreadsheets/d/18hSgUJ3VwClqi_qtULmmW3cLr0oe3OKaSYoKzdpTsYQ/edit?usp=sharing"",""นครนายก!R290"")+IMPORTRANGE(""https://docs.google.com/spreadsheets/d/1YTZo6WM2dQ6Ix6FSdnL"&amp;"5P7uVnVKu40sxZu975tgG10E/edit?usp=sharing"",""นครปฐม!R290"")+IMPORTRANGE(""https://docs.google.com/spreadsheets/d/1OYoGg4WDg5RIzwGeB10padOxJF9E_Vljuvvct_M7RDo/edit?usp=sharing"",""ปทุมธานี!R290"")+IMPORTRANGE(""https://docs.google.com/spreadsheets/d/1GbCI"&amp;"E4D4wk9FUozzqk7SxfDMxDVBwVmI5zcaVUSzKAc/edit?usp=sharing"",""ประจวบคีรีขันธ์!R290"")+IMPORTRANGE(""https://docs.google.com/spreadsheets/d/1vVf6wykvW_lAyu7Yo9L4hUTqHqIeP_qcVuxCtosJEbg/edit?usp=sharing"",""ปราจีนบุรี!R290"")+IMPORTRANGE(""https://docs.googl"&amp;"e.com/spreadsheets/d/1BIDqLLg5jk3v59G8NlR8rk5xfQDKne0sAvZHSj7TI6I/edit?usp=sharing"",""พระนครศรีอยุธยา!R290"")+IMPORTRANGE(""https://docs.google.com/spreadsheets/d/1YXvxf8Yu6_rV4hTBrwMqAcAnv6DfhUxh5emyM3CJp_w/edit?usp=sharing"",""เพชรบุรี!R290"")+IMPORTRA"&amp;"NGE(""https://docs.google.com/spreadsheets/d/19KBlQQs7uwvsao6t2n-KvW3Ax8J8uRRfZPq1zPbXgKc/edit?usp=sharing"",""ระยอง!R290"")+IMPORTRANGE(""https://docs.google.com/spreadsheets/d/1jQ6P4QcrGM89YfqcC_PxOHGCMq5ezhucwJd8ci-NHng/edit?usp=sharing"",""ราชบุรี!R29"&amp;"0"")+IMPORTRANGE(""https://docs.google.com/spreadsheets/d/1lufeA2cfFqM-elVq2hznhDzC6Pr7wkJ9ZG_sYNGCMCU/edit?usp=sharing"",""ลพบุรี!R290"")+IMPORTRANGE(""https://docs.google.com/spreadsheets/d/10oOiF7loTyfsTkbd4MpaIm0HQ9SwB7IYHdIUvt-U1Uc/edit?usp=sharing"""&amp;",""สระแก้ว!R290"")+IMPORTRANGE(""https://docs.google.com/spreadsheets/d/1xmPlrr1QbdSIKvl1dWUl9K4PjAfSL9oeMr_37QVzcxc/edit?usp=sharing"",""สระบุรี!R290"")+IMPORTRANGE(""https://docs.google.com/spreadsheets/d/1j51vR6CYVGhABJpv6tkstgok82RLpXieLzW1yOY5rHw/edi"&amp;"t?usp=sharing"",""สิงห์บุรี!R290"")+IMPORTRANGE(""https://docs.google.com/spreadsheets/d/1H1EalTWKUSzO4Z1-1CwzoDUaVffgrThEBe2sl74kKG0/edit?usp=sharing"",""สุพรรณบุรี!R290"")+IMPORTRANGE(""https://docs.google.com/spreadsheets/d/1BmIruG_sIrJLYao_Pdr7zVArWsf"&amp;"oBt2692TMi6x_854/edit?usp=sharing"",""อ่างทอง!R290"")"),0)</f>
        <v>0</v>
      </c>
      <c r="S290" s="72">
        <f ca="1">IFERROR(__xludf.DUMMYFUNCTION("IMPORTRANGE(""https://docs.google.com/spreadsheets/d/13wPX838HrBrQMCywv1BsuMkt4PEKTChp52zj44s2izQ/edit?usp=sharing"",""กาญจนบุรี!S290"")+IMPORTRANGE(""https://docs.google.com/spreadsheets/d/1ddFKvqj1W1NEiWytbGlB1zMx_ykJDVtmfEQ-6-lIUBA/edit?usp=sharing"","&amp;"""จันทบุรี!S290"")+IMPORTRANGE(""https://docs.google.com/spreadsheets/d/1T1PQvRODqOBZk8BRht_U031fIS1beLA0Ub2CEytj2q0/edit?usp=sharing"",""ฉะเชิงเทรา!S290"")+IMPORTRANGE(""https://docs.google.com/spreadsheets/d/11tr1B-Bhyr79v2bkwVh5h_fR-PStkgjlZtkrZpYurG0/"&amp;"edit?usp=sharing"",""ชลบุรี!S290"")+IMPORTRANGE(""https://docs.google.com/spreadsheets/d/1hh-FVnSX0vozXhGluamEcS54Dw9_zqW0N7qJUWgJ0Sw/edit?usp=sharing"",""ชัยนาท!S290"")+IMPORTRANGE(""https://docs.google.com/spreadsheets/d/1jkqa6GXxSacMcY1eN8AHjMNJ_7dDXMJ"&amp;"VRLDlaFSOdPM/edit?usp=sharing"",""ตราด!S290"")+IMPORTRANGE(""https://docs.google.com/spreadsheets/d/18hSgUJ3VwClqi_qtULmmW3cLr0oe3OKaSYoKzdpTsYQ/edit?usp=sharing"",""นครนายก!S290"")+IMPORTRANGE(""https://docs.google.com/spreadsheets/d/1YTZo6WM2dQ6Ix6FSdnL"&amp;"5P7uVnVKu40sxZu975tgG10E/edit?usp=sharing"",""นครปฐม!S290"")+IMPORTRANGE(""https://docs.google.com/spreadsheets/d/1OYoGg4WDg5RIzwGeB10padOxJF9E_Vljuvvct_M7RDo/edit?usp=sharing"",""ปทุมธานี!S290"")+IMPORTRANGE(""https://docs.google.com/spreadsheets/d/1GbCI"&amp;"E4D4wk9FUozzqk7SxfDMxDVBwVmI5zcaVUSzKAc/edit?usp=sharing"",""ประจวบคีรีขันธ์!S290"")+IMPORTRANGE(""https://docs.google.com/spreadsheets/d/1vVf6wykvW_lAyu7Yo9L4hUTqHqIeP_qcVuxCtosJEbg/edit?usp=sharing"",""ปราจีนบุรี!S290"")+IMPORTRANGE(""https://docs.googl"&amp;"e.com/spreadsheets/d/1BIDqLLg5jk3v59G8NlR8rk5xfQDKne0sAvZHSj7TI6I/edit?usp=sharing"",""พระนครศรีอยุธยา!S290"")+IMPORTRANGE(""https://docs.google.com/spreadsheets/d/1YXvxf8Yu6_rV4hTBrwMqAcAnv6DfhUxh5emyM3CJp_w/edit?usp=sharing"",""เพชรบุรี!S290"")+IMPORTRA"&amp;"NGE(""https://docs.google.com/spreadsheets/d/19KBlQQs7uwvsao6t2n-KvW3Ax8J8uRRfZPq1zPbXgKc/edit?usp=sharing"",""ระยอง!S290"")+IMPORTRANGE(""https://docs.google.com/spreadsheets/d/1jQ6P4QcrGM89YfqcC_PxOHGCMq5ezhucwJd8ci-NHng/edit?usp=sharing"",""ราชบุรี!S29"&amp;"0"")+IMPORTRANGE(""https://docs.google.com/spreadsheets/d/1lufeA2cfFqM-elVq2hznhDzC6Pr7wkJ9ZG_sYNGCMCU/edit?usp=sharing"",""ลพบุรี!S290"")+IMPORTRANGE(""https://docs.google.com/spreadsheets/d/10oOiF7loTyfsTkbd4MpaIm0HQ9SwB7IYHdIUvt-U1Uc/edit?usp=sharing"""&amp;",""สระแก้ว!S290"")+IMPORTRANGE(""https://docs.google.com/spreadsheets/d/1xmPlrr1QbdSIKvl1dWUl9K4PjAfSL9oeMr_37QVzcxc/edit?usp=sharing"",""สระบุรี!S290"")+IMPORTRANGE(""https://docs.google.com/spreadsheets/d/1j51vR6CYVGhABJpv6tkstgok82RLpXieLzW1yOY5rHw/edi"&amp;"t?usp=sharing"",""สิงห์บุรี!S290"")+IMPORTRANGE(""https://docs.google.com/spreadsheets/d/1H1EalTWKUSzO4Z1-1CwzoDUaVffgrThEBe2sl74kKG0/edit?usp=sharing"",""สุพรรณบุรี!S290"")+IMPORTRANGE(""https://docs.google.com/spreadsheets/d/1BmIruG_sIrJLYao_Pdr7zVArWsf"&amp;"oBt2692TMi6x_854/edit?usp=sharing"",""อ่างทอง!S290"")"),0)</f>
        <v>0</v>
      </c>
      <c r="T290" s="130">
        <f t="shared" ca="1" si="201"/>
        <v>0</v>
      </c>
      <c r="U290" s="130">
        <f t="shared" ca="1" si="202"/>
        <v>0</v>
      </c>
    </row>
    <row r="291" spans="1:21" ht="19.5" x14ac:dyDescent="0.3">
      <c r="A291" s="220"/>
      <c r="B291" s="221"/>
      <c r="C291" s="208" t="s">
        <v>18</v>
      </c>
      <c r="D291" s="222" t="s">
        <v>38</v>
      </c>
      <c r="E291" s="223"/>
      <c r="F291" s="223"/>
      <c r="G291" s="224"/>
      <c r="H291" s="225"/>
      <c r="I291" s="217"/>
      <c r="J291" s="217"/>
      <c r="K291" s="218"/>
      <c r="L291" s="218"/>
      <c r="M291" s="218"/>
      <c r="N291" s="218"/>
      <c r="O291" s="218"/>
      <c r="P291" s="218"/>
      <c r="Q291" s="226"/>
      <c r="R291" s="227"/>
      <c r="S291" s="227"/>
      <c r="T291" s="227"/>
      <c r="U291" s="227"/>
    </row>
    <row r="292" spans="1:21" ht="18.75" x14ac:dyDescent="0.25">
      <c r="A292" s="220"/>
      <c r="B292" s="221"/>
      <c r="C292" s="221"/>
      <c r="D292" s="234" t="s">
        <v>120</v>
      </c>
      <c r="E292" s="221"/>
      <c r="F292" s="229"/>
      <c r="G292" s="225"/>
      <c r="H292" s="240" t="s">
        <v>46</v>
      </c>
      <c r="I292" s="237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1400)</f>
        <v>1400</v>
      </c>
      <c r="J292" s="237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100)</f>
        <v>100</v>
      </c>
      <c r="K292" s="238">
        <f t="shared" ref="K292:K293" ca="1" si="211">IF(I292&gt;0,J292*100/I292,0)</f>
        <v>7.1428571428571432</v>
      </c>
      <c r="L292" s="218"/>
      <c r="M292" s="218"/>
      <c r="N292" s="218"/>
      <c r="O292" s="218"/>
      <c r="P292" s="218"/>
      <c r="Q292" s="226"/>
      <c r="R292" s="227"/>
      <c r="S292" s="227"/>
      <c r="T292" s="227"/>
      <c r="U292" s="227"/>
    </row>
    <row r="293" spans="1:21" ht="19.5" x14ac:dyDescent="0.3">
      <c r="A293" s="220"/>
      <c r="B293" s="221"/>
      <c r="C293" s="221"/>
      <c r="D293" s="234" t="s">
        <v>121</v>
      </c>
      <c r="E293" s="221"/>
      <c r="F293" s="229"/>
      <c r="G293" s="225"/>
      <c r="H293" s="230" t="s">
        <v>35</v>
      </c>
      <c r="I293" s="231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140)</f>
        <v>140</v>
      </c>
      <c r="J293" s="231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10)</f>
        <v>10</v>
      </c>
      <c r="K293" s="232">
        <f t="shared" ca="1" si="211"/>
        <v>7.1428571428571432</v>
      </c>
      <c r="L293" s="218"/>
      <c r="M293" s="218"/>
      <c r="N293" s="218"/>
      <c r="O293" s="218"/>
      <c r="P293" s="218"/>
      <c r="Q293" s="226"/>
      <c r="R293" s="227"/>
      <c r="S293" s="227"/>
      <c r="T293" s="227"/>
      <c r="U293" s="227"/>
    </row>
    <row r="294" spans="1:21" ht="19.5" x14ac:dyDescent="0.3">
      <c r="A294" s="220"/>
      <c r="B294" s="221"/>
      <c r="C294" s="221"/>
      <c r="D294" s="229"/>
      <c r="E294" s="471" t="s">
        <v>122</v>
      </c>
      <c r="F294" s="229"/>
      <c r="G294" s="225"/>
      <c r="H294" s="225"/>
      <c r="I294" s="217"/>
      <c r="J294" s="69"/>
      <c r="K294" s="218"/>
      <c r="L294" s="218"/>
      <c r="M294" s="218"/>
      <c r="N294" s="218"/>
      <c r="O294" s="218"/>
      <c r="P294" s="218"/>
      <c r="Q294" s="226"/>
      <c r="R294" s="227"/>
      <c r="S294" s="227"/>
      <c r="T294" s="227"/>
      <c r="U294" s="227"/>
    </row>
    <row r="295" spans="1:21" ht="19.5" x14ac:dyDescent="0.3">
      <c r="A295" s="220"/>
      <c r="B295" s="221"/>
      <c r="C295" s="221"/>
      <c r="D295" s="229"/>
      <c r="E295" s="234" t="s">
        <v>123</v>
      </c>
      <c r="F295" s="229"/>
      <c r="G295" s="225"/>
      <c r="H295" s="235" t="s">
        <v>35</v>
      </c>
      <c r="I295" s="239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140)</f>
        <v>140</v>
      </c>
      <c r="J295" s="237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10)</f>
        <v>10</v>
      </c>
      <c r="K295" s="238">
        <f t="shared" ref="K295:K296" ca="1" si="212">IF(I295&gt;0,J295*100/I295,0)</f>
        <v>7.1428571428571432</v>
      </c>
      <c r="L295" s="218"/>
      <c r="M295" s="218"/>
      <c r="N295" s="218"/>
      <c r="O295" s="218"/>
      <c r="P295" s="218"/>
      <c r="Q295" s="226"/>
      <c r="R295" s="227"/>
      <c r="S295" s="227"/>
      <c r="T295" s="227"/>
      <c r="U295" s="227"/>
    </row>
    <row r="296" spans="1:21" ht="19.5" x14ac:dyDescent="0.3">
      <c r="A296" s="220"/>
      <c r="B296" s="221"/>
      <c r="C296" s="221"/>
      <c r="D296" s="229"/>
      <c r="E296" s="234" t="s">
        <v>124</v>
      </c>
      <c r="F296" s="229"/>
      <c r="G296" s="225"/>
      <c r="H296" s="235" t="s">
        <v>35</v>
      </c>
      <c r="I296" s="239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140)</f>
        <v>140</v>
      </c>
      <c r="J296" s="237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10)</f>
        <v>10</v>
      </c>
      <c r="K296" s="238">
        <f t="shared" ca="1" si="212"/>
        <v>7.1428571428571432</v>
      </c>
      <c r="L296" s="218"/>
      <c r="M296" s="218"/>
      <c r="N296" s="218"/>
      <c r="O296" s="218"/>
      <c r="P296" s="218"/>
      <c r="Q296" s="226"/>
      <c r="R296" s="227"/>
      <c r="S296" s="227"/>
      <c r="T296" s="227"/>
      <c r="U296" s="227"/>
    </row>
    <row r="297" spans="1:21" ht="19.5" hidden="1" x14ac:dyDescent="0.3">
      <c r="A297" s="472"/>
      <c r="B297" s="473"/>
      <c r="C297" s="473"/>
      <c r="D297" s="19"/>
      <c r="E297" s="20"/>
      <c r="F297" s="19"/>
      <c r="G297" s="22"/>
      <c r="H297" s="22"/>
      <c r="I297" s="24"/>
      <c r="J297" s="24"/>
      <c r="K297" s="25"/>
      <c r="L297" s="25"/>
      <c r="M297" s="25"/>
      <c r="N297" s="25"/>
      <c r="O297" s="25"/>
      <c r="P297" s="25"/>
      <c r="Q297" s="27"/>
      <c r="R297" s="28"/>
      <c r="S297" s="28"/>
      <c r="T297" s="28"/>
      <c r="U297" s="28"/>
    </row>
    <row r="298" spans="1:21" ht="18.75" hidden="1" x14ac:dyDescent="0.25">
      <c r="A298" s="472"/>
      <c r="B298" s="473"/>
      <c r="C298" s="473"/>
      <c r="D298" s="19"/>
      <c r="E298" s="29"/>
      <c r="F298" s="19"/>
      <c r="G298" s="22"/>
      <c r="H298" s="30"/>
      <c r="I298" s="474"/>
      <c r="J298" s="474"/>
      <c r="K298" s="31"/>
      <c r="L298" s="25"/>
      <c r="M298" s="25"/>
      <c r="N298" s="25"/>
      <c r="O298" s="25"/>
      <c r="P298" s="25"/>
      <c r="Q298" s="27"/>
      <c r="R298" s="28"/>
      <c r="S298" s="28"/>
      <c r="T298" s="28"/>
      <c r="U298" s="28"/>
    </row>
    <row r="299" spans="1:21" ht="18.75" hidden="1" x14ac:dyDescent="0.25">
      <c r="A299" s="475"/>
      <c r="B299" s="476"/>
      <c r="C299" s="476"/>
      <c r="D299" s="477"/>
      <c r="E299" s="478"/>
      <c r="F299" s="477"/>
      <c r="G299" s="479"/>
      <c r="H299" s="480"/>
      <c r="I299" s="481"/>
      <c r="J299" s="481"/>
      <c r="K299" s="482"/>
      <c r="L299" s="483"/>
      <c r="M299" s="483"/>
      <c r="N299" s="483"/>
      <c r="O299" s="483"/>
      <c r="P299" s="483"/>
      <c r="Q299" s="16"/>
      <c r="R299" s="17"/>
      <c r="S299" s="17"/>
      <c r="T299" s="17"/>
      <c r="U299" s="17"/>
    </row>
    <row r="300" spans="1:21" ht="19.5" x14ac:dyDescent="0.3">
      <c r="A300" s="484" t="s">
        <v>125</v>
      </c>
      <c r="B300" s="485"/>
      <c r="C300" s="485"/>
      <c r="D300" s="485"/>
      <c r="E300" s="486"/>
      <c r="F300" s="486"/>
      <c r="G300" s="486"/>
      <c r="H300" s="486"/>
      <c r="I300" s="487"/>
      <c r="J300" s="487"/>
      <c r="K300" s="488"/>
      <c r="L300" s="488"/>
      <c r="M300" s="488"/>
      <c r="N300" s="488"/>
      <c r="O300" s="488"/>
      <c r="P300" s="489"/>
      <c r="Q300" s="490"/>
      <c r="R300" s="491"/>
      <c r="S300" s="491"/>
      <c r="T300" s="491"/>
      <c r="U300" s="492"/>
    </row>
    <row r="301" spans="1:21" ht="19.5" x14ac:dyDescent="0.3">
      <c r="A301" s="493" t="s">
        <v>126</v>
      </c>
      <c r="B301" s="494"/>
      <c r="C301" s="494"/>
      <c r="D301" s="495"/>
      <c r="E301" s="495"/>
      <c r="F301" s="495"/>
      <c r="G301" s="496"/>
      <c r="H301" s="496"/>
      <c r="I301" s="497"/>
      <c r="J301" s="497"/>
      <c r="K301" s="498"/>
      <c r="L301" s="498"/>
      <c r="M301" s="498"/>
      <c r="N301" s="498"/>
      <c r="O301" s="498"/>
      <c r="P301" s="498"/>
      <c r="Q301" s="499"/>
      <c r="R301" s="500"/>
      <c r="S301" s="500"/>
      <c r="T301" s="500"/>
      <c r="U301" s="500"/>
    </row>
    <row r="302" spans="1:21" ht="19.5" x14ac:dyDescent="0.3">
      <c r="A302" s="501"/>
      <c r="B302" s="502" t="s">
        <v>127</v>
      </c>
      <c r="C302" s="503"/>
      <c r="D302" s="503"/>
      <c r="E302" s="503"/>
      <c r="F302" s="503"/>
      <c r="G302" s="504"/>
      <c r="H302" s="505" t="s">
        <v>35</v>
      </c>
      <c r="I302" s="506">
        <f t="shared" ref="I302:J302" ca="1" si="213">I314</f>
        <v>355</v>
      </c>
      <c r="J302" s="506">
        <f t="shared" ca="1" si="213"/>
        <v>260</v>
      </c>
      <c r="K302" s="507">
        <f ca="1">IF(I302&gt;0,J302*100/I302,0)</f>
        <v>73.239436619718305</v>
      </c>
      <c r="L302" s="508"/>
      <c r="M302" s="508"/>
      <c r="N302" s="508"/>
      <c r="O302" s="508"/>
      <c r="P302" s="508"/>
      <c r="Q302" s="509"/>
      <c r="R302" s="510"/>
      <c r="S302" s="510"/>
      <c r="T302" s="510"/>
      <c r="U302" s="510"/>
    </row>
    <row r="303" spans="1:21" ht="19.5" x14ac:dyDescent="0.3">
      <c r="A303" s="207"/>
      <c r="B303" s="65"/>
      <c r="C303" s="208" t="s">
        <v>18</v>
      </c>
      <c r="D303" s="209" t="s">
        <v>19</v>
      </c>
      <c r="E303" s="65"/>
      <c r="F303" s="65"/>
      <c r="G303" s="67"/>
      <c r="H303" s="210" t="s">
        <v>14</v>
      </c>
      <c r="I303" s="69"/>
      <c r="J303" s="69"/>
      <c r="K303" s="70"/>
      <c r="L303" s="211">
        <f t="shared" ref="L303:N303" ca="1" si="214">L304+L305</f>
        <v>1553650</v>
      </c>
      <c r="M303" s="211">
        <f t="shared" ca="1" si="214"/>
        <v>2318850</v>
      </c>
      <c r="N303" s="211">
        <f t="shared" ca="1" si="214"/>
        <v>1109034.25</v>
      </c>
      <c r="O303" s="211">
        <f t="shared" ref="O303:O311" ca="1" si="215">IF(L303&gt;0,N303*100/L303,0)</f>
        <v>71.38250249412674</v>
      </c>
      <c r="P303" s="211">
        <f t="shared" ref="P303:P311" ca="1" si="216">IF(M303&gt;0,N303*100/M303,0)</f>
        <v>47.826907734437327</v>
      </c>
      <c r="Q303" s="212">
        <f t="shared" ref="Q303:S303" ca="1" si="217">Q304+Q305</f>
        <v>2884993.65</v>
      </c>
      <c r="R303" s="213">
        <f t="shared" ca="1" si="217"/>
        <v>2884989</v>
      </c>
      <c r="S303" s="213">
        <f t="shared" ca="1" si="217"/>
        <v>989301</v>
      </c>
      <c r="T303" s="213">
        <f t="shared" ref="T303:T311" ca="1" si="218">IF(Q303&gt;0,S303*100/Q303,0)</f>
        <v>34.291271317009659</v>
      </c>
      <c r="U303" s="213">
        <f t="shared" ref="U303:U311" ca="1" si="219">IF(R303&gt;0,S303*100/R303,0)</f>
        <v>34.291326587380404</v>
      </c>
    </row>
    <row r="304" spans="1:21" ht="18.75" hidden="1" x14ac:dyDescent="0.25">
      <c r="A304" s="207"/>
      <c r="B304" s="65"/>
      <c r="C304" s="65"/>
      <c r="D304" s="65"/>
      <c r="E304" s="73" t="s">
        <v>20</v>
      </c>
      <c r="F304" s="65"/>
      <c r="G304" s="67"/>
      <c r="H304" s="214" t="s">
        <v>14</v>
      </c>
      <c r="I304" s="69"/>
      <c r="J304" s="69"/>
      <c r="K304" s="70"/>
      <c r="L304" s="86">
        <f t="shared" ref="L304:N304" ca="1" si="220">L307+L310</f>
        <v>0</v>
      </c>
      <c r="M304" s="86">
        <f t="shared" ca="1" si="220"/>
        <v>0</v>
      </c>
      <c r="N304" s="86">
        <f t="shared" ca="1" si="220"/>
        <v>0</v>
      </c>
      <c r="O304" s="86">
        <f t="shared" ca="1" si="215"/>
        <v>0</v>
      </c>
      <c r="P304" s="86">
        <f t="shared" ca="1" si="216"/>
        <v>0</v>
      </c>
      <c r="Q304" s="215">
        <f t="shared" ref="Q304:S304" ca="1" si="221">Q307+Q310</f>
        <v>0</v>
      </c>
      <c r="R304" s="131">
        <f t="shared" ca="1" si="221"/>
        <v>0</v>
      </c>
      <c r="S304" s="131">
        <f t="shared" ca="1" si="221"/>
        <v>0</v>
      </c>
      <c r="T304" s="131">
        <f t="shared" ca="1" si="218"/>
        <v>0</v>
      </c>
      <c r="U304" s="131">
        <f t="shared" ca="1" si="219"/>
        <v>0</v>
      </c>
    </row>
    <row r="305" spans="1:21" ht="18.75" hidden="1" x14ac:dyDescent="0.25">
      <c r="A305" s="207"/>
      <c r="B305" s="65"/>
      <c r="C305" s="65"/>
      <c r="D305" s="65"/>
      <c r="E305" s="73" t="s">
        <v>21</v>
      </c>
      <c r="F305" s="65"/>
      <c r="G305" s="67"/>
      <c r="H305" s="214" t="s">
        <v>14</v>
      </c>
      <c r="I305" s="69"/>
      <c r="J305" s="69"/>
      <c r="K305" s="70"/>
      <c r="L305" s="86">
        <f t="shared" ref="L305:N305" ca="1" si="222">L308+L311</f>
        <v>1553650</v>
      </c>
      <c r="M305" s="86">
        <f t="shared" ca="1" si="222"/>
        <v>2318850</v>
      </c>
      <c r="N305" s="86">
        <f t="shared" ca="1" si="222"/>
        <v>1109034.25</v>
      </c>
      <c r="O305" s="86">
        <f t="shared" ca="1" si="215"/>
        <v>71.38250249412674</v>
      </c>
      <c r="P305" s="86">
        <f t="shared" ca="1" si="216"/>
        <v>47.826907734437327</v>
      </c>
      <c r="Q305" s="129">
        <f t="shared" ref="Q305:S305" ca="1" si="223">Q308+Q311</f>
        <v>2884993.65</v>
      </c>
      <c r="R305" s="130">
        <f t="shared" ca="1" si="223"/>
        <v>2884989</v>
      </c>
      <c r="S305" s="130">
        <f t="shared" ca="1" si="223"/>
        <v>989301</v>
      </c>
      <c r="T305" s="130">
        <f t="shared" ca="1" si="218"/>
        <v>34.291271317009659</v>
      </c>
      <c r="U305" s="130">
        <f t="shared" ca="1" si="219"/>
        <v>34.291326587380404</v>
      </c>
    </row>
    <row r="306" spans="1:21" ht="18.75" x14ac:dyDescent="0.25">
      <c r="A306" s="207"/>
      <c r="B306" s="65"/>
      <c r="C306" s="65"/>
      <c r="D306" s="66" t="s">
        <v>22</v>
      </c>
      <c r="E306" s="65"/>
      <c r="F306" s="65"/>
      <c r="G306" s="67"/>
      <c r="H306" s="216" t="s">
        <v>14</v>
      </c>
      <c r="I306" s="217"/>
      <c r="J306" s="217"/>
      <c r="K306" s="218"/>
      <c r="L306" s="86">
        <f t="shared" ref="L306:N306" ca="1" si="224">L307+L308</f>
        <v>1553650</v>
      </c>
      <c r="M306" s="86">
        <f t="shared" ca="1" si="224"/>
        <v>2318850</v>
      </c>
      <c r="N306" s="86">
        <f t="shared" ca="1" si="224"/>
        <v>1109034.25</v>
      </c>
      <c r="O306" s="86">
        <f t="shared" ca="1" si="215"/>
        <v>71.38250249412674</v>
      </c>
      <c r="P306" s="86">
        <f t="shared" ca="1" si="216"/>
        <v>47.826907734437327</v>
      </c>
      <c r="Q306" s="129">
        <f t="shared" ref="Q306:S306" ca="1" si="225">Q307+Q308</f>
        <v>2884993.65</v>
      </c>
      <c r="R306" s="130">
        <f t="shared" ca="1" si="225"/>
        <v>2884989</v>
      </c>
      <c r="S306" s="130">
        <f t="shared" ca="1" si="225"/>
        <v>989301</v>
      </c>
      <c r="T306" s="130">
        <f t="shared" ca="1" si="218"/>
        <v>34.291271317009659</v>
      </c>
      <c r="U306" s="130">
        <f t="shared" ca="1" si="219"/>
        <v>34.291326587380404</v>
      </c>
    </row>
    <row r="307" spans="1:21" ht="18.75" hidden="1" x14ac:dyDescent="0.25">
      <c r="A307" s="207"/>
      <c r="B307" s="65"/>
      <c r="C307" s="65"/>
      <c r="D307" s="65"/>
      <c r="E307" s="73" t="s">
        <v>36</v>
      </c>
      <c r="F307" s="65"/>
      <c r="G307" s="67"/>
      <c r="H307" s="216" t="s">
        <v>14</v>
      </c>
      <c r="I307" s="217"/>
      <c r="J307" s="217"/>
      <c r="K307" s="218"/>
      <c r="L307" s="86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7" s="86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7" s="86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7" s="86">
        <f t="shared" ca="1" si="215"/>
        <v>0</v>
      </c>
      <c r="P307" s="86">
        <f t="shared" ca="1" si="216"/>
        <v>0</v>
      </c>
      <c r="Q307" s="74">
        <f ca="1">IFERROR(__xludf.DUMMYFUNCTION("IMPORTRANGE(""https://docs.google.com/spreadsheets/d/13wPX838HrBrQMCywv1BsuMkt4PEKTChp52zj44s2izQ/edit?usp=sharing"",""กาญจนบุรี!Q307"")+IMPORTRANGE(""https://docs.google.com/spreadsheets/d/1ddFKvqj1W1NEiWytbGlB1zMx_ykJDVtmfEQ-6-lIUBA/edit?usp=sharing"","&amp;"""จันทบุรี!Q307"")+IMPORTRANGE(""https://docs.google.com/spreadsheets/d/1T1PQvRODqOBZk8BRht_U031fIS1beLA0Ub2CEytj2q0/edit?usp=sharing"",""ฉะเชิงเทรา!Q307"")+IMPORTRANGE(""https://docs.google.com/spreadsheets/d/11tr1B-Bhyr79v2bkwVh5h_fR-PStkgjlZtkrZpYurG0/"&amp;"edit?usp=sharing"",""ชลบุรี!Q307"")+IMPORTRANGE(""https://docs.google.com/spreadsheets/d/1hh-FVnSX0vozXhGluamEcS54Dw9_zqW0N7qJUWgJ0Sw/edit?usp=sharing"",""ชัยนาท!Q307"")+IMPORTRANGE(""https://docs.google.com/spreadsheets/d/1jkqa6GXxSacMcY1eN8AHjMNJ_7dDXMJ"&amp;"VRLDlaFSOdPM/edit?usp=sharing"",""ตราด!Q307"")+IMPORTRANGE(""https://docs.google.com/spreadsheets/d/18hSgUJ3VwClqi_qtULmmW3cLr0oe3OKaSYoKzdpTsYQ/edit?usp=sharing"",""นครนายก!Q307"")+IMPORTRANGE(""https://docs.google.com/spreadsheets/d/1YTZo6WM2dQ6Ix6FSdnL"&amp;"5P7uVnVKu40sxZu975tgG10E/edit?usp=sharing"",""นครปฐม!Q307"")+IMPORTRANGE(""https://docs.google.com/spreadsheets/d/1OYoGg4WDg5RIzwGeB10padOxJF9E_Vljuvvct_M7RDo/edit?usp=sharing"",""ปทุมธานี!Q307"")+IMPORTRANGE(""https://docs.google.com/spreadsheets/d/1GbCI"&amp;"E4D4wk9FUozzqk7SxfDMxDVBwVmI5zcaVUSzKAc/edit?usp=sharing"",""ประจวบคีรีขันธ์!Q307"")+IMPORTRANGE(""https://docs.google.com/spreadsheets/d/1vVf6wykvW_lAyu7Yo9L4hUTqHqIeP_qcVuxCtosJEbg/edit?usp=sharing"",""ปราจีนบุรี!Q307"")+IMPORTRANGE(""https://docs.googl"&amp;"e.com/spreadsheets/d/1BIDqLLg5jk3v59G8NlR8rk5xfQDKne0sAvZHSj7TI6I/edit?usp=sharing"",""พระนครศรีอยุธยา!Q307"")+IMPORTRANGE(""https://docs.google.com/spreadsheets/d/1YXvxf8Yu6_rV4hTBrwMqAcAnv6DfhUxh5emyM3CJp_w/edit?usp=sharing"",""เพชรบุรี!Q307"")+IMPORTRA"&amp;"NGE(""https://docs.google.com/spreadsheets/d/19KBlQQs7uwvsao6t2n-KvW3Ax8J8uRRfZPq1zPbXgKc/edit?usp=sharing"",""ระยอง!Q307"")+IMPORTRANGE(""https://docs.google.com/spreadsheets/d/1jQ6P4QcrGM89YfqcC_PxOHGCMq5ezhucwJd8ci-NHng/edit?usp=sharing"",""ราชบุรี!Q30"&amp;"7"")+IMPORTRANGE(""https://docs.google.com/spreadsheets/d/1lufeA2cfFqM-elVq2hznhDzC6Pr7wkJ9ZG_sYNGCMCU/edit?usp=sharing"",""ลพบุรี!Q307"")+IMPORTRANGE(""https://docs.google.com/spreadsheets/d/10oOiF7loTyfsTkbd4MpaIm0HQ9SwB7IYHdIUvt-U1Uc/edit?usp=sharing"""&amp;",""สระแก้ว!Q307"")+IMPORTRANGE(""https://docs.google.com/spreadsheets/d/1xmPlrr1QbdSIKvl1dWUl9K4PjAfSL9oeMr_37QVzcxc/edit?usp=sharing"",""สระบุรี!Q307"")+IMPORTRANGE(""https://docs.google.com/spreadsheets/d/1j51vR6CYVGhABJpv6tkstgok82RLpXieLzW1yOY5rHw/edi"&amp;"t?usp=sharing"",""สิงห์บุรี!Q307"")+IMPORTRANGE(""https://docs.google.com/spreadsheets/d/1H1EalTWKUSzO4Z1-1CwzoDUaVffgrThEBe2sl74kKG0/edit?usp=sharing"",""สุพรรณบุรี!Q307"")+IMPORTRANGE(""https://docs.google.com/spreadsheets/d/1BmIruG_sIrJLYao_Pdr7zVArWsf"&amp;"oBt2692TMi6x_854/edit?usp=sharing"",""อ่างทอง!Q307"")"),0)</f>
        <v>0</v>
      </c>
      <c r="R307" s="75">
        <f ca="1">IFERROR(__xludf.DUMMYFUNCTION("IMPORTRANGE(""https://docs.google.com/spreadsheets/d/13wPX838HrBrQMCywv1BsuMkt4PEKTChp52zj44s2izQ/edit?usp=sharing"",""กาญจนบุรี!R307"")+IMPORTRANGE(""https://docs.google.com/spreadsheets/d/1ddFKvqj1W1NEiWytbGlB1zMx_ykJDVtmfEQ-6-lIUBA/edit?usp=sharing"","&amp;"""จันทบุรี!R307"")+IMPORTRANGE(""https://docs.google.com/spreadsheets/d/1T1PQvRODqOBZk8BRht_U031fIS1beLA0Ub2CEytj2q0/edit?usp=sharing"",""ฉะเชิงเทรา!R307"")+IMPORTRANGE(""https://docs.google.com/spreadsheets/d/11tr1B-Bhyr79v2bkwVh5h_fR-PStkgjlZtkrZpYurG0/"&amp;"edit?usp=sharing"",""ชลบุรี!R307"")+IMPORTRANGE(""https://docs.google.com/spreadsheets/d/1hh-FVnSX0vozXhGluamEcS54Dw9_zqW0N7qJUWgJ0Sw/edit?usp=sharing"",""ชัยนาท!R307"")+IMPORTRANGE(""https://docs.google.com/spreadsheets/d/1jkqa6GXxSacMcY1eN8AHjMNJ_7dDXMJ"&amp;"VRLDlaFSOdPM/edit?usp=sharing"",""ตราด!R307"")+IMPORTRANGE(""https://docs.google.com/spreadsheets/d/18hSgUJ3VwClqi_qtULmmW3cLr0oe3OKaSYoKzdpTsYQ/edit?usp=sharing"",""นครนายก!R307"")+IMPORTRANGE(""https://docs.google.com/spreadsheets/d/1YTZo6WM2dQ6Ix6FSdnL"&amp;"5P7uVnVKu40sxZu975tgG10E/edit?usp=sharing"",""นครปฐม!R307"")+IMPORTRANGE(""https://docs.google.com/spreadsheets/d/1OYoGg4WDg5RIzwGeB10padOxJF9E_Vljuvvct_M7RDo/edit?usp=sharing"",""ปทุมธานี!R307"")+IMPORTRANGE(""https://docs.google.com/spreadsheets/d/1GbCI"&amp;"E4D4wk9FUozzqk7SxfDMxDVBwVmI5zcaVUSzKAc/edit?usp=sharing"",""ประจวบคีรีขันธ์!R307"")+IMPORTRANGE(""https://docs.google.com/spreadsheets/d/1vVf6wykvW_lAyu7Yo9L4hUTqHqIeP_qcVuxCtosJEbg/edit?usp=sharing"",""ปราจีนบุรี!R307"")+IMPORTRANGE(""https://docs.googl"&amp;"e.com/spreadsheets/d/1BIDqLLg5jk3v59G8NlR8rk5xfQDKne0sAvZHSj7TI6I/edit?usp=sharing"",""พระนครศรีอยุธยา!R307"")+IMPORTRANGE(""https://docs.google.com/spreadsheets/d/1YXvxf8Yu6_rV4hTBrwMqAcAnv6DfhUxh5emyM3CJp_w/edit?usp=sharing"",""เพชรบุรี!R307"")+IMPORTRA"&amp;"NGE(""https://docs.google.com/spreadsheets/d/19KBlQQs7uwvsao6t2n-KvW3Ax8J8uRRfZPq1zPbXgKc/edit?usp=sharing"",""ระยอง!R307"")+IMPORTRANGE(""https://docs.google.com/spreadsheets/d/1jQ6P4QcrGM89YfqcC_PxOHGCMq5ezhucwJd8ci-NHng/edit?usp=sharing"",""ราชบุรี!R30"&amp;"7"")+IMPORTRANGE(""https://docs.google.com/spreadsheets/d/1lufeA2cfFqM-elVq2hznhDzC6Pr7wkJ9ZG_sYNGCMCU/edit?usp=sharing"",""ลพบุรี!R307"")+IMPORTRANGE(""https://docs.google.com/spreadsheets/d/10oOiF7loTyfsTkbd4MpaIm0HQ9SwB7IYHdIUvt-U1Uc/edit?usp=sharing"""&amp;",""สระแก้ว!R307"")+IMPORTRANGE(""https://docs.google.com/spreadsheets/d/1xmPlrr1QbdSIKvl1dWUl9K4PjAfSL9oeMr_37QVzcxc/edit?usp=sharing"",""สระบุรี!R307"")+IMPORTRANGE(""https://docs.google.com/spreadsheets/d/1j51vR6CYVGhABJpv6tkstgok82RLpXieLzW1yOY5rHw/edi"&amp;"t?usp=sharing"",""สิงห์บุรี!R307"")+IMPORTRANGE(""https://docs.google.com/spreadsheets/d/1H1EalTWKUSzO4Z1-1CwzoDUaVffgrThEBe2sl74kKG0/edit?usp=sharing"",""สุพรรณบุรี!R307"")+IMPORTRANGE(""https://docs.google.com/spreadsheets/d/1BmIruG_sIrJLYao_Pdr7zVArWsf"&amp;"oBt2692TMi6x_854/edit?usp=sharing"",""อ่างทอง!R307"")"),0)</f>
        <v>0</v>
      </c>
      <c r="S307" s="75">
        <f ca="1">IFERROR(__xludf.DUMMYFUNCTION("IMPORTRANGE(""https://docs.google.com/spreadsheets/d/13wPX838HrBrQMCywv1BsuMkt4PEKTChp52zj44s2izQ/edit?usp=sharing"",""กาญจนบุรี!S307"")+IMPORTRANGE(""https://docs.google.com/spreadsheets/d/1ddFKvqj1W1NEiWytbGlB1zMx_ykJDVtmfEQ-6-lIUBA/edit?usp=sharing"","&amp;"""จันทบุรี!S307"")+IMPORTRANGE(""https://docs.google.com/spreadsheets/d/1T1PQvRODqOBZk8BRht_U031fIS1beLA0Ub2CEytj2q0/edit?usp=sharing"",""ฉะเชิงเทรา!S307"")+IMPORTRANGE(""https://docs.google.com/spreadsheets/d/11tr1B-Bhyr79v2bkwVh5h_fR-PStkgjlZtkrZpYurG0/"&amp;"edit?usp=sharing"",""ชลบุรี!S307"")+IMPORTRANGE(""https://docs.google.com/spreadsheets/d/1hh-FVnSX0vozXhGluamEcS54Dw9_zqW0N7qJUWgJ0Sw/edit?usp=sharing"",""ชัยนาท!S307"")+IMPORTRANGE(""https://docs.google.com/spreadsheets/d/1jkqa6GXxSacMcY1eN8AHjMNJ_7dDXMJ"&amp;"VRLDlaFSOdPM/edit?usp=sharing"",""ตราด!S307"")+IMPORTRANGE(""https://docs.google.com/spreadsheets/d/18hSgUJ3VwClqi_qtULmmW3cLr0oe3OKaSYoKzdpTsYQ/edit?usp=sharing"",""นครนายก!S307"")+IMPORTRANGE(""https://docs.google.com/spreadsheets/d/1YTZo6WM2dQ6Ix6FSdnL"&amp;"5P7uVnVKu40sxZu975tgG10E/edit?usp=sharing"",""นครปฐม!S307"")+IMPORTRANGE(""https://docs.google.com/spreadsheets/d/1OYoGg4WDg5RIzwGeB10padOxJF9E_Vljuvvct_M7RDo/edit?usp=sharing"",""ปทุมธานี!S307"")+IMPORTRANGE(""https://docs.google.com/spreadsheets/d/1GbCI"&amp;"E4D4wk9FUozzqk7SxfDMxDVBwVmI5zcaVUSzKAc/edit?usp=sharing"",""ประจวบคีรีขันธ์!S307"")+IMPORTRANGE(""https://docs.google.com/spreadsheets/d/1vVf6wykvW_lAyu7Yo9L4hUTqHqIeP_qcVuxCtosJEbg/edit?usp=sharing"",""ปราจีนบุรี!S307"")+IMPORTRANGE(""https://docs.googl"&amp;"e.com/spreadsheets/d/1BIDqLLg5jk3v59G8NlR8rk5xfQDKne0sAvZHSj7TI6I/edit?usp=sharing"",""พระนครศรีอยุธยา!S307"")+IMPORTRANGE(""https://docs.google.com/spreadsheets/d/1YXvxf8Yu6_rV4hTBrwMqAcAnv6DfhUxh5emyM3CJp_w/edit?usp=sharing"",""เพชรบุรี!S307"")+IMPORTRA"&amp;"NGE(""https://docs.google.com/spreadsheets/d/19KBlQQs7uwvsao6t2n-KvW3Ax8J8uRRfZPq1zPbXgKc/edit?usp=sharing"",""ระยอง!S307"")+IMPORTRANGE(""https://docs.google.com/spreadsheets/d/1jQ6P4QcrGM89YfqcC_PxOHGCMq5ezhucwJd8ci-NHng/edit?usp=sharing"",""ราชบุรี!S30"&amp;"7"")+IMPORTRANGE(""https://docs.google.com/spreadsheets/d/1lufeA2cfFqM-elVq2hznhDzC6Pr7wkJ9ZG_sYNGCMCU/edit?usp=sharing"",""ลพบุรี!S307"")+IMPORTRANGE(""https://docs.google.com/spreadsheets/d/10oOiF7loTyfsTkbd4MpaIm0HQ9SwB7IYHdIUvt-U1Uc/edit?usp=sharing"""&amp;",""สระแก้ว!S307"")+IMPORTRANGE(""https://docs.google.com/spreadsheets/d/1xmPlrr1QbdSIKvl1dWUl9K4PjAfSL9oeMr_37QVzcxc/edit?usp=sharing"",""สระบุรี!S307"")+IMPORTRANGE(""https://docs.google.com/spreadsheets/d/1j51vR6CYVGhABJpv6tkstgok82RLpXieLzW1yOY5rHw/edi"&amp;"t?usp=sharing"",""สิงห์บุรี!S307"")+IMPORTRANGE(""https://docs.google.com/spreadsheets/d/1H1EalTWKUSzO4Z1-1CwzoDUaVffgrThEBe2sl74kKG0/edit?usp=sharing"",""สุพรรณบุรี!S307"")+IMPORTRANGE(""https://docs.google.com/spreadsheets/d/1BmIruG_sIrJLYao_Pdr7zVArWsf"&amp;"oBt2692TMi6x_854/edit?usp=sharing"",""อ่างทอง!S307"")"),0)</f>
        <v>0</v>
      </c>
      <c r="T307" s="131">
        <f t="shared" ca="1" si="218"/>
        <v>0</v>
      </c>
      <c r="U307" s="131">
        <f t="shared" ca="1" si="219"/>
        <v>0</v>
      </c>
    </row>
    <row r="308" spans="1:21" ht="18.75" hidden="1" x14ac:dyDescent="0.25">
      <c r="A308" s="207"/>
      <c r="B308" s="65"/>
      <c r="C308" s="65"/>
      <c r="D308" s="65"/>
      <c r="E308" s="73" t="s">
        <v>37</v>
      </c>
      <c r="F308" s="65"/>
      <c r="G308" s="67"/>
      <c r="H308" s="216" t="s">
        <v>14</v>
      </c>
      <c r="I308" s="217"/>
      <c r="J308" s="217"/>
      <c r="K308" s="218"/>
      <c r="L308" s="86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1553650)</f>
        <v>1553650</v>
      </c>
      <c r="M308" s="86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2318850)</f>
        <v>2318850</v>
      </c>
      <c r="N308" s="86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1109034.25)</f>
        <v>1109034.25</v>
      </c>
      <c r="O308" s="86">
        <f t="shared" ca="1" si="215"/>
        <v>71.38250249412674</v>
      </c>
      <c r="P308" s="86">
        <f t="shared" ca="1" si="216"/>
        <v>47.826907734437327</v>
      </c>
      <c r="Q308" s="129">
        <f ca="1">IFERROR(__xludf.DUMMYFUNCTION("IMPORTRANGE(""https://docs.google.com/spreadsheets/d/13wPX838HrBrQMCywv1BsuMkt4PEKTChp52zj44s2izQ/edit?usp=sharing"",""กาญจนบุรี!Q308"")+IMPORTRANGE(""https://docs.google.com/spreadsheets/d/1ddFKvqj1W1NEiWytbGlB1zMx_ykJDVtmfEQ-6-lIUBA/edit?usp=sharing"","&amp;"""จันทบุรี!Q308"")+IMPORTRANGE(""https://docs.google.com/spreadsheets/d/1T1PQvRODqOBZk8BRht_U031fIS1beLA0Ub2CEytj2q0/edit?usp=sharing"",""ฉะเชิงเทรา!Q308"")+IMPORTRANGE(""https://docs.google.com/spreadsheets/d/11tr1B-Bhyr79v2bkwVh5h_fR-PStkgjlZtkrZpYurG0/"&amp;"edit?usp=sharing"",""ชลบุรี!Q308"")+IMPORTRANGE(""https://docs.google.com/spreadsheets/d/1hh-FVnSX0vozXhGluamEcS54Dw9_zqW0N7qJUWgJ0Sw/edit?usp=sharing"",""ชัยนาท!Q308"")+IMPORTRANGE(""https://docs.google.com/spreadsheets/d/1jkqa6GXxSacMcY1eN8AHjMNJ_7dDXMJ"&amp;"VRLDlaFSOdPM/edit?usp=sharing"",""ตราด!Q308"")+IMPORTRANGE(""https://docs.google.com/spreadsheets/d/18hSgUJ3VwClqi_qtULmmW3cLr0oe3OKaSYoKzdpTsYQ/edit?usp=sharing"",""นครนายก!Q308"")+IMPORTRANGE(""https://docs.google.com/spreadsheets/d/1YTZo6WM2dQ6Ix6FSdnL"&amp;"5P7uVnVKu40sxZu975tgG10E/edit?usp=sharing"",""นครปฐม!Q308"")+IMPORTRANGE(""https://docs.google.com/spreadsheets/d/1OYoGg4WDg5RIzwGeB10padOxJF9E_Vljuvvct_M7RDo/edit?usp=sharing"",""ปทุมธานี!Q308"")+IMPORTRANGE(""https://docs.google.com/spreadsheets/d/1GbCI"&amp;"E4D4wk9FUozzqk7SxfDMxDVBwVmI5zcaVUSzKAc/edit?usp=sharing"",""ประจวบคีรีขันธ์!Q308"")+IMPORTRANGE(""https://docs.google.com/spreadsheets/d/1vVf6wykvW_lAyu7Yo9L4hUTqHqIeP_qcVuxCtosJEbg/edit?usp=sharing"",""ปราจีนบุรี!Q308"")+IMPORTRANGE(""https://docs.googl"&amp;"e.com/spreadsheets/d/1BIDqLLg5jk3v59G8NlR8rk5xfQDKne0sAvZHSj7TI6I/edit?usp=sharing"",""พระนครศรีอยุธยา!Q308"")+IMPORTRANGE(""https://docs.google.com/spreadsheets/d/1YXvxf8Yu6_rV4hTBrwMqAcAnv6DfhUxh5emyM3CJp_w/edit?usp=sharing"",""เพชรบุรี!Q308"")+IMPORTRA"&amp;"NGE(""https://docs.google.com/spreadsheets/d/19KBlQQs7uwvsao6t2n-KvW3Ax8J8uRRfZPq1zPbXgKc/edit?usp=sharing"",""ระยอง!Q308"")+IMPORTRANGE(""https://docs.google.com/spreadsheets/d/1jQ6P4QcrGM89YfqcC_PxOHGCMq5ezhucwJd8ci-NHng/edit?usp=sharing"",""ราชบุรี!Q30"&amp;"8"")+IMPORTRANGE(""https://docs.google.com/spreadsheets/d/1lufeA2cfFqM-elVq2hznhDzC6Pr7wkJ9ZG_sYNGCMCU/edit?usp=sharing"",""ลพบุรี!Q308"")+IMPORTRANGE(""https://docs.google.com/spreadsheets/d/10oOiF7loTyfsTkbd4MpaIm0HQ9SwB7IYHdIUvt-U1Uc/edit?usp=sharing"""&amp;",""สระแก้ว!Q308"")+IMPORTRANGE(""https://docs.google.com/spreadsheets/d/1xmPlrr1QbdSIKvl1dWUl9K4PjAfSL9oeMr_37QVzcxc/edit?usp=sharing"",""สระบุรี!Q308"")+IMPORTRANGE(""https://docs.google.com/spreadsheets/d/1j51vR6CYVGhABJpv6tkstgok82RLpXieLzW1yOY5rHw/edi"&amp;"t?usp=sharing"",""สิงห์บุรี!Q308"")+IMPORTRANGE(""https://docs.google.com/spreadsheets/d/1H1EalTWKUSzO4Z1-1CwzoDUaVffgrThEBe2sl74kKG0/edit?usp=sharing"",""สุพรรณบุรี!Q308"")+IMPORTRANGE(""https://docs.google.com/spreadsheets/d/1BmIruG_sIrJLYao_Pdr7zVArWsf"&amp;"oBt2692TMi6x_854/edit?usp=sharing"",""อ่างทอง!Q308"")"),2884993.65)</f>
        <v>2884993.65</v>
      </c>
      <c r="R308" s="130">
        <f ca="1">IFERROR(__xludf.DUMMYFUNCTION("IMPORTRANGE(""https://docs.google.com/spreadsheets/d/13wPX838HrBrQMCywv1BsuMkt4PEKTChp52zj44s2izQ/edit?usp=sharing"",""กาญจนบุรี!R308"")+IMPORTRANGE(""https://docs.google.com/spreadsheets/d/1ddFKvqj1W1NEiWytbGlB1zMx_ykJDVtmfEQ-6-lIUBA/edit?usp=sharing"","&amp;"""จันทบุรี!R308"")+IMPORTRANGE(""https://docs.google.com/spreadsheets/d/1T1PQvRODqOBZk8BRht_U031fIS1beLA0Ub2CEytj2q0/edit?usp=sharing"",""ฉะเชิงเทรา!R308"")+IMPORTRANGE(""https://docs.google.com/spreadsheets/d/11tr1B-Bhyr79v2bkwVh5h_fR-PStkgjlZtkrZpYurG0/"&amp;"edit?usp=sharing"",""ชลบุรี!R308"")+IMPORTRANGE(""https://docs.google.com/spreadsheets/d/1hh-FVnSX0vozXhGluamEcS54Dw9_zqW0N7qJUWgJ0Sw/edit?usp=sharing"",""ชัยนาท!R308"")+IMPORTRANGE(""https://docs.google.com/spreadsheets/d/1jkqa6GXxSacMcY1eN8AHjMNJ_7dDXMJ"&amp;"VRLDlaFSOdPM/edit?usp=sharing"",""ตราด!R308"")+IMPORTRANGE(""https://docs.google.com/spreadsheets/d/18hSgUJ3VwClqi_qtULmmW3cLr0oe3OKaSYoKzdpTsYQ/edit?usp=sharing"",""นครนายก!R308"")+IMPORTRANGE(""https://docs.google.com/spreadsheets/d/1YTZo6WM2dQ6Ix6FSdnL"&amp;"5P7uVnVKu40sxZu975tgG10E/edit?usp=sharing"",""นครปฐม!R308"")+IMPORTRANGE(""https://docs.google.com/spreadsheets/d/1OYoGg4WDg5RIzwGeB10padOxJF9E_Vljuvvct_M7RDo/edit?usp=sharing"",""ปทุมธานี!R308"")+IMPORTRANGE(""https://docs.google.com/spreadsheets/d/1GbCI"&amp;"E4D4wk9FUozzqk7SxfDMxDVBwVmI5zcaVUSzKAc/edit?usp=sharing"",""ประจวบคีรีขันธ์!R308"")+IMPORTRANGE(""https://docs.google.com/spreadsheets/d/1vVf6wykvW_lAyu7Yo9L4hUTqHqIeP_qcVuxCtosJEbg/edit?usp=sharing"",""ปราจีนบุรี!R308"")+IMPORTRANGE(""https://docs.googl"&amp;"e.com/spreadsheets/d/1BIDqLLg5jk3v59G8NlR8rk5xfQDKne0sAvZHSj7TI6I/edit?usp=sharing"",""พระนครศรีอยุธยา!R308"")+IMPORTRANGE(""https://docs.google.com/spreadsheets/d/1YXvxf8Yu6_rV4hTBrwMqAcAnv6DfhUxh5emyM3CJp_w/edit?usp=sharing"",""เพชรบุรี!R308"")+IMPORTRA"&amp;"NGE(""https://docs.google.com/spreadsheets/d/19KBlQQs7uwvsao6t2n-KvW3Ax8J8uRRfZPq1zPbXgKc/edit?usp=sharing"",""ระยอง!R308"")+IMPORTRANGE(""https://docs.google.com/spreadsheets/d/1jQ6P4QcrGM89YfqcC_PxOHGCMq5ezhucwJd8ci-NHng/edit?usp=sharing"",""ราชบุรี!R30"&amp;"8"")+IMPORTRANGE(""https://docs.google.com/spreadsheets/d/1lufeA2cfFqM-elVq2hznhDzC6Pr7wkJ9ZG_sYNGCMCU/edit?usp=sharing"",""ลพบุรี!R308"")+IMPORTRANGE(""https://docs.google.com/spreadsheets/d/10oOiF7loTyfsTkbd4MpaIm0HQ9SwB7IYHdIUvt-U1Uc/edit?usp=sharing"""&amp;",""สระแก้ว!R308"")+IMPORTRANGE(""https://docs.google.com/spreadsheets/d/1xmPlrr1QbdSIKvl1dWUl9K4PjAfSL9oeMr_37QVzcxc/edit?usp=sharing"",""สระบุรี!R308"")+IMPORTRANGE(""https://docs.google.com/spreadsheets/d/1j51vR6CYVGhABJpv6tkstgok82RLpXieLzW1yOY5rHw/edi"&amp;"t?usp=sharing"",""สิงห์บุรี!R308"")+IMPORTRANGE(""https://docs.google.com/spreadsheets/d/1H1EalTWKUSzO4Z1-1CwzoDUaVffgrThEBe2sl74kKG0/edit?usp=sharing"",""สุพรรณบุรี!R308"")+IMPORTRANGE(""https://docs.google.com/spreadsheets/d/1BmIruG_sIrJLYao_Pdr7zVArWsf"&amp;"oBt2692TMi6x_854/edit?usp=sharing"",""อ่างทอง!R308"")"),2884989)</f>
        <v>2884989</v>
      </c>
      <c r="S308" s="130">
        <f ca="1">IFERROR(__xludf.DUMMYFUNCTION("IMPORTRANGE(""https://docs.google.com/spreadsheets/d/13wPX838HrBrQMCywv1BsuMkt4PEKTChp52zj44s2izQ/edit?usp=sharing"",""กาญจนบุรี!S308"")+IMPORTRANGE(""https://docs.google.com/spreadsheets/d/1ddFKvqj1W1NEiWytbGlB1zMx_ykJDVtmfEQ-6-lIUBA/edit?usp=sharing"","&amp;"""จันทบุรี!S308"")+IMPORTRANGE(""https://docs.google.com/spreadsheets/d/1T1PQvRODqOBZk8BRht_U031fIS1beLA0Ub2CEytj2q0/edit?usp=sharing"",""ฉะเชิงเทรา!S308"")+IMPORTRANGE(""https://docs.google.com/spreadsheets/d/11tr1B-Bhyr79v2bkwVh5h_fR-PStkgjlZtkrZpYurG0/"&amp;"edit?usp=sharing"",""ชลบุรี!S308"")+IMPORTRANGE(""https://docs.google.com/spreadsheets/d/1hh-FVnSX0vozXhGluamEcS54Dw9_zqW0N7qJUWgJ0Sw/edit?usp=sharing"",""ชัยนาท!S308"")+IMPORTRANGE(""https://docs.google.com/spreadsheets/d/1jkqa6GXxSacMcY1eN8AHjMNJ_7dDXMJ"&amp;"VRLDlaFSOdPM/edit?usp=sharing"",""ตราด!S308"")+IMPORTRANGE(""https://docs.google.com/spreadsheets/d/18hSgUJ3VwClqi_qtULmmW3cLr0oe3OKaSYoKzdpTsYQ/edit?usp=sharing"",""นครนายก!S308"")+IMPORTRANGE(""https://docs.google.com/spreadsheets/d/1YTZo6WM2dQ6Ix6FSdnL"&amp;"5P7uVnVKu40sxZu975tgG10E/edit?usp=sharing"",""นครปฐม!S308"")+IMPORTRANGE(""https://docs.google.com/spreadsheets/d/1OYoGg4WDg5RIzwGeB10padOxJF9E_Vljuvvct_M7RDo/edit?usp=sharing"",""ปทุมธานี!S308"")+IMPORTRANGE(""https://docs.google.com/spreadsheets/d/1GbCI"&amp;"E4D4wk9FUozzqk7SxfDMxDVBwVmI5zcaVUSzKAc/edit?usp=sharing"",""ประจวบคีรีขันธ์!S308"")+IMPORTRANGE(""https://docs.google.com/spreadsheets/d/1vVf6wykvW_lAyu7Yo9L4hUTqHqIeP_qcVuxCtosJEbg/edit?usp=sharing"",""ปราจีนบุรี!S308"")+IMPORTRANGE(""https://docs.googl"&amp;"e.com/spreadsheets/d/1BIDqLLg5jk3v59G8NlR8rk5xfQDKne0sAvZHSj7TI6I/edit?usp=sharing"",""พระนครศรีอยุธยา!S308"")+IMPORTRANGE(""https://docs.google.com/spreadsheets/d/1YXvxf8Yu6_rV4hTBrwMqAcAnv6DfhUxh5emyM3CJp_w/edit?usp=sharing"",""เพชรบุรี!S308"")+IMPORTRA"&amp;"NGE(""https://docs.google.com/spreadsheets/d/19KBlQQs7uwvsao6t2n-KvW3Ax8J8uRRfZPq1zPbXgKc/edit?usp=sharing"",""ระยอง!S308"")+IMPORTRANGE(""https://docs.google.com/spreadsheets/d/1jQ6P4QcrGM89YfqcC_PxOHGCMq5ezhucwJd8ci-NHng/edit?usp=sharing"",""ราชบุรี!S30"&amp;"8"")+IMPORTRANGE(""https://docs.google.com/spreadsheets/d/1lufeA2cfFqM-elVq2hznhDzC6Pr7wkJ9ZG_sYNGCMCU/edit?usp=sharing"",""ลพบุรี!S308"")+IMPORTRANGE(""https://docs.google.com/spreadsheets/d/10oOiF7loTyfsTkbd4MpaIm0HQ9SwB7IYHdIUvt-U1Uc/edit?usp=sharing"""&amp;",""สระแก้ว!S308"")+IMPORTRANGE(""https://docs.google.com/spreadsheets/d/1xmPlrr1QbdSIKvl1dWUl9K4PjAfSL9oeMr_37QVzcxc/edit?usp=sharing"",""สระบุรี!S308"")+IMPORTRANGE(""https://docs.google.com/spreadsheets/d/1j51vR6CYVGhABJpv6tkstgok82RLpXieLzW1yOY5rHw/edi"&amp;"t?usp=sharing"",""สิงห์บุรี!S308"")+IMPORTRANGE(""https://docs.google.com/spreadsheets/d/1H1EalTWKUSzO4Z1-1CwzoDUaVffgrThEBe2sl74kKG0/edit?usp=sharing"",""สุพรรณบุรี!S308"")+IMPORTRANGE(""https://docs.google.com/spreadsheets/d/1BmIruG_sIrJLYao_Pdr7zVArWsf"&amp;"oBt2692TMi6x_854/edit?usp=sharing"",""อ่างทอง!S308"")"),989301)</f>
        <v>989301</v>
      </c>
      <c r="T308" s="130">
        <f t="shared" ca="1" si="218"/>
        <v>34.291271317009659</v>
      </c>
      <c r="U308" s="130">
        <f t="shared" ca="1" si="219"/>
        <v>34.291326587380404</v>
      </c>
    </row>
    <row r="309" spans="1:21" ht="18.75" x14ac:dyDescent="0.25">
      <c r="A309" s="207"/>
      <c r="B309" s="65"/>
      <c r="C309" s="65"/>
      <c r="D309" s="66" t="s">
        <v>23</v>
      </c>
      <c r="E309" s="65"/>
      <c r="F309" s="65"/>
      <c r="G309" s="67"/>
      <c r="H309" s="219" t="s">
        <v>14</v>
      </c>
      <c r="I309" s="217"/>
      <c r="J309" s="217"/>
      <c r="K309" s="218"/>
      <c r="L309" s="86">
        <f t="shared" ref="L309:N309" ca="1" si="226">L310+L311</f>
        <v>0</v>
      </c>
      <c r="M309" s="86">
        <f t="shared" ca="1" si="226"/>
        <v>0</v>
      </c>
      <c r="N309" s="86">
        <f t="shared" ca="1" si="226"/>
        <v>0</v>
      </c>
      <c r="O309" s="86">
        <f t="shared" ca="1" si="215"/>
        <v>0</v>
      </c>
      <c r="P309" s="86">
        <f t="shared" ca="1" si="216"/>
        <v>0</v>
      </c>
      <c r="Q309" s="129">
        <f t="shared" ref="Q309:S309" ca="1" si="227">Q310+Q311</f>
        <v>0</v>
      </c>
      <c r="R309" s="130">
        <f t="shared" ca="1" si="227"/>
        <v>0</v>
      </c>
      <c r="S309" s="130">
        <f t="shared" ca="1" si="227"/>
        <v>0</v>
      </c>
      <c r="T309" s="130">
        <f t="shared" ca="1" si="218"/>
        <v>0</v>
      </c>
      <c r="U309" s="130">
        <f t="shared" ca="1" si="219"/>
        <v>0</v>
      </c>
    </row>
    <row r="310" spans="1:21" ht="18.75" hidden="1" x14ac:dyDescent="0.25">
      <c r="A310" s="207"/>
      <c r="B310" s="65"/>
      <c r="C310" s="65"/>
      <c r="D310" s="65"/>
      <c r="E310" s="73" t="s">
        <v>20</v>
      </c>
      <c r="F310" s="65"/>
      <c r="G310" s="67"/>
      <c r="H310" s="216" t="s">
        <v>14</v>
      </c>
      <c r="I310" s="217"/>
      <c r="J310" s="217"/>
      <c r="K310" s="218"/>
      <c r="L310" s="86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0" s="86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0" s="86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0" s="86">
        <f t="shared" ca="1" si="215"/>
        <v>0</v>
      </c>
      <c r="P310" s="86">
        <f t="shared" ca="1" si="216"/>
        <v>0</v>
      </c>
      <c r="Q310" s="74">
        <f ca="1">IFERROR(__xludf.DUMMYFUNCTION("IMPORTRANGE(""https://docs.google.com/spreadsheets/d/13wPX838HrBrQMCywv1BsuMkt4PEKTChp52zj44s2izQ/edit?usp=sharing"",""กาญจนบุรี!Q310"")+IMPORTRANGE(""https://docs.google.com/spreadsheets/d/1ddFKvqj1W1NEiWytbGlB1zMx_ykJDVtmfEQ-6-lIUBA/edit?usp=sharing"","&amp;"""จันทบุรี!Q310"")+IMPORTRANGE(""https://docs.google.com/spreadsheets/d/1T1PQvRODqOBZk8BRht_U031fIS1beLA0Ub2CEytj2q0/edit?usp=sharing"",""ฉะเชิงเทรา!Q310"")+IMPORTRANGE(""https://docs.google.com/spreadsheets/d/11tr1B-Bhyr79v2bkwVh5h_fR-PStkgjlZtkrZpYurG0/"&amp;"edit?usp=sharing"",""ชลบุรี!Q310"")+IMPORTRANGE(""https://docs.google.com/spreadsheets/d/1hh-FVnSX0vozXhGluamEcS54Dw9_zqW0N7qJUWgJ0Sw/edit?usp=sharing"",""ชัยนาท!Q310"")+IMPORTRANGE(""https://docs.google.com/spreadsheets/d/1jkqa6GXxSacMcY1eN8AHjMNJ_7dDXMJ"&amp;"VRLDlaFSOdPM/edit?usp=sharing"",""ตราด!Q310"")+IMPORTRANGE(""https://docs.google.com/spreadsheets/d/18hSgUJ3VwClqi_qtULmmW3cLr0oe3OKaSYoKzdpTsYQ/edit?usp=sharing"",""นครนายก!Q310"")+IMPORTRANGE(""https://docs.google.com/spreadsheets/d/1YTZo6WM2dQ6Ix6FSdnL"&amp;"5P7uVnVKu40sxZu975tgG10E/edit?usp=sharing"",""นครปฐม!Q310"")+IMPORTRANGE(""https://docs.google.com/spreadsheets/d/1OYoGg4WDg5RIzwGeB10padOxJF9E_Vljuvvct_M7RDo/edit?usp=sharing"",""ปทุมธานี!Q310"")+IMPORTRANGE(""https://docs.google.com/spreadsheets/d/1GbCI"&amp;"E4D4wk9FUozzqk7SxfDMxDVBwVmI5zcaVUSzKAc/edit?usp=sharing"",""ประจวบคีรีขันธ์!Q310"")+IMPORTRANGE(""https://docs.google.com/spreadsheets/d/1vVf6wykvW_lAyu7Yo9L4hUTqHqIeP_qcVuxCtosJEbg/edit?usp=sharing"",""ปราจีนบุรี!Q310"")+IMPORTRANGE(""https://docs.googl"&amp;"e.com/spreadsheets/d/1BIDqLLg5jk3v59G8NlR8rk5xfQDKne0sAvZHSj7TI6I/edit?usp=sharing"",""พระนครศรีอยุธยา!Q310"")+IMPORTRANGE(""https://docs.google.com/spreadsheets/d/1YXvxf8Yu6_rV4hTBrwMqAcAnv6DfhUxh5emyM3CJp_w/edit?usp=sharing"",""เพชรบุรี!Q310"")+IMPORTRA"&amp;"NGE(""https://docs.google.com/spreadsheets/d/19KBlQQs7uwvsao6t2n-KvW3Ax8J8uRRfZPq1zPbXgKc/edit?usp=sharing"",""ระยอง!Q310"")+IMPORTRANGE(""https://docs.google.com/spreadsheets/d/1jQ6P4QcrGM89YfqcC_PxOHGCMq5ezhucwJd8ci-NHng/edit?usp=sharing"",""ราชบุรี!Q31"&amp;"0"")+IMPORTRANGE(""https://docs.google.com/spreadsheets/d/1lufeA2cfFqM-elVq2hznhDzC6Pr7wkJ9ZG_sYNGCMCU/edit?usp=sharing"",""ลพบุรี!Q310"")+IMPORTRANGE(""https://docs.google.com/spreadsheets/d/10oOiF7loTyfsTkbd4MpaIm0HQ9SwB7IYHdIUvt-U1Uc/edit?usp=sharing"""&amp;",""สระแก้ว!Q310"")+IMPORTRANGE(""https://docs.google.com/spreadsheets/d/1xmPlrr1QbdSIKvl1dWUl9K4PjAfSL9oeMr_37QVzcxc/edit?usp=sharing"",""สระบุรี!Q310"")+IMPORTRANGE(""https://docs.google.com/spreadsheets/d/1j51vR6CYVGhABJpv6tkstgok82RLpXieLzW1yOY5rHw/edi"&amp;"t?usp=sharing"",""สิงห์บุรี!Q310"")+IMPORTRANGE(""https://docs.google.com/spreadsheets/d/1H1EalTWKUSzO4Z1-1CwzoDUaVffgrThEBe2sl74kKG0/edit?usp=sharing"",""สุพรรณบุรี!Q310"")+IMPORTRANGE(""https://docs.google.com/spreadsheets/d/1BmIruG_sIrJLYao_Pdr7zVArWsf"&amp;"oBt2692TMi6x_854/edit?usp=sharing"",""อ่างทอง!Q310"")"),0)</f>
        <v>0</v>
      </c>
      <c r="R310" s="75">
        <f ca="1">IFERROR(__xludf.DUMMYFUNCTION("IMPORTRANGE(""https://docs.google.com/spreadsheets/d/13wPX838HrBrQMCywv1BsuMkt4PEKTChp52zj44s2izQ/edit?usp=sharing"",""กาญจนบุรี!R310"")+IMPORTRANGE(""https://docs.google.com/spreadsheets/d/1ddFKvqj1W1NEiWytbGlB1zMx_ykJDVtmfEQ-6-lIUBA/edit?usp=sharing"","&amp;"""จันทบุรี!R310"")+IMPORTRANGE(""https://docs.google.com/spreadsheets/d/1T1PQvRODqOBZk8BRht_U031fIS1beLA0Ub2CEytj2q0/edit?usp=sharing"",""ฉะเชิงเทรา!R310"")+IMPORTRANGE(""https://docs.google.com/spreadsheets/d/11tr1B-Bhyr79v2bkwVh5h_fR-PStkgjlZtkrZpYurG0/"&amp;"edit?usp=sharing"",""ชลบุรี!R310"")+IMPORTRANGE(""https://docs.google.com/spreadsheets/d/1hh-FVnSX0vozXhGluamEcS54Dw9_zqW0N7qJUWgJ0Sw/edit?usp=sharing"",""ชัยนาท!R310"")+IMPORTRANGE(""https://docs.google.com/spreadsheets/d/1jkqa6GXxSacMcY1eN8AHjMNJ_7dDXMJ"&amp;"VRLDlaFSOdPM/edit?usp=sharing"",""ตราด!R310"")+IMPORTRANGE(""https://docs.google.com/spreadsheets/d/18hSgUJ3VwClqi_qtULmmW3cLr0oe3OKaSYoKzdpTsYQ/edit?usp=sharing"",""นครนายก!R310"")+IMPORTRANGE(""https://docs.google.com/spreadsheets/d/1YTZo6WM2dQ6Ix6FSdnL"&amp;"5P7uVnVKu40sxZu975tgG10E/edit?usp=sharing"",""นครปฐม!R310"")+IMPORTRANGE(""https://docs.google.com/spreadsheets/d/1OYoGg4WDg5RIzwGeB10padOxJF9E_Vljuvvct_M7RDo/edit?usp=sharing"",""ปทุมธานี!R310"")+IMPORTRANGE(""https://docs.google.com/spreadsheets/d/1GbCI"&amp;"E4D4wk9FUozzqk7SxfDMxDVBwVmI5zcaVUSzKAc/edit?usp=sharing"",""ประจวบคีรีขันธ์!R310"")+IMPORTRANGE(""https://docs.google.com/spreadsheets/d/1vVf6wykvW_lAyu7Yo9L4hUTqHqIeP_qcVuxCtosJEbg/edit?usp=sharing"",""ปราจีนบุรี!R310"")+IMPORTRANGE(""https://docs.googl"&amp;"e.com/spreadsheets/d/1BIDqLLg5jk3v59G8NlR8rk5xfQDKne0sAvZHSj7TI6I/edit?usp=sharing"",""พระนครศรีอยุธยา!R310"")+IMPORTRANGE(""https://docs.google.com/spreadsheets/d/1YXvxf8Yu6_rV4hTBrwMqAcAnv6DfhUxh5emyM3CJp_w/edit?usp=sharing"",""เพชรบุรี!R310"")+IMPORTRA"&amp;"NGE(""https://docs.google.com/spreadsheets/d/19KBlQQs7uwvsao6t2n-KvW3Ax8J8uRRfZPq1zPbXgKc/edit?usp=sharing"",""ระยอง!R310"")+IMPORTRANGE(""https://docs.google.com/spreadsheets/d/1jQ6P4QcrGM89YfqcC_PxOHGCMq5ezhucwJd8ci-NHng/edit?usp=sharing"",""ราชบุรี!R31"&amp;"0"")+IMPORTRANGE(""https://docs.google.com/spreadsheets/d/1lufeA2cfFqM-elVq2hznhDzC6Pr7wkJ9ZG_sYNGCMCU/edit?usp=sharing"",""ลพบุรี!R310"")+IMPORTRANGE(""https://docs.google.com/spreadsheets/d/10oOiF7loTyfsTkbd4MpaIm0HQ9SwB7IYHdIUvt-U1Uc/edit?usp=sharing"""&amp;",""สระแก้ว!R310"")+IMPORTRANGE(""https://docs.google.com/spreadsheets/d/1xmPlrr1QbdSIKvl1dWUl9K4PjAfSL9oeMr_37QVzcxc/edit?usp=sharing"",""สระบุรี!R310"")+IMPORTRANGE(""https://docs.google.com/spreadsheets/d/1j51vR6CYVGhABJpv6tkstgok82RLpXieLzW1yOY5rHw/edi"&amp;"t?usp=sharing"",""สิงห์บุรี!R310"")+IMPORTRANGE(""https://docs.google.com/spreadsheets/d/1H1EalTWKUSzO4Z1-1CwzoDUaVffgrThEBe2sl74kKG0/edit?usp=sharing"",""สุพรรณบุรี!R310"")+IMPORTRANGE(""https://docs.google.com/spreadsheets/d/1BmIruG_sIrJLYao_Pdr7zVArWsf"&amp;"oBt2692TMi6x_854/edit?usp=sharing"",""อ่างทอง!R310"")"),0)</f>
        <v>0</v>
      </c>
      <c r="S310" s="75">
        <f ca="1">IFERROR(__xludf.DUMMYFUNCTION("IMPORTRANGE(""https://docs.google.com/spreadsheets/d/13wPX838HrBrQMCywv1BsuMkt4PEKTChp52zj44s2izQ/edit?usp=sharing"",""กาญจนบุรี!S310"")+IMPORTRANGE(""https://docs.google.com/spreadsheets/d/1ddFKvqj1W1NEiWytbGlB1zMx_ykJDVtmfEQ-6-lIUBA/edit?usp=sharing"","&amp;"""จันทบุรี!S310"")+IMPORTRANGE(""https://docs.google.com/spreadsheets/d/1T1PQvRODqOBZk8BRht_U031fIS1beLA0Ub2CEytj2q0/edit?usp=sharing"",""ฉะเชิงเทรา!S310"")+IMPORTRANGE(""https://docs.google.com/spreadsheets/d/11tr1B-Bhyr79v2bkwVh5h_fR-PStkgjlZtkrZpYurG0/"&amp;"edit?usp=sharing"",""ชลบุรี!S310"")+IMPORTRANGE(""https://docs.google.com/spreadsheets/d/1hh-FVnSX0vozXhGluamEcS54Dw9_zqW0N7qJUWgJ0Sw/edit?usp=sharing"",""ชัยนาท!S310"")+IMPORTRANGE(""https://docs.google.com/spreadsheets/d/1jkqa6GXxSacMcY1eN8AHjMNJ_7dDXMJ"&amp;"VRLDlaFSOdPM/edit?usp=sharing"",""ตราด!S310"")+IMPORTRANGE(""https://docs.google.com/spreadsheets/d/18hSgUJ3VwClqi_qtULmmW3cLr0oe3OKaSYoKzdpTsYQ/edit?usp=sharing"",""นครนายก!S310"")+IMPORTRANGE(""https://docs.google.com/spreadsheets/d/1YTZo6WM2dQ6Ix6FSdnL"&amp;"5P7uVnVKu40sxZu975tgG10E/edit?usp=sharing"",""นครปฐม!S310"")+IMPORTRANGE(""https://docs.google.com/spreadsheets/d/1OYoGg4WDg5RIzwGeB10padOxJF9E_Vljuvvct_M7RDo/edit?usp=sharing"",""ปทุมธานี!S310"")+IMPORTRANGE(""https://docs.google.com/spreadsheets/d/1GbCI"&amp;"E4D4wk9FUozzqk7SxfDMxDVBwVmI5zcaVUSzKAc/edit?usp=sharing"",""ประจวบคีรีขันธ์!S310"")+IMPORTRANGE(""https://docs.google.com/spreadsheets/d/1vVf6wykvW_lAyu7Yo9L4hUTqHqIeP_qcVuxCtosJEbg/edit?usp=sharing"",""ปราจีนบุรี!S310"")+IMPORTRANGE(""https://docs.googl"&amp;"e.com/spreadsheets/d/1BIDqLLg5jk3v59G8NlR8rk5xfQDKne0sAvZHSj7TI6I/edit?usp=sharing"",""พระนครศรีอยุธยา!S310"")+IMPORTRANGE(""https://docs.google.com/spreadsheets/d/1YXvxf8Yu6_rV4hTBrwMqAcAnv6DfhUxh5emyM3CJp_w/edit?usp=sharing"",""เพชรบุรี!S310"")+IMPORTRA"&amp;"NGE(""https://docs.google.com/spreadsheets/d/19KBlQQs7uwvsao6t2n-KvW3Ax8J8uRRfZPq1zPbXgKc/edit?usp=sharing"",""ระยอง!S310"")+IMPORTRANGE(""https://docs.google.com/spreadsheets/d/1jQ6P4QcrGM89YfqcC_PxOHGCMq5ezhucwJd8ci-NHng/edit?usp=sharing"",""ราชบุรี!S31"&amp;"0"")+IMPORTRANGE(""https://docs.google.com/spreadsheets/d/1lufeA2cfFqM-elVq2hznhDzC6Pr7wkJ9ZG_sYNGCMCU/edit?usp=sharing"",""ลพบุรี!S310"")+IMPORTRANGE(""https://docs.google.com/spreadsheets/d/10oOiF7loTyfsTkbd4MpaIm0HQ9SwB7IYHdIUvt-U1Uc/edit?usp=sharing"""&amp;",""สระแก้ว!S310"")+IMPORTRANGE(""https://docs.google.com/spreadsheets/d/1xmPlrr1QbdSIKvl1dWUl9K4PjAfSL9oeMr_37QVzcxc/edit?usp=sharing"",""สระบุรี!S310"")+IMPORTRANGE(""https://docs.google.com/spreadsheets/d/1j51vR6CYVGhABJpv6tkstgok82RLpXieLzW1yOY5rHw/edi"&amp;"t?usp=sharing"",""สิงห์บุรี!S310"")+IMPORTRANGE(""https://docs.google.com/spreadsheets/d/1H1EalTWKUSzO4Z1-1CwzoDUaVffgrThEBe2sl74kKG0/edit?usp=sharing"",""สุพรรณบุรี!S310"")+IMPORTRANGE(""https://docs.google.com/spreadsheets/d/1BmIruG_sIrJLYao_Pdr7zVArWsf"&amp;"oBt2692TMi6x_854/edit?usp=sharing"",""อ่างทอง!S310"")"),0)</f>
        <v>0</v>
      </c>
      <c r="T310" s="131">
        <f t="shared" ca="1" si="218"/>
        <v>0</v>
      </c>
      <c r="U310" s="131">
        <f t="shared" ca="1" si="219"/>
        <v>0</v>
      </c>
    </row>
    <row r="311" spans="1:21" ht="18.75" hidden="1" x14ac:dyDescent="0.25">
      <c r="A311" s="207"/>
      <c r="B311" s="65"/>
      <c r="C311" s="65"/>
      <c r="D311" s="65"/>
      <c r="E311" s="73" t="s">
        <v>21</v>
      </c>
      <c r="F311" s="65"/>
      <c r="G311" s="67"/>
      <c r="H311" s="219" t="s">
        <v>14</v>
      </c>
      <c r="I311" s="217"/>
      <c r="J311" s="217"/>
      <c r="K311" s="218"/>
      <c r="L311" s="86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1" s="86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1" s="86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1" s="86">
        <f t="shared" ca="1" si="215"/>
        <v>0</v>
      </c>
      <c r="P311" s="86">
        <f t="shared" ca="1" si="216"/>
        <v>0</v>
      </c>
      <c r="Q311" s="71">
        <f ca="1">IFERROR(__xludf.DUMMYFUNCTION("IMPORTRANGE(""https://docs.google.com/spreadsheets/d/13wPX838HrBrQMCywv1BsuMkt4PEKTChp52zj44s2izQ/edit?usp=sharing"",""กาญจนบุรี!Q311"")+IMPORTRANGE(""https://docs.google.com/spreadsheets/d/1ddFKvqj1W1NEiWytbGlB1zMx_ykJDVtmfEQ-6-lIUBA/edit?usp=sharing"","&amp;"""จันทบุรี!Q311"")+IMPORTRANGE(""https://docs.google.com/spreadsheets/d/1T1PQvRODqOBZk8BRht_U031fIS1beLA0Ub2CEytj2q0/edit?usp=sharing"",""ฉะเชิงเทรา!Q311"")+IMPORTRANGE(""https://docs.google.com/spreadsheets/d/11tr1B-Bhyr79v2bkwVh5h_fR-PStkgjlZtkrZpYurG0/"&amp;"edit?usp=sharing"",""ชลบุรี!Q311"")+IMPORTRANGE(""https://docs.google.com/spreadsheets/d/1hh-FVnSX0vozXhGluamEcS54Dw9_zqW0N7qJUWgJ0Sw/edit?usp=sharing"",""ชัยนาท!Q311"")+IMPORTRANGE(""https://docs.google.com/spreadsheets/d/1jkqa6GXxSacMcY1eN8AHjMNJ_7dDXMJ"&amp;"VRLDlaFSOdPM/edit?usp=sharing"",""ตราด!Q311"")+IMPORTRANGE(""https://docs.google.com/spreadsheets/d/18hSgUJ3VwClqi_qtULmmW3cLr0oe3OKaSYoKzdpTsYQ/edit?usp=sharing"",""นครนายก!Q311"")+IMPORTRANGE(""https://docs.google.com/spreadsheets/d/1YTZo6WM2dQ6Ix6FSdnL"&amp;"5P7uVnVKu40sxZu975tgG10E/edit?usp=sharing"",""นครปฐม!Q311"")+IMPORTRANGE(""https://docs.google.com/spreadsheets/d/1OYoGg4WDg5RIzwGeB10padOxJF9E_Vljuvvct_M7RDo/edit?usp=sharing"",""ปทุมธานี!Q311"")+IMPORTRANGE(""https://docs.google.com/spreadsheets/d/1GbCI"&amp;"E4D4wk9FUozzqk7SxfDMxDVBwVmI5zcaVUSzKAc/edit?usp=sharing"",""ประจวบคีรีขันธ์!Q311"")+IMPORTRANGE(""https://docs.google.com/spreadsheets/d/1vVf6wykvW_lAyu7Yo9L4hUTqHqIeP_qcVuxCtosJEbg/edit?usp=sharing"",""ปราจีนบุรี!Q311"")+IMPORTRANGE(""https://docs.googl"&amp;"e.com/spreadsheets/d/1BIDqLLg5jk3v59G8NlR8rk5xfQDKne0sAvZHSj7TI6I/edit?usp=sharing"",""พระนครศรีอยุธยา!Q311"")+IMPORTRANGE(""https://docs.google.com/spreadsheets/d/1YXvxf8Yu6_rV4hTBrwMqAcAnv6DfhUxh5emyM3CJp_w/edit?usp=sharing"",""เพชรบุรี!Q311"")+IMPORTRA"&amp;"NGE(""https://docs.google.com/spreadsheets/d/19KBlQQs7uwvsao6t2n-KvW3Ax8J8uRRfZPq1zPbXgKc/edit?usp=sharing"",""ระยอง!Q311"")+IMPORTRANGE(""https://docs.google.com/spreadsheets/d/1jQ6P4QcrGM89YfqcC_PxOHGCMq5ezhucwJd8ci-NHng/edit?usp=sharing"",""ราชบุรี!Q31"&amp;"1"")+IMPORTRANGE(""https://docs.google.com/spreadsheets/d/1lufeA2cfFqM-elVq2hznhDzC6Pr7wkJ9ZG_sYNGCMCU/edit?usp=sharing"",""ลพบุรี!Q311"")+IMPORTRANGE(""https://docs.google.com/spreadsheets/d/10oOiF7loTyfsTkbd4MpaIm0HQ9SwB7IYHdIUvt-U1Uc/edit?usp=sharing"""&amp;",""สระแก้ว!Q311"")+IMPORTRANGE(""https://docs.google.com/spreadsheets/d/1xmPlrr1QbdSIKvl1dWUl9K4PjAfSL9oeMr_37QVzcxc/edit?usp=sharing"",""สระบุรี!Q311"")+IMPORTRANGE(""https://docs.google.com/spreadsheets/d/1j51vR6CYVGhABJpv6tkstgok82RLpXieLzW1yOY5rHw/edi"&amp;"t?usp=sharing"",""สิงห์บุรี!Q311"")+IMPORTRANGE(""https://docs.google.com/spreadsheets/d/1H1EalTWKUSzO4Z1-1CwzoDUaVffgrThEBe2sl74kKG0/edit?usp=sharing"",""สุพรรณบุรี!Q311"")+IMPORTRANGE(""https://docs.google.com/spreadsheets/d/1BmIruG_sIrJLYao_Pdr7zVArWsf"&amp;"oBt2692TMi6x_854/edit?usp=sharing"",""อ่างทอง!Q311"")"),0)</f>
        <v>0</v>
      </c>
      <c r="R311" s="72">
        <f ca="1">IFERROR(__xludf.DUMMYFUNCTION("IMPORTRANGE(""https://docs.google.com/spreadsheets/d/13wPX838HrBrQMCywv1BsuMkt4PEKTChp52zj44s2izQ/edit?usp=sharing"",""กาญจนบุรี!R311"")+IMPORTRANGE(""https://docs.google.com/spreadsheets/d/1ddFKvqj1W1NEiWytbGlB1zMx_ykJDVtmfEQ-6-lIUBA/edit?usp=sharing"","&amp;"""จันทบุรี!R311"")+IMPORTRANGE(""https://docs.google.com/spreadsheets/d/1T1PQvRODqOBZk8BRht_U031fIS1beLA0Ub2CEytj2q0/edit?usp=sharing"",""ฉะเชิงเทรา!R311"")+IMPORTRANGE(""https://docs.google.com/spreadsheets/d/11tr1B-Bhyr79v2bkwVh5h_fR-PStkgjlZtkrZpYurG0/"&amp;"edit?usp=sharing"",""ชลบุรี!R311"")+IMPORTRANGE(""https://docs.google.com/spreadsheets/d/1hh-FVnSX0vozXhGluamEcS54Dw9_zqW0N7qJUWgJ0Sw/edit?usp=sharing"",""ชัยนาท!R311"")+IMPORTRANGE(""https://docs.google.com/spreadsheets/d/1jkqa6GXxSacMcY1eN8AHjMNJ_7dDXMJ"&amp;"VRLDlaFSOdPM/edit?usp=sharing"",""ตราด!R311"")+IMPORTRANGE(""https://docs.google.com/spreadsheets/d/18hSgUJ3VwClqi_qtULmmW3cLr0oe3OKaSYoKzdpTsYQ/edit?usp=sharing"",""นครนายก!R311"")+IMPORTRANGE(""https://docs.google.com/spreadsheets/d/1YTZo6WM2dQ6Ix6FSdnL"&amp;"5P7uVnVKu40sxZu975tgG10E/edit?usp=sharing"",""นครปฐม!R311"")+IMPORTRANGE(""https://docs.google.com/spreadsheets/d/1OYoGg4WDg5RIzwGeB10padOxJF9E_Vljuvvct_M7RDo/edit?usp=sharing"",""ปทุมธานี!R311"")+IMPORTRANGE(""https://docs.google.com/spreadsheets/d/1GbCI"&amp;"E4D4wk9FUozzqk7SxfDMxDVBwVmI5zcaVUSzKAc/edit?usp=sharing"",""ประจวบคีรีขันธ์!R311"")+IMPORTRANGE(""https://docs.google.com/spreadsheets/d/1vVf6wykvW_lAyu7Yo9L4hUTqHqIeP_qcVuxCtosJEbg/edit?usp=sharing"",""ปราจีนบุรี!R311"")+IMPORTRANGE(""https://docs.googl"&amp;"e.com/spreadsheets/d/1BIDqLLg5jk3v59G8NlR8rk5xfQDKne0sAvZHSj7TI6I/edit?usp=sharing"",""พระนครศรีอยุธยา!R311"")+IMPORTRANGE(""https://docs.google.com/spreadsheets/d/1YXvxf8Yu6_rV4hTBrwMqAcAnv6DfhUxh5emyM3CJp_w/edit?usp=sharing"",""เพชรบุรี!R311"")+IMPORTRA"&amp;"NGE(""https://docs.google.com/spreadsheets/d/19KBlQQs7uwvsao6t2n-KvW3Ax8J8uRRfZPq1zPbXgKc/edit?usp=sharing"",""ระยอง!R311"")+IMPORTRANGE(""https://docs.google.com/spreadsheets/d/1jQ6P4QcrGM89YfqcC_PxOHGCMq5ezhucwJd8ci-NHng/edit?usp=sharing"",""ราชบุรี!R31"&amp;"1"")+IMPORTRANGE(""https://docs.google.com/spreadsheets/d/1lufeA2cfFqM-elVq2hznhDzC6Pr7wkJ9ZG_sYNGCMCU/edit?usp=sharing"",""ลพบุรี!R311"")+IMPORTRANGE(""https://docs.google.com/spreadsheets/d/10oOiF7loTyfsTkbd4MpaIm0HQ9SwB7IYHdIUvt-U1Uc/edit?usp=sharing"""&amp;",""สระแก้ว!R311"")+IMPORTRANGE(""https://docs.google.com/spreadsheets/d/1xmPlrr1QbdSIKvl1dWUl9K4PjAfSL9oeMr_37QVzcxc/edit?usp=sharing"",""สระบุรี!R311"")+IMPORTRANGE(""https://docs.google.com/spreadsheets/d/1j51vR6CYVGhABJpv6tkstgok82RLpXieLzW1yOY5rHw/edi"&amp;"t?usp=sharing"",""สิงห์บุรี!R311"")+IMPORTRANGE(""https://docs.google.com/spreadsheets/d/1H1EalTWKUSzO4Z1-1CwzoDUaVffgrThEBe2sl74kKG0/edit?usp=sharing"",""สุพรรณบุรี!R311"")+IMPORTRANGE(""https://docs.google.com/spreadsheets/d/1BmIruG_sIrJLYao_Pdr7zVArWsf"&amp;"oBt2692TMi6x_854/edit?usp=sharing"",""อ่างทอง!R311"")"),0)</f>
        <v>0</v>
      </c>
      <c r="S311" s="72">
        <f ca="1">IFERROR(__xludf.DUMMYFUNCTION("IMPORTRANGE(""https://docs.google.com/spreadsheets/d/13wPX838HrBrQMCywv1BsuMkt4PEKTChp52zj44s2izQ/edit?usp=sharing"",""กาญจนบุรี!S311"")+IMPORTRANGE(""https://docs.google.com/spreadsheets/d/1ddFKvqj1W1NEiWytbGlB1zMx_ykJDVtmfEQ-6-lIUBA/edit?usp=sharing"","&amp;"""จันทบุรี!S311"")+IMPORTRANGE(""https://docs.google.com/spreadsheets/d/1T1PQvRODqOBZk8BRht_U031fIS1beLA0Ub2CEytj2q0/edit?usp=sharing"",""ฉะเชิงเทรา!S311"")+IMPORTRANGE(""https://docs.google.com/spreadsheets/d/11tr1B-Bhyr79v2bkwVh5h_fR-PStkgjlZtkrZpYurG0/"&amp;"edit?usp=sharing"",""ชลบุรี!S311"")+IMPORTRANGE(""https://docs.google.com/spreadsheets/d/1hh-FVnSX0vozXhGluamEcS54Dw9_zqW0N7qJUWgJ0Sw/edit?usp=sharing"",""ชัยนาท!S311"")+IMPORTRANGE(""https://docs.google.com/spreadsheets/d/1jkqa6GXxSacMcY1eN8AHjMNJ_7dDXMJ"&amp;"VRLDlaFSOdPM/edit?usp=sharing"",""ตราด!S311"")+IMPORTRANGE(""https://docs.google.com/spreadsheets/d/18hSgUJ3VwClqi_qtULmmW3cLr0oe3OKaSYoKzdpTsYQ/edit?usp=sharing"",""นครนายก!S311"")+IMPORTRANGE(""https://docs.google.com/spreadsheets/d/1YTZo6WM2dQ6Ix6FSdnL"&amp;"5P7uVnVKu40sxZu975tgG10E/edit?usp=sharing"",""นครปฐม!S311"")+IMPORTRANGE(""https://docs.google.com/spreadsheets/d/1OYoGg4WDg5RIzwGeB10padOxJF9E_Vljuvvct_M7RDo/edit?usp=sharing"",""ปทุมธานี!S311"")+IMPORTRANGE(""https://docs.google.com/spreadsheets/d/1GbCI"&amp;"E4D4wk9FUozzqk7SxfDMxDVBwVmI5zcaVUSzKAc/edit?usp=sharing"",""ประจวบคีรีขันธ์!S311"")+IMPORTRANGE(""https://docs.google.com/spreadsheets/d/1vVf6wykvW_lAyu7Yo9L4hUTqHqIeP_qcVuxCtosJEbg/edit?usp=sharing"",""ปราจีนบุรี!S311"")+IMPORTRANGE(""https://docs.googl"&amp;"e.com/spreadsheets/d/1BIDqLLg5jk3v59G8NlR8rk5xfQDKne0sAvZHSj7TI6I/edit?usp=sharing"",""พระนครศรีอยุธยา!S311"")+IMPORTRANGE(""https://docs.google.com/spreadsheets/d/1YXvxf8Yu6_rV4hTBrwMqAcAnv6DfhUxh5emyM3CJp_w/edit?usp=sharing"",""เพชรบุรี!S311"")+IMPORTRA"&amp;"NGE(""https://docs.google.com/spreadsheets/d/19KBlQQs7uwvsao6t2n-KvW3Ax8J8uRRfZPq1zPbXgKc/edit?usp=sharing"",""ระยอง!S311"")+IMPORTRANGE(""https://docs.google.com/spreadsheets/d/1jQ6P4QcrGM89YfqcC_PxOHGCMq5ezhucwJd8ci-NHng/edit?usp=sharing"",""ราชบุรี!S31"&amp;"1"")+IMPORTRANGE(""https://docs.google.com/spreadsheets/d/1lufeA2cfFqM-elVq2hznhDzC6Pr7wkJ9ZG_sYNGCMCU/edit?usp=sharing"",""ลพบุรี!S311"")+IMPORTRANGE(""https://docs.google.com/spreadsheets/d/10oOiF7loTyfsTkbd4MpaIm0HQ9SwB7IYHdIUvt-U1Uc/edit?usp=sharing"""&amp;",""สระแก้ว!S311"")+IMPORTRANGE(""https://docs.google.com/spreadsheets/d/1xmPlrr1QbdSIKvl1dWUl9K4PjAfSL9oeMr_37QVzcxc/edit?usp=sharing"",""สระบุรี!S311"")+IMPORTRANGE(""https://docs.google.com/spreadsheets/d/1j51vR6CYVGhABJpv6tkstgok82RLpXieLzW1yOY5rHw/edi"&amp;"t?usp=sharing"",""สิงห์บุรี!S311"")+IMPORTRANGE(""https://docs.google.com/spreadsheets/d/1H1EalTWKUSzO4Z1-1CwzoDUaVffgrThEBe2sl74kKG0/edit?usp=sharing"",""สุพรรณบุรี!S311"")+IMPORTRANGE(""https://docs.google.com/spreadsheets/d/1BmIruG_sIrJLYao_Pdr7zVArWsf"&amp;"oBt2692TMi6x_854/edit?usp=sharing"",""อ่างทอง!S311"")"),0)</f>
        <v>0</v>
      </c>
      <c r="T311" s="130">
        <f t="shared" ca="1" si="218"/>
        <v>0</v>
      </c>
      <c r="U311" s="130">
        <f t="shared" ca="1" si="219"/>
        <v>0</v>
      </c>
    </row>
    <row r="312" spans="1:21" ht="19.5" x14ac:dyDescent="0.3">
      <c r="A312" s="220"/>
      <c r="B312" s="221"/>
      <c r="C312" s="208" t="s">
        <v>18</v>
      </c>
      <c r="D312" s="222" t="s">
        <v>38</v>
      </c>
      <c r="E312" s="223"/>
      <c r="F312" s="223"/>
      <c r="G312" s="224"/>
      <c r="H312" s="225"/>
      <c r="I312" s="69"/>
      <c r="J312" s="69"/>
      <c r="K312" s="70"/>
      <c r="L312" s="70"/>
      <c r="M312" s="70"/>
      <c r="N312" s="70"/>
      <c r="O312" s="70"/>
      <c r="P312" s="70"/>
      <c r="Q312" s="84"/>
      <c r="R312" s="85"/>
      <c r="S312" s="85"/>
      <c r="T312" s="85"/>
      <c r="U312" s="85"/>
    </row>
    <row r="313" spans="1:21" ht="18.75" x14ac:dyDescent="0.25">
      <c r="A313" s="364"/>
      <c r="B313" s="367"/>
      <c r="C313" s="367"/>
      <c r="D313" s="73" t="s">
        <v>128</v>
      </c>
      <c r="E313" s="65"/>
      <c r="F313" s="65"/>
      <c r="G313" s="67"/>
      <c r="H313" s="67"/>
      <c r="I313" s="69"/>
      <c r="J313" s="237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3" s="70"/>
      <c r="L313" s="70"/>
      <c r="M313" s="70"/>
      <c r="N313" s="70"/>
      <c r="O313" s="70"/>
      <c r="P313" s="70"/>
      <c r="Q313" s="84"/>
      <c r="R313" s="85"/>
      <c r="S313" s="85"/>
      <c r="T313" s="85"/>
      <c r="U313" s="85"/>
    </row>
    <row r="314" spans="1:21" ht="18.75" x14ac:dyDescent="0.25">
      <c r="A314" s="364"/>
      <c r="B314" s="367"/>
      <c r="C314" s="367"/>
      <c r="D314" s="73" t="s">
        <v>121</v>
      </c>
      <c r="E314" s="65"/>
      <c r="F314" s="65"/>
      <c r="G314" s="67"/>
      <c r="H314" s="68" t="s">
        <v>35</v>
      </c>
      <c r="I314" s="237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355)</f>
        <v>355</v>
      </c>
      <c r="J314" s="237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260)</f>
        <v>260</v>
      </c>
      <c r="K314" s="86">
        <f t="shared" ref="K314:K317" ca="1" si="228">IF(I314&gt;0,J314*100/I314,0)</f>
        <v>73.239436619718305</v>
      </c>
      <c r="L314" s="70"/>
      <c r="M314" s="70"/>
      <c r="N314" s="70"/>
      <c r="O314" s="70"/>
      <c r="P314" s="70"/>
      <c r="Q314" s="84"/>
      <c r="R314" s="85"/>
      <c r="S314" s="85"/>
      <c r="T314" s="85"/>
      <c r="U314" s="85"/>
    </row>
    <row r="315" spans="1:21" ht="18.75" x14ac:dyDescent="0.25">
      <c r="A315" s="364"/>
      <c r="B315" s="367"/>
      <c r="C315" s="367"/>
      <c r="D315" s="73" t="s">
        <v>129</v>
      </c>
      <c r="E315" s="65"/>
      <c r="F315" s="65"/>
      <c r="G315" s="67"/>
      <c r="H315" s="68" t="s">
        <v>35</v>
      </c>
      <c r="I315" s="237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0)</f>
        <v>0</v>
      </c>
      <c r="J315" s="237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5" s="86">
        <f t="shared" ca="1" si="228"/>
        <v>0</v>
      </c>
      <c r="L315" s="70"/>
      <c r="M315" s="70"/>
      <c r="N315" s="70"/>
      <c r="O315" s="70"/>
      <c r="P315" s="70"/>
      <c r="Q315" s="84"/>
      <c r="R315" s="85"/>
      <c r="S315" s="85"/>
      <c r="T315" s="85"/>
      <c r="U315" s="85"/>
    </row>
    <row r="316" spans="1:21" ht="18.75" x14ac:dyDescent="0.25">
      <c r="A316" s="364"/>
      <c r="B316" s="367"/>
      <c r="C316" s="367"/>
      <c r="D316" s="73" t="s">
        <v>50</v>
      </c>
      <c r="E316" s="65"/>
      <c r="F316" s="65"/>
      <c r="G316" s="67"/>
      <c r="H316" s="68" t="s">
        <v>35</v>
      </c>
      <c r="I316" s="237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0)</f>
        <v>0</v>
      </c>
      <c r="J316" s="237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6" s="86">
        <f t="shared" ca="1" si="228"/>
        <v>0</v>
      </c>
      <c r="L316" s="70"/>
      <c r="M316" s="70"/>
      <c r="N316" s="70"/>
      <c r="O316" s="70"/>
      <c r="P316" s="70"/>
      <c r="Q316" s="84"/>
      <c r="R316" s="85"/>
      <c r="S316" s="85"/>
      <c r="T316" s="85"/>
      <c r="U316" s="85"/>
    </row>
    <row r="317" spans="1:21" ht="18.75" x14ac:dyDescent="0.25">
      <c r="A317" s="364"/>
      <c r="B317" s="367"/>
      <c r="C317" s="367"/>
      <c r="D317" s="73" t="s">
        <v>130</v>
      </c>
      <c r="E317" s="65"/>
      <c r="F317" s="65"/>
      <c r="G317" s="67"/>
      <c r="H317" s="68" t="s">
        <v>35</v>
      </c>
      <c r="I317" s="237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0)</f>
        <v>0</v>
      </c>
      <c r="J317" s="237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7" s="86">
        <f t="shared" ca="1" si="228"/>
        <v>0</v>
      </c>
      <c r="L317" s="70"/>
      <c r="M317" s="70"/>
      <c r="N317" s="70"/>
      <c r="O317" s="70"/>
      <c r="P317" s="70"/>
      <c r="Q317" s="84"/>
      <c r="R317" s="85"/>
      <c r="S317" s="85"/>
      <c r="T317" s="85"/>
      <c r="U317" s="85"/>
    </row>
    <row r="318" spans="1:21" ht="19.5" x14ac:dyDescent="0.3">
      <c r="A318" s="493" t="s">
        <v>131</v>
      </c>
      <c r="B318" s="494"/>
      <c r="C318" s="494"/>
      <c r="D318" s="495"/>
      <c r="E318" s="494"/>
      <c r="F318" s="494"/>
      <c r="G318" s="494"/>
      <c r="H318" s="495"/>
      <c r="I318" s="497"/>
      <c r="J318" s="497"/>
      <c r="K318" s="498"/>
      <c r="L318" s="498"/>
      <c r="M318" s="498"/>
      <c r="N318" s="498"/>
      <c r="O318" s="498"/>
      <c r="P318" s="498"/>
      <c r="Q318" s="499"/>
      <c r="R318" s="500"/>
      <c r="S318" s="500"/>
      <c r="T318" s="500"/>
      <c r="U318" s="500"/>
    </row>
    <row r="319" spans="1:21" ht="19.5" x14ac:dyDescent="0.3">
      <c r="A319" s="511"/>
      <c r="B319" s="502" t="s">
        <v>132</v>
      </c>
      <c r="C319" s="512"/>
      <c r="D319" s="513"/>
      <c r="E319" s="503"/>
      <c r="F319" s="503"/>
      <c r="G319" s="504"/>
      <c r="H319" s="505" t="s">
        <v>133</v>
      </c>
      <c r="I319" s="506">
        <f t="shared" ref="I319:J319" ca="1" si="229">I330</f>
        <v>5</v>
      </c>
      <c r="J319" s="506">
        <f t="shared" ca="1" si="229"/>
        <v>3</v>
      </c>
      <c r="K319" s="507">
        <f ca="1">IF(I319&gt;0,J319*100/I319,0)</f>
        <v>60</v>
      </c>
      <c r="L319" s="508"/>
      <c r="M319" s="508"/>
      <c r="N319" s="508"/>
      <c r="O319" s="508"/>
      <c r="P319" s="508"/>
      <c r="Q319" s="509"/>
      <c r="R319" s="510"/>
      <c r="S319" s="510"/>
      <c r="T319" s="510"/>
      <c r="U319" s="510"/>
    </row>
    <row r="320" spans="1:21" ht="19.5" x14ac:dyDescent="0.3">
      <c r="A320" s="207"/>
      <c r="B320" s="65"/>
      <c r="C320" s="208" t="s">
        <v>18</v>
      </c>
      <c r="D320" s="209" t="s">
        <v>19</v>
      </c>
      <c r="E320" s="65"/>
      <c r="F320" s="65"/>
      <c r="G320" s="67"/>
      <c r="H320" s="210" t="s">
        <v>14</v>
      </c>
      <c r="I320" s="69"/>
      <c r="J320" s="69"/>
      <c r="K320" s="70"/>
      <c r="L320" s="211">
        <f t="shared" ref="L320:N320" ca="1" si="230">L321+L322</f>
        <v>869000</v>
      </c>
      <c r="M320" s="211">
        <f t="shared" ca="1" si="230"/>
        <v>869000</v>
      </c>
      <c r="N320" s="211">
        <f t="shared" ca="1" si="230"/>
        <v>151135.26</v>
      </c>
      <c r="O320" s="211">
        <f t="shared" ref="O320:O328" ca="1" si="231">IF(L320&gt;0,N320*100/L320,0)</f>
        <v>17.391859608745683</v>
      </c>
      <c r="P320" s="211">
        <f t="shared" ref="P320:P328" ca="1" si="232">IF(M320&gt;0,N320*100/M320,0)</f>
        <v>17.391859608745683</v>
      </c>
      <c r="Q320" s="212">
        <f t="shared" ref="Q320:S320" ca="1" si="233">Q321+Q322</f>
        <v>0</v>
      </c>
      <c r="R320" s="213">
        <f t="shared" ca="1" si="233"/>
        <v>0</v>
      </c>
      <c r="S320" s="213">
        <f t="shared" ca="1" si="233"/>
        <v>0</v>
      </c>
      <c r="T320" s="213">
        <f t="shared" ref="T320:T328" ca="1" si="234">IF(Q320&gt;0,S320*100/Q320,0)</f>
        <v>0</v>
      </c>
      <c r="U320" s="213">
        <f t="shared" ref="U320:U328" ca="1" si="235">IF(R320&gt;0,S320*100/R320,0)</f>
        <v>0</v>
      </c>
    </row>
    <row r="321" spans="1:21" ht="18.75" hidden="1" x14ac:dyDescent="0.25">
      <c r="A321" s="207"/>
      <c r="B321" s="65"/>
      <c r="C321" s="65"/>
      <c r="D321" s="65"/>
      <c r="E321" s="73" t="s">
        <v>20</v>
      </c>
      <c r="F321" s="65"/>
      <c r="G321" s="67"/>
      <c r="H321" s="214" t="s">
        <v>14</v>
      </c>
      <c r="I321" s="69"/>
      <c r="J321" s="69"/>
      <c r="K321" s="70"/>
      <c r="L321" s="86">
        <f t="shared" ref="L321:N321" ca="1" si="236">L324+L327</f>
        <v>0</v>
      </c>
      <c r="M321" s="86">
        <f t="shared" ca="1" si="236"/>
        <v>0</v>
      </c>
      <c r="N321" s="86">
        <f t="shared" ca="1" si="236"/>
        <v>0</v>
      </c>
      <c r="O321" s="86">
        <f t="shared" ca="1" si="231"/>
        <v>0</v>
      </c>
      <c r="P321" s="86">
        <f t="shared" ca="1" si="232"/>
        <v>0</v>
      </c>
      <c r="Q321" s="215">
        <f t="shared" ref="Q321:S321" ca="1" si="237">Q324+Q327</f>
        <v>0</v>
      </c>
      <c r="R321" s="131">
        <f t="shared" ca="1" si="237"/>
        <v>0</v>
      </c>
      <c r="S321" s="131">
        <f t="shared" ca="1" si="237"/>
        <v>0</v>
      </c>
      <c r="T321" s="131">
        <f t="shared" ca="1" si="234"/>
        <v>0</v>
      </c>
      <c r="U321" s="131">
        <f t="shared" ca="1" si="235"/>
        <v>0</v>
      </c>
    </row>
    <row r="322" spans="1:21" ht="18.75" hidden="1" x14ac:dyDescent="0.25">
      <c r="A322" s="207"/>
      <c r="B322" s="65"/>
      <c r="C322" s="65"/>
      <c r="D322" s="65"/>
      <c r="E322" s="73" t="s">
        <v>21</v>
      </c>
      <c r="F322" s="65"/>
      <c r="G322" s="67"/>
      <c r="H322" s="214" t="s">
        <v>14</v>
      </c>
      <c r="I322" s="69"/>
      <c r="J322" s="69"/>
      <c r="K322" s="70"/>
      <c r="L322" s="86">
        <f t="shared" ref="L322:N322" ca="1" si="238">L325+L328</f>
        <v>869000</v>
      </c>
      <c r="M322" s="86">
        <f t="shared" ca="1" si="238"/>
        <v>869000</v>
      </c>
      <c r="N322" s="86">
        <f t="shared" ca="1" si="238"/>
        <v>151135.26</v>
      </c>
      <c r="O322" s="86">
        <f t="shared" ca="1" si="231"/>
        <v>17.391859608745683</v>
      </c>
      <c r="P322" s="86">
        <f t="shared" ca="1" si="232"/>
        <v>17.391859608745683</v>
      </c>
      <c r="Q322" s="129">
        <f t="shared" ref="Q322:S322" ca="1" si="239">Q325+Q328</f>
        <v>0</v>
      </c>
      <c r="R322" s="130">
        <f t="shared" ca="1" si="239"/>
        <v>0</v>
      </c>
      <c r="S322" s="130">
        <f t="shared" ca="1" si="239"/>
        <v>0</v>
      </c>
      <c r="T322" s="130">
        <f t="shared" ca="1" si="234"/>
        <v>0</v>
      </c>
      <c r="U322" s="130">
        <f t="shared" ca="1" si="235"/>
        <v>0</v>
      </c>
    </row>
    <row r="323" spans="1:21" ht="18.75" x14ac:dyDescent="0.25">
      <c r="A323" s="207"/>
      <c r="B323" s="65"/>
      <c r="C323" s="65"/>
      <c r="D323" s="66" t="s">
        <v>22</v>
      </c>
      <c r="E323" s="65"/>
      <c r="F323" s="65"/>
      <c r="G323" s="67"/>
      <c r="H323" s="216" t="s">
        <v>14</v>
      </c>
      <c r="I323" s="217"/>
      <c r="J323" s="217"/>
      <c r="K323" s="218"/>
      <c r="L323" s="86">
        <f t="shared" ref="L323:N323" ca="1" si="240">L324+L325</f>
        <v>485000</v>
      </c>
      <c r="M323" s="86">
        <f t="shared" ca="1" si="240"/>
        <v>485000</v>
      </c>
      <c r="N323" s="86">
        <f t="shared" ca="1" si="240"/>
        <v>151135.26</v>
      </c>
      <c r="O323" s="86">
        <f t="shared" ca="1" si="231"/>
        <v>31.161909278350514</v>
      </c>
      <c r="P323" s="86">
        <f t="shared" ca="1" si="232"/>
        <v>31.161909278350514</v>
      </c>
      <c r="Q323" s="129">
        <f t="shared" ref="Q323:S323" ca="1" si="241">Q324+Q325</f>
        <v>0</v>
      </c>
      <c r="R323" s="130">
        <f t="shared" ca="1" si="241"/>
        <v>0</v>
      </c>
      <c r="S323" s="130">
        <f t="shared" ca="1" si="241"/>
        <v>0</v>
      </c>
      <c r="T323" s="130">
        <f t="shared" ca="1" si="234"/>
        <v>0</v>
      </c>
      <c r="U323" s="130">
        <f t="shared" ca="1" si="235"/>
        <v>0</v>
      </c>
    </row>
    <row r="324" spans="1:21" ht="18.75" hidden="1" x14ac:dyDescent="0.25">
      <c r="A324" s="207"/>
      <c r="B324" s="65"/>
      <c r="C324" s="65"/>
      <c r="D324" s="65"/>
      <c r="E324" s="73" t="s">
        <v>36</v>
      </c>
      <c r="F324" s="65"/>
      <c r="G324" s="67"/>
      <c r="H324" s="216" t="s">
        <v>14</v>
      </c>
      <c r="I324" s="217"/>
      <c r="J324" s="217"/>
      <c r="K324" s="218"/>
      <c r="L324" s="86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4" s="86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4" s="86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4" s="86">
        <f t="shared" ca="1" si="231"/>
        <v>0</v>
      </c>
      <c r="P324" s="86">
        <f t="shared" ca="1" si="232"/>
        <v>0</v>
      </c>
      <c r="Q324" s="74">
        <f ca="1">IFERROR(__xludf.DUMMYFUNCTION("IMPORTRANGE(""https://docs.google.com/spreadsheets/d/13wPX838HrBrQMCywv1BsuMkt4PEKTChp52zj44s2izQ/edit?usp=sharing"",""กาญจนบุรี!Q324"")+IMPORTRANGE(""https://docs.google.com/spreadsheets/d/1ddFKvqj1W1NEiWytbGlB1zMx_ykJDVtmfEQ-6-lIUBA/edit?usp=sharing"","&amp;"""จันทบุรี!Q324"")+IMPORTRANGE(""https://docs.google.com/spreadsheets/d/1T1PQvRODqOBZk8BRht_U031fIS1beLA0Ub2CEytj2q0/edit?usp=sharing"",""ฉะเชิงเทรา!Q324"")+IMPORTRANGE(""https://docs.google.com/spreadsheets/d/11tr1B-Bhyr79v2bkwVh5h_fR-PStkgjlZtkrZpYurG0/"&amp;"edit?usp=sharing"",""ชลบุรี!Q324"")+IMPORTRANGE(""https://docs.google.com/spreadsheets/d/1hh-FVnSX0vozXhGluamEcS54Dw9_zqW0N7qJUWgJ0Sw/edit?usp=sharing"",""ชัยนาท!Q324"")+IMPORTRANGE(""https://docs.google.com/spreadsheets/d/1jkqa6GXxSacMcY1eN8AHjMNJ_7dDXMJ"&amp;"VRLDlaFSOdPM/edit?usp=sharing"",""ตราด!Q324"")+IMPORTRANGE(""https://docs.google.com/spreadsheets/d/18hSgUJ3VwClqi_qtULmmW3cLr0oe3OKaSYoKzdpTsYQ/edit?usp=sharing"",""นครนายก!Q324"")+IMPORTRANGE(""https://docs.google.com/spreadsheets/d/1YTZo6WM2dQ6Ix6FSdnL"&amp;"5P7uVnVKu40sxZu975tgG10E/edit?usp=sharing"",""นครปฐม!Q324"")+IMPORTRANGE(""https://docs.google.com/spreadsheets/d/1OYoGg4WDg5RIzwGeB10padOxJF9E_Vljuvvct_M7RDo/edit?usp=sharing"",""ปทุมธานี!Q324"")+IMPORTRANGE(""https://docs.google.com/spreadsheets/d/1GbCI"&amp;"E4D4wk9FUozzqk7SxfDMxDVBwVmI5zcaVUSzKAc/edit?usp=sharing"",""ประจวบคีรีขันธ์!Q324"")+IMPORTRANGE(""https://docs.google.com/spreadsheets/d/1vVf6wykvW_lAyu7Yo9L4hUTqHqIeP_qcVuxCtosJEbg/edit?usp=sharing"",""ปราจีนบุรี!Q324"")+IMPORTRANGE(""https://docs.googl"&amp;"e.com/spreadsheets/d/1BIDqLLg5jk3v59G8NlR8rk5xfQDKne0sAvZHSj7TI6I/edit?usp=sharing"",""พระนครศรีอยุธยา!Q324"")+IMPORTRANGE(""https://docs.google.com/spreadsheets/d/1YXvxf8Yu6_rV4hTBrwMqAcAnv6DfhUxh5emyM3CJp_w/edit?usp=sharing"",""เพชรบุรี!Q324"")+IMPORTRA"&amp;"NGE(""https://docs.google.com/spreadsheets/d/19KBlQQs7uwvsao6t2n-KvW3Ax8J8uRRfZPq1zPbXgKc/edit?usp=sharing"",""ระยอง!Q324"")+IMPORTRANGE(""https://docs.google.com/spreadsheets/d/1jQ6P4QcrGM89YfqcC_PxOHGCMq5ezhucwJd8ci-NHng/edit?usp=sharing"",""ราชบุรี!Q32"&amp;"4"")+IMPORTRANGE(""https://docs.google.com/spreadsheets/d/1lufeA2cfFqM-elVq2hznhDzC6Pr7wkJ9ZG_sYNGCMCU/edit?usp=sharing"",""ลพบุรี!Q324"")+IMPORTRANGE(""https://docs.google.com/spreadsheets/d/10oOiF7loTyfsTkbd4MpaIm0HQ9SwB7IYHdIUvt-U1Uc/edit?usp=sharing"""&amp;",""สระแก้ว!Q324"")+IMPORTRANGE(""https://docs.google.com/spreadsheets/d/1xmPlrr1QbdSIKvl1dWUl9K4PjAfSL9oeMr_37QVzcxc/edit?usp=sharing"",""สระบุรี!Q324"")+IMPORTRANGE(""https://docs.google.com/spreadsheets/d/1j51vR6CYVGhABJpv6tkstgok82RLpXieLzW1yOY5rHw/edi"&amp;"t?usp=sharing"",""สิงห์บุรี!Q324"")+IMPORTRANGE(""https://docs.google.com/spreadsheets/d/1H1EalTWKUSzO4Z1-1CwzoDUaVffgrThEBe2sl74kKG0/edit?usp=sharing"",""สุพรรณบุรี!Q324"")+IMPORTRANGE(""https://docs.google.com/spreadsheets/d/1BmIruG_sIrJLYao_Pdr7zVArWsf"&amp;"oBt2692TMi6x_854/edit?usp=sharing"",""อ่างทอง!Q324"")"),0)</f>
        <v>0</v>
      </c>
      <c r="R324" s="75">
        <f ca="1">IFERROR(__xludf.DUMMYFUNCTION("IMPORTRANGE(""https://docs.google.com/spreadsheets/d/13wPX838HrBrQMCywv1BsuMkt4PEKTChp52zj44s2izQ/edit?usp=sharing"",""กาญจนบุรี!R324"")+IMPORTRANGE(""https://docs.google.com/spreadsheets/d/1ddFKvqj1W1NEiWytbGlB1zMx_ykJDVtmfEQ-6-lIUBA/edit?usp=sharing"","&amp;"""จันทบุรี!R324"")+IMPORTRANGE(""https://docs.google.com/spreadsheets/d/1T1PQvRODqOBZk8BRht_U031fIS1beLA0Ub2CEytj2q0/edit?usp=sharing"",""ฉะเชิงเทรา!R324"")+IMPORTRANGE(""https://docs.google.com/spreadsheets/d/11tr1B-Bhyr79v2bkwVh5h_fR-PStkgjlZtkrZpYurG0/"&amp;"edit?usp=sharing"",""ชลบุรี!R324"")+IMPORTRANGE(""https://docs.google.com/spreadsheets/d/1hh-FVnSX0vozXhGluamEcS54Dw9_zqW0N7qJUWgJ0Sw/edit?usp=sharing"",""ชัยนาท!R324"")+IMPORTRANGE(""https://docs.google.com/spreadsheets/d/1jkqa6GXxSacMcY1eN8AHjMNJ_7dDXMJ"&amp;"VRLDlaFSOdPM/edit?usp=sharing"",""ตราด!R324"")+IMPORTRANGE(""https://docs.google.com/spreadsheets/d/18hSgUJ3VwClqi_qtULmmW3cLr0oe3OKaSYoKzdpTsYQ/edit?usp=sharing"",""นครนายก!R324"")+IMPORTRANGE(""https://docs.google.com/spreadsheets/d/1YTZo6WM2dQ6Ix6FSdnL"&amp;"5P7uVnVKu40sxZu975tgG10E/edit?usp=sharing"",""นครปฐม!R324"")+IMPORTRANGE(""https://docs.google.com/spreadsheets/d/1OYoGg4WDg5RIzwGeB10padOxJF9E_Vljuvvct_M7RDo/edit?usp=sharing"",""ปทุมธานี!R324"")+IMPORTRANGE(""https://docs.google.com/spreadsheets/d/1GbCI"&amp;"E4D4wk9FUozzqk7SxfDMxDVBwVmI5zcaVUSzKAc/edit?usp=sharing"",""ประจวบคีรีขันธ์!R324"")+IMPORTRANGE(""https://docs.google.com/spreadsheets/d/1vVf6wykvW_lAyu7Yo9L4hUTqHqIeP_qcVuxCtosJEbg/edit?usp=sharing"",""ปราจีนบุรี!R324"")+IMPORTRANGE(""https://docs.googl"&amp;"e.com/spreadsheets/d/1BIDqLLg5jk3v59G8NlR8rk5xfQDKne0sAvZHSj7TI6I/edit?usp=sharing"",""พระนครศรีอยุธยา!R324"")+IMPORTRANGE(""https://docs.google.com/spreadsheets/d/1YXvxf8Yu6_rV4hTBrwMqAcAnv6DfhUxh5emyM3CJp_w/edit?usp=sharing"",""เพชรบุรี!R324"")+IMPORTRA"&amp;"NGE(""https://docs.google.com/spreadsheets/d/19KBlQQs7uwvsao6t2n-KvW3Ax8J8uRRfZPq1zPbXgKc/edit?usp=sharing"",""ระยอง!R324"")+IMPORTRANGE(""https://docs.google.com/spreadsheets/d/1jQ6P4QcrGM89YfqcC_PxOHGCMq5ezhucwJd8ci-NHng/edit?usp=sharing"",""ราชบุรี!R32"&amp;"4"")+IMPORTRANGE(""https://docs.google.com/spreadsheets/d/1lufeA2cfFqM-elVq2hznhDzC6Pr7wkJ9ZG_sYNGCMCU/edit?usp=sharing"",""ลพบุรี!R324"")+IMPORTRANGE(""https://docs.google.com/spreadsheets/d/10oOiF7loTyfsTkbd4MpaIm0HQ9SwB7IYHdIUvt-U1Uc/edit?usp=sharing"""&amp;",""สระแก้ว!R324"")+IMPORTRANGE(""https://docs.google.com/spreadsheets/d/1xmPlrr1QbdSIKvl1dWUl9K4PjAfSL9oeMr_37QVzcxc/edit?usp=sharing"",""สระบุรี!R324"")+IMPORTRANGE(""https://docs.google.com/spreadsheets/d/1j51vR6CYVGhABJpv6tkstgok82RLpXieLzW1yOY5rHw/edi"&amp;"t?usp=sharing"",""สิงห์บุรี!R324"")+IMPORTRANGE(""https://docs.google.com/spreadsheets/d/1H1EalTWKUSzO4Z1-1CwzoDUaVffgrThEBe2sl74kKG0/edit?usp=sharing"",""สุพรรณบุรี!R324"")+IMPORTRANGE(""https://docs.google.com/spreadsheets/d/1BmIruG_sIrJLYao_Pdr7zVArWsf"&amp;"oBt2692TMi6x_854/edit?usp=sharing"",""อ่างทอง!R324"")"),0)</f>
        <v>0</v>
      </c>
      <c r="S324" s="75">
        <f ca="1">IFERROR(__xludf.DUMMYFUNCTION("IMPORTRANGE(""https://docs.google.com/spreadsheets/d/13wPX838HrBrQMCywv1BsuMkt4PEKTChp52zj44s2izQ/edit?usp=sharing"",""กาญจนบุรี!S324"")+IMPORTRANGE(""https://docs.google.com/spreadsheets/d/1ddFKvqj1W1NEiWytbGlB1zMx_ykJDVtmfEQ-6-lIUBA/edit?usp=sharing"","&amp;"""จันทบุรี!S324"")+IMPORTRANGE(""https://docs.google.com/spreadsheets/d/1T1PQvRODqOBZk8BRht_U031fIS1beLA0Ub2CEytj2q0/edit?usp=sharing"",""ฉะเชิงเทรา!S324"")+IMPORTRANGE(""https://docs.google.com/spreadsheets/d/11tr1B-Bhyr79v2bkwVh5h_fR-PStkgjlZtkrZpYurG0/"&amp;"edit?usp=sharing"",""ชลบุรี!S324"")+IMPORTRANGE(""https://docs.google.com/spreadsheets/d/1hh-FVnSX0vozXhGluamEcS54Dw9_zqW0N7qJUWgJ0Sw/edit?usp=sharing"",""ชัยนาท!S324"")+IMPORTRANGE(""https://docs.google.com/spreadsheets/d/1jkqa6GXxSacMcY1eN8AHjMNJ_7dDXMJ"&amp;"VRLDlaFSOdPM/edit?usp=sharing"",""ตราด!S324"")+IMPORTRANGE(""https://docs.google.com/spreadsheets/d/18hSgUJ3VwClqi_qtULmmW3cLr0oe3OKaSYoKzdpTsYQ/edit?usp=sharing"",""นครนายก!S324"")+IMPORTRANGE(""https://docs.google.com/spreadsheets/d/1YTZo6WM2dQ6Ix6FSdnL"&amp;"5P7uVnVKu40sxZu975tgG10E/edit?usp=sharing"",""นครปฐม!S324"")+IMPORTRANGE(""https://docs.google.com/spreadsheets/d/1OYoGg4WDg5RIzwGeB10padOxJF9E_Vljuvvct_M7RDo/edit?usp=sharing"",""ปทุมธานี!S324"")+IMPORTRANGE(""https://docs.google.com/spreadsheets/d/1GbCI"&amp;"E4D4wk9FUozzqk7SxfDMxDVBwVmI5zcaVUSzKAc/edit?usp=sharing"",""ประจวบคีรีขันธ์!S324"")+IMPORTRANGE(""https://docs.google.com/spreadsheets/d/1vVf6wykvW_lAyu7Yo9L4hUTqHqIeP_qcVuxCtosJEbg/edit?usp=sharing"",""ปราจีนบุรี!S324"")+IMPORTRANGE(""https://docs.googl"&amp;"e.com/spreadsheets/d/1BIDqLLg5jk3v59G8NlR8rk5xfQDKne0sAvZHSj7TI6I/edit?usp=sharing"",""พระนครศรีอยุธยา!S324"")+IMPORTRANGE(""https://docs.google.com/spreadsheets/d/1YXvxf8Yu6_rV4hTBrwMqAcAnv6DfhUxh5emyM3CJp_w/edit?usp=sharing"",""เพชรบุรี!S324"")+IMPORTRA"&amp;"NGE(""https://docs.google.com/spreadsheets/d/19KBlQQs7uwvsao6t2n-KvW3Ax8J8uRRfZPq1zPbXgKc/edit?usp=sharing"",""ระยอง!S324"")+IMPORTRANGE(""https://docs.google.com/spreadsheets/d/1jQ6P4QcrGM89YfqcC_PxOHGCMq5ezhucwJd8ci-NHng/edit?usp=sharing"",""ราชบุรี!S32"&amp;"4"")+IMPORTRANGE(""https://docs.google.com/spreadsheets/d/1lufeA2cfFqM-elVq2hznhDzC6Pr7wkJ9ZG_sYNGCMCU/edit?usp=sharing"",""ลพบุรี!S324"")+IMPORTRANGE(""https://docs.google.com/spreadsheets/d/10oOiF7loTyfsTkbd4MpaIm0HQ9SwB7IYHdIUvt-U1Uc/edit?usp=sharing"""&amp;",""สระแก้ว!S324"")+IMPORTRANGE(""https://docs.google.com/spreadsheets/d/1xmPlrr1QbdSIKvl1dWUl9K4PjAfSL9oeMr_37QVzcxc/edit?usp=sharing"",""สระบุรี!S324"")+IMPORTRANGE(""https://docs.google.com/spreadsheets/d/1j51vR6CYVGhABJpv6tkstgok82RLpXieLzW1yOY5rHw/edi"&amp;"t?usp=sharing"",""สิงห์บุรี!S324"")+IMPORTRANGE(""https://docs.google.com/spreadsheets/d/1H1EalTWKUSzO4Z1-1CwzoDUaVffgrThEBe2sl74kKG0/edit?usp=sharing"",""สุพรรณบุรี!S324"")+IMPORTRANGE(""https://docs.google.com/spreadsheets/d/1BmIruG_sIrJLYao_Pdr7zVArWsf"&amp;"oBt2692TMi6x_854/edit?usp=sharing"",""อ่างทอง!S324"")"),0)</f>
        <v>0</v>
      </c>
      <c r="T324" s="131">
        <f t="shared" ca="1" si="234"/>
        <v>0</v>
      </c>
      <c r="U324" s="131">
        <f t="shared" ca="1" si="235"/>
        <v>0</v>
      </c>
    </row>
    <row r="325" spans="1:21" ht="18.75" hidden="1" x14ac:dyDescent="0.25">
      <c r="A325" s="207"/>
      <c r="B325" s="65"/>
      <c r="C325" s="65"/>
      <c r="D325" s="65"/>
      <c r="E325" s="73" t="s">
        <v>37</v>
      </c>
      <c r="F325" s="65"/>
      <c r="G325" s="67"/>
      <c r="H325" s="216" t="s">
        <v>14</v>
      </c>
      <c r="I325" s="217"/>
      <c r="J325" s="217"/>
      <c r="K325" s="218"/>
      <c r="L325" s="86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485000)</f>
        <v>485000</v>
      </c>
      <c r="M325" s="86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485000)</f>
        <v>485000</v>
      </c>
      <c r="N325" s="86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151135.26)</f>
        <v>151135.26</v>
      </c>
      <c r="O325" s="86">
        <f t="shared" ca="1" si="231"/>
        <v>31.161909278350514</v>
      </c>
      <c r="P325" s="86">
        <f t="shared" ca="1" si="232"/>
        <v>31.161909278350514</v>
      </c>
      <c r="Q325" s="71">
        <f ca="1">IFERROR(__xludf.DUMMYFUNCTION("IMPORTRANGE(""https://docs.google.com/spreadsheets/d/13wPX838HrBrQMCywv1BsuMkt4PEKTChp52zj44s2izQ/edit?usp=sharing"",""กาญจนบุรี!Q325"")+IMPORTRANGE(""https://docs.google.com/spreadsheets/d/1ddFKvqj1W1NEiWytbGlB1zMx_ykJDVtmfEQ-6-lIUBA/edit?usp=sharing"","&amp;"""จันทบุรี!Q325"")+IMPORTRANGE(""https://docs.google.com/spreadsheets/d/1T1PQvRODqOBZk8BRht_U031fIS1beLA0Ub2CEytj2q0/edit?usp=sharing"",""ฉะเชิงเทรา!Q325"")+IMPORTRANGE(""https://docs.google.com/spreadsheets/d/11tr1B-Bhyr79v2bkwVh5h_fR-PStkgjlZtkrZpYurG0/"&amp;"edit?usp=sharing"",""ชลบุรี!Q325"")+IMPORTRANGE(""https://docs.google.com/spreadsheets/d/1hh-FVnSX0vozXhGluamEcS54Dw9_zqW0N7qJUWgJ0Sw/edit?usp=sharing"",""ชัยนาท!Q325"")+IMPORTRANGE(""https://docs.google.com/spreadsheets/d/1jkqa6GXxSacMcY1eN8AHjMNJ_7dDXMJ"&amp;"VRLDlaFSOdPM/edit?usp=sharing"",""ตราด!Q325"")+IMPORTRANGE(""https://docs.google.com/spreadsheets/d/18hSgUJ3VwClqi_qtULmmW3cLr0oe3OKaSYoKzdpTsYQ/edit?usp=sharing"",""นครนายก!Q325"")+IMPORTRANGE(""https://docs.google.com/spreadsheets/d/1YTZo6WM2dQ6Ix6FSdnL"&amp;"5P7uVnVKu40sxZu975tgG10E/edit?usp=sharing"",""นครปฐม!Q325"")+IMPORTRANGE(""https://docs.google.com/spreadsheets/d/1OYoGg4WDg5RIzwGeB10padOxJF9E_Vljuvvct_M7RDo/edit?usp=sharing"",""ปทุมธานี!Q325"")+IMPORTRANGE(""https://docs.google.com/spreadsheets/d/1GbCI"&amp;"E4D4wk9FUozzqk7SxfDMxDVBwVmI5zcaVUSzKAc/edit?usp=sharing"",""ประจวบคีรีขันธ์!Q325"")+IMPORTRANGE(""https://docs.google.com/spreadsheets/d/1vVf6wykvW_lAyu7Yo9L4hUTqHqIeP_qcVuxCtosJEbg/edit?usp=sharing"",""ปราจีนบุรี!Q325"")+IMPORTRANGE(""https://docs.googl"&amp;"e.com/spreadsheets/d/1BIDqLLg5jk3v59G8NlR8rk5xfQDKne0sAvZHSj7TI6I/edit?usp=sharing"",""พระนครศรีอยุธยา!Q325"")+IMPORTRANGE(""https://docs.google.com/spreadsheets/d/1YXvxf8Yu6_rV4hTBrwMqAcAnv6DfhUxh5emyM3CJp_w/edit?usp=sharing"",""เพชรบุรี!Q325"")+IMPORTRA"&amp;"NGE(""https://docs.google.com/spreadsheets/d/19KBlQQs7uwvsao6t2n-KvW3Ax8J8uRRfZPq1zPbXgKc/edit?usp=sharing"",""ระยอง!Q325"")+IMPORTRANGE(""https://docs.google.com/spreadsheets/d/1jQ6P4QcrGM89YfqcC_PxOHGCMq5ezhucwJd8ci-NHng/edit?usp=sharing"",""ราชบุรี!Q32"&amp;"5"")+IMPORTRANGE(""https://docs.google.com/spreadsheets/d/1lufeA2cfFqM-elVq2hznhDzC6Pr7wkJ9ZG_sYNGCMCU/edit?usp=sharing"",""ลพบุรี!Q325"")+IMPORTRANGE(""https://docs.google.com/spreadsheets/d/10oOiF7loTyfsTkbd4MpaIm0HQ9SwB7IYHdIUvt-U1Uc/edit?usp=sharing"""&amp;",""สระแก้ว!Q325"")+IMPORTRANGE(""https://docs.google.com/spreadsheets/d/1xmPlrr1QbdSIKvl1dWUl9K4PjAfSL9oeMr_37QVzcxc/edit?usp=sharing"",""สระบุรี!Q325"")+IMPORTRANGE(""https://docs.google.com/spreadsheets/d/1j51vR6CYVGhABJpv6tkstgok82RLpXieLzW1yOY5rHw/edi"&amp;"t?usp=sharing"",""สิงห์บุรี!Q325"")+IMPORTRANGE(""https://docs.google.com/spreadsheets/d/1H1EalTWKUSzO4Z1-1CwzoDUaVffgrThEBe2sl74kKG0/edit?usp=sharing"",""สุพรรณบุรี!Q325"")+IMPORTRANGE(""https://docs.google.com/spreadsheets/d/1BmIruG_sIrJLYao_Pdr7zVArWsf"&amp;"oBt2692TMi6x_854/edit?usp=sharing"",""อ่างทอง!Q325"")"),0)</f>
        <v>0</v>
      </c>
      <c r="R325" s="72">
        <f ca="1">IFERROR(__xludf.DUMMYFUNCTION("IMPORTRANGE(""https://docs.google.com/spreadsheets/d/13wPX838HrBrQMCywv1BsuMkt4PEKTChp52zj44s2izQ/edit?usp=sharing"",""กาญจนบุรี!R325"")+IMPORTRANGE(""https://docs.google.com/spreadsheets/d/1ddFKvqj1W1NEiWytbGlB1zMx_ykJDVtmfEQ-6-lIUBA/edit?usp=sharing"","&amp;"""จันทบุรี!R325"")+IMPORTRANGE(""https://docs.google.com/spreadsheets/d/1T1PQvRODqOBZk8BRht_U031fIS1beLA0Ub2CEytj2q0/edit?usp=sharing"",""ฉะเชิงเทรา!R325"")+IMPORTRANGE(""https://docs.google.com/spreadsheets/d/11tr1B-Bhyr79v2bkwVh5h_fR-PStkgjlZtkrZpYurG0/"&amp;"edit?usp=sharing"",""ชลบุรี!R325"")+IMPORTRANGE(""https://docs.google.com/spreadsheets/d/1hh-FVnSX0vozXhGluamEcS54Dw9_zqW0N7qJUWgJ0Sw/edit?usp=sharing"",""ชัยนาท!R325"")+IMPORTRANGE(""https://docs.google.com/spreadsheets/d/1jkqa6GXxSacMcY1eN8AHjMNJ_7dDXMJ"&amp;"VRLDlaFSOdPM/edit?usp=sharing"",""ตราด!R325"")+IMPORTRANGE(""https://docs.google.com/spreadsheets/d/18hSgUJ3VwClqi_qtULmmW3cLr0oe3OKaSYoKzdpTsYQ/edit?usp=sharing"",""นครนายก!R325"")+IMPORTRANGE(""https://docs.google.com/spreadsheets/d/1YTZo6WM2dQ6Ix6FSdnL"&amp;"5P7uVnVKu40sxZu975tgG10E/edit?usp=sharing"",""นครปฐม!R325"")+IMPORTRANGE(""https://docs.google.com/spreadsheets/d/1OYoGg4WDg5RIzwGeB10padOxJF9E_Vljuvvct_M7RDo/edit?usp=sharing"",""ปทุมธานี!R325"")+IMPORTRANGE(""https://docs.google.com/spreadsheets/d/1GbCI"&amp;"E4D4wk9FUozzqk7SxfDMxDVBwVmI5zcaVUSzKAc/edit?usp=sharing"",""ประจวบคีรีขันธ์!R325"")+IMPORTRANGE(""https://docs.google.com/spreadsheets/d/1vVf6wykvW_lAyu7Yo9L4hUTqHqIeP_qcVuxCtosJEbg/edit?usp=sharing"",""ปราจีนบุรี!R325"")+IMPORTRANGE(""https://docs.googl"&amp;"e.com/spreadsheets/d/1BIDqLLg5jk3v59G8NlR8rk5xfQDKne0sAvZHSj7TI6I/edit?usp=sharing"",""พระนครศรีอยุธยา!R325"")+IMPORTRANGE(""https://docs.google.com/spreadsheets/d/1YXvxf8Yu6_rV4hTBrwMqAcAnv6DfhUxh5emyM3CJp_w/edit?usp=sharing"",""เพชรบุรี!R325"")+IMPORTRA"&amp;"NGE(""https://docs.google.com/spreadsheets/d/19KBlQQs7uwvsao6t2n-KvW3Ax8J8uRRfZPq1zPbXgKc/edit?usp=sharing"",""ระยอง!R325"")+IMPORTRANGE(""https://docs.google.com/spreadsheets/d/1jQ6P4QcrGM89YfqcC_PxOHGCMq5ezhucwJd8ci-NHng/edit?usp=sharing"",""ราชบุรี!R32"&amp;"5"")+IMPORTRANGE(""https://docs.google.com/spreadsheets/d/1lufeA2cfFqM-elVq2hznhDzC6Pr7wkJ9ZG_sYNGCMCU/edit?usp=sharing"",""ลพบุรี!R325"")+IMPORTRANGE(""https://docs.google.com/spreadsheets/d/10oOiF7loTyfsTkbd4MpaIm0HQ9SwB7IYHdIUvt-U1Uc/edit?usp=sharing"""&amp;",""สระแก้ว!R325"")+IMPORTRANGE(""https://docs.google.com/spreadsheets/d/1xmPlrr1QbdSIKvl1dWUl9K4PjAfSL9oeMr_37QVzcxc/edit?usp=sharing"",""สระบุรี!R325"")+IMPORTRANGE(""https://docs.google.com/spreadsheets/d/1j51vR6CYVGhABJpv6tkstgok82RLpXieLzW1yOY5rHw/edi"&amp;"t?usp=sharing"",""สิงห์บุรี!R325"")+IMPORTRANGE(""https://docs.google.com/spreadsheets/d/1H1EalTWKUSzO4Z1-1CwzoDUaVffgrThEBe2sl74kKG0/edit?usp=sharing"",""สุพรรณบุรี!R325"")+IMPORTRANGE(""https://docs.google.com/spreadsheets/d/1BmIruG_sIrJLYao_Pdr7zVArWsf"&amp;"oBt2692TMi6x_854/edit?usp=sharing"",""อ่างทอง!R325"")"),0)</f>
        <v>0</v>
      </c>
      <c r="S325" s="72">
        <f ca="1">IFERROR(__xludf.DUMMYFUNCTION("IMPORTRANGE(""https://docs.google.com/spreadsheets/d/13wPX838HrBrQMCywv1BsuMkt4PEKTChp52zj44s2izQ/edit?usp=sharing"",""กาญจนบุรี!S325"")+IMPORTRANGE(""https://docs.google.com/spreadsheets/d/1ddFKvqj1W1NEiWytbGlB1zMx_ykJDVtmfEQ-6-lIUBA/edit?usp=sharing"","&amp;"""จันทบุรี!S325"")+IMPORTRANGE(""https://docs.google.com/spreadsheets/d/1T1PQvRODqOBZk8BRht_U031fIS1beLA0Ub2CEytj2q0/edit?usp=sharing"",""ฉะเชิงเทรา!S325"")+IMPORTRANGE(""https://docs.google.com/spreadsheets/d/11tr1B-Bhyr79v2bkwVh5h_fR-PStkgjlZtkrZpYurG0/"&amp;"edit?usp=sharing"",""ชลบุรี!S325"")+IMPORTRANGE(""https://docs.google.com/spreadsheets/d/1hh-FVnSX0vozXhGluamEcS54Dw9_zqW0N7qJUWgJ0Sw/edit?usp=sharing"",""ชัยนาท!S325"")+IMPORTRANGE(""https://docs.google.com/spreadsheets/d/1jkqa6GXxSacMcY1eN8AHjMNJ_7dDXMJ"&amp;"VRLDlaFSOdPM/edit?usp=sharing"",""ตราด!S325"")+IMPORTRANGE(""https://docs.google.com/spreadsheets/d/18hSgUJ3VwClqi_qtULmmW3cLr0oe3OKaSYoKzdpTsYQ/edit?usp=sharing"",""นครนายก!S325"")+IMPORTRANGE(""https://docs.google.com/spreadsheets/d/1YTZo6WM2dQ6Ix6FSdnL"&amp;"5P7uVnVKu40sxZu975tgG10E/edit?usp=sharing"",""นครปฐม!S325"")+IMPORTRANGE(""https://docs.google.com/spreadsheets/d/1OYoGg4WDg5RIzwGeB10padOxJF9E_Vljuvvct_M7RDo/edit?usp=sharing"",""ปทุมธานี!S325"")+IMPORTRANGE(""https://docs.google.com/spreadsheets/d/1GbCI"&amp;"E4D4wk9FUozzqk7SxfDMxDVBwVmI5zcaVUSzKAc/edit?usp=sharing"",""ประจวบคีรีขันธ์!S325"")+IMPORTRANGE(""https://docs.google.com/spreadsheets/d/1vVf6wykvW_lAyu7Yo9L4hUTqHqIeP_qcVuxCtosJEbg/edit?usp=sharing"",""ปราจีนบุรี!S325"")+IMPORTRANGE(""https://docs.googl"&amp;"e.com/spreadsheets/d/1BIDqLLg5jk3v59G8NlR8rk5xfQDKne0sAvZHSj7TI6I/edit?usp=sharing"",""พระนครศรีอยุธยา!S325"")+IMPORTRANGE(""https://docs.google.com/spreadsheets/d/1YXvxf8Yu6_rV4hTBrwMqAcAnv6DfhUxh5emyM3CJp_w/edit?usp=sharing"",""เพชรบุรี!S325"")+IMPORTRA"&amp;"NGE(""https://docs.google.com/spreadsheets/d/19KBlQQs7uwvsao6t2n-KvW3Ax8J8uRRfZPq1zPbXgKc/edit?usp=sharing"",""ระยอง!S325"")+IMPORTRANGE(""https://docs.google.com/spreadsheets/d/1jQ6P4QcrGM89YfqcC_PxOHGCMq5ezhucwJd8ci-NHng/edit?usp=sharing"",""ราชบุรี!S32"&amp;"5"")+IMPORTRANGE(""https://docs.google.com/spreadsheets/d/1lufeA2cfFqM-elVq2hznhDzC6Pr7wkJ9ZG_sYNGCMCU/edit?usp=sharing"",""ลพบุรี!S325"")+IMPORTRANGE(""https://docs.google.com/spreadsheets/d/10oOiF7loTyfsTkbd4MpaIm0HQ9SwB7IYHdIUvt-U1Uc/edit?usp=sharing"""&amp;",""สระแก้ว!S325"")+IMPORTRANGE(""https://docs.google.com/spreadsheets/d/1xmPlrr1QbdSIKvl1dWUl9K4PjAfSL9oeMr_37QVzcxc/edit?usp=sharing"",""สระบุรี!S325"")+IMPORTRANGE(""https://docs.google.com/spreadsheets/d/1j51vR6CYVGhABJpv6tkstgok82RLpXieLzW1yOY5rHw/edi"&amp;"t?usp=sharing"",""สิงห์บุรี!S325"")+IMPORTRANGE(""https://docs.google.com/spreadsheets/d/1H1EalTWKUSzO4Z1-1CwzoDUaVffgrThEBe2sl74kKG0/edit?usp=sharing"",""สุพรรณบุรี!S325"")+IMPORTRANGE(""https://docs.google.com/spreadsheets/d/1BmIruG_sIrJLYao_Pdr7zVArWsf"&amp;"oBt2692TMi6x_854/edit?usp=sharing"",""อ่างทอง!S325"")"),0)</f>
        <v>0</v>
      </c>
      <c r="T325" s="130">
        <f t="shared" ca="1" si="234"/>
        <v>0</v>
      </c>
      <c r="U325" s="130">
        <f t="shared" ca="1" si="235"/>
        <v>0</v>
      </c>
    </row>
    <row r="326" spans="1:21" ht="18.75" x14ac:dyDescent="0.25">
      <c r="A326" s="207"/>
      <c r="B326" s="65"/>
      <c r="C326" s="65"/>
      <c r="D326" s="66" t="s">
        <v>23</v>
      </c>
      <c r="E326" s="65"/>
      <c r="F326" s="65"/>
      <c r="G326" s="67"/>
      <c r="H326" s="219" t="s">
        <v>14</v>
      </c>
      <c r="I326" s="217"/>
      <c r="J326" s="217"/>
      <c r="K326" s="218"/>
      <c r="L326" s="86">
        <f t="shared" ref="L326:N326" ca="1" si="242">L327+L328</f>
        <v>384000</v>
      </c>
      <c r="M326" s="86">
        <f t="shared" ca="1" si="242"/>
        <v>384000</v>
      </c>
      <c r="N326" s="86">
        <f t="shared" ca="1" si="242"/>
        <v>0</v>
      </c>
      <c r="O326" s="86">
        <f t="shared" ca="1" si="231"/>
        <v>0</v>
      </c>
      <c r="P326" s="86">
        <f t="shared" ca="1" si="232"/>
        <v>0</v>
      </c>
      <c r="Q326" s="129">
        <f t="shared" ref="Q326:S326" ca="1" si="243">Q327+Q328</f>
        <v>0</v>
      </c>
      <c r="R326" s="130">
        <f t="shared" ca="1" si="243"/>
        <v>0</v>
      </c>
      <c r="S326" s="130">
        <f t="shared" ca="1" si="243"/>
        <v>0</v>
      </c>
      <c r="T326" s="130">
        <f t="shared" ca="1" si="234"/>
        <v>0</v>
      </c>
      <c r="U326" s="130">
        <f t="shared" ca="1" si="235"/>
        <v>0</v>
      </c>
    </row>
    <row r="327" spans="1:21" ht="18.75" hidden="1" x14ac:dyDescent="0.25">
      <c r="A327" s="207"/>
      <c r="B327" s="65"/>
      <c r="C327" s="65"/>
      <c r="D327" s="65"/>
      <c r="E327" s="73" t="s">
        <v>20</v>
      </c>
      <c r="F327" s="65"/>
      <c r="G327" s="67"/>
      <c r="H327" s="216" t="s">
        <v>14</v>
      </c>
      <c r="I327" s="217"/>
      <c r="J327" s="217"/>
      <c r="K327" s="218"/>
      <c r="L327" s="86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7" s="86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7" s="86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7" s="86">
        <f t="shared" ca="1" si="231"/>
        <v>0</v>
      </c>
      <c r="P327" s="86">
        <f t="shared" ca="1" si="232"/>
        <v>0</v>
      </c>
      <c r="Q327" s="74">
        <f ca="1">IFERROR(__xludf.DUMMYFUNCTION("IMPORTRANGE(""https://docs.google.com/spreadsheets/d/13wPX838HrBrQMCywv1BsuMkt4PEKTChp52zj44s2izQ/edit?usp=sharing"",""กาญจนบุรี!Q327"")+IMPORTRANGE(""https://docs.google.com/spreadsheets/d/1ddFKvqj1W1NEiWytbGlB1zMx_ykJDVtmfEQ-6-lIUBA/edit?usp=sharing"","&amp;"""จันทบุรี!Q327"")+IMPORTRANGE(""https://docs.google.com/spreadsheets/d/1T1PQvRODqOBZk8BRht_U031fIS1beLA0Ub2CEytj2q0/edit?usp=sharing"",""ฉะเชิงเทรา!Q327"")+IMPORTRANGE(""https://docs.google.com/spreadsheets/d/11tr1B-Bhyr79v2bkwVh5h_fR-PStkgjlZtkrZpYurG0/"&amp;"edit?usp=sharing"",""ชลบุรี!Q327"")+IMPORTRANGE(""https://docs.google.com/spreadsheets/d/1hh-FVnSX0vozXhGluamEcS54Dw9_zqW0N7qJUWgJ0Sw/edit?usp=sharing"",""ชัยนาท!Q327"")+IMPORTRANGE(""https://docs.google.com/spreadsheets/d/1jkqa6GXxSacMcY1eN8AHjMNJ_7dDXMJ"&amp;"VRLDlaFSOdPM/edit?usp=sharing"",""ตราด!Q327"")+IMPORTRANGE(""https://docs.google.com/spreadsheets/d/18hSgUJ3VwClqi_qtULmmW3cLr0oe3OKaSYoKzdpTsYQ/edit?usp=sharing"",""นครนายก!Q327"")+IMPORTRANGE(""https://docs.google.com/spreadsheets/d/1YTZo6WM2dQ6Ix6FSdnL"&amp;"5P7uVnVKu40sxZu975tgG10E/edit?usp=sharing"",""นครปฐม!Q327"")+IMPORTRANGE(""https://docs.google.com/spreadsheets/d/1OYoGg4WDg5RIzwGeB10padOxJF9E_Vljuvvct_M7RDo/edit?usp=sharing"",""ปทุมธานี!Q327"")+IMPORTRANGE(""https://docs.google.com/spreadsheets/d/1GbCI"&amp;"E4D4wk9FUozzqk7SxfDMxDVBwVmI5zcaVUSzKAc/edit?usp=sharing"",""ประจวบคีรีขันธ์!Q327"")+IMPORTRANGE(""https://docs.google.com/spreadsheets/d/1vVf6wykvW_lAyu7Yo9L4hUTqHqIeP_qcVuxCtosJEbg/edit?usp=sharing"",""ปราจีนบุรี!Q327"")+IMPORTRANGE(""https://docs.googl"&amp;"e.com/spreadsheets/d/1BIDqLLg5jk3v59G8NlR8rk5xfQDKne0sAvZHSj7TI6I/edit?usp=sharing"",""พระนครศรีอยุธยา!Q327"")+IMPORTRANGE(""https://docs.google.com/spreadsheets/d/1YXvxf8Yu6_rV4hTBrwMqAcAnv6DfhUxh5emyM3CJp_w/edit?usp=sharing"",""เพชรบุรี!Q327"")+IMPORTRA"&amp;"NGE(""https://docs.google.com/spreadsheets/d/19KBlQQs7uwvsao6t2n-KvW3Ax8J8uRRfZPq1zPbXgKc/edit?usp=sharing"",""ระยอง!Q327"")+IMPORTRANGE(""https://docs.google.com/spreadsheets/d/1jQ6P4QcrGM89YfqcC_PxOHGCMq5ezhucwJd8ci-NHng/edit?usp=sharing"",""ราชบุรี!Q32"&amp;"7"")+IMPORTRANGE(""https://docs.google.com/spreadsheets/d/1lufeA2cfFqM-elVq2hznhDzC6Pr7wkJ9ZG_sYNGCMCU/edit?usp=sharing"",""ลพบุรี!Q327"")+IMPORTRANGE(""https://docs.google.com/spreadsheets/d/10oOiF7loTyfsTkbd4MpaIm0HQ9SwB7IYHdIUvt-U1Uc/edit?usp=sharing"""&amp;",""สระแก้ว!Q327"")+IMPORTRANGE(""https://docs.google.com/spreadsheets/d/1xmPlrr1QbdSIKvl1dWUl9K4PjAfSL9oeMr_37QVzcxc/edit?usp=sharing"",""สระบุรี!Q327"")+IMPORTRANGE(""https://docs.google.com/spreadsheets/d/1j51vR6CYVGhABJpv6tkstgok82RLpXieLzW1yOY5rHw/edi"&amp;"t?usp=sharing"",""สิงห์บุรี!Q327"")+IMPORTRANGE(""https://docs.google.com/spreadsheets/d/1H1EalTWKUSzO4Z1-1CwzoDUaVffgrThEBe2sl74kKG0/edit?usp=sharing"",""สุพรรณบุรี!Q327"")+IMPORTRANGE(""https://docs.google.com/spreadsheets/d/1BmIruG_sIrJLYao_Pdr7zVArWsf"&amp;"oBt2692TMi6x_854/edit?usp=sharing"",""อ่างทอง!Q327"")"),0)</f>
        <v>0</v>
      </c>
      <c r="R327" s="75">
        <f ca="1">IFERROR(__xludf.DUMMYFUNCTION("IMPORTRANGE(""https://docs.google.com/spreadsheets/d/13wPX838HrBrQMCywv1BsuMkt4PEKTChp52zj44s2izQ/edit?usp=sharing"",""กาญจนบุรี!R327"")+IMPORTRANGE(""https://docs.google.com/spreadsheets/d/1ddFKvqj1W1NEiWytbGlB1zMx_ykJDVtmfEQ-6-lIUBA/edit?usp=sharing"","&amp;"""จันทบุรี!R327"")+IMPORTRANGE(""https://docs.google.com/spreadsheets/d/1T1PQvRODqOBZk8BRht_U031fIS1beLA0Ub2CEytj2q0/edit?usp=sharing"",""ฉะเชิงเทรา!R327"")+IMPORTRANGE(""https://docs.google.com/spreadsheets/d/11tr1B-Bhyr79v2bkwVh5h_fR-PStkgjlZtkrZpYurG0/"&amp;"edit?usp=sharing"",""ชลบุรี!R327"")+IMPORTRANGE(""https://docs.google.com/spreadsheets/d/1hh-FVnSX0vozXhGluamEcS54Dw9_zqW0N7qJUWgJ0Sw/edit?usp=sharing"",""ชัยนาท!R327"")+IMPORTRANGE(""https://docs.google.com/spreadsheets/d/1jkqa6GXxSacMcY1eN8AHjMNJ_7dDXMJ"&amp;"VRLDlaFSOdPM/edit?usp=sharing"",""ตราด!R327"")+IMPORTRANGE(""https://docs.google.com/spreadsheets/d/18hSgUJ3VwClqi_qtULmmW3cLr0oe3OKaSYoKzdpTsYQ/edit?usp=sharing"",""นครนายก!R327"")+IMPORTRANGE(""https://docs.google.com/spreadsheets/d/1YTZo6WM2dQ6Ix6FSdnL"&amp;"5P7uVnVKu40sxZu975tgG10E/edit?usp=sharing"",""นครปฐม!R327"")+IMPORTRANGE(""https://docs.google.com/spreadsheets/d/1OYoGg4WDg5RIzwGeB10padOxJF9E_Vljuvvct_M7RDo/edit?usp=sharing"",""ปทุมธานี!R327"")+IMPORTRANGE(""https://docs.google.com/spreadsheets/d/1GbCI"&amp;"E4D4wk9FUozzqk7SxfDMxDVBwVmI5zcaVUSzKAc/edit?usp=sharing"",""ประจวบคีรีขันธ์!R327"")+IMPORTRANGE(""https://docs.google.com/spreadsheets/d/1vVf6wykvW_lAyu7Yo9L4hUTqHqIeP_qcVuxCtosJEbg/edit?usp=sharing"",""ปราจีนบุรี!R327"")+IMPORTRANGE(""https://docs.googl"&amp;"e.com/spreadsheets/d/1BIDqLLg5jk3v59G8NlR8rk5xfQDKne0sAvZHSj7TI6I/edit?usp=sharing"",""พระนครศรีอยุธยา!R327"")+IMPORTRANGE(""https://docs.google.com/spreadsheets/d/1YXvxf8Yu6_rV4hTBrwMqAcAnv6DfhUxh5emyM3CJp_w/edit?usp=sharing"",""เพชรบุรี!R327"")+IMPORTRA"&amp;"NGE(""https://docs.google.com/spreadsheets/d/19KBlQQs7uwvsao6t2n-KvW3Ax8J8uRRfZPq1zPbXgKc/edit?usp=sharing"",""ระยอง!R327"")+IMPORTRANGE(""https://docs.google.com/spreadsheets/d/1jQ6P4QcrGM89YfqcC_PxOHGCMq5ezhucwJd8ci-NHng/edit?usp=sharing"",""ราชบุรี!R32"&amp;"7"")+IMPORTRANGE(""https://docs.google.com/spreadsheets/d/1lufeA2cfFqM-elVq2hznhDzC6Pr7wkJ9ZG_sYNGCMCU/edit?usp=sharing"",""ลพบุรี!R327"")+IMPORTRANGE(""https://docs.google.com/spreadsheets/d/10oOiF7loTyfsTkbd4MpaIm0HQ9SwB7IYHdIUvt-U1Uc/edit?usp=sharing"""&amp;",""สระแก้ว!R327"")+IMPORTRANGE(""https://docs.google.com/spreadsheets/d/1xmPlrr1QbdSIKvl1dWUl9K4PjAfSL9oeMr_37QVzcxc/edit?usp=sharing"",""สระบุรี!R327"")+IMPORTRANGE(""https://docs.google.com/spreadsheets/d/1j51vR6CYVGhABJpv6tkstgok82RLpXieLzW1yOY5rHw/edi"&amp;"t?usp=sharing"",""สิงห์บุรี!R327"")+IMPORTRANGE(""https://docs.google.com/spreadsheets/d/1H1EalTWKUSzO4Z1-1CwzoDUaVffgrThEBe2sl74kKG0/edit?usp=sharing"",""สุพรรณบุรี!R327"")+IMPORTRANGE(""https://docs.google.com/spreadsheets/d/1BmIruG_sIrJLYao_Pdr7zVArWsf"&amp;"oBt2692TMi6x_854/edit?usp=sharing"",""อ่างทอง!R327"")"),0)</f>
        <v>0</v>
      </c>
      <c r="S327" s="75">
        <f ca="1">IFERROR(__xludf.DUMMYFUNCTION("IMPORTRANGE(""https://docs.google.com/spreadsheets/d/13wPX838HrBrQMCywv1BsuMkt4PEKTChp52zj44s2izQ/edit?usp=sharing"",""กาญจนบุรี!S327"")+IMPORTRANGE(""https://docs.google.com/spreadsheets/d/1ddFKvqj1W1NEiWytbGlB1zMx_ykJDVtmfEQ-6-lIUBA/edit?usp=sharing"","&amp;"""จันทบุรี!S327"")+IMPORTRANGE(""https://docs.google.com/spreadsheets/d/1T1PQvRODqOBZk8BRht_U031fIS1beLA0Ub2CEytj2q0/edit?usp=sharing"",""ฉะเชิงเทรา!S327"")+IMPORTRANGE(""https://docs.google.com/spreadsheets/d/11tr1B-Bhyr79v2bkwVh5h_fR-PStkgjlZtkrZpYurG0/"&amp;"edit?usp=sharing"",""ชลบุรี!S327"")+IMPORTRANGE(""https://docs.google.com/spreadsheets/d/1hh-FVnSX0vozXhGluamEcS54Dw9_zqW0N7qJUWgJ0Sw/edit?usp=sharing"",""ชัยนาท!S327"")+IMPORTRANGE(""https://docs.google.com/spreadsheets/d/1jkqa6GXxSacMcY1eN8AHjMNJ_7dDXMJ"&amp;"VRLDlaFSOdPM/edit?usp=sharing"",""ตราด!S327"")+IMPORTRANGE(""https://docs.google.com/spreadsheets/d/18hSgUJ3VwClqi_qtULmmW3cLr0oe3OKaSYoKzdpTsYQ/edit?usp=sharing"",""นครนายก!S327"")+IMPORTRANGE(""https://docs.google.com/spreadsheets/d/1YTZo6WM2dQ6Ix6FSdnL"&amp;"5P7uVnVKu40sxZu975tgG10E/edit?usp=sharing"",""นครปฐม!S327"")+IMPORTRANGE(""https://docs.google.com/spreadsheets/d/1OYoGg4WDg5RIzwGeB10padOxJF9E_Vljuvvct_M7RDo/edit?usp=sharing"",""ปทุมธานี!S327"")+IMPORTRANGE(""https://docs.google.com/spreadsheets/d/1GbCI"&amp;"E4D4wk9FUozzqk7SxfDMxDVBwVmI5zcaVUSzKAc/edit?usp=sharing"",""ประจวบคีรีขันธ์!S327"")+IMPORTRANGE(""https://docs.google.com/spreadsheets/d/1vVf6wykvW_lAyu7Yo9L4hUTqHqIeP_qcVuxCtosJEbg/edit?usp=sharing"",""ปราจีนบุรี!S327"")+IMPORTRANGE(""https://docs.googl"&amp;"e.com/spreadsheets/d/1BIDqLLg5jk3v59G8NlR8rk5xfQDKne0sAvZHSj7TI6I/edit?usp=sharing"",""พระนครศรีอยุธยา!S327"")+IMPORTRANGE(""https://docs.google.com/spreadsheets/d/1YXvxf8Yu6_rV4hTBrwMqAcAnv6DfhUxh5emyM3CJp_w/edit?usp=sharing"",""เพชรบุรี!S327"")+IMPORTRA"&amp;"NGE(""https://docs.google.com/spreadsheets/d/19KBlQQs7uwvsao6t2n-KvW3Ax8J8uRRfZPq1zPbXgKc/edit?usp=sharing"",""ระยอง!S327"")+IMPORTRANGE(""https://docs.google.com/spreadsheets/d/1jQ6P4QcrGM89YfqcC_PxOHGCMq5ezhucwJd8ci-NHng/edit?usp=sharing"",""ราชบุรี!S32"&amp;"7"")+IMPORTRANGE(""https://docs.google.com/spreadsheets/d/1lufeA2cfFqM-elVq2hznhDzC6Pr7wkJ9ZG_sYNGCMCU/edit?usp=sharing"",""ลพบุรี!S327"")+IMPORTRANGE(""https://docs.google.com/spreadsheets/d/10oOiF7loTyfsTkbd4MpaIm0HQ9SwB7IYHdIUvt-U1Uc/edit?usp=sharing"""&amp;",""สระแก้ว!S327"")+IMPORTRANGE(""https://docs.google.com/spreadsheets/d/1xmPlrr1QbdSIKvl1dWUl9K4PjAfSL9oeMr_37QVzcxc/edit?usp=sharing"",""สระบุรี!S327"")+IMPORTRANGE(""https://docs.google.com/spreadsheets/d/1j51vR6CYVGhABJpv6tkstgok82RLpXieLzW1yOY5rHw/edi"&amp;"t?usp=sharing"",""สิงห์บุรี!S327"")+IMPORTRANGE(""https://docs.google.com/spreadsheets/d/1H1EalTWKUSzO4Z1-1CwzoDUaVffgrThEBe2sl74kKG0/edit?usp=sharing"",""สุพรรณบุรี!S327"")+IMPORTRANGE(""https://docs.google.com/spreadsheets/d/1BmIruG_sIrJLYao_Pdr7zVArWsf"&amp;"oBt2692TMi6x_854/edit?usp=sharing"",""อ่างทอง!S327"")"),0)</f>
        <v>0</v>
      </c>
      <c r="T327" s="131">
        <f t="shared" ca="1" si="234"/>
        <v>0</v>
      </c>
      <c r="U327" s="131">
        <f t="shared" ca="1" si="235"/>
        <v>0</v>
      </c>
    </row>
    <row r="328" spans="1:21" ht="18.75" hidden="1" x14ac:dyDescent="0.25">
      <c r="A328" s="207"/>
      <c r="B328" s="65"/>
      <c r="C328" s="65"/>
      <c r="D328" s="65"/>
      <c r="E328" s="73" t="s">
        <v>21</v>
      </c>
      <c r="F328" s="65"/>
      <c r="G328" s="67"/>
      <c r="H328" s="219" t="s">
        <v>14</v>
      </c>
      <c r="I328" s="217"/>
      <c r="J328" s="217"/>
      <c r="K328" s="218"/>
      <c r="L328" s="86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384000)</f>
        <v>384000</v>
      </c>
      <c r="M328" s="86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384000)</f>
        <v>384000</v>
      </c>
      <c r="N328" s="86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0)</f>
        <v>0</v>
      </c>
      <c r="O328" s="86">
        <f t="shared" ca="1" si="231"/>
        <v>0</v>
      </c>
      <c r="P328" s="86">
        <f t="shared" ca="1" si="232"/>
        <v>0</v>
      </c>
      <c r="Q328" s="71">
        <f ca="1">IFERROR(__xludf.DUMMYFUNCTION("IMPORTRANGE(""https://docs.google.com/spreadsheets/d/13wPX838HrBrQMCywv1BsuMkt4PEKTChp52zj44s2izQ/edit?usp=sharing"",""กาญจนบุรี!Q328"")+IMPORTRANGE(""https://docs.google.com/spreadsheets/d/1ddFKvqj1W1NEiWytbGlB1zMx_ykJDVtmfEQ-6-lIUBA/edit?usp=sharing"","&amp;"""จันทบุรี!Q328"")+IMPORTRANGE(""https://docs.google.com/spreadsheets/d/1T1PQvRODqOBZk8BRht_U031fIS1beLA0Ub2CEytj2q0/edit?usp=sharing"",""ฉะเชิงเทรา!Q328"")+IMPORTRANGE(""https://docs.google.com/spreadsheets/d/11tr1B-Bhyr79v2bkwVh5h_fR-PStkgjlZtkrZpYurG0/"&amp;"edit?usp=sharing"",""ชลบุรี!Q328"")+IMPORTRANGE(""https://docs.google.com/spreadsheets/d/1hh-FVnSX0vozXhGluamEcS54Dw9_zqW0N7qJUWgJ0Sw/edit?usp=sharing"",""ชัยนาท!Q328"")+IMPORTRANGE(""https://docs.google.com/spreadsheets/d/1jkqa6GXxSacMcY1eN8AHjMNJ_7dDXMJ"&amp;"VRLDlaFSOdPM/edit?usp=sharing"",""ตราด!Q328"")+IMPORTRANGE(""https://docs.google.com/spreadsheets/d/18hSgUJ3VwClqi_qtULmmW3cLr0oe3OKaSYoKzdpTsYQ/edit?usp=sharing"",""นครนายก!Q328"")+IMPORTRANGE(""https://docs.google.com/spreadsheets/d/1YTZo6WM2dQ6Ix6FSdnL"&amp;"5P7uVnVKu40sxZu975tgG10E/edit?usp=sharing"",""นครปฐม!Q328"")+IMPORTRANGE(""https://docs.google.com/spreadsheets/d/1OYoGg4WDg5RIzwGeB10padOxJF9E_Vljuvvct_M7RDo/edit?usp=sharing"",""ปทุมธานี!Q328"")+IMPORTRANGE(""https://docs.google.com/spreadsheets/d/1GbCI"&amp;"E4D4wk9FUozzqk7SxfDMxDVBwVmI5zcaVUSzKAc/edit?usp=sharing"",""ประจวบคีรีขันธ์!Q328"")+IMPORTRANGE(""https://docs.google.com/spreadsheets/d/1vVf6wykvW_lAyu7Yo9L4hUTqHqIeP_qcVuxCtosJEbg/edit?usp=sharing"",""ปราจีนบุรี!Q328"")+IMPORTRANGE(""https://docs.googl"&amp;"e.com/spreadsheets/d/1BIDqLLg5jk3v59G8NlR8rk5xfQDKne0sAvZHSj7TI6I/edit?usp=sharing"",""พระนครศรีอยุธยา!Q328"")+IMPORTRANGE(""https://docs.google.com/spreadsheets/d/1YXvxf8Yu6_rV4hTBrwMqAcAnv6DfhUxh5emyM3CJp_w/edit?usp=sharing"",""เพชรบุรี!Q328"")+IMPORTRA"&amp;"NGE(""https://docs.google.com/spreadsheets/d/19KBlQQs7uwvsao6t2n-KvW3Ax8J8uRRfZPq1zPbXgKc/edit?usp=sharing"",""ระยอง!Q328"")+IMPORTRANGE(""https://docs.google.com/spreadsheets/d/1jQ6P4QcrGM89YfqcC_PxOHGCMq5ezhucwJd8ci-NHng/edit?usp=sharing"",""ราชบุรี!Q32"&amp;"8"")+IMPORTRANGE(""https://docs.google.com/spreadsheets/d/1lufeA2cfFqM-elVq2hznhDzC6Pr7wkJ9ZG_sYNGCMCU/edit?usp=sharing"",""ลพบุรี!Q328"")+IMPORTRANGE(""https://docs.google.com/spreadsheets/d/10oOiF7loTyfsTkbd4MpaIm0HQ9SwB7IYHdIUvt-U1Uc/edit?usp=sharing"""&amp;",""สระแก้ว!Q328"")+IMPORTRANGE(""https://docs.google.com/spreadsheets/d/1xmPlrr1QbdSIKvl1dWUl9K4PjAfSL9oeMr_37QVzcxc/edit?usp=sharing"",""สระบุรี!Q328"")+IMPORTRANGE(""https://docs.google.com/spreadsheets/d/1j51vR6CYVGhABJpv6tkstgok82RLpXieLzW1yOY5rHw/edi"&amp;"t?usp=sharing"",""สิงห์บุรี!Q328"")+IMPORTRANGE(""https://docs.google.com/spreadsheets/d/1H1EalTWKUSzO4Z1-1CwzoDUaVffgrThEBe2sl74kKG0/edit?usp=sharing"",""สุพรรณบุรี!Q328"")+IMPORTRANGE(""https://docs.google.com/spreadsheets/d/1BmIruG_sIrJLYao_Pdr7zVArWsf"&amp;"oBt2692TMi6x_854/edit?usp=sharing"",""อ่างทอง!Q328"")"),0)</f>
        <v>0</v>
      </c>
      <c r="R328" s="72">
        <f ca="1">IFERROR(__xludf.DUMMYFUNCTION("IMPORTRANGE(""https://docs.google.com/spreadsheets/d/13wPX838HrBrQMCywv1BsuMkt4PEKTChp52zj44s2izQ/edit?usp=sharing"",""กาญจนบุรี!R328"")+IMPORTRANGE(""https://docs.google.com/spreadsheets/d/1ddFKvqj1W1NEiWytbGlB1zMx_ykJDVtmfEQ-6-lIUBA/edit?usp=sharing"","&amp;"""จันทบุรี!R328"")+IMPORTRANGE(""https://docs.google.com/spreadsheets/d/1T1PQvRODqOBZk8BRht_U031fIS1beLA0Ub2CEytj2q0/edit?usp=sharing"",""ฉะเชิงเทรา!R328"")+IMPORTRANGE(""https://docs.google.com/spreadsheets/d/11tr1B-Bhyr79v2bkwVh5h_fR-PStkgjlZtkrZpYurG0/"&amp;"edit?usp=sharing"",""ชลบุรี!R328"")+IMPORTRANGE(""https://docs.google.com/spreadsheets/d/1hh-FVnSX0vozXhGluamEcS54Dw9_zqW0N7qJUWgJ0Sw/edit?usp=sharing"",""ชัยนาท!R328"")+IMPORTRANGE(""https://docs.google.com/spreadsheets/d/1jkqa6GXxSacMcY1eN8AHjMNJ_7dDXMJ"&amp;"VRLDlaFSOdPM/edit?usp=sharing"",""ตราด!R328"")+IMPORTRANGE(""https://docs.google.com/spreadsheets/d/18hSgUJ3VwClqi_qtULmmW3cLr0oe3OKaSYoKzdpTsYQ/edit?usp=sharing"",""นครนายก!R328"")+IMPORTRANGE(""https://docs.google.com/spreadsheets/d/1YTZo6WM2dQ6Ix6FSdnL"&amp;"5P7uVnVKu40sxZu975tgG10E/edit?usp=sharing"",""นครปฐม!R328"")+IMPORTRANGE(""https://docs.google.com/spreadsheets/d/1OYoGg4WDg5RIzwGeB10padOxJF9E_Vljuvvct_M7RDo/edit?usp=sharing"",""ปทุมธานี!R328"")+IMPORTRANGE(""https://docs.google.com/spreadsheets/d/1GbCI"&amp;"E4D4wk9FUozzqk7SxfDMxDVBwVmI5zcaVUSzKAc/edit?usp=sharing"",""ประจวบคีรีขันธ์!R328"")+IMPORTRANGE(""https://docs.google.com/spreadsheets/d/1vVf6wykvW_lAyu7Yo9L4hUTqHqIeP_qcVuxCtosJEbg/edit?usp=sharing"",""ปราจีนบุรี!R328"")+IMPORTRANGE(""https://docs.googl"&amp;"e.com/spreadsheets/d/1BIDqLLg5jk3v59G8NlR8rk5xfQDKne0sAvZHSj7TI6I/edit?usp=sharing"",""พระนครศรีอยุธยา!R328"")+IMPORTRANGE(""https://docs.google.com/spreadsheets/d/1YXvxf8Yu6_rV4hTBrwMqAcAnv6DfhUxh5emyM3CJp_w/edit?usp=sharing"",""เพชรบุรี!R328"")+IMPORTRA"&amp;"NGE(""https://docs.google.com/spreadsheets/d/19KBlQQs7uwvsao6t2n-KvW3Ax8J8uRRfZPq1zPbXgKc/edit?usp=sharing"",""ระยอง!R328"")+IMPORTRANGE(""https://docs.google.com/spreadsheets/d/1jQ6P4QcrGM89YfqcC_PxOHGCMq5ezhucwJd8ci-NHng/edit?usp=sharing"",""ราชบุรี!R32"&amp;"8"")+IMPORTRANGE(""https://docs.google.com/spreadsheets/d/1lufeA2cfFqM-elVq2hznhDzC6Pr7wkJ9ZG_sYNGCMCU/edit?usp=sharing"",""ลพบุรี!R328"")+IMPORTRANGE(""https://docs.google.com/spreadsheets/d/10oOiF7loTyfsTkbd4MpaIm0HQ9SwB7IYHdIUvt-U1Uc/edit?usp=sharing"""&amp;",""สระแก้ว!R328"")+IMPORTRANGE(""https://docs.google.com/spreadsheets/d/1xmPlrr1QbdSIKvl1dWUl9K4PjAfSL9oeMr_37QVzcxc/edit?usp=sharing"",""สระบุรี!R328"")+IMPORTRANGE(""https://docs.google.com/spreadsheets/d/1j51vR6CYVGhABJpv6tkstgok82RLpXieLzW1yOY5rHw/edi"&amp;"t?usp=sharing"",""สิงห์บุรี!R328"")+IMPORTRANGE(""https://docs.google.com/spreadsheets/d/1H1EalTWKUSzO4Z1-1CwzoDUaVffgrThEBe2sl74kKG0/edit?usp=sharing"",""สุพรรณบุรี!R328"")+IMPORTRANGE(""https://docs.google.com/spreadsheets/d/1BmIruG_sIrJLYao_Pdr7zVArWsf"&amp;"oBt2692TMi6x_854/edit?usp=sharing"",""อ่างทอง!R328"")"),0)</f>
        <v>0</v>
      </c>
      <c r="S328" s="72">
        <f ca="1">IFERROR(__xludf.DUMMYFUNCTION("IMPORTRANGE(""https://docs.google.com/spreadsheets/d/13wPX838HrBrQMCywv1BsuMkt4PEKTChp52zj44s2izQ/edit?usp=sharing"",""กาญจนบุรี!S328"")+IMPORTRANGE(""https://docs.google.com/spreadsheets/d/1ddFKvqj1W1NEiWytbGlB1zMx_ykJDVtmfEQ-6-lIUBA/edit?usp=sharing"","&amp;"""จันทบุรี!S328"")+IMPORTRANGE(""https://docs.google.com/spreadsheets/d/1T1PQvRODqOBZk8BRht_U031fIS1beLA0Ub2CEytj2q0/edit?usp=sharing"",""ฉะเชิงเทรา!S328"")+IMPORTRANGE(""https://docs.google.com/spreadsheets/d/11tr1B-Bhyr79v2bkwVh5h_fR-PStkgjlZtkrZpYurG0/"&amp;"edit?usp=sharing"",""ชลบุรี!S328"")+IMPORTRANGE(""https://docs.google.com/spreadsheets/d/1hh-FVnSX0vozXhGluamEcS54Dw9_zqW0N7qJUWgJ0Sw/edit?usp=sharing"",""ชัยนาท!S328"")+IMPORTRANGE(""https://docs.google.com/spreadsheets/d/1jkqa6GXxSacMcY1eN8AHjMNJ_7dDXMJ"&amp;"VRLDlaFSOdPM/edit?usp=sharing"",""ตราด!S328"")+IMPORTRANGE(""https://docs.google.com/spreadsheets/d/18hSgUJ3VwClqi_qtULmmW3cLr0oe3OKaSYoKzdpTsYQ/edit?usp=sharing"",""นครนายก!S328"")+IMPORTRANGE(""https://docs.google.com/spreadsheets/d/1YTZo6WM2dQ6Ix6FSdnL"&amp;"5P7uVnVKu40sxZu975tgG10E/edit?usp=sharing"",""นครปฐม!S328"")+IMPORTRANGE(""https://docs.google.com/spreadsheets/d/1OYoGg4WDg5RIzwGeB10padOxJF9E_Vljuvvct_M7RDo/edit?usp=sharing"",""ปทุมธานี!S328"")+IMPORTRANGE(""https://docs.google.com/spreadsheets/d/1GbCI"&amp;"E4D4wk9FUozzqk7SxfDMxDVBwVmI5zcaVUSzKAc/edit?usp=sharing"",""ประจวบคีรีขันธ์!S328"")+IMPORTRANGE(""https://docs.google.com/spreadsheets/d/1vVf6wykvW_lAyu7Yo9L4hUTqHqIeP_qcVuxCtosJEbg/edit?usp=sharing"",""ปราจีนบุรี!S328"")+IMPORTRANGE(""https://docs.googl"&amp;"e.com/spreadsheets/d/1BIDqLLg5jk3v59G8NlR8rk5xfQDKne0sAvZHSj7TI6I/edit?usp=sharing"",""พระนครศรีอยุธยา!S328"")+IMPORTRANGE(""https://docs.google.com/spreadsheets/d/1YXvxf8Yu6_rV4hTBrwMqAcAnv6DfhUxh5emyM3CJp_w/edit?usp=sharing"",""เพชรบุรี!S328"")+IMPORTRA"&amp;"NGE(""https://docs.google.com/spreadsheets/d/19KBlQQs7uwvsao6t2n-KvW3Ax8J8uRRfZPq1zPbXgKc/edit?usp=sharing"",""ระยอง!S328"")+IMPORTRANGE(""https://docs.google.com/spreadsheets/d/1jQ6P4QcrGM89YfqcC_PxOHGCMq5ezhucwJd8ci-NHng/edit?usp=sharing"",""ราชบุรี!S32"&amp;"8"")+IMPORTRANGE(""https://docs.google.com/spreadsheets/d/1lufeA2cfFqM-elVq2hznhDzC6Pr7wkJ9ZG_sYNGCMCU/edit?usp=sharing"",""ลพบุรี!S328"")+IMPORTRANGE(""https://docs.google.com/spreadsheets/d/10oOiF7loTyfsTkbd4MpaIm0HQ9SwB7IYHdIUvt-U1Uc/edit?usp=sharing"""&amp;",""สระแก้ว!S328"")+IMPORTRANGE(""https://docs.google.com/spreadsheets/d/1xmPlrr1QbdSIKvl1dWUl9K4PjAfSL9oeMr_37QVzcxc/edit?usp=sharing"",""สระบุรี!S328"")+IMPORTRANGE(""https://docs.google.com/spreadsheets/d/1j51vR6CYVGhABJpv6tkstgok82RLpXieLzW1yOY5rHw/edi"&amp;"t?usp=sharing"",""สิงห์บุรี!S328"")+IMPORTRANGE(""https://docs.google.com/spreadsheets/d/1H1EalTWKUSzO4Z1-1CwzoDUaVffgrThEBe2sl74kKG0/edit?usp=sharing"",""สุพรรณบุรี!S328"")+IMPORTRANGE(""https://docs.google.com/spreadsheets/d/1BmIruG_sIrJLYao_Pdr7zVArWsf"&amp;"oBt2692TMi6x_854/edit?usp=sharing"",""อ่างทอง!S328"")"),0)</f>
        <v>0</v>
      </c>
      <c r="T328" s="130">
        <f t="shared" ca="1" si="234"/>
        <v>0</v>
      </c>
      <c r="U328" s="130">
        <f t="shared" ca="1" si="235"/>
        <v>0</v>
      </c>
    </row>
    <row r="329" spans="1:21" ht="19.5" x14ac:dyDescent="0.3">
      <c r="A329" s="220"/>
      <c r="B329" s="221"/>
      <c r="C329" s="208" t="s">
        <v>18</v>
      </c>
      <c r="D329" s="222" t="s">
        <v>38</v>
      </c>
      <c r="E329" s="223"/>
      <c r="F329" s="223"/>
      <c r="G329" s="224"/>
      <c r="H329" s="225"/>
      <c r="I329" s="217"/>
      <c r="J329" s="69"/>
      <c r="K329" s="70"/>
      <c r="L329" s="70"/>
      <c r="M329" s="70"/>
      <c r="N329" s="70"/>
      <c r="O329" s="218"/>
      <c r="P329" s="218"/>
      <c r="Q329" s="84"/>
      <c r="R329" s="85"/>
      <c r="S329" s="85"/>
      <c r="T329" s="227"/>
      <c r="U329" s="227"/>
    </row>
    <row r="330" spans="1:21" ht="18.75" x14ac:dyDescent="0.25">
      <c r="A330" s="220"/>
      <c r="B330" s="221"/>
      <c r="C330" s="221"/>
      <c r="D330" s="228" t="s">
        <v>134</v>
      </c>
      <c r="E330" s="229"/>
      <c r="F330" s="229"/>
      <c r="G330" s="225"/>
      <c r="H330" s="68" t="s">
        <v>133</v>
      </c>
      <c r="I330" s="237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5)</f>
        <v>5</v>
      </c>
      <c r="J330" s="237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3)</f>
        <v>3</v>
      </c>
      <c r="K330" s="86">
        <f ca="1">IF(I330&gt;0,J330*100/I330,0)</f>
        <v>60</v>
      </c>
      <c r="L330" s="70"/>
      <c r="M330" s="70"/>
      <c r="N330" s="70"/>
      <c r="O330" s="218"/>
      <c r="P330" s="218"/>
      <c r="Q330" s="84"/>
      <c r="R330" s="85"/>
      <c r="S330" s="85"/>
      <c r="T330" s="227"/>
      <c r="U330" s="227"/>
    </row>
    <row r="331" spans="1:21" ht="19.5" x14ac:dyDescent="0.3">
      <c r="A331" s="493" t="s">
        <v>135</v>
      </c>
      <c r="B331" s="494"/>
      <c r="C331" s="494"/>
      <c r="D331" s="495"/>
      <c r="E331" s="494"/>
      <c r="F331" s="494"/>
      <c r="G331" s="494"/>
      <c r="H331" s="495"/>
      <c r="I331" s="497"/>
      <c r="J331" s="497"/>
      <c r="K331" s="498"/>
      <c r="L331" s="498"/>
      <c r="M331" s="498"/>
      <c r="N331" s="498"/>
      <c r="O331" s="498"/>
      <c r="P331" s="498"/>
      <c r="Q331" s="499"/>
      <c r="R331" s="500"/>
      <c r="S331" s="500"/>
      <c r="T331" s="500"/>
      <c r="U331" s="500"/>
    </row>
    <row r="332" spans="1:21" ht="19.5" x14ac:dyDescent="0.3">
      <c r="A332" s="501"/>
      <c r="B332" s="502" t="s">
        <v>136</v>
      </c>
      <c r="C332" s="513"/>
      <c r="D332" s="503"/>
      <c r="E332" s="503"/>
      <c r="F332" s="503"/>
      <c r="G332" s="504"/>
      <c r="H332" s="505" t="s">
        <v>35</v>
      </c>
      <c r="I332" s="514">
        <f ca="1">I344</f>
        <v>19420</v>
      </c>
      <c r="J332" s="515">
        <f ca="1">J344+J347+J348+J349+J353</f>
        <v>97218</v>
      </c>
      <c r="K332" s="516">
        <f ca="1">IF(I332&gt;0,J332*100/I332,0)</f>
        <v>500.60762100926877</v>
      </c>
      <c r="L332" s="508"/>
      <c r="M332" s="508"/>
      <c r="N332" s="508"/>
      <c r="O332" s="508"/>
      <c r="P332" s="508"/>
      <c r="Q332" s="509"/>
      <c r="R332" s="510"/>
      <c r="S332" s="510"/>
      <c r="T332" s="510"/>
      <c r="U332" s="510"/>
    </row>
    <row r="333" spans="1:21" ht="19.5" x14ac:dyDescent="0.3">
      <c r="A333" s="207"/>
      <c r="B333" s="65"/>
      <c r="C333" s="208" t="s">
        <v>18</v>
      </c>
      <c r="D333" s="209" t="s">
        <v>19</v>
      </c>
      <c r="E333" s="65"/>
      <c r="F333" s="65"/>
      <c r="G333" s="67"/>
      <c r="H333" s="210" t="s">
        <v>14</v>
      </c>
      <c r="I333" s="69"/>
      <c r="J333" s="69"/>
      <c r="K333" s="70"/>
      <c r="L333" s="211">
        <f t="shared" ref="L333:N333" ca="1" si="244">L334+L335</f>
        <v>6551000</v>
      </c>
      <c r="M333" s="211">
        <f t="shared" ca="1" si="244"/>
        <v>6551000</v>
      </c>
      <c r="N333" s="211">
        <f t="shared" ca="1" si="244"/>
        <v>4299724.91</v>
      </c>
      <c r="O333" s="211">
        <f t="shared" ref="O333:O341" ca="1" si="245">IF(L333&gt;0,N333*100/L333,0)</f>
        <v>65.634634559609225</v>
      </c>
      <c r="P333" s="211">
        <f t="shared" ref="P333:P341" ca="1" si="246">IF(M333&gt;0,N333*100/M333,0)</f>
        <v>65.634634559609225</v>
      </c>
      <c r="Q333" s="212">
        <f t="shared" ref="Q333:S333" ca="1" si="247">Q334+Q335</f>
        <v>0</v>
      </c>
      <c r="R333" s="213">
        <f t="shared" ca="1" si="247"/>
        <v>0</v>
      </c>
      <c r="S333" s="213">
        <f t="shared" ca="1" si="247"/>
        <v>0</v>
      </c>
      <c r="T333" s="213">
        <f t="shared" ref="T333:T341" ca="1" si="248">IF(Q333&gt;0,S333*100/Q333,0)</f>
        <v>0</v>
      </c>
      <c r="U333" s="213">
        <f t="shared" ref="U333:U341" ca="1" si="249">IF(R333&gt;0,S333*100/R333,0)</f>
        <v>0</v>
      </c>
    </row>
    <row r="334" spans="1:21" ht="18.75" hidden="1" x14ac:dyDescent="0.25">
      <c r="A334" s="207"/>
      <c r="B334" s="65"/>
      <c r="C334" s="65"/>
      <c r="D334" s="65"/>
      <c r="E334" s="73" t="s">
        <v>20</v>
      </c>
      <c r="F334" s="65"/>
      <c r="G334" s="67"/>
      <c r="H334" s="214" t="s">
        <v>14</v>
      </c>
      <c r="I334" s="69"/>
      <c r="J334" s="69"/>
      <c r="K334" s="70"/>
      <c r="L334" s="86">
        <f t="shared" ref="L334:N334" ca="1" si="250">L337+L340</f>
        <v>0</v>
      </c>
      <c r="M334" s="86">
        <f t="shared" ca="1" si="250"/>
        <v>0</v>
      </c>
      <c r="N334" s="86">
        <f t="shared" ca="1" si="250"/>
        <v>0</v>
      </c>
      <c r="O334" s="86">
        <f t="shared" ca="1" si="245"/>
        <v>0</v>
      </c>
      <c r="P334" s="86">
        <f t="shared" ca="1" si="246"/>
        <v>0</v>
      </c>
      <c r="Q334" s="215">
        <f t="shared" ref="Q334:S334" ca="1" si="251">Q337+Q340</f>
        <v>0</v>
      </c>
      <c r="R334" s="131">
        <f t="shared" ca="1" si="251"/>
        <v>0</v>
      </c>
      <c r="S334" s="131">
        <f t="shared" ca="1" si="251"/>
        <v>0</v>
      </c>
      <c r="T334" s="131">
        <f t="shared" ca="1" si="248"/>
        <v>0</v>
      </c>
      <c r="U334" s="131">
        <f t="shared" ca="1" si="249"/>
        <v>0</v>
      </c>
    </row>
    <row r="335" spans="1:21" ht="18.75" hidden="1" x14ac:dyDescent="0.25">
      <c r="A335" s="207"/>
      <c r="B335" s="65"/>
      <c r="C335" s="65"/>
      <c r="D335" s="65"/>
      <c r="E335" s="73" t="s">
        <v>21</v>
      </c>
      <c r="F335" s="65"/>
      <c r="G335" s="67"/>
      <c r="H335" s="214" t="s">
        <v>14</v>
      </c>
      <c r="I335" s="69"/>
      <c r="J335" s="69"/>
      <c r="K335" s="70"/>
      <c r="L335" s="86">
        <f t="shared" ref="L335:N335" ca="1" si="252">L338+L341</f>
        <v>6551000</v>
      </c>
      <c r="M335" s="86">
        <f t="shared" ca="1" si="252"/>
        <v>6551000</v>
      </c>
      <c r="N335" s="86">
        <f t="shared" ca="1" si="252"/>
        <v>4299724.91</v>
      </c>
      <c r="O335" s="86">
        <f t="shared" ca="1" si="245"/>
        <v>65.634634559609225</v>
      </c>
      <c r="P335" s="86">
        <f t="shared" ca="1" si="246"/>
        <v>65.634634559609225</v>
      </c>
      <c r="Q335" s="129">
        <f t="shared" ref="Q335:S335" ca="1" si="253">Q338+Q341</f>
        <v>0</v>
      </c>
      <c r="R335" s="130">
        <f t="shared" ca="1" si="253"/>
        <v>0</v>
      </c>
      <c r="S335" s="130">
        <f t="shared" ca="1" si="253"/>
        <v>0</v>
      </c>
      <c r="T335" s="130">
        <f t="shared" ca="1" si="248"/>
        <v>0</v>
      </c>
      <c r="U335" s="130">
        <f t="shared" ca="1" si="249"/>
        <v>0</v>
      </c>
    </row>
    <row r="336" spans="1:21" ht="18.75" x14ac:dyDescent="0.25">
      <c r="A336" s="207"/>
      <c r="B336" s="65"/>
      <c r="C336" s="65"/>
      <c r="D336" s="66" t="s">
        <v>22</v>
      </c>
      <c r="E336" s="65"/>
      <c r="F336" s="65"/>
      <c r="G336" s="67"/>
      <c r="H336" s="216" t="s">
        <v>14</v>
      </c>
      <c r="I336" s="217"/>
      <c r="J336" s="217"/>
      <c r="K336" s="218"/>
      <c r="L336" s="86">
        <f t="shared" ref="L336:N336" ca="1" si="254">L337+L338</f>
        <v>6551000</v>
      </c>
      <c r="M336" s="86">
        <f t="shared" ca="1" si="254"/>
        <v>6551000</v>
      </c>
      <c r="N336" s="86">
        <f t="shared" ca="1" si="254"/>
        <v>4299724.91</v>
      </c>
      <c r="O336" s="86">
        <f t="shared" ca="1" si="245"/>
        <v>65.634634559609225</v>
      </c>
      <c r="P336" s="86">
        <f t="shared" ca="1" si="246"/>
        <v>65.634634559609225</v>
      </c>
      <c r="Q336" s="129">
        <f t="shared" ref="Q336:S336" ca="1" si="255">Q337+Q338</f>
        <v>0</v>
      </c>
      <c r="R336" s="130">
        <f t="shared" ca="1" si="255"/>
        <v>0</v>
      </c>
      <c r="S336" s="130">
        <f t="shared" ca="1" si="255"/>
        <v>0</v>
      </c>
      <c r="T336" s="130">
        <f t="shared" ca="1" si="248"/>
        <v>0</v>
      </c>
      <c r="U336" s="130">
        <f t="shared" ca="1" si="249"/>
        <v>0</v>
      </c>
    </row>
    <row r="337" spans="1:21" ht="18.75" hidden="1" x14ac:dyDescent="0.25">
      <c r="A337" s="207"/>
      <c r="B337" s="65"/>
      <c r="C337" s="65"/>
      <c r="D337" s="65"/>
      <c r="E337" s="73" t="s">
        <v>36</v>
      </c>
      <c r="F337" s="65"/>
      <c r="G337" s="67"/>
      <c r="H337" s="216" t="s">
        <v>14</v>
      </c>
      <c r="I337" s="217"/>
      <c r="J337" s="217"/>
      <c r="K337" s="218"/>
      <c r="L337" s="86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7" s="86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7" s="86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7" s="86">
        <f t="shared" ca="1" si="245"/>
        <v>0</v>
      </c>
      <c r="P337" s="86">
        <f t="shared" ca="1" si="246"/>
        <v>0</v>
      </c>
      <c r="Q337" s="74">
        <f ca="1">IFERROR(__xludf.DUMMYFUNCTION("IMPORTRANGE(""https://docs.google.com/spreadsheets/d/13wPX838HrBrQMCywv1BsuMkt4PEKTChp52zj44s2izQ/edit?usp=sharing"",""กาญจนบุรี!Q337"")+IMPORTRANGE(""https://docs.google.com/spreadsheets/d/1ddFKvqj1W1NEiWytbGlB1zMx_ykJDVtmfEQ-6-lIUBA/edit?usp=sharing"","&amp;"""จันทบุรี!Q337"")+IMPORTRANGE(""https://docs.google.com/spreadsheets/d/1T1PQvRODqOBZk8BRht_U031fIS1beLA0Ub2CEytj2q0/edit?usp=sharing"",""ฉะเชิงเทรา!Q337"")+IMPORTRANGE(""https://docs.google.com/spreadsheets/d/11tr1B-Bhyr79v2bkwVh5h_fR-PStkgjlZtkrZpYurG0/"&amp;"edit?usp=sharing"",""ชลบุรี!Q337"")+IMPORTRANGE(""https://docs.google.com/spreadsheets/d/1hh-FVnSX0vozXhGluamEcS54Dw9_zqW0N7qJUWgJ0Sw/edit?usp=sharing"",""ชัยนาท!Q337"")+IMPORTRANGE(""https://docs.google.com/spreadsheets/d/1jkqa6GXxSacMcY1eN8AHjMNJ_7dDXMJ"&amp;"VRLDlaFSOdPM/edit?usp=sharing"",""ตราด!Q337"")+IMPORTRANGE(""https://docs.google.com/spreadsheets/d/18hSgUJ3VwClqi_qtULmmW3cLr0oe3OKaSYoKzdpTsYQ/edit?usp=sharing"",""นครนายก!Q337"")+IMPORTRANGE(""https://docs.google.com/spreadsheets/d/1YTZo6WM2dQ6Ix6FSdnL"&amp;"5P7uVnVKu40sxZu975tgG10E/edit?usp=sharing"",""นครปฐม!Q337"")+IMPORTRANGE(""https://docs.google.com/spreadsheets/d/1OYoGg4WDg5RIzwGeB10padOxJF9E_Vljuvvct_M7RDo/edit?usp=sharing"",""ปทุมธานี!Q337"")+IMPORTRANGE(""https://docs.google.com/spreadsheets/d/1GbCI"&amp;"E4D4wk9FUozzqk7SxfDMxDVBwVmI5zcaVUSzKAc/edit?usp=sharing"",""ประจวบคีรีขันธ์!Q337"")+IMPORTRANGE(""https://docs.google.com/spreadsheets/d/1vVf6wykvW_lAyu7Yo9L4hUTqHqIeP_qcVuxCtosJEbg/edit?usp=sharing"",""ปราจีนบุรี!Q337"")+IMPORTRANGE(""https://docs.googl"&amp;"e.com/spreadsheets/d/1BIDqLLg5jk3v59G8NlR8rk5xfQDKne0sAvZHSj7TI6I/edit?usp=sharing"",""พระนครศรีอยุธยา!Q337"")+IMPORTRANGE(""https://docs.google.com/spreadsheets/d/1YXvxf8Yu6_rV4hTBrwMqAcAnv6DfhUxh5emyM3CJp_w/edit?usp=sharing"",""เพชรบุรี!Q337"")+IMPORTRA"&amp;"NGE(""https://docs.google.com/spreadsheets/d/19KBlQQs7uwvsao6t2n-KvW3Ax8J8uRRfZPq1zPbXgKc/edit?usp=sharing"",""ระยอง!Q337"")+IMPORTRANGE(""https://docs.google.com/spreadsheets/d/1jQ6P4QcrGM89YfqcC_PxOHGCMq5ezhucwJd8ci-NHng/edit?usp=sharing"",""ราชบุรี!Q33"&amp;"7"")+IMPORTRANGE(""https://docs.google.com/spreadsheets/d/1lufeA2cfFqM-elVq2hznhDzC6Pr7wkJ9ZG_sYNGCMCU/edit?usp=sharing"",""ลพบุรี!Q337"")+IMPORTRANGE(""https://docs.google.com/spreadsheets/d/10oOiF7loTyfsTkbd4MpaIm0HQ9SwB7IYHdIUvt-U1Uc/edit?usp=sharing"""&amp;",""สระแก้ว!Q337"")+IMPORTRANGE(""https://docs.google.com/spreadsheets/d/1xmPlrr1QbdSIKvl1dWUl9K4PjAfSL9oeMr_37QVzcxc/edit?usp=sharing"",""สระบุรี!Q337"")+IMPORTRANGE(""https://docs.google.com/spreadsheets/d/1j51vR6CYVGhABJpv6tkstgok82RLpXieLzW1yOY5rHw/edi"&amp;"t?usp=sharing"",""สิงห์บุรี!Q337"")+IMPORTRANGE(""https://docs.google.com/spreadsheets/d/1H1EalTWKUSzO4Z1-1CwzoDUaVffgrThEBe2sl74kKG0/edit?usp=sharing"",""สุพรรณบุรี!Q337"")+IMPORTRANGE(""https://docs.google.com/spreadsheets/d/1BmIruG_sIrJLYao_Pdr7zVArWsf"&amp;"oBt2692TMi6x_854/edit?usp=sharing"",""อ่างทอง!Q337"")"),0)</f>
        <v>0</v>
      </c>
      <c r="R337" s="75">
        <f ca="1">IFERROR(__xludf.DUMMYFUNCTION("IMPORTRANGE(""https://docs.google.com/spreadsheets/d/13wPX838HrBrQMCywv1BsuMkt4PEKTChp52zj44s2izQ/edit?usp=sharing"",""กาญจนบุรี!R337"")+IMPORTRANGE(""https://docs.google.com/spreadsheets/d/1ddFKvqj1W1NEiWytbGlB1zMx_ykJDVtmfEQ-6-lIUBA/edit?usp=sharing"","&amp;"""จันทบุรี!R337"")+IMPORTRANGE(""https://docs.google.com/spreadsheets/d/1T1PQvRODqOBZk8BRht_U031fIS1beLA0Ub2CEytj2q0/edit?usp=sharing"",""ฉะเชิงเทรา!R337"")+IMPORTRANGE(""https://docs.google.com/spreadsheets/d/11tr1B-Bhyr79v2bkwVh5h_fR-PStkgjlZtkrZpYurG0/"&amp;"edit?usp=sharing"",""ชลบุรี!R337"")+IMPORTRANGE(""https://docs.google.com/spreadsheets/d/1hh-FVnSX0vozXhGluamEcS54Dw9_zqW0N7qJUWgJ0Sw/edit?usp=sharing"",""ชัยนาท!R337"")+IMPORTRANGE(""https://docs.google.com/spreadsheets/d/1jkqa6GXxSacMcY1eN8AHjMNJ_7dDXMJ"&amp;"VRLDlaFSOdPM/edit?usp=sharing"",""ตราด!R337"")+IMPORTRANGE(""https://docs.google.com/spreadsheets/d/18hSgUJ3VwClqi_qtULmmW3cLr0oe3OKaSYoKzdpTsYQ/edit?usp=sharing"",""นครนายก!R337"")+IMPORTRANGE(""https://docs.google.com/spreadsheets/d/1YTZo6WM2dQ6Ix6FSdnL"&amp;"5P7uVnVKu40sxZu975tgG10E/edit?usp=sharing"",""นครปฐม!R337"")+IMPORTRANGE(""https://docs.google.com/spreadsheets/d/1OYoGg4WDg5RIzwGeB10padOxJF9E_Vljuvvct_M7RDo/edit?usp=sharing"",""ปทุมธานี!R337"")+IMPORTRANGE(""https://docs.google.com/spreadsheets/d/1GbCI"&amp;"E4D4wk9FUozzqk7SxfDMxDVBwVmI5zcaVUSzKAc/edit?usp=sharing"",""ประจวบคีรีขันธ์!R337"")+IMPORTRANGE(""https://docs.google.com/spreadsheets/d/1vVf6wykvW_lAyu7Yo9L4hUTqHqIeP_qcVuxCtosJEbg/edit?usp=sharing"",""ปราจีนบุรี!R337"")+IMPORTRANGE(""https://docs.googl"&amp;"e.com/spreadsheets/d/1BIDqLLg5jk3v59G8NlR8rk5xfQDKne0sAvZHSj7TI6I/edit?usp=sharing"",""พระนครศรีอยุธยา!R337"")+IMPORTRANGE(""https://docs.google.com/spreadsheets/d/1YXvxf8Yu6_rV4hTBrwMqAcAnv6DfhUxh5emyM3CJp_w/edit?usp=sharing"",""เพชรบุรี!R337"")+IMPORTRA"&amp;"NGE(""https://docs.google.com/spreadsheets/d/19KBlQQs7uwvsao6t2n-KvW3Ax8J8uRRfZPq1zPbXgKc/edit?usp=sharing"",""ระยอง!R337"")+IMPORTRANGE(""https://docs.google.com/spreadsheets/d/1jQ6P4QcrGM89YfqcC_PxOHGCMq5ezhucwJd8ci-NHng/edit?usp=sharing"",""ราชบุรี!R33"&amp;"7"")+IMPORTRANGE(""https://docs.google.com/spreadsheets/d/1lufeA2cfFqM-elVq2hznhDzC6Pr7wkJ9ZG_sYNGCMCU/edit?usp=sharing"",""ลพบุรี!R337"")+IMPORTRANGE(""https://docs.google.com/spreadsheets/d/10oOiF7loTyfsTkbd4MpaIm0HQ9SwB7IYHdIUvt-U1Uc/edit?usp=sharing"""&amp;",""สระแก้ว!R337"")+IMPORTRANGE(""https://docs.google.com/spreadsheets/d/1xmPlrr1QbdSIKvl1dWUl9K4PjAfSL9oeMr_37QVzcxc/edit?usp=sharing"",""สระบุรี!R337"")+IMPORTRANGE(""https://docs.google.com/spreadsheets/d/1j51vR6CYVGhABJpv6tkstgok82RLpXieLzW1yOY5rHw/edi"&amp;"t?usp=sharing"",""สิงห์บุรี!R337"")+IMPORTRANGE(""https://docs.google.com/spreadsheets/d/1H1EalTWKUSzO4Z1-1CwzoDUaVffgrThEBe2sl74kKG0/edit?usp=sharing"",""สุพรรณบุรี!R337"")+IMPORTRANGE(""https://docs.google.com/spreadsheets/d/1BmIruG_sIrJLYao_Pdr7zVArWsf"&amp;"oBt2692TMi6x_854/edit?usp=sharing"",""อ่างทอง!R337"")"),0)</f>
        <v>0</v>
      </c>
      <c r="S337" s="75">
        <f ca="1">IFERROR(__xludf.DUMMYFUNCTION("IMPORTRANGE(""https://docs.google.com/spreadsheets/d/13wPX838HrBrQMCywv1BsuMkt4PEKTChp52zj44s2izQ/edit?usp=sharing"",""กาญจนบุรี!S337"")+IMPORTRANGE(""https://docs.google.com/spreadsheets/d/1ddFKvqj1W1NEiWytbGlB1zMx_ykJDVtmfEQ-6-lIUBA/edit?usp=sharing"","&amp;"""จันทบุรี!S337"")+IMPORTRANGE(""https://docs.google.com/spreadsheets/d/1T1PQvRODqOBZk8BRht_U031fIS1beLA0Ub2CEytj2q0/edit?usp=sharing"",""ฉะเชิงเทรา!S337"")+IMPORTRANGE(""https://docs.google.com/spreadsheets/d/11tr1B-Bhyr79v2bkwVh5h_fR-PStkgjlZtkrZpYurG0/"&amp;"edit?usp=sharing"",""ชลบุรี!S337"")+IMPORTRANGE(""https://docs.google.com/spreadsheets/d/1hh-FVnSX0vozXhGluamEcS54Dw9_zqW0N7qJUWgJ0Sw/edit?usp=sharing"",""ชัยนาท!S337"")+IMPORTRANGE(""https://docs.google.com/spreadsheets/d/1jkqa6GXxSacMcY1eN8AHjMNJ_7dDXMJ"&amp;"VRLDlaFSOdPM/edit?usp=sharing"",""ตราด!S337"")+IMPORTRANGE(""https://docs.google.com/spreadsheets/d/18hSgUJ3VwClqi_qtULmmW3cLr0oe3OKaSYoKzdpTsYQ/edit?usp=sharing"",""นครนายก!S337"")+IMPORTRANGE(""https://docs.google.com/spreadsheets/d/1YTZo6WM2dQ6Ix6FSdnL"&amp;"5P7uVnVKu40sxZu975tgG10E/edit?usp=sharing"",""นครปฐม!S337"")+IMPORTRANGE(""https://docs.google.com/spreadsheets/d/1OYoGg4WDg5RIzwGeB10padOxJF9E_Vljuvvct_M7RDo/edit?usp=sharing"",""ปทุมธานี!S337"")+IMPORTRANGE(""https://docs.google.com/spreadsheets/d/1GbCI"&amp;"E4D4wk9FUozzqk7SxfDMxDVBwVmI5zcaVUSzKAc/edit?usp=sharing"",""ประจวบคีรีขันธ์!S337"")+IMPORTRANGE(""https://docs.google.com/spreadsheets/d/1vVf6wykvW_lAyu7Yo9L4hUTqHqIeP_qcVuxCtosJEbg/edit?usp=sharing"",""ปราจีนบุรี!S337"")+IMPORTRANGE(""https://docs.googl"&amp;"e.com/spreadsheets/d/1BIDqLLg5jk3v59G8NlR8rk5xfQDKne0sAvZHSj7TI6I/edit?usp=sharing"",""พระนครศรีอยุธยา!S337"")+IMPORTRANGE(""https://docs.google.com/spreadsheets/d/1YXvxf8Yu6_rV4hTBrwMqAcAnv6DfhUxh5emyM3CJp_w/edit?usp=sharing"",""เพชรบุรี!S337"")+IMPORTRA"&amp;"NGE(""https://docs.google.com/spreadsheets/d/19KBlQQs7uwvsao6t2n-KvW3Ax8J8uRRfZPq1zPbXgKc/edit?usp=sharing"",""ระยอง!S337"")+IMPORTRANGE(""https://docs.google.com/spreadsheets/d/1jQ6P4QcrGM89YfqcC_PxOHGCMq5ezhucwJd8ci-NHng/edit?usp=sharing"",""ราชบุรี!S33"&amp;"7"")+IMPORTRANGE(""https://docs.google.com/spreadsheets/d/1lufeA2cfFqM-elVq2hznhDzC6Pr7wkJ9ZG_sYNGCMCU/edit?usp=sharing"",""ลพบุรี!S337"")+IMPORTRANGE(""https://docs.google.com/spreadsheets/d/10oOiF7loTyfsTkbd4MpaIm0HQ9SwB7IYHdIUvt-U1Uc/edit?usp=sharing"""&amp;",""สระแก้ว!S337"")+IMPORTRANGE(""https://docs.google.com/spreadsheets/d/1xmPlrr1QbdSIKvl1dWUl9K4PjAfSL9oeMr_37QVzcxc/edit?usp=sharing"",""สระบุรี!S337"")+IMPORTRANGE(""https://docs.google.com/spreadsheets/d/1j51vR6CYVGhABJpv6tkstgok82RLpXieLzW1yOY5rHw/edi"&amp;"t?usp=sharing"",""สิงห์บุรี!S337"")+IMPORTRANGE(""https://docs.google.com/spreadsheets/d/1H1EalTWKUSzO4Z1-1CwzoDUaVffgrThEBe2sl74kKG0/edit?usp=sharing"",""สุพรรณบุรี!S337"")+IMPORTRANGE(""https://docs.google.com/spreadsheets/d/1BmIruG_sIrJLYao_Pdr7zVArWsf"&amp;"oBt2692TMi6x_854/edit?usp=sharing"",""อ่างทอง!S337"")"),0)</f>
        <v>0</v>
      </c>
      <c r="T337" s="131">
        <f t="shared" ca="1" si="248"/>
        <v>0</v>
      </c>
      <c r="U337" s="131">
        <f t="shared" ca="1" si="249"/>
        <v>0</v>
      </c>
    </row>
    <row r="338" spans="1:21" ht="18.75" hidden="1" x14ac:dyDescent="0.25">
      <c r="A338" s="207"/>
      <c r="B338" s="65"/>
      <c r="C338" s="65"/>
      <c r="D338" s="65"/>
      <c r="E338" s="73" t="s">
        <v>37</v>
      </c>
      <c r="F338" s="65"/>
      <c r="G338" s="67"/>
      <c r="H338" s="216" t="s">
        <v>14</v>
      </c>
      <c r="I338" s="217"/>
      <c r="J338" s="217"/>
      <c r="K338" s="218"/>
      <c r="L338" s="86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6551000)</f>
        <v>6551000</v>
      </c>
      <c r="M338" s="86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6551000)</f>
        <v>6551000</v>
      </c>
      <c r="N338" s="86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4299724.91)</f>
        <v>4299724.91</v>
      </c>
      <c r="O338" s="86">
        <f t="shared" ca="1" si="245"/>
        <v>65.634634559609225</v>
      </c>
      <c r="P338" s="86">
        <f t="shared" ca="1" si="246"/>
        <v>65.634634559609225</v>
      </c>
      <c r="Q338" s="71">
        <f ca="1">IFERROR(__xludf.DUMMYFUNCTION("IMPORTRANGE(""https://docs.google.com/spreadsheets/d/13wPX838HrBrQMCywv1BsuMkt4PEKTChp52zj44s2izQ/edit?usp=sharing"",""กาญจนบุรี!Q338"")+IMPORTRANGE(""https://docs.google.com/spreadsheets/d/1ddFKvqj1W1NEiWytbGlB1zMx_ykJDVtmfEQ-6-lIUBA/edit?usp=sharing"","&amp;"""จันทบุรี!Q338"")+IMPORTRANGE(""https://docs.google.com/spreadsheets/d/1T1PQvRODqOBZk8BRht_U031fIS1beLA0Ub2CEytj2q0/edit?usp=sharing"",""ฉะเชิงเทรา!Q338"")+IMPORTRANGE(""https://docs.google.com/spreadsheets/d/11tr1B-Bhyr79v2bkwVh5h_fR-PStkgjlZtkrZpYurG0/"&amp;"edit?usp=sharing"",""ชลบุรี!Q338"")+IMPORTRANGE(""https://docs.google.com/spreadsheets/d/1hh-FVnSX0vozXhGluamEcS54Dw9_zqW0N7qJUWgJ0Sw/edit?usp=sharing"",""ชัยนาท!Q338"")+IMPORTRANGE(""https://docs.google.com/spreadsheets/d/1jkqa6GXxSacMcY1eN8AHjMNJ_7dDXMJ"&amp;"VRLDlaFSOdPM/edit?usp=sharing"",""ตราด!Q338"")+IMPORTRANGE(""https://docs.google.com/spreadsheets/d/18hSgUJ3VwClqi_qtULmmW3cLr0oe3OKaSYoKzdpTsYQ/edit?usp=sharing"",""นครนายก!Q338"")+IMPORTRANGE(""https://docs.google.com/spreadsheets/d/1YTZo6WM2dQ6Ix6FSdnL"&amp;"5P7uVnVKu40sxZu975tgG10E/edit?usp=sharing"",""นครปฐม!Q338"")+IMPORTRANGE(""https://docs.google.com/spreadsheets/d/1OYoGg4WDg5RIzwGeB10padOxJF9E_Vljuvvct_M7RDo/edit?usp=sharing"",""ปทุมธานี!Q338"")+IMPORTRANGE(""https://docs.google.com/spreadsheets/d/1GbCI"&amp;"E4D4wk9FUozzqk7SxfDMxDVBwVmI5zcaVUSzKAc/edit?usp=sharing"",""ประจวบคีรีขันธ์!Q338"")+IMPORTRANGE(""https://docs.google.com/spreadsheets/d/1vVf6wykvW_lAyu7Yo9L4hUTqHqIeP_qcVuxCtosJEbg/edit?usp=sharing"",""ปราจีนบุรี!Q338"")+IMPORTRANGE(""https://docs.googl"&amp;"e.com/spreadsheets/d/1BIDqLLg5jk3v59G8NlR8rk5xfQDKne0sAvZHSj7TI6I/edit?usp=sharing"",""พระนครศรีอยุธยา!Q338"")+IMPORTRANGE(""https://docs.google.com/spreadsheets/d/1YXvxf8Yu6_rV4hTBrwMqAcAnv6DfhUxh5emyM3CJp_w/edit?usp=sharing"",""เพชรบุรี!Q338"")+IMPORTRA"&amp;"NGE(""https://docs.google.com/spreadsheets/d/19KBlQQs7uwvsao6t2n-KvW3Ax8J8uRRfZPq1zPbXgKc/edit?usp=sharing"",""ระยอง!Q338"")+IMPORTRANGE(""https://docs.google.com/spreadsheets/d/1jQ6P4QcrGM89YfqcC_PxOHGCMq5ezhucwJd8ci-NHng/edit?usp=sharing"",""ราชบุรี!Q33"&amp;"8"")+IMPORTRANGE(""https://docs.google.com/spreadsheets/d/1lufeA2cfFqM-elVq2hznhDzC6Pr7wkJ9ZG_sYNGCMCU/edit?usp=sharing"",""ลพบุรี!Q338"")+IMPORTRANGE(""https://docs.google.com/spreadsheets/d/10oOiF7loTyfsTkbd4MpaIm0HQ9SwB7IYHdIUvt-U1Uc/edit?usp=sharing"""&amp;",""สระแก้ว!Q338"")+IMPORTRANGE(""https://docs.google.com/spreadsheets/d/1xmPlrr1QbdSIKvl1dWUl9K4PjAfSL9oeMr_37QVzcxc/edit?usp=sharing"",""สระบุรี!Q338"")+IMPORTRANGE(""https://docs.google.com/spreadsheets/d/1j51vR6CYVGhABJpv6tkstgok82RLpXieLzW1yOY5rHw/edi"&amp;"t?usp=sharing"",""สิงห์บุรี!Q338"")+IMPORTRANGE(""https://docs.google.com/spreadsheets/d/1H1EalTWKUSzO4Z1-1CwzoDUaVffgrThEBe2sl74kKG0/edit?usp=sharing"",""สุพรรณบุรี!Q338"")+IMPORTRANGE(""https://docs.google.com/spreadsheets/d/1BmIruG_sIrJLYao_Pdr7zVArWsf"&amp;"oBt2692TMi6x_854/edit?usp=sharing"",""อ่างทอง!Q338"")"),0)</f>
        <v>0</v>
      </c>
      <c r="R338" s="72">
        <f ca="1">IFERROR(__xludf.DUMMYFUNCTION("IMPORTRANGE(""https://docs.google.com/spreadsheets/d/13wPX838HrBrQMCywv1BsuMkt4PEKTChp52zj44s2izQ/edit?usp=sharing"",""กาญจนบุรี!R338"")+IMPORTRANGE(""https://docs.google.com/spreadsheets/d/1ddFKvqj1W1NEiWytbGlB1zMx_ykJDVtmfEQ-6-lIUBA/edit?usp=sharing"","&amp;"""จันทบุรี!R338"")+IMPORTRANGE(""https://docs.google.com/spreadsheets/d/1T1PQvRODqOBZk8BRht_U031fIS1beLA0Ub2CEytj2q0/edit?usp=sharing"",""ฉะเชิงเทรา!R338"")+IMPORTRANGE(""https://docs.google.com/spreadsheets/d/11tr1B-Bhyr79v2bkwVh5h_fR-PStkgjlZtkrZpYurG0/"&amp;"edit?usp=sharing"",""ชลบุรี!R338"")+IMPORTRANGE(""https://docs.google.com/spreadsheets/d/1hh-FVnSX0vozXhGluamEcS54Dw9_zqW0N7qJUWgJ0Sw/edit?usp=sharing"",""ชัยนาท!R338"")+IMPORTRANGE(""https://docs.google.com/spreadsheets/d/1jkqa6GXxSacMcY1eN8AHjMNJ_7dDXMJ"&amp;"VRLDlaFSOdPM/edit?usp=sharing"",""ตราด!R338"")+IMPORTRANGE(""https://docs.google.com/spreadsheets/d/18hSgUJ3VwClqi_qtULmmW3cLr0oe3OKaSYoKzdpTsYQ/edit?usp=sharing"",""นครนายก!R338"")+IMPORTRANGE(""https://docs.google.com/spreadsheets/d/1YTZo6WM2dQ6Ix6FSdnL"&amp;"5P7uVnVKu40sxZu975tgG10E/edit?usp=sharing"",""นครปฐม!R338"")+IMPORTRANGE(""https://docs.google.com/spreadsheets/d/1OYoGg4WDg5RIzwGeB10padOxJF9E_Vljuvvct_M7RDo/edit?usp=sharing"",""ปทุมธานี!R338"")+IMPORTRANGE(""https://docs.google.com/spreadsheets/d/1GbCI"&amp;"E4D4wk9FUozzqk7SxfDMxDVBwVmI5zcaVUSzKAc/edit?usp=sharing"",""ประจวบคีรีขันธ์!R338"")+IMPORTRANGE(""https://docs.google.com/spreadsheets/d/1vVf6wykvW_lAyu7Yo9L4hUTqHqIeP_qcVuxCtosJEbg/edit?usp=sharing"",""ปราจีนบุรี!R338"")+IMPORTRANGE(""https://docs.googl"&amp;"e.com/spreadsheets/d/1BIDqLLg5jk3v59G8NlR8rk5xfQDKne0sAvZHSj7TI6I/edit?usp=sharing"",""พระนครศรีอยุธยา!R338"")+IMPORTRANGE(""https://docs.google.com/spreadsheets/d/1YXvxf8Yu6_rV4hTBrwMqAcAnv6DfhUxh5emyM3CJp_w/edit?usp=sharing"",""เพชรบุรี!R338"")+IMPORTRA"&amp;"NGE(""https://docs.google.com/spreadsheets/d/19KBlQQs7uwvsao6t2n-KvW3Ax8J8uRRfZPq1zPbXgKc/edit?usp=sharing"",""ระยอง!R338"")+IMPORTRANGE(""https://docs.google.com/spreadsheets/d/1jQ6P4QcrGM89YfqcC_PxOHGCMq5ezhucwJd8ci-NHng/edit?usp=sharing"",""ราชบุรี!R33"&amp;"8"")+IMPORTRANGE(""https://docs.google.com/spreadsheets/d/1lufeA2cfFqM-elVq2hznhDzC6Pr7wkJ9ZG_sYNGCMCU/edit?usp=sharing"",""ลพบุรี!R338"")+IMPORTRANGE(""https://docs.google.com/spreadsheets/d/10oOiF7loTyfsTkbd4MpaIm0HQ9SwB7IYHdIUvt-U1Uc/edit?usp=sharing"""&amp;",""สระแก้ว!R338"")+IMPORTRANGE(""https://docs.google.com/spreadsheets/d/1xmPlrr1QbdSIKvl1dWUl9K4PjAfSL9oeMr_37QVzcxc/edit?usp=sharing"",""สระบุรี!R338"")+IMPORTRANGE(""https://docs.google.com/spreadsheets/d/1j51vR6CYVGhABJpv6tkstgok82RLpXieLzW1yOY5rHw/edi"&amp;"t?usp=sharing"",""สิงห์บุรี!R338"")+IMPORTRANGE(""https://docs.google.com/spreadsheets/d/1H1EalTWKUSzO4Z1-1CwzoDUaVffgrThEBe2sl74kKG0/edit?usp=sharing"",""สุพรรณบุรี!R338"")+IMPORTRANGE(""https://docs.google.com/spreadsheets/d/1BmIruG_sIrJLYao_Pdr7zVArWsf"&amp;"oBt2692TMi6x_854/edit?usp=sharing"",""อ่างทอง!R338"")"),0)</f>
        <v>0</v>
      </c>
      <c r="S338" s="72">
        <f ca="1">IFERROR(__xludf.DUMMYFUNCTION("IMPORTRANGE(""https://docs.google.com/spreadsheets/d/13wPX838HrBrQMCywv1BsuMkt4PEKTChp52zj44s2izQ/edit?usp=sharing"",""กาญจนบุรี!S338"")+IMPORTRANGE(""https://docs.google.com/spreadsheets/d/1ddFKvqj1W1NEiWytbGlB1zMx_ykJDVtmfEQ-6-lIUBA/edit?usp=sharing"","&amp;"""จันทบุรี!S338"")+IMPORTRANGE(""https://docs.google.com/spreadsheets/d/1T1PQvRODqOBZk8BRht_U031fIS1beLA0Ub2CEytj2q0/edit?usp=sharing"",""ฉะเชิงเทรา!S338"")+IMPORTRANGE(""https://docs.google.com/spreadsheets/d/11tr1B-Bhyr79v2bkwVh5h_fR-PStkgjlZtkrZpYurG0/"&amp;"edit?usp=sharing"",""ชลบุรี!S338"")+IMPORTRANGE(""https://docs.google.com/spreadsheets/d/1hh-FVnSX0vozXhGluamEcS54Dw9_zqW0N7qJUWgJ0Sw/edit?usp=sharing"",""ชัยนาท!S338"")+IMPORTRANGE(""https://docs.google.com/spreadsheets/d/1jkqa6GXxSacMcY1eN8AHjMNJ_7dDXMJ"&amp;"VRLDlaFSOdPM/edit?usp=sharing"",""ตราด!S338"")+IMPORTRANGE(""https://docs.google.com/spreadsheets/d/18hSgUJ3VwClqi_qtULmmW3cLr0oe3OKaSYoKzdpTsYQ/edit?usp=sharing"",""นครนายก!S338"")+IMPORTRANGE(""https://docs.google.com/spreadsheets/d/1YTZo6WM2dQ6Ix6FSdnL"&amp;"5P7uVnVKu40sxZu975tgG10E/edit?usp=sharing"",""นครปฐม!S338"")+IMPORTRANGE(""https://docs.google.com/spreadsheets/d/1OYoGg4WDg5RIzwGeB10padOxJF9E_Vljuvvct_M7RDo/edit?usp=sharing"",""ปทุมธานี!S338"")+IMPORTRANGE(""https://docs.google.com/spreadsheets/d/1GbCI"&amp;"E4D4wk9FUozzqk7SxfDMxDVBwVmI5zcaVUSzKAc/edit?usp=sharing"",""ประจวบคีรีขันธ์!S338"")+IMPORTRANGE(""https://docs.google.com/spreadsheets/d/1vVf6wykvW_lAyu7Yo9L4hUTqHqIeP_qcVuxCtosJEbg/edit?usp=sharing"",""ปราจีนบุรี!S338"")+IMPORTRANGE(""https://docs.googl"&amp;"e.com/spreadsheets/d/1BIDqLLg5jk3v59G8NlR8rk5xfQDKne0sAvZHSj7TI6I/edit?usp=sharing"",""พระนครศรีอยุธยา!S338"")+IMPORTRANGE(""https://docs.google.com/spreadsheets/d/1YXvxf8Yu6_rV4hTBrwMqAcAnv6DfhUxh5emyM3CJp_w/edit?usp=sharing"",""เพชรบุรี!S338"")+IMPORTRA"&amp;"NGE(""https://docs.google.com/spreadsheets/d/19KBlQQs7uwvsao6t2n-KvW3Ax8J8uRRfZPq1zPbXgKc/edit?usp=sharing"",""ระยอง!S338"")+IMPORTRANGE(""https://docs.google.com/spreadsheets/d/1jQ6P4QcrGM89YfqcC_PxOHGCMq5ezhucwJd8ci-NHng/edit?usp=sharing"",""ราชบุรี!S33"&amp;"8"")+IMPORTRANGE(""https://docs.google.com/spreadsheets/d/1lufeA2cfFqM-elVq2hznhDzC6Pr7wkJ9ZG_sYNGCMCU/edit?usp=sharing"",""ลพบุรี!S338"")+IMPORTRANGE(""https://docs.google.com/spreadsheets/d/10oOiF7loTyfsTkbd4MpaIm0HQ9SwB7IYHdIUvt-U1Uc/edit?usp=sharing"""&amp;",""สระแก้ว!S338"")+IMPORTRANGE(""https://docs.google.com/spreadsheets/d/1xmPlrr1QbdSIKvl1dWUl9K4PjAfSL9oeMr_37QVzcxc/edit?usp=sharing"",""สระบุรี!S338"")+IMPORTRANGE(""https://docs.google.com/spreadsheets/d/1j51vR6CYVGhABJpv6tkstgok82RLpXieLzW1yOY5rHw/edi"&amp;"t?usp=sharing"",""สิงห์บุรี!S338"")+IMPORTRANGE(""https://docs.google.com/spreadsheets/d/1H1EalTWKUSzO4Z1-1CwzoDUaVffgrThEBe2sl74kKG0/edit?usp=sharing"",""สุพรรณบุรี!S338"")+IMPORTRANGE(""https://docs.google.com/spreadsheets/d/1BmIruG_sIrJLYao_Pdr7zVArWsf"&amp;"oBt2692TMi6x_854/edit?usp=sharing"",""อ่างทอง!S338"")"),0)</f>
        <v>0</v>
      </c>
      <c r="T338" s="130">
        <f t="shared" ca="1" si="248"/>
        <v>0</v>
      </c>
      <c r="U338" s="130">
        <f t="shared" ca="1" si="249"/>
        <v>0</v>
      </c>
    </row>
    <row r="339" spans="1:21" ht="18.75" x14ac:dyDescent="0.25">
      <c r="A339" s="207"/>
      <c r="B339" s="65"/>
      <c r="C339" s="65"/>
      <c r="D339" s="66" t="s">
        <v>23</v>
      </c>
      <c r="E339" s="65"/>
      <c r="F339" s="65"/>
      <c r="G339" s="67"/>
      <c r="H339" s="219" t="s">
        <v>14</v>
      </c>
      <c r="I339" s="217"/>
      <c r="J339" s="217"/>
      <c r="K339" s="218"/>
      <c r="L339" s="86">
        <f t="shared" ref="L339:N339" ca="1" si="256">L340+L341</f>
        <v>0</v>
      </c>
      <c r="M339" s="86">
        <f t="shared" ca="1" si="256"/>
        <v>0</v>
      </c>
      <c r="N339" s="86">
        <f t="shared" ca="1" si="256"/>
        <v>0</v>
      </c>
      <c r="O339" s="86">
        <f t="shared" ca="1" si="245"/>
        <v>0</v>
      </c>
      <c r="P339" s="86">
        <f t="shared" ca="1" si="246"/>
        <v>0</v>
      </c>
      <c r="Q339" s="129">
        <f t="shared" ref="Q339:S339" ca="1" si="257">Q340+Q341</f>
        <v>0</v>
      </c>
      <c r="R339" s="130">
        <f t="shared" ca="1" si="257"/>
        <v>0</v>
      </c>
      <c r="S339" s="130">
        <f t="shared" ca="1" si="257"/>
        <v>0</v>
      </c>
      <c r="T339" s="130">
        <f t="shared" ca="1" si="248"/>
        <v>0</v>
      </c>
      <c r="U339" s="130">
        <f t="shared" ca="1" si="249"/>
        <v>0</v>
      </c>
    </row>
    <row r="340" spans="1:21" ht="18.75" hidden="1" x14ac:dyDescent="0.25">
      <c r="A340" s="207"/>
      <c r="B340" s="65"/>
      <c r="C340" s="65"/>
      <c r="D340" s="65"/>
      <c r="E340" s="73" t="s">
        <v>20</v>
      </c>
      <c r="F340" s="65"/>
      <c r="G340" s="67"/>
      <c r="H340" s="216" t="s">
        <v>14</v>
      </c>
      <c r="I340" s="217"/>
      <c r="J340" s="217"/>
      <c r="K340" s="218"/>
      <c r="L340" s="86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0" s="86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0" s="86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0" s="86">
        <f t="shared" ca="1" si="245"/>
        <v>0</v>
      </c>
      <c r="P340" s="86">
        <f t="shared" ca="1" si="246"/>
        <v>0</v>
      </c>
      <c r="Q340" s="74">
        <f ca="1">IFERROR(__xludf.DUMMYFUNCTION("IMPORTRANGE(""https://docs.google.com/spreadsheets/d/13wPX838HrBrQMCywv1BsuMkt4PEKTChp52zj44s2izQ/edit?usp=sharing"",""กาญจนบุรี!Q340"")+IMPORTRANGE(""https://docs.google.com/spreadsheets/d/1ddFKvqj1W1NEiWytbGlB1zMx_ykJDVtmfEQ-6-lIUBA/edit?usp=sharing"","&amp;"""จันทบุรี!Q340"")+IMPORTRANGE(""https://docs.google.com/spreadsheets/d/1T1PQvRODqOBZk8BRht_U031fIS1beLA0Ub2CEytj2q0/edit?usp=sharing"",""ฉะเชิงเทรา!Q340"")+IMPORTRANGE(""https://docs.google.com/spreadsheets/d/11tr1B-Bhyr79v2bkwVh5h_fR-PStkgjlZtkrZpYurG0/"&amp;"edit?usp=sharing"",""ชลบุรี!Q340"")+IMPORTRANGE(""https://docs.google.com/spreadsheets/d/1hh-FVnSX0vozXhGluamEcS54Dw9_zqW0N7qJUWgJ0Sw/edit?usp=sharing"",""ชัยนาท!Q340"")+IMPORTRANGE(""https://docs.google.com/spreadsheets/d/1jkqa6GXxSacMcY1eN8AHjMNJ_7dDXMJ"&amp;"VRLDlaFSOdPM/edit?usp=sharing"",""ตราด!Q340"")+IMPORTRANGE(""https://docs.google.com/spreadsheets/d/18hSgUJ3VwClqi_qtULmmW3cLr0oe3OKaSYoKzdpTsYQ/edit?usp=sharing"",""นครนายก!Q340"")+IMPORTRANGE(""https://docs.google.com/spreadsheets/d/1YTZo6WM2dQ6Ix6FSdnL"&amp;"5P7uVnVKu40sxZu975tgG10E/edit?usp=sharing"",""นครปฐม!Q340"")+IMPORTRANGE(""https://docs.google.com/spreadsheets/d/1OYoGg4WDg5RIzwGeB10padOxJF9E_Vljuvvct_M7RDo/edit?usp=sharing"",""ปทุมธานี!Q340"")+IMPORTRANGE(""https://docs.google.com/spreadsheets/d/1GbCI"&amp;"E4D4wk9FUozzqk7SxfDMxDVBwVmI5zcaVUSzKAc/edit?usp=sharing"",""ประจวบคีรีขันธ์!Q340"")+IMPORTRANGE(""https://docs.google.com/spreadsheets/d/1vVf6wykvW_lAyu7Yo9L4hUTqHqIeP_qcVuxCtosJEbg/edit?usp=sharing"",""ปราจีนบุรี!Q340"")+IMPORTRANGE(""https://docs.googl"&amp;"e.com/spreadsheets/d/1BIDqLLg5jk3v59G8NlR8rk5xfQDKne0sAvZHSj7TI6I/edit?usp=sharing"",""พระนครศรีอยุธยา!Q340"")+IMPORTRANGE(""https://docs.google.com/spreadsheets/d/1YXvxf8Yu6_rV4hTBrwMqAcAnv6DfhUxh5emyM3CJp_w/edit?usp=sharing"",""เพชรบุรี!Q340"")+IMPORTRA"&amp;"NGE(""https://docs.google.com/spreadsheets/d/19KBlQQs7uwvsao6t2n-KvW3Ax8J8uRRfZPq1zPbXgKc/edit?usp=sharing"",""ระยอง!Q340"")+IMPORTRANGE(""https://docs.google.com/spreadsheets/d/1jQ6P4QcrGM89YfqcC_PxOHGCMq5ezhucwJd8ci-NHng/edit?usp=sharing"",""ราชบุรี!Q34"&amp;"0"")+IMPORTRANGE(""https://docs.google.com/spreadsheets/d/1lufeA2cfFqM-elVq2hznhDzC6Pr7wkJ9ZG_sYNGCMCU/edit?usp=sharing"",""ลพบุรี!Q340"")+IMPORTRANGE(""https://docs.google.com/spreadsheets/d/10oOiF7loTyfsTkbd4MpaIm0HQ9SwB7IYHdIUvt-U1Uc/edit?usp=sharing"""&amp;",""สระแก้ว!Q340"")+IMPORTRANGE(""https://docs.google.com/spreadsheets/d/1xmPlrr1QbdSIKvl1dWUl9K4PjAfSL9oeMr_37QVzcxc/edit?usp=sharing"",""สระบุรี!Q340"")+IMPORTRANGE(""https://docs.google.com/spreadsheets/d/1j51vR6CYVGhABJpv6tkstgok82RLpXieLzW1yOY5rHw/edi"&amp;"t?usp=sharing"",""สิงห์บุรี!Q340"")+IMPORTRANGE(""https://docs.google.com/spreadsheets/d/1H1EalTWKUSzO4Z1-1CwzoDUaVffgrThEBe2sl74kKG0/edit?usp=sharing"",""สุพรรณบุรี!Q340"")+IMPORTRANGE(""https://docs.google.com/spreadsheets/d/1BmIruG_sIrJLYao_Pdr7zVArWsf"&amp;"oBt2692TMi6x_854/edit?usp=sharing"",""อ่างทอง!Q340"")"),0)</f>
        <v>0</v>
      </c>
      <c r="R340" s="75">
        <f ca="1">IFERROR(__xludf.DUMMYFUNCTION("IMPORTRANGE(""https://docs.google.com/spreadsheets/d/13wPX838HrBrQMCywv1BsuMkt4PEKTChp52zj44s2izQ/edit?usp=sharing"",""กาญจนบุรี!R340"")+IMPORTRANGE(""https://docs.google.com/spreadsheets/d/1ddFKvqj1W1NEiWytbGlB1zMx_ykJDVtmfEQ-6-lIUBA/edit?usp=sharing"","&amp;"""จันทบุรี!R340"")+IMPORTRANGE(""https://docs.google.com/spreadsheets/d/1T1PQvRODqOBZk8BRht_U031fIS1beLA0Ub2CEytj2q0/edit?usp=sharing"",""ฉะเชิงเทรา!R340"")+IMPORTRANGE(""https://docs.google.com/spreadsheets/d/11tr1B-Bhyr79v2bkwVh5h_fR-PStkgjlZtkrZpYurG0/"&amp;"edit?usp=sharing"",""ชลบุรี!R340"")+IMPORTRANGE(""https://docs.google.com/spreadsheets/d/1hh-FVnSX0vozXhGluamEcS54Dw9_zqW0N7qJUWgJ0Sw/edit?usp=sharing"",""ชัยนาท!R340"")+IMPORTRANGE(""https://docs.google.com/spreadsheets/d/1jkqa6GXxSacMcY1eN8AHjMNJ_7dDXMJ"&amp;"VRLDlaFSOdPM/edit?usp=sharing"",""ตราด!R340"")+IMPORTRANGE(""https://docs.google.com/spreadsheets/d/18hSgUJ3VwClqi_qtULmmW3cLr0oe3OKaSYoKzdpTsYQ/edit?usp=sharing"",""นครนายก!R340"")+IMPORTRANGE(""https://docs.google.com/spreadsheets/d/1YTZo6WM2dQ6Ix6FSdnL"&amp;"5P7uVnVKu40sxZu975tgG10E/edit?usp=sharing"",""นครปฐม!R340"")+IMPORTRANGE(""https://docs.google.com/spreadsheets/d/1OYoGg4WDg5RIzwGeB10padOxJF9E_Vljuvvct_M7RDo/edit?usp=sharing"",""ปทุมธานี!R340"")+IMPORTRANGE(""https://docs.google.com/spreadsheets/d/1GbCI"&amp;"E4D4wk9FUozzqk7SxfDMxDVBwVmI5zcaVUSzKAc/edit?usp=sharing"",""ประจวบคีรีขันธ์!R340"")+IMPORTRANGE(""https://docs.google.com/spreadsheets/d/1vVf6wykvW_lAyu7Yo9L4hUTqHqIeP_qcVuxCtosJEbg/edit?usp=sharing"",""ปราจีนบุรี!R340"")+IMPORTRANGE(""https://docs.googl"&amp;"e.com/spreadsheets/d/1BIDqLLg5jk3v59G8NlR8rk5xfQDKne0sAvZHSj7TI6I/edit?usp=sharing"",""พระนครศรีอยุธยา!R340"")+IMPORTRANGE(""https://docs.google.com/spreadsheets/d/1YXvxf8Yu6_rV4hTBrwMqAcAnv6DfhUxh5emyM3CJp_w/edit?usp=sharing"",""เพชรบุรี!R340"")+IMPORTRA"&amp;"NGE(""https://docs.google.com/spreadsheets/d/19KBlQQs7uwvsao6t2n-KvW3Ax8J8uRRfZPq1zPbXgKc/edit?usp=sharing"",""ระยอง!R340"")+IMPORTRANGE(""https://docs.google.com/spreadsheets/d/1jQ6P4QcrGM89YfqcC_PxOHGCMq5ezhucwJd8ci-NHng/edit?usp=sharing"",""ราชบุรี!R34"&amp;"0"")+IMPORTRANGE(""https://docs.google.com/spreadsheets/d/1lufeA2cfFqM-elVq2hznhDzC6Pr7wkJ9ZG_sYNGCMCU/edit?usp=sharing"",""ลพบุรี!R340"")+IMPORTRANGE(""https://docs.google.com/spreadsheets/d/10oOiF7loTyfsTkbd4MpaIm0HQ9SwB7IYHdIUvt-U1Uc/edit?usp=sharing"""&amp;",""สระแก้ว!R340"")+IMPORTRANGE(""https://docs.google.com/spreadsheets/d/1xmPlrr1QbdSIKvl1dWUl9K4PjAfSL9oeMr_37QVzcxc/edit?usp=sharing"",""สระบุรี!R340"")+IMPORTRANGE(""https://docs.google.com/spreadsheets/d/1j51vR6CYVGhABJpv6tkstgok82RLpXieLzW1yOY5rHw/edi"&amp;"t?usp=sharing"",""สิงห์บุรี!R340"")+IMPORTRANGE(""https://docs.google.com/spreadsheets/d/1H1EalTWKUSzO4Z1-1CwzoDUaVffgrThEBe2sl74kKG0/edit?usp=sharing"",""สุพรรณบุรี!R340"")+IMPORTRANGE(""https://docs.google.com/spreadsheets/d/1BmIruG_sIrJLYao_Pdr7zVArWsf"&amp;"oBt2692TMi6x_854/edit?usp=sharing"",""อ่างทอง!R340"")"),0)</f>
        <v>0</v>
      </c>
      <c r="S340" s="75">
        <f ca="1">IFERROR(__xludf.DUMMYFUNCTION("IMPORTRANGE(""https://docs.google.com/spreadsheets/d/13wPX838HrBrQMCywv1BsuMkt4PEKTChp52zj44s2izQ/edit?usp=sharing"",""กาญจนบุรี!S340"")+IMPORTRANGE(""https://docs.google.com/spreadsheets/d/1ddFKvqj1W1NEiWytbGlB1zMx_ykJDVtmfEQ-6-lIUBA/edit?usp=sharing"","&amp;"""จันทบุรี!S340"")+IMPORTRANGE(""https://docs.google.com/spreadsheets/d/1T1PQvRODqOBZk8BRht_U031fIS1beLA0Ub2CEytj2q0/edit?usp=sharing"",""ฉะเชิงเทรา!S340"")+IMPORTRANGE(""https://docs.google.com/spreadsheets/d/11tr1B-Bhyr79v2bkwVh5h_fR-PStkgjlZtkrZpYurG0/"&amp;"edit?usp=sharing"",""ชลบุรี!S340"")+IMPORTRANGE(""https://docs.google.com/spreadsheets/d/1hh-FVnSX0vozXhGluamEcS54Dw9_zqW0N7qJUWgJ0Sw/edit?usp=sharing"",""ชัยนาท!S340"")+IMPORTRANGE(""https://docs.google.com/spreadsheets/d/1jkqa6GXxSacMcY1eN8AHjMNJ_7dDXMJ"&amp;"VRLDlaFSOdPM/edit?usp=sharing"",""ตราด!S340"")+IMPORTRANGE(""https://docs.google.com/spreadsheets/d/18hSgUJ3VwClqi_qtULmmW3cLr0oe3OKaSYoKzdpTsYQ/edit?usp=sharing"",""นครนายก!S340"")+IMPORTRANGE(""https://docs.google.com/spreadsheets/d/1YTZo6WM2dQ6Ix6FSdnL"&amp;"5P7uVnVKu40sxZu975tgG10E/edit?usp=sharing"",""นครปฐม!S340"")+IMPORTRANGE(""https://docs.google.com/spreadsheets/d/1OYoGg4WDg5RIzwGeB10padOxJF9E_Vljuvvct_M7RDo/edit?usp=sharing"",""ปทุมธานี!S340"")+IMPORTRANGE(""https://docs.google.com/spreadsheets/d/1GbCI"&amp;"E4D4wk9FUozzqk7SxfDMxDVBwVmI5zcaVUSzKAc/edit?usp=sharing"",""ประจวบคีรีขันธ์!S340"")+IMPORTRANGE(""https://docs.google.com/spreadsheets/d/1vVf6wykvW_lAyu7Yo9L4hUTqHqIeP_qcVuxCtosJEbg/edit?usp=sharing"",""ปราจีนบุรี!S340"")+IMPORTRANGE(""https://docs.googl"&amp;"e.com/spreadsheets/d/1BIDqLLg5jk3v59G8NlR8rk5xfQDKne0sAvZHSj7TI6I/edit?usp=sharing"",""พระนครศรีอยุธยา!S340"")+IMPORTRANGE(""https://docs.google.com/spreadsheets/d/1YXvxf8Yu6_rV4hTBrwMqAcAnv6DfhUxh5emyM3CJp_w/edit?usp=sharing"",""เพชรบุรี!S340"")+IMPORTRA"&amp;"NGE(""https://docs.google.com/spreadsheets/d/19KBlQQs7uwvsao6t2n-KvW3Ax8J8uRRfZPq1zPbXgKc/edit?usp=sharing"",""ระยอง!S340"")+IMPORTRANGE(""https://docs.google.com/spreadsheets/d/1jQ6P4QcrGM89YfqcC_PxOHGCMq5ezhucwJd8ci-NHng/edit?usp=sharing"",""ราชบุรี!S34"&amp;"0"")+IMPORTRANGE(""https://docs.google.com/spreadsheets/d/1lufeA2cfFqM-elVq2hznhDzC6Pr7wkJ9ZG_sYNGCMCU/edit?usp=sharing"",""ลพบุรี!S340"")+IMPORTRANGE(""https://docs.google.com/spreadsheets/d/10oOiF7loTyfsTkbd4MpaIm0HQ9SwB7IYHdIUvt-U1Uc/edit?usp=sharing"""&amp;",""สระแก้ว!S340"")+IMPORTRANGE(""https://docs.google.com/spreadsheets/d/1xmPlrr1QbdSIKvl1dWUl9K4PjAfSL9oeMr_37QVzcxc/edit?usp=sharing"",""สระบุรี!S340"")+IMPORTRANGE(""https://docs.google.com/spreadsheets/d/1j51vR6CYVGhABJpv6tkstgok82RLpXieLzW1yOY5rHw/edi"&amp;"t?usp=sharing"",""สิงห์บุรี!S340"")+IMPORTRANGE(""https://docs.google.com/spreadsheets/d/1H1EalTWKUSzO4Z1-1CwzoDUaVffgrThEBe2sl74kKG0/edit?usp=sharing"",""สุพรรณบุรี!S340"")+IMPORTRANGE(""https://docs.google.com/spreadsheets/d/1BmIruG_sIrJLYao_Pdr7zVArWsf"&amp;"oBt2692TMi6x_854/edit?usp=sharing"",""อ่างทอง!S340"")"),0)</f>
        <v>0</v>
      </c>
      <c r="T340" s="131">
        <f t="shared" ca="1" si="248"/>
        <v>0</v>
      </c>
      <c r="U340" s="131">
        <f t="shared" ca="1" si="249"/>
        <v>0</v>
      </c>
    </row>
    <row r="341" spans="1:21" ht="18.75" hidden="1" x14ac:dyDescent="0.25">
      <c r="A341" s="207"/>
      <c r="B341" s="65"/>
      <c r="C341" s="65"/>
      <c r="D341" s="65"/>
      <c r="E341" s="73" t="s">
        <v>21</v>
      </c>
      <c r="F341" s="65"/>
      <c r="G341" s="67"/>
      <c r="H341" s="219" t="s">
        <v>14</v>
      </c>
      <c r="I341" s="217"/>
      <c r="J341" s="217"/>
      <c r="K341" s="218"/>
      <c r="L341" s="86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1" s="86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1" s="86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1" s="86">
        <f t="shared" ca="1" si="245"/>
        <v>0</v>
      </c>
      <c r="P341" s="86">
        <f t="shared" ca="1" si="246"/>
        <v>0</v>
      </c>
      <c r="Q341" s="71">
        <f ca="1">IFERROR(__xludf.DUMMYFUNCTION("IMPORTRANGE(""https://docs.google.com/spreadsheets/d/13wPX838HrBrQMCywv1BsuMkt4PEKTChp52zj44s2izQ/edit?usp=sharing"",""กาญจนบุรี!Q341"")+IMPORTRANGE(""https://docs.google.com/spreadsheets/d/1ddFKvqj1W1NEiWytbGlB1zMx_ykJDVtmfEQ-6-lIUBA/edit?usp=sharing"","&amp;"""จันทบุรี!Q341"")+IMPORTRANGE(""https://docs.google.com/spreadsheets/d/1T1PQvRODqOBZk8BRht_U031fIS1beLA0Ub2CEytj2q0/edit?usp=sharing"",""ฉะเชิงเทรา!Q341"")+IMPORTRANGE(""https://docs.google.com/spreadsheets/d/11tr1B-Bhyr79v2bkwVh5h_fR-PStkgjlZtkrZpYurG0/"&amp;"edit?usp=sharing"",""ชลบุรี!Q341"")+IMPORTRANGE(""https://docs.google.com/spreadsheets/d/1hh-FVnSX0vozXhGluamEcS54Dw9_zqW0N7qJUWgJ0Sw/edit?usp=sharing"",""ชัยนาท!Q341"")+IMPORTRANGE(""https://docs.google.com/spreadsheets/d/1jkqa6GXxSacMcY1eN8AHjMNJ_7dDXMJ"&amp;"VRLDlaFSOdPM/edit?usp=sharing"",""ตราด!Q341"")+IMPORTRANGE(""https://docs.google.com/spreadsheets/d/18hSgUJ3VwClqi_qtULmmW3cLr0oe3OKaSYoKzdpTsYQ/edit?usp=sharing"",""นครนายก!Q341"")+IMPORTRANGE(""https://docs.google.com/spreadsheets/d/1YTZo6WM2dQ6Ix6FSdnL"&amp;"5P7uVnVKu40sxZu975tgG10E/edit?usp=sharing"",""นครปฐม!Q341"")+IMPORTRANGE(""https://docs.google.com/spreadsheets/d/1OYoGg4WDg5RIzwGeB10padOxJF9E_Vljuvvct_M7RDo/edit?usp=sharing"",""ปทุมธานี!Q341"")+IMPORTRANGE(""https://docs.google.com/spreadsheets/d/1GbCI"&amp;"E4D4wk9FUozzqk7SxfDMxDVBwVmI5zcaVUSzKAc/edit?usp=sharing"",""ประจวบคีรีขันธ์!Q341"")+IMPORTRANGE(""https://docs.google.com/spreadsheets/d/1vVf6wykvW_lAyu7Yo9L4hUTqHqIeP_qcVuxCtosJEbg/edit?usp=sharing"",""ปราจีนบุรี!Q341"")+IMPORTRANGE(""https://docs.googl"&amp;"e.com/spreadsheets/d/1BIDqLLg5jk3v59G8NlR8rk5xfQDKne0sAvZHSj7TI6I/edit?usp=sharing"",""พระนครศรีอยุธยา!Q341"")+IMPORTRANGE(""https://docs.google.com/spreadsheets/d/1YXvxf8Yu6_rV4hTBrwMqAcAnv6DfhUxh5emyM3CJp_w/edit?usp=sharing"",""เพชรบุรี!Q341"")+IMPORTRA"&amp;"NGE(""https://docs.google.com/spreadsheets/d/19KBlQQs7uwvsao6t2n-KvW3Ax8J8uRRfZPq1zPbXgKc/edit?usp=sharing"",""ระยอง!Q341"")+IMPORTRANGE(""https://docs.google.com/spreadsheets/d/1jQ6P4QcrGM89YfqcC_PxOHGCMq5ezhucwJd8ci-NHng/edit?usp=sharing"",""ราชบุรี!Q34"&amp;"1"")+IMPORTRANGE(""https://docs.google.com/spreadsheets/d/1lufeA2cfFqM-elVq2hznhDzC6Pr7wkJ9ZG_sYNGCMCU/edit?usp=sharing"",""ลพบุรี!Q341"")+IMPORTRANGE(""https://docs.google.com/spreadsheets/d/10oOiF7loTyfsTkbd4MpaIm0HQ9SwB7IYHdIUvt-U1Uc/edit?usp=sharing"""&amp;",""สระแก้ว!Q341"")+IMPORTRANGE(""https://docs.google.com/spreadsheets/d/1xmPlrr1QbdSIKvl1dWUl9K4PjAfSL9oeMr_37QVzcxc/edit?usp=sharing"",""สระบุรี!Q341"")+IMPORTRANGE(""https://docs.google.com/spreadsheets/d/1j51vR6CYVGhABJpv6tkstgok82RLpXieLzW1yOY5rHw/edi"&amp;"t?usp=sharing"",""สิงห์บุรี!Q341"")+IMPORTRANGE(""https://docs.google.com/spreadsheets/d/1H1EalTWKUSzO4Z1-1CwzoDUaVffgrThEBe2sl74kKG0/edit?usp=sharing"",""สุพรรณบุรี!Q341"")+IMPORTRANGE(""https://docs.google.com/spreadsheets/d/1BmIruG_sIrJLYao_Pdr7zVArWsf"&amp;"oBt2692TMi6x_854/edit?usp=sharing"",""อ่างทอง!Q341"")"),0)</f>
        <v>0</v>
      </c>
      <c r="R341" s="72">
        <f ca="1">IFERROR(__xludf.DUMMYFUNCTION("IMPORTRANGE(""https://docs.google.com/spreadsheets/d/13wPX838HrBrQMCywv1BsuMkt4PEKTChp52zj44s2izQ/edit?usp=sharing"",""กาญจนบุรี!R341"")+IMPORTRANGE(""https://docs.google.com/spreadsheets/d/1ddFKvqj1W1NEiWytbGlB1zMx_ykJDVtmfEQ-6-lIUBA/edit?usp=sharing"","&amp;"""จันทบุรี!R341"")+IMPORTRANGE(""https://docs.google.com/spreadsheets/d/1T1PQvRODqOBZk8BRht_U031fIS1beLA0Ub2CEytj2q0/edit?usp=sharing"",""ฉะเชิงเทรา!R341"")+IMPORTRANGE(""https://docs.google.com/spreadsheets/d/11tr1B-Bhyr79v2bkwVh5h_fR-PStkgjlZtkrZpYurG0/"&amp;"edit?usp=sharing"",""ชลบุรี!R341"")+IMPORTRANGE(""https://docs.google.com/spreadsheets/d/1hh-FVnSX0vozXhGluamEcS54Dw9_zqW0N7qJUWgJ0Sw/edit?usp=sharing"",""ชัยนาท!R341"")+IMPORTRANGE(""https://docs.google.com/spreadsheets/d/1jkqa6GXxSacMcY1eN8AHjMNJ_7dDXMJ"&amp;"VRLDlaFSOdPM/edit?usp=sharing"",""ตราด!R341"")+IMPORTRANGE(""https://docs.google.com/spreadsheets/d/18hSgUJ3VwClqi_qtULmmW3cLr0oe3OKaSYoKzdpTsYQ/edit?usp=sharing"",""นครนายก!R341"")+IMPORTRANGE(""https://docs.google.com/spreadsheets/d/1YTZo6WM2dQ6Ix6FSdnL"&amp;"5P7uVnVKu40sxZu975tgG10E/edit?usp=sharing"",""นครปฐม!R341"")+IMPORTRANGE(""https://docs.google.com/spreadsheets/d/1OYoGg4WDg5RIzwGeB10padOxJF9E_Vljuvvct_M7RDo/edit?usp=sharing"",""ปทุมธานี!R341"")+IMPORTRANGE(""https://docs.google.com/spreadsheets/d/1GbCI"&amp;"E4D4wk9FUozzqk7SxfDMxDVBwVmI5zcaVUSzKAc/edit?usp=sharing"",""ประจวบคีรีขันธ์!R341"")+IMPORTRANGE(""https://docs.google.com/spreadsheets/d/1vVf6wykvW_lAyu7Yo9L4hUTqHqIeP_qcVuxCtosJEbg/edit?usp=sharing"",""ปราจีนบุรี!R341"")+IMPORTRANGE(""https://docs.googl"&amp;"e.com/spreadsheets/d/1BIDqLLg5jk3v59G8NlR8rk5xfQDKne0sAvZHSj7TI6I/edit?usp=sharing"",""พระนครศรีอยุธยา!R341"")+IMPORTRANGE(""https://docs.google.com/spreadsheets/d/1YXvxf8Yu6_rV4hTBrwMqAcAnv6DfhUxh5emyM3CJp_w/edit?usp=sharing"",""เพชรบุรี!R341"")+IMPORTRA"&amp;"NGE(""https://docs.google.com/spreadsheets/d/19KBlQQs7uwvsao6t2n-KvW3Ax8J8uRRfZPq1zPbXgKc/edit?usp=sharing"",""ระยอง!R341"")+IMPORTRANGE(""https://docs.google.com/spreadsheets/d/1jQ6P4QcrGM89YfqcC_PxOHGCMq5ezhucwJd8ci-NHng/edit?usp=sharing"",""ราชบุรี!R34"&amp;"1"")+IMPORTRANGE(""https://docs.google.com/spreadsheets/d/1lufeA2cfFqM-elVq2hznhDzC6Pr7wkJ9ZG_sYNGCMCU/edit?usp=sharing"",""ลพบุรี!R341"")+IMPORTRANGE(""https://docs.google.com/spreadsheets/d/10oOiF7loTyfsTkbd4MpaIm0HQ9SwB7IYHdIUvt-U1Uc/edit?usp=sharing"""&amp;",""สระแก้ว!R341"")+IMPORTRANGE(""https://docs.google.com/spreadsheets/d/1xmPlrr1QbdSIKvl1dWUl9K4PjAfSL9oeMr_37QVzcxc/edit?usp=sharing"",""สระบุรี!R341"")+IMPORTRANGE(""https://docs.google.com/spreadsheets/d/1j51vR6CYVGhABJpv6tkstgok82RLpXieLzW1yOY5rHw/edi"&amp;"t?usp=sharing"",""สิงห์บุรี!R341"")+IMPORTRANGE(""https://docs.google.com/spreadsheets/d/1H1EalTWKUSzO4Z1-1CwzoDUaVffgrThEBe2sl74kKG0/edit?usp=sharing"",""สุพรรณบุรี!R341"")+IMPORTRANGE(""https://docs.google.com/spreadsheets/d/1BmIruG_sIrJLYao_Pdr7zVArWsf"&amp;"oBt2692TMi6x_854/edit?usp=sharing"",""อ่างทอง!R341"")"),0)</f>
        <v>0</v>
      </c>
      <c r="S341" s="72">
        <f ca="1">IFERROR(__xludf.DUMMYFUNCTION("IMPORTRANGE(""https://docs.google.com/spreadsheets/d/13wPX838HrBrQMCywv1BsuMkt4PEKTChp52zj44s2izQ/edit?usp=sharing"",""กาญจนบุรี!S341"")+IMPORTRANGE(""https://docs.google.com/spreadsheets/d/1ddFKvqj1W1NEiWytbGlB1zMx_ykJDVtmfEQ-6-lIUBA/edit?usp=sharing"","&amp;"""จันทบุรี!S341"")+IMPORTRANGE(""https://docs.google.com/spreadsheets/d/1T1PQvRODqOBZk8BRht_U031fIS1beLA0Ub2CEytj2q0/edit?usp=sharing"",""ฉะเชิงเทรา!S341"")+IMPORTRANGE(""https://docs.google.com/spreadsheets/d/11tr1B-Bhyr79v2bkwVh5h_fR-PStkgjlZtkrZpYurG0/"&amp;"edit?usp=sharing"",""ชลบุรี!S341"")+IMPORTRANGE(""https://docs.google.com/spreadsheets/d/1hh-FVnSX0vozXhGluamEcS54Dw9_zqW0N7qJUWgJ0Sw/edit?usp=sharing"",""ชัยนาท!S341"")+IMPORTRANGE(""https://docs.google.com/spreadsheets/d/1jkqa6GXxSacMcY1eN8AHjMNJ_7dDXMJ"&amp;"VRLDlaFSOdPM/edit?usp=sharing"",""ตราด!S341"")+IMPORTRANGE(""https://docs.google.com/spreadsheets/d/18hSgUJ3VwClqi_qtULmmW3cLr0oe3OKaSYoKzdpTsYQ/edit?usp=sharing"",""นครนายก!S341"")+IMPORTRANGE(""https://docs.google.com/spreadsheets/d/1YTZo6WM2dQ6Ix6FSdnL"&amp;"5P7uVnVKu40sxZu975tgG10E/edit?usp=sharing"",""นครปฐม!S341"")+IMPORTRANGE(""https://docs.google.com/spreadsheets/d/1OYoGg4WDg5RIzwGeB10padOxJF9E_Vljuvvct_M7RDo/edit?usp=sharing"",""ปทุมธานี!S341"")+IMPORTRANGE(""https://docs.google.com/spreadsheets/d/1GbCI"&amp;"E4D4wk9FUozzqk7SxfDMxDVBwVmI5zcaVUSzKAc/edit?usp=sharing"",""ประจวบคีรีขันธ์!S341"")+IMPORTRANGE(""https://docs.google.com/spreadsheets/d/1vVf6wykvW_lAyu7Yo9L4hUTqHqIeP_qcVuxCtosJEbg/edit?usp=sharing"",""ปราจีนบุรี!S341"")+IMPORTRANGE(""https://docs.googl"&amp;"e.com/spreadsheets/d/1BIDqLLg5jk3v59G8NlR8rk5xfQDKne0sAvZHSj7TI6I/edit?usp=sharing"",""พระนครศรีอยุธยา!S341"")+IMPORTRANGE(""https://docs.google.com/spreadsheets/d/1YXvxf8Yu6_rV4hTBrwMqAcAnv6DfhUxh5emyM3CJp_w/edit?usp=sharing"",""เพชรบุรี!S341"")+IMPORTRA"&amp;"NGE(""https://docs.google.com/spreadsheets/d/19KBlQQs7uwvsao6t2n-KvW3Ax8J8uRRfZPq1zPbXgKc/edit?usp=sharing"",""ระยอง!S341"")+IMPORTRANGE(""https://docs.google.com/spreadsheets/d/1jQ6P4QcrGM89YfqcC_PxOHGCMq5ezhucwJd8ci-NHng/edit?usp=sharing"",""ราชบุรี!S34"&amp;"1"")+IMPORTRANGE(""https://docs.google.com/spreadsheets/d/1lufeA2cfFqM-elVq2hznhDzC6Pr7wkJ9ZG_sYNGCMCU/edit?usp=sharing"",""ลพบุรี!S341"")+IMPORTRANGE(""https://docs.google.com/spreadsheets/d/10oOiF7loTyfsTkbd4MpaIm0HQ9SwB7IYHdIUvt-U1Uc/edit?usp=sharing"""&amp;",""สระแก้ว!S341"")+IMPORTRANGE(""https://docs.google.com/spreadsheets/d/1xmPlrr1QbdSIKvl1dWUl9K4PjAfSL9oeMr_37QVzcxc/edit?usp=sharing"",""สระบุรี!S341"")+IMPORTRANGE(""https://docs.google.com/spreadsheets/d/1j51vR6CYVGhABJpv6tkstgok82RLpXieLzW1yOY5rHw/edi"&amp;"t?usp=sharing"",""สิงห์บุรี!S341"")+IMPORTRANGE(""https://docs.google.com/spreadsheets/d/1H1EalTWKUSzO4Z1-1CwzoDUaVffgrThEBe2sl74kKG0/edit?usp=sharing"",""สุพรรณบุรี!S341"")+IMPORTRANGE(""https://docs.google.com/spreadsheets/d/1BmIruG_sIrJLYao_Pdr7zVArWsf"&amp;"oBt2692TMi6x_854/edit?usp=sharing"",""อ่างทอง!S341"")"),0)</f>
        <v>0</v>
      </c>
      <c r="T341" s="130">
        <f t="shared" ca="1" si="248"/>
        <v>0</v>
      </c>
      <c r="U341" s="130">
        <f t="shared" ca="1" si="249"/>
        <v>0</v>
      </c>
    </row>
    <row r="342" spans="1:21" ht="19.5" x14ac:dyDescent="0.3">
      <c r="A342" s="220"/>
      <c r="B342" s="221"/>
      <c r="C342" s="208" t="s">
        <v>18</v>
      </c>
      <c r="D342" s="356" t="s">
        <v>38</v>
      </c>
      <c r="E342" s="223"/>
      <c r="F342" s="223"/>
      <c r="G342" s="223"/>
      <c r="H342" s="517"/>
      <c r="I342" s="518"/>
      <c r="J342" s="518"/>
      <c r="K342" s="519"/>
      <c r="L342" s="70"/>
      <c r="M342" s="70"/>
      <c r="N342" s="70"/>
      <c r="O342" s="218"/>
      <c r="P342" s="218"/>
      <c r="Q342" s="84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523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39763</v>
      </c>
      <c r="K343" s="527">
        <v>0</v>
      </c>
      <c r="L343" s="528"/>
      <c r="M343" s="528"/>
      <c r="N343" s="528"/>
      <c r="O343" s="528"/>
      <c r="P343" s="528"/>
      <c r="Q343" s="377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19420)</f>
        <v>19420</v>
      </c>
      <c r="J344" s="291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36029)</f>
        <v>36029</v>
      </c>
      <c r="K344" s="72">
        <f ca="1">IF(I344&gt;0,J344*100/I344,0)</f>
        <v>185.52523171987642</v>
      </c>
      <c r="L344" s="70"/>
      <c r="M344" s="70"/>
      <c r="N344" s="70"/>
      <c r="O344" s="70"/>
      <c r="P344" s="70"/>
      <c r="Q344" s="84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70"/>
      <c r="M345" s="70"/>
      <c r="N345" s="70"/>
      <c r="O345" s="70"/>
      <c r="P345" s="70"/>
      <c r="Q345" s="84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52)</f>
        <v>52</v>
      </c>
      <c r="J346" s="291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72)</f>
        <v>72</v>
      </c>
      <c r="K346" s="72">
        <f ca="1">IF(I346&gt;0,J346*100/I346,0)</f>
        <v>138.46153846153845</v>
      </c>
      <c r="L346" s="70"/>
      <c r="M346" s="70"/>
      <c r="N346" s="70"/>
      <c r="O346" s="70"/>
      <c r="P346" s="70"/>
      <c r="Q346" s="84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1828)</f>
        <v>1828</v>
      </c>
      <c r="K347" s="85"/>
      <c r="L347" s="70"/>
      <c r="M347" s="70"/>
      <c r="N347" s="70"/>
      <c r="O347" s="70"/>
      <c r="P347" s="70"/>
      <c r="Q347" s="84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1812)</f>
        <v>1812</v>
      </c>
      <c r="K348" s="85"/>
      <c r="L348" s="70"/>
      <c r="M348" s="70"/>
      <c r="N348" s="70"/>
      <c r="O348" s="70"/>
      <c r="P348" s="70"/>
      <c r="Q348" s="84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94)</f>
        <v>94</v>
      </c>
      <c r="K349" s="85"/>
      <c r="L349" s="70"/>
      <c r="M349" s="70"/>
      <c r="N349" s="70"/>
      <c r="O349" s="70"/>
      <c r="P349" s="70"/>
      <c r="Q349" s="84"/>
      <c r="R349" s="85"/>
      <c r="S349" s="85"/>
      <c r="T349" s="85"/>
      <c r="U349" s="85"/>
    </row>
    <row r="350" spans="1:21" ht="16.5" x14ac:dyDescent="0.25">
      <c r="A350" s="267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70"/>
      <c r="M350" s="70"/>
      <c r="N350" s="70"/>
      <c r="O350" s="70"/>
      <c r="P350" s="70"/>
      <c r="Q350" s="84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535" t="s">
        <v>145</v>
      </c>
      <c r="F351" s="533"/>
      <c r="G351" s="536"/>
      <c r="H351" s="537" t="s">
        <v>35</v>
      </c>
      <c r="I351" s="538">
        <v>0</v>
      </c>
      <c r="J351" s="538">
        <f ca="1">J352+J353</f>
        <v>65169</v>
      </c>
      <c r="K351" s="539">
        <v>0</v>
      </c>
      <c r="L351" s="376"/>
      <c r="M351" s="376"/>
      <c r="N351" s="376"/>
      <c r="O351" s="376"/>
      <c r="P351" s="376"/>
      <c r="Q351" s="377"/>
      <c r="R351" s="378"/>
      <c r="S351" s="378"/>
      <c r="T351" s="378"/>
      <c r="U351" s="378"/>
    </row>
    <row r="352" spans="1:21" ht="18.75" x14ac:dyDescent="0.25">
      <c r="A352" s="267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7714)</f>
        <v>7714</v>
      </c>
      <c r="K352" s="85"/>
      <c r="L352" s="70"/>
      <c r="M352" s="70"/>
      <c r="N352" s="70"/>
      <c r="O352" s="70"/>
      <c r="P352" s="70"/>
      <c r="Q352" s="84"/>
      <c r="R352" s="85"/>
      <c r="S352" s="85"/>
      <c r="T352" s="85"/>
      <c r="U352" s="85"/>
    </row>
    <row r="353" spans="1:21" ht="18.75" x14ac:dyDescent="0.25">
      <c r="A353" s="267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57455)</f>
        <v>57455</v>
      </c>
      <c r="K353" s="85"/>
      <c r="L353" s="70"/>
      <c r="M353" s="70"/>
      <c r="N353" s="70"/>
      <c r="O353" s="70"/>
      <c r="P353" s="70"/>
      <c r="Q353" s="84"/>
      <c r="R353" s="85"/>
      <c r="S353" s="85"/>
      <c r="T353" s="85"/>
      <c r="U353" s="85"/>
    </row>
    <row r="354" spans="1:21" ht="18.75" x14ac:dyDescent="0.25">
      <c r="A354" s="425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13wPX838HrBrQMCywv1BsuMkt4PEKTChp52zj44s2izQ/edit?usp=sharing"",""กาญจนบุรี!J354"")+IMPORTRANGE(""https://docs.google.com/spreadsheets/d/1ddFKvqj1W1NEiWytbGlB1zMx_ykJDVtmfEQ-6-lIUBA/edit?usp=sharing"","&amp;"""จันทบุรี!J354"")+IMPORTRANGE(""https://docs.google.com/spreadsheets/d/1T1PQvRODqOBZk8BRht_U031fIS1beLA0Ub2CEytj2q0/edit?usp=sharing"",""ฉะเชิงเทรา!J354"")+IMPORTRANGE(""https://docs.google.com/spreadsheets/d/11tr1B-Bhyr79v2bkwVh5h_fR-PStkgjlZtkrZpYurG0/"&amp;"edit?usp=sharing"",""ชลบุรี!J354"")+IMPORTRANGE(""https://docs.google.com/spreadsheets/d/1hh-FVnSX0vozXhGluamEcS54Dw9_zqW0N7qJUWgJ0Sw/edit?usp=sharing"",""ชัยนาท!J354"")+IMPORTRANGE(""https://docs.google.com/spreadsheets/d/1jkqa6GXxSacMcY1eN8AHjMNJ_7dDXMJ"&amp;"VRLDlaFSOdPM/edit?usp=sharing"",""ตราด!J354"")+IMPORTRANGE(""https://docs.google.com/spreadsheets/d/18hSgUJ3VwClqi_qtULmmW3cLr0oe3OKaSYoKzdpTsYQ/edit?usp=sharing"",""นครนายก!J354"")+IMPORTRANGE(""https://docs.google.com/spreadsheets/d/1YTZo6WM2dQ6Ix6FSdnL"&amp;"5P7uVnVKu40sxZu975tgG10E/edit?usp=sharing"",""นครปฐม!J354"")+IMPORTRANGE(""https://docs.google.com/spreadsheets/d/1OYoGg4WDg5RIzwGeB10padOxJF9E_Vljuvvct_M7RDo/edit?usp=sharing"",""ปทุมธานี!J354"")+IMPORTRANGE(""https://docs.google.com/spreadsheets/d/1GbCI"&amp;"E4D4wk9FUozzqk7SxfDMxDVBwVmI5zcaVUSzKAc/edit?usp=sharing"",""ประจวบคีรีขันธ์!J354"")+IMPORTRANGE(""https://docs.google.com/spreadsheets/d/1vVf6wykvW_lAyu7Yo9L4hUTqHqIeP_qcVuxCtosJEbg/edit?usp=sharing"",""ปราจีนบุรี!J354"")+IMPORTRANGE(""https://docs.googl"&amp;"e.com/spreadsheets/d/1BIDqLLg5jk3v59G8NlR8rk5xfQDKne0sAvZHSj7TI6I/edit?usp=sharing"",""พระนครศรีอยุธยา!J354"")+IMPORTRANGE(""https://docs.google.com/spreadsheets/d/1YXvxf8Yu6_rV4hTBrwMqAcAnv6DfhUxh5emyM3CJp_w/edit?usp=sharing"",""เพชรบุรี!J354"")+IMPORTRA"&amp;"NGE(""https://docs.google.com/spreadsheets/d/19KBlQQs7uwvsao6t2n-KvW3Ax8J8uRRfZPq1zPbXgKc/edit?usp=sharing"",""ระยอง!J354"")+IMPORTRANGE(""https://docs.google.com/spreadsheets/d/1jQ6P4QcrGM89YfqcC_PxOHGCMq5ezhucwJd8ci-NHng/edit?usp=sharing"",""ราชบุรี!J35"&amp;"4"")+IMPORTRANGE(""https://docs.google.com/spreadsheets/d/1lufeA2cfFqM-elVq2hznhDzC6Pr7wkJ9ZG_sYNGCMCU/edit?usp=sharing"",""ลพบุรี!J354"")+IMPORTRANGE(""https://docs.google.com/spreadsheets/d/10oOiF7loTyfsTkbd4MpaIm0HQ9SwB7IYHdIUvt-U1Uc/edit?usp=sharing"""&amp;",""สระแก้ว!J354"")+IMPORTRANGE(""https://docs.google.com/spreadsheets/d/1xmPlrr1QbdSIKvl1dWUl9K4PjAfSL9oeMr_37QVzcxc/edit?usp=sharing"",""สระบุรี!J354"")+IMPORTRANGE(""https://docs.google.com/spreadsheets/d/1j51vR6CYVGhABJpv6tkstgok82RLpXieLzW1yOY5rHw/edi"&amp;"t?usp=sharing"",""สิงห์บุรี!J354"")+IMPORTRANGE(""https://docs.google.com/spreadsheets/d/1H1EalTWKUSzO4Z1-1CwzoDUaVffgrThEBe2sl74kKG0/edit?usp=sharing"",""สุพรรณบุรี!J354"")+IMPORTRANGE(""https://docs.google.com/spreadsheets/d/1BmIruG_sIrJLYao_Pdr7zVArWsf"&amp;"oBt2692TMi6x_854/edit?usp=sharing"",""อ่างทอง!J354"")"),3508)</f>
        <v>3508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501"/>
      <c r="B355" s="502" t="s">
        <v>149</v>
      </c>
      <c r="C355" s="513"/>
      <c r="D355" s="503"/>
      <c r="E355" s="503"/>
      <c r="F355" s="503"/>
      <c r="G355" s="504"/>
      <c r="H355" s="504"/>
      <c r="I355" s="542"/>
      <c r="J355" s="542"/>
      <c r="K355" s="508"/>
      <c r="L355" s="508"/>
      <c r="M355" s="508"/>
      <c r="N355" s="508"/>
      <c r="O355" s="508"/>
      <c r="P355" s="508"/>
      <c r="Q355" s="509"/>
      <c r="R355" s="510"/>
      <c r="S355" s="510"/>
      <c r="T355" s="510"/>
      <c r="U355" s="510"/>
    </row>
    <row r="356" spans="1:21" ht="19.5" x14ac:dyDescent="0.3">
      <c r="A356" s="207"/>
      <c r="B356" s="65"/>
      <c r="C356" s="208" t="s">
        <v>18</v>
      </c>
      <c r="D356" s="209" t="s">
        <v>19</v>
      </c>
      <c r="E356" s="65"/>
      <c r="F356" s="65"/>
      <c r="G356" s="67"/>
      <c r="H356" s="210" t="s">
        <v>14</v>
      </c>
      <c r="I356" s="69"/>
      <c r="J356" s="69"/>
      <c r="K356" s="70"/>
      <c r="L356" s="211">
        <f t="shared" ref="L356:N356" ca="1" si="258">L357+L358</f>
        <v>11811650</v>
      </c>
      <c r="M356" s="211">
        <f t="shared" ca="1" si="258"/>
        <v>12787705</v>
      </c>
      <c r="N356" s="211">
        <f t="shared" ca="1" si="258"/>
        <v>8263163.4100000001</v>
      </c>
      <c r="O356" s="211">
        <f t="shared" ref="O356:O364" ca="1" si="259">IF(L356&gt;0,N356*100/L356,0)</f>
        <v>69.957740112516035</v>
      </c>
      <c r="P356" s="211">
        <f t="shared" ref="P356:P364" ca="1" si="260">IF(M356&gt;0,N356*100/M356,0)</f>
        <v>64.618032790090169</v>
      </c>
      <c r="Q356" s="212">
        <f t="shared" ref="Q356:S356" ca="1" si="261">Q357+Q358</f>
        <v>0</v>
      </c>
      <c r="R356" s="213">
        <f t="shared" ca="1" si="261"/>
        <v>0</v>
      </c>
      <c r="S356" s="213">
        <f t="shared" ca="1" si="261"/>
        <v>0</v>
      </c>
      <c r="T356" s="213">
        <f t="shared" ref="T356:T364" ca="1" si="262">IF(Q356&gt;0,S356*100/Q356,0)</f>
        <v>0</v>
      </c>
      <c r="U356" s="213">
        <f t="shared" ref="U356:U364" ca="1" si="263">IF(R356&gt;0,S356*100/R356,0)</f>
        <v>0</v>
      </c>
    </row>
    <row r="357" spans="1:21" ht="18.75" hidden="1" x14ac:dyDescent="0.25">
      <c r="A357" s="207"/>
      <c r="B357" s="65"/>
      <c r="C357" s="65"/>
      <c r="D357" s="65"/>
      <c r="E357" s="73" t="s">
        <v>20</v>
      </c>
      <c r="F357" s="65"/>
      <c r="G357" s="67"/>
      <c r="H357" s="214" t="s">
        <v>14</v>
      </c>
      <c r="I357" s="69"/>
      <c r="J357" s="69"/>
      <c r="K357" s="70"/>
      <c r="L357" s="86">
        <f t="shared" ref="L357:N357" ca="1" si="264">L360+L363</f>
        <v>0</v>
      </c>
      <c r="M357" s="86">
        <f t="shared" ca="1" si="264"/>
        <v>0</v>
      </c>
      <c r="N357" s="86">
        <f t="shared" ca="1" si="264"/>
        <v>0</v>
      </c>
      <c r="O357" s="86">
        <f t="shared" ca="1" si="259"/>
        <v>0</v>
      </c>
      <c r="P357" s="86">
        <f t="shared" ca="1" si="260"/>
        <v>0</v>
      </c>
      <c r="Q357" s="215">
        <f t="shared" ref="Q357:S357" ca="1" si="265">Q360+Q363</f>
        <v>0</v>
      </c>
      <c r="R357" s="131">
        <f t="shared" ca="1" si="265"/>
        <v>0</v>
      </c>
      <c r="S357" s="131">
        <f t="shared" ca="1" si="265"/>
        <v>0</v>
      </c>
      <c r="T357" s="131">
        <f t="shared" ca="1" si="262"/>
        <v>0</v>
      </c>
      <c r="U357" s="131">
        <f t="shared" ca="1" si="263"/>
        <v>0</v>
      </c>
    </row>
    <row r="358" spans="1:21" ht="18.75" hidden="1" x14ac:dyDescent="0.25">
      <c r="A358" s="207"/>
      <c r="B358" s="65"/>
      <c r="C358" s="65"/>
      <c r="D358" s="65"/>
      <c r="E358" s="73" t="s">
        <v>21</v>
      </c>
      <c r="F358" s="65"/>
      <c r="G358" s="67"/>
      <c r="H358" s="214" t="s">
        <v>14</v>
      </c>
      <c r="I358" s="69"/>
      <c r="J358" s="69"/>
      <c r="K358" s="70"/>
      <c r="L358" s="86">
        <f t="shared" ref="L358:N358" ca="1" si="266">L361+L364</f>
        <v>11811650</v>
      </c>
      <c r="M358" s="86">
        <f t="shared" ca="1" si="266"/>
        <v>12787705</v>
      </c>
      <c r="N358" s="86">
        <f t="shared" ca="1" si="266"/>
        <v>8263163.4100000001</v>
      </c>
      <c r="O358" s="86">
        <f t="shared" ca="1" si="259"/>
        <v>69.957740112516035</v>
      </c>
      <c r="P358" s="86">
        <f t="shared" ca="1" si="260"/>
        <v>64.618032790090169</v>
      </c>
      <c r="Q358" s="129">
        <f t="shared" ref="Q358:S358" ca="1" si="267">Q361+Q364</f>
        <v>0</v>
      </c>
      <c r="R358" s="130">
        <f t="shared" ca="1" si="267"/>
        <v>0</v>
      </c>
      <c r="S358" s="130">
        <f t="shared" ca="1" si="267"/>
        <v>0</v>
      </c>
      <c r="T358" s="130">
        <f t="shared" ca="1" si="262"/>
        <v>0</v>
      </c>
      <c r="U358" s="130">
        <f t="shared" ca="1" si="263"/>
        <v>0</v>
      </c>
    </row>
    <row r="359" spans="1:21" ht="18.75" x14ac:dyDescent="0.25">
      <c r="A359" s="207"/>
      <c r="B359" s="65"/>
      <c r="C359" s="65"/>
      <c r="D359" s="66" t="s">
        <v>22</v>
      </c>
      <c r="E359" s="65"/>
      <c r="F359" s="65"/>
      <c r="G359" s="67"/>
      <c r="H359" s="216" t="s">
        <v>14</v>
      </c>
      <c r="I359" s="217"/>
      <c r="J359" s="217"/>
      <c r="K359" s="218"/>
      <c r="L359" s="86">
        <f t="shared" ref="L359:N359" ca="1" si="268">L360+L361</f>
        <v>11811650</v>
      </c>
      <c r="M359" s="86">
        <f t="shared" ca="1" si="268"/>
        <v>12787705</v>
      </c>
      <c r="N359" s="86">
        <f t="shared" ca="1" si="268"/>
        <v>8263163.4100000001</v>
      </c>
      <c r="O359" s="86">
        <f t="shared" ca="1" si="259"/>
        <v>69.957740112516035</v>
      </c>
      <c r="P359" s="86">
        <f t="shared" ca="1" si="260"/>
        <v>64.618032790090169</v>
      </c>
      <c r="Q359" s="129">
        <f t="shared" ref="Q359:S359" ca="1" si="269">Q360+Q361</f>
        <v>0</v>
      </c>
      <c r="R359" s="130">
        <f t="shared" ca="1" si="269"/>
        <v>0</v>
      </c>
      <c r="S359" s="130">
        <f t="shared" ca="1" si="269"/>
        <v>0</v>
      </c>
      <c r="T359" s="130">
        <f t="shared" ca="1" si="262"/>
        <v>0</v>
      </c>
      <c r="U359" s="130">
        <f t="shared" ca="1" si="263"/>
        <v>0</v>
      </c>
    </row>
    <row r="360" spans="1:21" ht="18.75" hidden="1" x14ac:dyDescent="0.25">
      <c r="A360" s="207"/>
      <c r="B360" s="65"/>
      <c r="C360" s="65"/>
      <c r="D360" s="65"/>
      <c r="E360" s="73" t="s">
        <v>36</v>
      </c>
      <c r="F360" s="65"/>
      <c r="G360" s="67"/>
      <c r="H360" s="216" t="s">
        <v>14</v>
      </c>
      <c r="I360" s="217"/>
      <c r="J360" s="217"/>
      <c r="K360" s="218"/>
      <c r="L360" s="86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0" s="86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0" s="86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0" s="86">
        <f t="shared" ca="1" si="259"/>
        <v>0</v>
      </c>
      <c r="P360" s="86">
        <f t="shared" ca="1" si="260"/>
        <v>0</v>
      </c>
      <c r="Q360" s="74">
        <f ca="1">IFERROR(__xludf.DUMMYFUNCTION("IMPORTRANGE(""https://docs.google.com/spreadsheets/d/13wPX838HrBrQMCywv1BsuMkt4PEKTChp52zj44s2izQ/edit?usp=sharing"",""กาญจนบุรี!Q360"")+IMPORTRANGE(""https://docs.google.com/spreadsheets/d/1ddFKvqj1W1NEiWytbGlB1zMx_ykJDVtmfEQ-6-lIUBA/edit?usp=sharing"","&amp;"""จันทบุรี!Q360"")+IMPORTRANGE(""https://docs.google.com/spreadsheets/d/1T1PQvRODqOBZk8BRht_U031fIS1beLA0Ub2CEytj2q0/edit?usp=sharing"",""ฉะเชิงเทรา!Q360"")+IMPORTRANGE(""https://docs.google.com/spreadsheets/d/11tr1B-Bhyr79v2bkwVh5h_fR-PStkgjlZtkrZpYurG0/"&amp;"edit?usp=sharing"",""ชลบุรี!Q360"")+IMPORTRANGE(""https://docs.google.com/spreadsheets/d/1hh-FVnSX0vozXhGluamEcS54Dw9_zqW0N7qJUWgJ0Sw/edit?usp=sharing"",""ชัยนาท!Q360"")+IMPORTRANGE(""https://docs.google.com/spreadsheets/d/1jkqa6GXxSacMcY1eN8AHjMNJ_7dDXMJ"&amp;"VRLDlaFSOdPM/edit?usp=sharing"",""ตราด!Q360"")+IMPORTRANGE(""https://docs.google.com/spreadsheets/d/18hSgUJ3VwClqi_qtULmmW3cLr0oe3OKaSYoKzdpTsYQ/edit?usp=sharing"",""นครนายก!Q360"")+IMPORTRANGE(""https://docs.google.com/spreadsheets/d/1YTZo6WM2dQ6Ix6FSdnL"&amp;"5P7uVnVKu40sxZu975tgG10E/edit?usp=sharing"",""นครปฐม!Q360"")+IMPORTRANGE(""https://docs.google.com/spreadsheets/d/1OYoGg4WDg5RIzwGeB10padOxJF9E_Vljuvvct_M7RDo/edit?usp=sharing"",""ปทุมธานี!Q360"")+IMPORTRANGE(""https://docs.google.com/spreadsheets/d/1GbCI"&amp;"E4D4wk9FUozzqk7SxfDMxDVBwVmI5zcaVUSzKAc/edit?usp=sharing"",""ประจวบคีรีขันธ์!Q360"")+IMPORTRANGE(""https://docs.google.com/spreadsheets/d/1vVf6wykvW_lAyu7Yo9L4hUTqHqIeP_qcVuxCtosJEbg/edit?usp=sharing"",""ปราจีนบุรี!Q360"")+IMPORTRANGE(""https://docs.googl"&amp;"e.com/spreadsheets/d/1BIDqLLg5jk3v59G8NlR8rk5xfQDKne0sAvZHSj7TI6I/edit?usp=sharing"",""พระนครศรีอยุธยา!Q360"")+IMPORTRANGE(""https://docs.google.com/spreadsheets/d/1YXvxf8Yu6_rV4hTBrwMqAcAnv6DfhUxh5emyM3CJp_w/edit?usp=sharing"",""เพชรบุรี!Q360"")+IMPORTRA"&amp;"NGE(""https://docs.google.com/spreadsheets/d/19KBlQQs7uwvsao6t2n-KvW3Ax8J8uRRfZPq1zPbXgKc/edit?usp=sharing"",""ระยอง!Q360"")+IMPORTRANGE(""https://docs.google.com/spreadsheets/d/1jQ6P4QcrGM89YfqcC_PxOHGCMq5ezhucwJd8ci-NHng/edit?usp=sharing"",""ราชบุรี!Q36"&amp;"0"")+IMPORTRANGE(""https://docs.google.com/spreadsheets/d/1lufeA2cfFqM-elVq2hznhDzC6Pr7wkJ9ZG_sYNGCMCU/edit?usp=sharing"",""ลพบุรี!Q360"")+IMPORTRANGE(""https://docs.google.com/spreadsheets/d/10oOiF7loTyfsTkbd4MpaIm0HQ9SwB7IYHdIUvt-U1Uc/edit?usp=sharing"""&amp;",""สระแก้ว!Q360"")+IMPORTRANGE(""https://docs.google.com/spreadsheets/d/1xmPlrr1QbdSIKvl1dWUl9K4PjAfSL9oeMr_37QVzcxc/edit?usp=sharing"",""สระบุรี!Q360"")+IMPORTRANGE(""https://docs.google.com/spreadsheets/d/1j51vR6CYVGhABJpv6tkstgok82RLpXieLzW1yOY5rHw/edi"&amp;"t?usp=sharing"",""สิงห์บุรี!Q360"")+IMPORTRANGE(""https://docs.google.com/spreadsheets/d/1H1EalTWKUSzO4Z1-1CwzoDUaVffgrThEBe2sl74kKG0/edit?usp=sharing"",""สุพรรณบุรี!Q360"")+IMPORTRANGE(""https://docs.google.com/spreadsheets/d/1BmIruG_sIrJLYao_Pdr7zVArWsf"&amp;"oBt2692TMi6x_854/edit?usp=sharing"",""อ่างทอง!Q360"")"),0)</f>
        <v>0</v>
      </c>
      <c r="R360" s="75">
        <f ca="1">IFERROR(__xludf.DUMMYFUNCTION("IMPORTRANGE(""https://docs.google.com/spreadsheets/d/13wPX838HrBrQMCywv1BsuMkt4PEKTChp52zj44s2izQ/edit?usp=sharing"",""กาญจนบุรี!R360"")+IMPORTRANGE(""https://docs.google.com/spreadsheets/d/1ddFKvqj1W1NEiWytbGlB1zMx_ykJDVtmfEQ-6-lIUBA/edit?usp=sharing"","&amp;"""จันทบุรี!R360"")+IMPORTRANGE(""https://docs.google.com/spreadsheets/d/1T1PQvRODqOBZk8BRht_U031fIS1beLA0Ub2CEytj2q0/edit?usp=sharing"",""ฉะเชิงเทรา!R360"")+IMPORTRANGE(""https://docs.google.com/spreadsheets/d/11tr1B-Bhyr79v2bkwVh5h_fR-PStkgjlZtkrZpYurG0/"&amp;"edit?usp=sharing"",""ชลบุรี!R360"")+IMPORTRANGE(""https://docs.google.com/spreadsheets/d/1hh-FVnSX0vozXhGluamEcS54Dw9_zqW0N7qJUWgJ0Sw/edit?usp=sharing"",""ชัยนาท!R360"")+IMPORTRANGE(""https://docs.google.com/spreadsheets/d/1jkqa6GXxSacMcY1eN8AHjMNJ_7dDXMJ"&amp;"VRLDlaFSOdPM/edit?usp=sharing"",""ตราด!R360"")+IMPORTRANGE(""https://docs.google.com/spreadsheets/d/18hSgUJ3VwClqi_qtULmmW3cLr0oe3OKaSYoKzdpTsYQ/edit?usp=sharing"",""นครนายก!R360"")+IMPORTRANGE(""https://docs.google.com/spreadsheets/d/1YTZo6WM2dQ6Ix6FSdnL"&amp;"5P7uVnVKu40sxZu975tgG10E/edit?usp=sharing"",""นครปฐม!R360"")+IMPORTRANGE(""https://docs.google.com/spreadsheets/d/1OYoGg4WDg5RIzwGeB10padOxJF9E_Vljuvvct_M7RDo/edit?usp=sharing"",""ปทุมธานี!R360"")+IMPORTRANGE(""https://docs.google.com/spreadsheets/d/1GbCI"&amp;"E4D4wk9FUozzqk7SxfDMxDVBwVmI5zcaVUSzKAc/edit?usp=sharing"",""ประจวบคีรีขันธ์!R360"")+IMPORTRANGE(""https://docs.google.com/spreadsheets/d/1vVf6wykvW_lAyu7Yo9L4hUTqHqIeP_qcVuxCtosJEbg/edit?usp=sharing"",""ปราจีนบุรี!R360"")+IMPORTRANGE(""https://docs.googl"&amp;"e.com/spreadsheets/d/1BIDqLLg5jk3v59G8NlR8rk5xfQDKne0sAvZHSj7TI6I/edit?usp=sharing"",""พระนครศรีอยุธยา!R360"")+IMPORTRANGE(""https://docs.google.com/spreadsheets/d/1YXvxf8Yu6_rV4hTBrwMqAcAnv6DfhUxh5emyM3CJp_w/edit?usp=sharing"",""เพชรบุรี!R360"")+IMPORTRA"&amp;"NGE(""https://docs.google.com/spreadsheets/d/19KBlQQs7uwvsao6t2n-KvW3Ax8J8uRRfZPq1zPbXgKc/edit?usp=sharing"",""ระยอง!R360"")+IMPORTRANGE(""https://docs.google.com/spreadsheets/d/1jQ6P4QcrGM89YfqcC_PxOHGCMq5ezhucwJd8ci-NHng/edit?usp=sharing"",""ราชบุรี!R36"&amp;"0"")+IMPORTRANGE(""https://docs.google.com/spreadsheets/d/1lufeA2cfFqM-elVq2hznhDzC6Pr7wkJ9ZG_sYNGCMCU/edit?usp=sharing"",""ลพบุรี!R360"")+IMPORTRANGE(""https://docs.google.com/spreadsheets/d/10oOiF7loTyfsTkbd4MpaIm0HQ9SwB7IYHdIUvt-U1Uc/edit?usp=sharing"""&amp;",""สระแก้ว!R360"")+IMPORTRANGE(""https://docs.google.com/spreadsheets/d/1xmPlrr1QbdSIKvl1dWUl9K4PjAfSL9oeMr_37QVzcxc/edit?usp=sharing"",""สระบุรี!R360"")+IMPORTRANGE(""https://docs.google.com/spreadsheets/d/1j51vR6CYVGhABJpv6tkstgok82RLpXieLzW1yOY5rHw/edi"&amp;"t?usp=sharing"",""สิงห์บุรี!R360"")+IMPORTRANGE(""https://docs.google.com/spreadsheets/d/1H1EalTWKUSzO4Z1-1CwzoDUaVffgrThEBe2sl74kKG0/edit?usp=sharing"",""สุพรรณบุรี!R360"")+IMPORTRANGE(""https://docs.google.com/spreadsheets/d/1BmIruG_sIrJLYao_Pdr7zVArWsf"&amp;"oBt2692TMi6x_854/edit?usp=sharing"",""อ่างทอง!R360"")"),0)</f>
        <v>0</v>
      </c>
      <c r="S360" s="75">
        <f ca="1">IFERROR(__xludf.DUMMYFUNCTION("IMPORTRANGE(""https://docs.google.com/spreadsheets/d/13wPX838HrBrQMCywv1BsuMkt4PEKTChp52zj44s2izQ/edit?usp=sharing"",""กาญจนบุรี!S360"")+IMPORTRANGE(""https://docs.google.com/spreadsheets/d/1ddFKvqj1W1NEiWytbGlB1zMx_ykJDVtmfEQ-6-lIUBA/edit?usp=sharing"","&amp;"""จันทบุรี!S360"")+IMPORTRANGE(""https://docs.google.com/spreadsheets/d/1T1PQvRODqOBZk8BRht_U031fIS1beLA0Ub2CEytj2q0/edit?usp=sharing"",""ฉะเชิงเทรา!S360"")+IMPORTRANGE(""https://docs.google.com/spreadsheets/d/11tr1B-Bhyr79v2bkwVh5h_fR-PStkgjlZtkrZpYurG0/"&amp;"edit?usp=sharing"",""ชลบุรี!S360"")+IMPORTRANGE(""https://docs.google.com/spreadsheets/d/1hh-FVnSX0vozXhGluamEcS54Dw9_zqW0N7qJUWgJ0Sw/edit?usp=sharing"",""ชัยนาท!S360"")+IMPORTRANGE(""https://docs.google.com/spreadsheets/d/1jkqa6GXxSacMcY1eN8AHjMNJ_7dDXMJ"&amp;"VRLDlaFSOdPM/edit?usp=sharing"",""ตราด!S360"")+IMPORTRANGE(""https://docs.google.com/spreadsheets/d/18hSgUJ3VwClqi_qtULmmW3cLr0oe3OKaSYoKzdpTsYQ/edit?usp=sharing"",""นครนายก!S360"")+IMPORTRANGE(""https://docs.google.com/spreadsheets/d/1YTZo6WM2dQ6Ix6FSdnL"&amp;"5P7uVnVKu40sxZu975tgG10E/edit?usp=sharing"",""นครปฐม!S360"")+IMPORTRANGE(""https://docs.google.com/spreadsheets/d/1OYoGg4WDg5RIzwGeB10padOxJF9E_Vljuvvct_M7RDo/edit?usp=sharing"",""ปทุมธานี!S360"")+IMPORTRANGE(""https://docs.google.com/spreadsheets/d/1GbCI"&amp;"E4D4wk9FUozzqk7SxfDMxDVBwVmI5zcaVUSzKAc/edit?usp=sharing"",""ประจวบคีรีขันธ์!S360"")+IMPORTRANGE(""https://docs.google.com/spreadsheets/d/1vVf6wykvW_lAyu7Yo9L4hUTqHqIeP_qcVuxCtosJEbg/edit?usp=sharing"",""ปราจีนบุรี!S360"")+IMPORTRANGE(""https://docs.googl"&amp;"e.com/spreadsheets/d/1BIDqLLg5jk3v59G8NlR8rk5xfQDKne0sAvZHSj7TI6I/edit?usp=sharing"",""พระนครศรีอยุธยา!S360"")+IMPORTRANGE(""https://docs.google.com/spreadsheets/d/1YXvxf8Yu6_rV4hTBrwMqAcAnv6DfhUxh5emyM3CJp_w/edit?usp=sharing"",""เพชรบุรี!S360"")+IMPORTRA"&amp;"NGE(""https://docs.google.com/spreadsheets/d/19KBlQQs7uwvsao6t2n-KvW3Ax8J8uRRfZPq1zPbXgKc/edit?usp=sharing"",""ระยอง!S360"")+IMPORTRANGE(""https://docs.google.com/spreadsheets/d/1jQ6P4QcrGM89YfqcC_PxOHGCMq5ezhucwJd8ci-NHng/edit?usp=sharing"",""ราชบุรี!S36"&amp;"0"")+IMPORTRANGE(""https://docs.google.com/spreadsheets/d/1lufeA2cfFqM-elVq2hznhDzC6Pr7wkJ9ZG_sYNGCMCU/edit?usp=sharing"",""ลพบุรี!S360"")+IMPORTRANGE(""https://docs.google.com/spreadsheets/d/10oOiF7loTyfsTkbd4MpaIm0HQ9SwB7IYHdIUvt-U1Uc/edit?usp=sharing"""&amp;",""สระแก้ว!S360"")+IMPORTRANGE(""https://docs.google.com/spreadsheets/d/1xmPlrr1QbdSIKvl1dWUl9K4PjAfSL9oeMr_37QVzcxc/edit?usp=sharing"",""สระบุรี!S360"")+IMPORTRANGE(""https://docs.google.com/spreadsheets/d/1j51vR6CYVGhABJpv6tkstgok82RLpXieLzW1yOY5rHw/edi"&amp;"t?usp=sharing"",""สิงห์บุรี!S360"")+IMPORTRANGE(""https://docs.google.com/spreadsheets/d/1H1EalTWKUSzO4Z1-1CwzoDUaVffgrThEBe2sl74kKG0/edit?usp=sharing"",""สุพรรณบุรี!S360"")+IMPORTRANGE(""https://docs.google.com/spreadsheets/d/1BmIruG_sIrJLYao_Pdr7zVArWsf"&amp;"oBt2692TMi6x_854/edit?usp=sharing"",""อ่างทอง!S360"")"),0)</f>
        <v>0</v>
      </c>
      <c r="T360" s="131">
        <f t="shared" ca="1" si="262"/>
        <v>0</v>
      </c>
      <c r="U360" s="131">
        <f t="shared" ca="1" si="263"/>
        <v>0</v>
      </c>
    </row>
    <row r="361" spans="1:21" ht="18.75" hidden="1" x14ac:dyDescent="0.25">
      <c r="A361" s="207"/>
      <c r="B361" s="65"/>
      <c r="C361" s="65"/>
      <c r="D361" s="65"/>
      <c r="E361" s="73" t="s">
        <v>37</v>
      </c>
      <c r="F361" s="65"/>
      <c r="G361" s="67"/>
      <c r="H361" s="216" t="s">
        <v>14</v>
      </c>
      <c r="I361" s="217"/>
      <c r="J361" s="217"/>
      <c r="K361" s="218"/>
      <c r="L361" s="86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11811650)</f>
        <v>11811650</v>
      </c>
      <c r="M361" s="86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12787705)</f>
        <v>12787705</v>
      </c>
      <c r="N361" s="86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8263163.41)</f>
        <v>8263163.4100000001</v>
      </c>
      <c r="O361" s="86">
        <f t="shared" ca="1" si="259"/>
        <v>69.957740112516035</v>
      </c>
      <c r="P361" s="86">
        <f t="shared" ca="1" si="260"/>
        <v>64.618032790090169</v>
      </c>
      <c r="Q361" s="71">
        <f ca="1">IFERROR(__xludf.DUMMYFUNCTION("IMPORTRANGE(""https://docs.google.com/spreadsheets/d/13wPX838HrBrQMCywv1BsuMkt4PEKTChp52zj44s2izQ/edit?usp=sharing"",""กาญจนบุรี!Q361"")+IMPORTRANGE(""https://docs.google.com/spreadsheets/d/1ddFKvqj1W1NEiWytbGlB1zMx_ykJDVtmfEQ-6-lIUBA/edit?usp=sharing"","&amp;"""จันทบุรี!Q361"")+IMPORTRANGE(""https://docs.google.com/spreadsheets/d/1T1PQvRODqOBZk8BRht_U031fIS1beLA0Ub2CEytj2q0/edit?usp=sharing"",""ฉะเชิงเทรา!Q361"")+IMPORTRANGE(""https://docs.google.com/spreadsheets/d/11tr1B-Bhyr79v2bkwVh5h_fR-PStkgjlZtkrZpYurG0/"&amp;"edit?usp=sharing"",""ชลบุรี!Q361"")+IMPORTRANGE(""https://docs.google.com/spreadsheets/d/1hh-FVnSX0vozXhGluamEcS54Dw9_zqW0N7qJUWgJ0Sw/edit?usp=sharing"",""ชัยนาท!Q361"")+IMPORTRANGE(""https://docs.google.com/spreadsheets/d/1jkqa6GXxSacMcY1eN8AHjMNJ_7dDXMJ"&amp;"VRLDlaFSOdPM/edit?usp=sharing"",""ตราด!Q361"")+IMPORTRANGE(""https://docs.google.com/spreadsheets/d/18hSgUJ3VwClqi_qtULmmW3cLr0oe3OKaSYoKzdpTsYQ/edit?usp=sharing"",""นครนายก!Q361"")+IMPORTRANGE(""https://docs.google.com/spreadsheets/d/1YTZo6WM2dQ6Ix6FSdnL"&amp;"5P7uVnVKu40sxZu975tgG10E/edit?usp=sharing"",""นครปฐม!Q361"")+IMPORTRANGE(""https://docs.google.com/spreadsheets/d/1OYoGg4WDg5RIzwGeB10padOxJF9E_Vljuvvct_M7RDo/edit?usp=sharing"",""ปทุมธานี!Q361"")+IMPORTRANGE(""https://docs.google.com/spreadsheets/d/1GbCI"&amp;"E4D4wk9FUozzqk7SxfDMxDVBwVmI5zcaVUSzKAc/edit?usp=sharing"",""ประจวบคีรีขันธ์!Q361"")+IMPORTRANGE(""https://docs.google.com/spreadsheets/d/1vVf6wykvW_lAyu7Yo9L4hUTqHqIeP_qcVuxCtosJEbg/edit?usp=sharing"",""ปราจีนบุรี!Q361"")+IMPORTRANGE(""https://docs.googl"&amp;"e.com/spreadsheets/d/1BIDqLLg5jk3v59G8NlR8rk5xfQDKne0sAvZHSj7TI6I/edit?usp=sharing"",""พระนครศรีอยุธยา!Q361"")+IMPORTRANGE(""https://docs.google.com/spreadsheets/d/1YXvxf8Yu6_rV4hTBrwMqAcAnv6DfhUxh5emyM3CJp_w/edit?usp=sharing"",""เพชรบุรี!Q361"")+IMPORTRA"&amp;"NGE(""https://docs.google.com/spreadsheets/d/19KBlQQs7uwvsao6t2n-KvW3Ax8J8uRRfZPq1zPbXgKc/edit?usp=sharing"",""ระยอง!Q361"")+IMPORTRANGE(""https://docs.google.com/spreadsheets/d/1jQ6P4QcrGM89YfqcC_PxOHGCMq5ezhucwJd8ci-NHng/edit?usp=sharing"",""ราชบุรี!Q36"&amp;"1"")+IMPORTRANGE(""https://docs.google.com/spreadsheets/d/1lufeA2cfFqM-elVq2hznhDzC6Pr7wkJ9ZG_sYNGCMCU/edit?usp=sharing"",""ลพบุรี!Q361"")+IMPORTRANGE(""https://docs.google.com/spreadsheets/d/10oOiF7loTyfsTkbd4MpaIm0HQ9SwB7IYHdIUvt-U1Uc/edit?usp=sharing"""&amp;",""สระแก้ว!Q361"")+IMPORTRANGE(""https://docs.google.com/spreadsheets/d/1xmPlrr1QbdSIKvl1dWUl9K4PjAfSL9oeMr_37QVzcxc/edit?usp=sharing"",""สระบุรี!Q361"")+IMPORTRANGE(""https://docs.google.com/spreadsheets/d/1j51vR6CYVGhABJpv6tkstgok82RLpXieLzW1yOY5rHw/edi"&amp;"t?usp=sharing"",""สิงห์บุรี!Q361"")+IMPORTRANGE(""https://docs.google.com/spreadsheets/d/1H1EalTWKUSzO4Z1-1CwzoDUaVffgrThEBe2sl74kKG0/edit?usp=sharing"",""สุพรรณบุรี!Q361"")+IMPORTRANGE(""https://docs.google.com/spreadsheets/d/1BmIruG_sIrJLYao_Pdr7zVArWsf"&amp;"oBt2692TMi6x_854/edit?usp=sharing"",""อ่างทอง!Q361"")"),0)</f>
        <v>0</v>
      </c>
      <c r="R361" s="72">
        <f ca="1">IFERROR(__xludf.DUMMYFUNCTION("IMPORTRANGE(""https://docs.google.com/spreadsheets/d/13wPX838HrBrQMCywv1BsuMkt4PEKTChp52zj44s2izQ/edit?usp=sharing"",""กาญจนบุรี!R361"")+IMPORTRANGE(""https://docs.google.com/spreadsheets/d/1ddFKvqj1W1NEiWytbGlB1zMx_ykJDVtmfEQ-6-lIUBA/edit?usp=sharing"","&amp;"""จันทบุรี!R361"")+IMPORTRANGE(""https://docs.google.com/spreadsheets/d/1T1PQvRODqOBZk8BRht_U031fIS1beLA0Ub2CEytj2q0/edit?usp=sharing"",""ฉะเชิงเทรา!R361"")+IMPORTRANGE(""https://docs.google.com/spreadsheets/d/11tr1B-Bhyr79v2bkwVh5h_fR-PStkgjlZtkrZpYurG0/"&amp;"edit?usp=sharing"",""ชลบุรี!R361"")+IMPORTRANGE(""https://docs.google.com/spreadsheets/d/1hh-FVnSX0vozXhGluamEcS54Dw9_zqW0N7qJUWgJ0Sw/edit?usp=sharing"",""ชัยนาท!R361"")+IMPORTRANGE(""https://docs.google.com/spreadsheets/d/1jkqa6GXxSacMcY1eN8AHjMNJ_7dDXMJ"&amp;"VRLDlaFSOdPM/edit?usp=sharing"",""ตราด!R361"")+IMPORTRANGE(""https://docs.google.com/spreadsheets/d/18hSgUJ3VwClqi_qtULmmW3cLr0oe3OKaSYoKzdpTsYQ/edit?usp=sharing"",""นครนายก!R361"")+IMPORTRANGE(""https://docs.google.com/spreadsheets/d/1YTZo6WM2dQ6Ix6FSdnL"&amp;"5P7uVnVKu40sxZu975tgG10E/edit?usp=sharing"",""นครปฐม!R361"")+IMPORTRANGE(""https://docs.google.com/spreadsheets/d/1OYoGg4WDg5RIzwGeB10padOxJF9E_Vljuvvct_M7RDo/edit?usp=sharing"",""ปทุมธานี!R361"")+IMPORTRANGE(""https://docs.google.com/spreadsheets/d/1GbCI"&amp;"E4D4wk9FUozzqk7SxfDMxDVBwVmI5zcaVUSzKAc/edit?usp=sharing"",""ประจวบคีรีขันธ์!R361"")+IMPORTRANGE(""https://docs.google.com/spreadsheets/d/1vVf6wykvW_lAyu7Yo9L4hUTqHqIeP_qcVuxCtosJEbg/edit?usp=sharing"",""ปราจีนบุรี!R361"")+IMPORTRANGE(""https://docs.googl"&amp;"e.com/spreadsheets/d/1BIDqLLg5jk3v59G8NlR8rk5xfQDKne0sAvZHSj7TI6I/edit?usp=sharing"",""พระนครศรีอยุธยา!R361"")+IMPORTRANGE(""https://docs.google.com/spreadsheets/d/1YXvxf8Yu6_rV4hTBrwMqAcAnv6DfhUxh5emyM3CJp_w/edit?usp=sharing"",""เพชรบุรี!R361"")+IMPORTRA"&amp;"NGE(""https://docs.google.com/spreadsheets/d/19KBlQQs7uwvsao6t2n-KvW3Ax8J8uRRfZPq1zPbXgKc/edit?usp=sharing"",""ระยอง!R361"")+IMPORTRANGE(""https://docs.google.com/spreadsheets/d/1jQ6P4QcrGM89YfqcC_PxOHGCMq5ezhucwJd8ci-NHng/edit?usp=sharing"",""ราชบุรี!R36"&amp;"1"")+IMPORTRANGE(""https://docs.google.com/spreadsheets/d/1lufeA2cfFqM-elVq2hznhDzC6Pr7wkJ9ZG_sYNGCMCU/edit?usp=sharing"",""ลพบุรี!R361"")+IMPORTRANGE(""https://docs.google.com/spreadsheets/d/10oOiF7loTyfsTkbd4MpaIm0HQ9SwB7IYHdIUvt-U1Uc/edit?usp=sharing"""&amp;",""สระแก้ว!R361"")+IMPORTRANGE(""https://docs.google.com/spreadsheets/d/1xmPlrr1QbdSIKvl1dWUl9K4PjAfSL9oeMr_37QVzcxc/edit?usp=sharing"",""สระบุรี!R361"")+IMPORTRANGE(""https://docs.google.com/spreadsheets/d/1j51vR6CYVGhABJpv6tkstgok82RLpXieLzW1yOY5rHw/edi"&amp;"t?usp=sharing"",""สิงห์บุรี!R361"")+IMPORTRANGE(""https://docs.google.com/spreadsheets/d/1H1EalTWKUSzO4Z1-1CwzoDUaVffgrThEBe2sl74kKG0/edit?usp=sharing"",""สุพรรณบุรี!R361"")+IMPORTRANGE(""https://docs.google.com/spreadsheets/d/1BmIruG_sIrJLYao_Pdr7zVArWsf"&amp;"oBt2692TMi6x_854/edit?usp=sharing"",""อ่างทอง!R361"")"),0)</f>
        <v>0</v>
      </c>
      <c r="S361" s="72">
        <f ca="1">IFERROR(__xludf.DUMMYFUNCTION("IMPORTRANGE(""https://docs.google.com/spreadsheets/d/13wPX838HrBrQMCywv1BsuMkt4PEKTChp52zj44s2izQ/edit?usp=sharing"",""กาญจนบุรี!S361"")+IMPORTRANGE(""https://docs.google.com/spreadsheets/d/1ddFKvqj1W1NEiWytbGlB1zMx_ykJDVtmfEQ-6-lIUBA/edit?usp=sharing"","&amp;"""จันทบุรี!S361"")+IMPORTRANGE(""https://docs.google.com/spreadsheets/d/1T1PQvRODqOBZk8BRht_U031fIS1beLA0Ub2CEytj2q0/edit?usp=sharing"",""ฉะเชิงเทรา!S361"")+IMPORTRANGE(""https://docs.google.com/spreadsheets/d/11tr1B-Bhyr79v2bkwVh5h_fR-PStkgjlZtkrZpYurG0/"&amp;"edit?usp=sharing"",""ชลบุรี!S361"")+IMPORTRANGE(""https://docs.google.com/spreadsheets/d/1hh-FVnSX0vozXhGluamEcS54Dw9_zqW0N7qJUWgJ0Sw/edit?usp=sharing"",""ชัยนาท!S361"")+IMPORTRANGE(""https://docs.google.com/spreadsheets/d/1jkqa6GXxSacMcY1eN8AHjMNJ_7dDXMJ"&amp;"VRLDlaFSOdPM/edit?usp=sharing"",""ตราด!S361"")+IMPORTRANGE(""https://docs.google.com/spreadsheets/d/18hSgUJ3VwClqi_qtULmmW3cLr0oe3OKaSYoKzdpTsYQ/edit?usp=sharing"",""นครนายก!S361"")+IMPORTRANGE(""https://docs.google.com/spreadsheets/d/1YTZo6WM2dQ6Ix6FSdnL"&amp;"5P7uVnVKu40sxZu975tgG10E/edit?usp=sharing"",""นครปฐม!S361"")+IMPORTRANGE(""https://docs.google.com/spreadsheets/d/1OYoGg4WDg5RIzwGeB10padOxJF9E_Vljuvvct_M7RDo/edit?usp=sharing"",""ปทุมธานี!S361"")+IMPORTRANGE(""https://docs.google.com/spreadsheets/d/1GbCI"&amp;"E4D4wk9FUozzqk7SxfDMxDVBwVmI5zcaVUSzKAc/edit?usp=sharing"",""ประจวบคีรีขันธ์!S361"")+IMPORTRANGE(""https://docs.google.com/spreadsheets/d/1vVf6wykvW_lAyu7Yo9L4hUTqHqIeP_qcVuxCtosJEbg/edit?usp=sharing"",""ปราจีนบุรี!S361"")+IMPORTRANGE(""https://docs.googl"&amp;"e.com/spreadsheets/d/1BIDqLLg5jk3v59G8NlR8rk5xfQDKne0sAvZHSj7TI6I/edit?usp=sharing"",""พระนครศรีอยุธยา!S361"")+IMPORTRANGE(""https://docs.google.com/spreadsheets/d/1YXvxf8Yu6_rV4hTBrwMqAcAnv6DfhUxh5emyM3CJp_w/edit?usp=sharing"",""เพชรบุรี!S361"")+IMPORTRA"&amp;"NGE(""https://docs.google.com/spreadsheets/d/19KBlQQs7uwvsao6t2n-KvW3Ax8J8uRRfZPq1zPbXgKc/edit?usp=sharing"",""ระยอง!S361"")+IMPORTRANGE(""https://docs.google.com/spreadsheets/d/1jQ6P4QcrGM89YfqcC_PxOHGCMq5ezhucwJd8ci-NHng/edit?usp=sharing"",""ราชบุรี!S36"&amp;"1"")+IMPORTRANGE(""https://docs.google.com/spreadsheets/d/1lufeA2cfFqM-elVq2hznhDzC6Pr7wkJ9ZG_sYNGCMCU/edit?usp=sharing"",""ลพบุรี!S361"")+IMPORTRANGE(""https://docs.google.com/spreadsheets/d/10oOiF7loTyfsTkbd4MpaIm0HQ9SwB7IYHdIUvt-U1Uc/edit?usp=sharing"""&amp;",""สระแก้ว!S361"")+IMPORTRANGE(""https://docs.google.com/spreadsheets/d/1xmPlrr1QbdSIKvl1dWUl9K4PjAfSL9oeMr_37QVzcxc/edit?usp=sharing"",""สระบุรี!S361"")+IMPORTRANGE(""https://docs.google.com/spreadsheets/d/1j51vR6CYVGhABJpv6tkstgok82RLpXieLzW1yOY5rHw/edi"&amp;"t?usp=sharing"",""สิงห์บุรี!S361"")+IMPORTRANGE(""https://docs.google.com/spreadsheets/d/1H1EalTWKUSzO4Z1-1CwzoDUaVffgrThEBe2sl74kKG0/edit?usp=sharing"",""สุพรรณบุรี!S361"")+IMPORTRANGE(""https://docs.google.com/spreadsheets/d/1BmIruG_sIrJLYao_Pdr7zVArWsf"&amp;"oBt2692TMi6x_854/edit?usp=sharing"",""อ่างทอง!S361"")"),0)</f>
        <v>0</v>
      </c>
      <c r="T361" s="130">
        <f t="shared" ca="1" si="262"/>
        <v>0</v>
      </c>
      <c r="U361" s="130">
        <f t="shared" ca="1" si="263"/>
        <v>0</v>
      </c>
    </row>
    <row r="362" spans="1:21" ht="18.75" x14ac:dyDescent="0.25">
      <c r="A362" s="207"/>
      <c r="B362" s="65"/>
      <c r="C362" s="65"/>
      <c r="D362" s="66" t="s">
        <v>23</v>
      </c>
      <c r="E362" s="65"/>
      <c r="F362" s="65"/>
      <c r="G362" s="67"/>
      <c r="H362" s="219" t="s">
        <v>14</v>
      </c>
      <c r="I362" s="217"/>
      <c r="J362" s="217"/>
      <c r="K362" s="218"/>
      <c r="L362" s="86">
        <f t="shared" ref="L362:N362" ca="1" si="270">L363+L364</f>
        <v>0</v>
      </c>
      <c r="M362" s="86">
        <f t="shared" ca="1" si="270"/>
        <v>0</v>
      </c>
      <c r="N362" s="86">
        <f t="shared" ca="1" si="270"/>
        <v>0</v>
      </c>
      <c r="O362" s="86">
        <f t="shared" ca="1" si="259"/>
        <v>0</v>
      </c>
      <c r="P362" s="86">
        <f t="shared" ca="1" si="260"/>
        <v>0</v>
      </c>
      <c r="Q362" s="129">
        <f t="shared" ref="Q362:S362" ca="1" si="271">Q363+Q364</f>
        <v>0</v>
      </c>
      <c r="R362" s="130">
        <f t="shared" ca="1" si="271"/>
        <v>0</v>
      </c>
      <c r="S362" s="130">
        <f t="shared" ca="1" si="271"/>
        <v>0</v>
      </c>
      <c r="T362" s="130">
        <f t="shared" ca="1" si="262"/>
        <v>0</v>
      </c>
      <c r="U362" s="130">
        <f t="shared" ca="1" si="263"/>
        <v>0</v>
      </c>
    </row>
    <row r="363" spans="1:21" ht="18.75" hidden="1" x14ac:dyDescent="0.25">
      <c r="A363" s="207"/>
      <c r="B363" s="65"/>
      <c r="C363" s="65"/>
      <c r="D363" s="65"/>
      <c r="E363" s="73" t="s">
        <v>20</v>
      </c>
      <c r="F363" s="65"/>
      <c r="G363" s="67"/>
      <c r="H363" s="216" t="s">
        <v>14</v>
      </c>
      <c r="I363" s="217"/>
      <c r="J363" s="217"/>
      <c r="K363" s="218"/>
      <c r="L363" s="86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3" s="86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3" s="86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3" s="86">
        <f t="shared" ca="1" si="259"/>
        <v>0</v>
      </c>
      <c r="P363" s="86">
        <f t="shared" ca="1" si="260"/>
        <v>0</v>
      </c>
      <c r="Q363" s="74">
        <f ca="1">IFERROR(__xludf.DUMMYFUNCTION("IMPORTRANGE(""https://docs.google.com/spreadsheets/d/13wPX838HrBrQMCywv1BsuMkt4PEKTChp52zj44s2izQ/edit?usp=sharing"",""กาญจนบุรี!Q363"")+IMPORTRANGE(""https://docs.google.com/spreadsheets/d/1ddFKvqj1W1NEiWytbGlB1zMx_ykJDVtmfEQ-6-lIUBA/edit?usp=sharing"","&amp;"""จันทบุรี!Q363"")+IMPORTRANGE(""https://docs.google.com/spreadsheets/d/1T1PQvRODqOBZk8BRht_U031fIS1beLA0Ub2CEytj2q0/edit?usp=sharing"",""ฉะเชิงเทรา!Q363"")+IMPORTRANGE(""https://docs.google.com/spreadsheets/d/11tr1B-Bhyr79v2bkwVh5h_fR-PStkgjlZtkrZpYurG0/"&amp;"edit?usp=sharing"",""ชลบุรี!Q363"")+IMPORTRANGE(""https://docs.google.com/spreadsheets/d/1hh-FVnSX0vozXhGluamEcS54Dw9_zqW0N7qJUWgJ0Sw/edit?usp=sharing"",""ชัยนาท!Q363"")+IMPORTRANGE(""https://docs.google.com/spreadsheets/d/1jkqa6GXxSacMcY1eN8AHjMNJ_7dDXMJ"&amp;"VRLDlaFSOdPM/edit?usp=sharing"",""ตราด!Q363"")+IMPORTRANGE(""https://docs.google.com/spreadsheets/d/18hSgUJ3VwClqi_qtULmmW3cLr0oe3OKaSYoKzdpTsYQ/edit?usp=sharing"",""นครนายก!Q363"")+IMPORTRANGE(""https://docs.google.com/spreadsheets/d/1YTZo6WM2dQ6Ix6FSdnL"&amp;"5P7uVnVKu40sxZu975tgG10E/edit?usp=sharing"",""นครปฐม!Q363"")+IMPORTRANGE(""https://docs.google.com/spreadsheets/d/1OYoGg4WDg5RIzwGeB10padOxJF9E_Vljuvvct_M7RDo/edit?usp=sharing"",""ปทุมธานี!Q363"")+IMPORTRANGE(""https://docs.google.com/spreadsheets/d/1GbCI"&amp;"E4D4wk9FUozzqk7SxfDMxDVBwVmI5zcaVUSzKAc/edit?usp=sharing"",""ประจวบคีรีขันธ์!Q363"")+IMPORTRANGE(""https://docs.google.com/spreadsheets/d/1vVf6wykvW_lAyu7Yo9L4hUTqHqIeP_qcVuxCtosJEbg/edit?usp=sharing"",""ปราจีนบุรี!Q363"")+IMPORTRANGE(""https://docs.googl"&amp;"e.com/spreadsheets/d/1BIDqLLg5jk3v59G8NlR8rk5xfQDKne0sAvZHSj7TI6I/edit?usp=sharing"",""พระนครศรีอยุธยา!Q363"")+IMPORTRANGE(""https://docs.google.com/spreadsheets/d/1YXvxf8Yu6_rV4hTBrwMqAcAnv6DfhUxh5emyM3CJp_w/edit?usp=sharing"",""เพชรบุรี!Q363"")+IMPORTRA"&amp;"NGE(""https://docs.google.com/spreadsheets/d/19KBlQQs7uwvsao6t2n-KvW3Ax8J8uRRfZPq1zPbXgKc/edit?usp=sharing"",""ระยอง!Q363"")+IMPORTRANGE(""https://docs.google.com/spreadsheets/d/1jQ6P4QcrGM89YfqcC_PxOHGCMq5ezhucwJd8ci-NHng/edit?usp=sharing"",""ราชบุรี!Q36"&amp;"3"")+IMPORTRANGE(""https://docs.google.com/spreadsheets/d/1lufeA2cfFqM-elVq2hznhDzC6Pr7wkJ9ZG_sYNGCMCU/edit?usp=sharing"",""ลพบุรี!Q363"")+IMPORTRANGE(""https://docs.google.com/spreadsheets/d/10oOiF7loTyfsTkbd4MpaIm0HQ9SwB7IYHdIUvt-U1Uc/edit?usp=sharing"""&amp;",""สระแก้ว!Q363"")+IMPORTRANGE(""https://docs.google.com/spreadsheets/d/1xmPlrr1QbdSIKvl1dWUl9K4PjAfSL9oeMr_37QVzcxc/edit?usp=sharing"",""สระบุรี!Q363"")+IMPORTRANGE(""https://docs.google.com/spreadsheets/d/1j51vR6CYVGhABJpv6tkstgok82RLpXieLzW1yOY5rHw/edi"&amp;"t?usp=sharing"",""สิงห์บุรี!Q363"")+IMPORTRANGE(""https://docs.google.com/spreadsheets/d/1H1EalTWKUSzO4Z1-1CwzoDUaVffgrThEBe2sl74kKG0/edit?usp=sharing"",""สุพรรณบุรี!Q363"")+IMPORTRANGE(""https://docs.google.com/spreadsheets/d/1BmIruG_sIrJLYao_Pdr7zVArWsf"&amp;"oBt2692TMi6x_854/edit?usp=sharing"",""อ่างทอง!Q363"")"),0)</f>
        <v>0</v>
      </c>
      <c r="R363" s="75">
        <f ca="1">IFERROR(__xludf.DUMMYFUNCTION("IMPORTRANGE(""https://docs.google.com/spreadsheets/d/13wPX838HrBrQMCywv1BsuMkt4PEKTChp52zj44s2izQ/edit?usp=sharing"",""กาญจนบุรี!R363"")+IMPORTRANGE(""https://docs.google.com/spreadsheets/d/1ddFKvqj1W1NEiWytbGlB1zMx_ykJDVtmfEQ-6-lIUBA/edit?usp=sharing"","&amp;"""จันทบุรี!R363"")+IMPORTRANGE(""https://docs.google.com/spreadsheets/d/1T1PQvRODqOBZk8BRht_U031fIS1beLA0Ub2CEytj2q0/edit?usp=sharing"",""ฉะเชิงเทรา!R363"")+IMPORTRANGE(""https://docs.google.com/spreadsheets/d/11tr1B-Bhyr79v2bkwVh5h_fR-PStkgjlZtkrZpYurG0/"&amp;"edit?usp=sharing"",""ชลบุรี!R363"")+IMPORTRANGE(""https://docs.google.com/spreadsheets/d/1hh-FVnSX0vozXhGluamEcS54Dw9_zqW0N7qJUWgJ0Sw/edit?usp=sharing"",""ชัยนาท!R363"")+IMPORTRANGE(""https://docs.google.com/spreadsheets/d/1jkqa6GXxSacMcY1eN8AHjMNJ_7dDXMJ"&amp;"VRLDlaFSOdPM/edit?usp=sharing"",""ตราด!R363"")+IMPORTRANGE(""https://docs.google.com/spreadsheets/d/18hSgUJ3VwClqi_qtULmmW3cLr0oe3OKaSYoKzdpTsYQ/edit?usp=sharing"",""นครนายก!R363"")+IMPORTRANGE(""https://docs.google.com/spreadsheets/d/1YTZo6WM2dQ6Ix6FSdnL"&amp;"5P7uVnVKu40sxZu975tgG10E/edit?usp=sharing"",""นครปฐม!R363"")+IMPORTRANGE(""https://docs.google.com/spreadsheets/d/1OYoGg4WDg5RIzwGeB10padOxJF9E_Vljuvvct_M7RDo/edit?usp=sharing"",""ปทุมธานี!R363"")+IMPORTRANGE(""https://docs.google.com/spreadsheets/d/1GbCI"&amp;"E4D4wk9FUozzqk7SxfDMxDVBwVmI5zcaVUSzKAc/edit?usp=sharing"",""ประจวบคีรีขันธ์!R363"")+IMPORTRANGE(""https://docs.google.com/spreadsheets/d/1vVf6wykvW_lAyu7Yo9L4hUTqHqIeP_qcVuxCtosJEbg/edit?usp=sharing"",""ปราจีนบุรี!R363"")+IMPORTRANGE(""https://docs.googl"&amp;"e.com/spreadsheets/d/1BIDqLLg5jk3v59G8NlR8rk5xfQDKne0sAvZHSj7TI6I/edit?usp=sharing"",""พระนครศรีอยุธยา!R363"")+IMPORTRANGE(""https://docs.google.com/spreadsheets/d/1YXvxf8Yu6_rV4hTBrwMqAcAnv6DfhUxh5emyM3CJp_w/edit?usp=sharing"",""เพชรบุรี!R363"")+IMPORTRA"&amp;"NGE(""https://docs.google.com/spreadsheets/d/19KBlQQs7uwvsao6t2n-KvW3Ax8J8uRRfZPq1zPbXgKc/edit?usp=sharing"",""ระยอง!R363"")+IMPORTRANGE(""https://docs.google.com/spreadsheets/d/1jQ6P4QcrGM89YfqcC_PxOHGCMq5ezhucwJd8ci-NHng/edit?usp=sharing"",""ราชบุรี!R36"&amp;"3"")+IMPORTRANGE(""https://docs.google.com/spreadsheets/d/1lufeA2cfFqM-elVq2hznhDzC6Pr7wkJ9ZG_sYNGCMCU/edit?usp=sharing"",""ลพบุรี!R363"")+IMPORTRANGE(""https://docs.google.com/spreadsheets/d/10oOiF7loTyfsTkbd4MpaIm0HQ9SwB7IYHdIUvt-U1Uc/edit?usp=sharing"""&amp;",""สระแก้ว!R363"")+IMPORTRANGE(""https://docs.google.com/spreadsheets/d/1xmPlrr1QbdSIKvl1dWUl9K4PjAfSL9oeMr_37QVzcxc/edit?usp=sharing"",""สระบุรี!R363"")+IMPORTRANGE(""https://docs.google.com/spreadsheets/d/1j51vR6CYVGhABJpv6tkstgok82RLpXieLzW1yOY5rHw/edi"&amp;"t?usp=sharing"",""สิงห์บุรี!R363"")+IMPORTRANGE(""https://docs.google.com/spreadsheets/d/1H1EalTWKUSzO4Z1-1CwzoDUaVffgrThEBe2sl74kKG0/edit?usp=sharing"",""สุพรรณบุรี!R363"")+IMPORTRANGE(""https://docs.google.com/spreadsheets/d/1BmIruG_sIrJLYao_Pdr7zVArWsf"&amp;"oBt2692TMi6x_854/edit?usp=sharing"",""อ่างทอง!R363"")"),0)</f>
        <v>0</v>
      </c>
      <c r="S363" s="75">
        <f ca="1">IFERROR(__xludf.DUMMYFUNCTION("IMPORTRANGE(""https://docs.google.com/spreadsheets/d/13wPX838HrBrQMCywv1BsuMkt4PEKTChp52zj44s2izQ/edit?usp=sharing"",""กาญจนบุรี!S363"")+IMPORTRANGE(""https://docs.google.com/spreadsheets/d/1ddFKvqj1W1NEiWytbGlB1zMx_ykJDVtmfEQ-6-lIUBA/edit?usp=sharing"","&amp;"""จันทบุรี!S363"")+IMPORTRANGE(""https://docs.google.com/spreadsheets/d/1T1PQvRODqOBZk8BRht_U031fIS1beLA0Ub2CEytj2q0/edit?usp=sharing"",""ฉะเชิงเทรา!S363"")+IMPORTRANGE(""https://docs.google.com/spreadsheets/d/11tr1B-Bhyr79v2bkwVh5h_fR-PStkgjlZtkrZpYurG0/"&amp;"edit?usp=sharing"",""ชลบุรี!S363"")+IMPORTRANGE(""https://docs.google.com/spreadsheets/d/1hh-FVnSX0vozXhGluamEcS54Dw9_zqW0N7qJUWgJ0Sw/edit?usp=sharing"",""ชัยนาท!S363"")+IMPORTRANGE(""https://docs.google.com/spreadsheets/d/1jkqa6GXxSacMcY1eN8AHjMNJ_7dDXMJ"&amp;"VRLDlaFSOdPM/edit?usp=sharing"",""ตราด!S363"")+IMPORTRANGE(""https://docs.google.com/spreadsheets/d/18hSgUJ3VwClqi_qtULmmW3cLr0oe3OKaSYoKzdpTsYQ/edit?usp=sharing"",""นครนายก!S363"")+IMPORTRANGE(""https://docs.google.com/spreadsheets/d/1YTZo6WM2dQ6Ix6FSdnL"&amp;"5P7uVnVKu40sxZu975tgG10E/edit?usp=sharing"",""นครปฐม!S363"")+IMPORTRANGE(""https://docs.google.com/spreadsheets/d/1OYoGg4WDg5RIzwGeB10padOxJF9E_Vljuvvct_M7RDo/edit?usp=sharing"",""ปทุมธานี!S363"")+IMPORTRANGE(""https://docs.google.com/spreadsheets/d/1GbCI"&amp;"E4D4wk9FUozzqk7SxfDMxDVBwVmI5zcaVUSzKAc/edit?usp=sharing"",""ประจวบคีรีขันธ์!S363"")+IMPORTRANGE(""https://docs.google.com/spreadsheets/d/1vVf6wykvW_lAyu7Yo9L4hUTqHqIeP_qcVuxCtosJEbg/edit?usp=sharing"",""ปราจีนบุรี!S363"")+IMPORTRANGE(""https://docs.googl"&amp;"e.com/spreadsheets/d/1BIDqLLg5jk3v59G8NlR8rk5xfQDKne0sAvZHSj7TI6I/edit?usp=sharing"",""พระนครศรีอยุธยา!S363"")+IMPORTRANGE(""https://docs.google.com/spreadsheets/d/1YXvxf8Yu6_rV4hTBrwMqAcAnv6DfhUxh5emyM3CJp_w/edit?usp=sharing"",""เพชรบุรี!S363"")+IMPORTRA"&amp;"NGE(""https://docs.google.com/spreadsheets/d/19KBlQQs7uwvsao6t2n-KvW3Ax8J8uRRfZPq1zPbXgKc/edit?usp=sharing"",""ระยอง!S363"")+IMPORTRANGE(""https://docs.google.com/spreadsheets/d/1jQ6P4QcrGM89YfqcC_PxOHGCMq5ezhucwJd8ci-NHng/edit?usp=sharing"",""ราชบุรี!S36"&amp;"3"")+IMPORTRANGE(""https://docs.google.com/spreadsheets/d/1lufeA2cfFqM-elVq2hznhDzC6Pr7wkJ9ZG_sYNGCMCU/edit?usp=sharing"",""ลพบุรี!S363"")+IMPORTRANGE(""https://docs.google.com/spreadsheets/d/10oOiF7loTyfsTkbd4MpaIm0HQ9SwB7IYHdIUvt-U1Uc/edit?usp=sharing"""&amp;",""สระแก้ว!S363"")+IMPORTRANGE(""https://docs.google.com/spreadsheets/d/1xmPlrr1QbdSIKvl1dWUl9K4PjAfSL9oeMr_37QVzcxc/edit?usp=sharing"",""สระบุรี!S363"")+IMPORTRANGE(""https://docs.google.com/spreadsheets/d/1j51vR6CYVGhABJpv6tkstgok82RLpXieLzW1yOY5rHw/edi"&amp;"t?usp=sharing"",""สิงห์บุรี!S363"")+IMPORTRANGE(""https://docs.google.com/spreadsheets/d/1H1EalTWKUSzO4Z1-1CwzoDUaVffgrThEBe2sl74kKG0/edit?usp=sharing"",""สุพรรณบุรี!S363"")+IMPORTRANGE(""https://docs.google.com/spreadsheets/d/1BmIruG_sIrJLYao_Pdr7zVArWsf"&amp;"oBt2692TMi6x_854/edit?usp=sharing"",""อ่างทอง!S363"")"),0)</f>
        <v>0</v>
      </c>
      <c r="T363" s="131">
        <f t="shared" ca="1" si="262"/>
        <v>0</v>
      </c>
      <c r="U363" s="131">
        <f t="shared" ca="1" si="263"/>
        <v>0</v>
      </c>
    </row>
    <row r="364" spans="1:21" ht="18.75" hidden="1" x14ac:dyDescent="0.25">
      <c r="A364" s="207"/>
      <c r="B364" s="65"/>
      <c r="C364" s="65"/>
      <c r="D364" s="65"/>
      <c r="E364" s="73" t="s">
        <v>21</v>
      </c>
      <c r="F364" s="65"/>
      <c r="G364" s="67"/>
      <c r="H364" s="219" t="s">
        <v>14</v>
      </c>
      <c r="I364" s="217"/>
      <c r="J364" s="217"/>
      <c r="K364" s="218"/>
      <c r="L364" s="86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4" s="86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4" s="86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4" s="86">
        <f t="shared" ca="1" si="259"/>
        <v>0</v>
      </c>
      <c r="P364" s="86">
        <f t="shared" ca="1" si="260"/>
        <v>0</v>
      </c>
      <c r="Q364" s="71">
        <f ca="1">IFERROR(__xludf.DUMMYFUNCTION("IMPORTRANGE(""https://docs.google.com/spreadsheets/d/13wPX838HrBrQMCywv1BsuMkt4PEKTChp52zj44s2izQ/edit?usp=sharing"",""กาญจนบุรี!Q364"")+IMPORTRANGE(""https://docs.google.com/spreadsheets/d/1ddFKvqj1W1NEiWytbGlB1zMx_ykJDVtmfEQ-6-lIUBA/edit?usp=sharing"","&amp;"""จันทบุรี!Q364"")+IMPORTRANGE(""https://docs.google.com/spreadsheets/d/1T1PQvRODqOBZk8BRht_U031fIS1beLA0Ub2CEytj2q0/edit?usp=sharing"",""ฉะเชิงเทรา!Q364"")+IMPORTRANGE(""https://docs.google.com/spreadsheets/d/11tr1B-Bhyr79v2bkwVh5h_fR-PStkgjlZtkrZpYurG0/"&amp;"edit?usp=sharing"",""ชลบุรี!Q364"")+IMPORTRANGE(""https://docs.google.com/spreadsheets/d/1hh-FVnSX0vozXhGluamEcS54Dw9_zqW0N7qJUWgJ0Sw/edit?usp=sharing"",""ชัยนาท!Q364"")+IMPORTRANGE(""https://docs.google.com/spreadsheets/d/1jkqa6GXxSacMcY1eN8AHjMNJ_7dDXMJ"&amp;"VRLDlaFSOdPM/edit?usp=sharing"",""ตราด!Q364"")+IMPORTRANGE(""https://docs.google.com/spreadsheets/d/18hSgUJ3VwClqi_qtULmmW3cLr0oe3OKaSYoKzdpTsYQ/edit?usp=sharing"",""นครนายก!Q364"")+IMPORTRANGE(""https://docs.google.com/spreadsheets/d/1YTZo6WM2dQ6Ix6FSdnL"&amp;"5P7uVnVKu40sxZu975tgG10E/edit?usp=sharing"",""นครปฐม!Q364"")+IMPORTRANGE(""https://docs.google.com/spreadsheets/d/1OYoGg4WDg5RIzwGeB10padOxJF9E_Vljuvvct_M7RDo/edit?usp=sharing"",""ปทุมธานี!Q364"")+IMPORTRANGE(""https://docs.google.com/spreadsheets/d/1GbCI"&amp;"E4D4wk9FUozzqk7SxfDMxDVBwVmI5zcaVUSzKAc/edit?usp=sharing"",""ประจวบคีรีขันธ์!Q364"")+IMPORTRANGE(""https://docs.google.com/spreadsheets/d/1vVf6wykvW_lAyu7Yo9L4hUTqHqIeP_qcVuxCtosJEbg/edit?usp=sharing"",""ปราจีนบุรี!Q364"")+IMPORTRANGE(""https://docs.googl"&amp;"e.com/spreadsheets/d/1BIDqLLg5jk3v59G8NlR8rk5xfQDKne0sAvZHSj7TI6I/edit?usp=sharing"",""พระนครศรีอยุธยา!Q364"")+IMPORTRANGE(""https://docs.google.com/spreadsheets/d/1YXvxf8Yu6_rV4hTBrwMqAcAnv6DfhUxh5emyM3CJp_w/edit?usp=sharing"",""เพชรบุรี!Q364"")+IMPORTRA"&amp;"NGE(""https://docs.google.com/spreadsheets/d/19KBlQQs7uwvsao6t2n-KvW3Ax8J8uRRfZPq1zPbXgKc/edit?usp=sharing"",""ระยอง!Q364"")+IMPORTRANGE(""https://docs.google.com/spreadsheets/d/1jQ6P4QcrGM89YfqcC_PxOHGCMq5ezhucwJd8ci-NHng/edit?usp=sharing"",""ราชบุรี!Q36"&amp;"4"")+IMPORTRANGE(""https://docs.google.com/spreadsheets/d/1lufeA2cfFqM-elVq2hznhDzC6Pr7wkJ9ZG_sYNGCMCU/edit?usp=sharing"",""ลพบุรี!Q364"")+IMPORTRANGE(""https://docs.google.com/spreadsheets/d/10oOiF7loTyfsTkbd4MpaIm0HQ9SwB7IYHdIUvt-U1Uc/edit?usp=sharing"""&amp;",""สระแก้ว!Q364"")+IMPORTRANGE(""https://docs.google.com/spreadsheets/d/1xmPlrr1QbdSIKvl1dWUl9K4PjAfSL9oeMr_37QVzcxc/edit?usp=sharing"",""สระบุรี!Q364"")+IMPORTRANGE(""https://docs.google.com/spreadsheets/d/1j51vR6CYVGhABJpv6tkstgok82RLpXieLzW1yOY5rHw/edi"&amp;"t?usp=sharing"",""สิงห์บุรี!Q364"")+IMPORTRANGE(""https://docs.google.com/spreadsheets/d/1H1EalTWKUSzO4Z1-1CwzoDUaVffgrThEBe2sl74kKG0/edit?usp=sharing"",""สุพรรณบุรี!Q364"")+IMPORTRANGE(""https://docs.google.com/spreadsheets/d/1BmIruG_sIrJLYao_Pdr7zVArWsf"&amp;"oBt2692TMi6x_854/edit?usp=sharing"",""อ่างทอง!Q364"")"),0)</f>
        <v>0</v>
      </c>
      <c r="R364" s="72">
        <f ca="1">IFERROR(__xludf.DUMMYFUNCTION("IMPORTRANGE(""https://docs.google.com/spreadsheets/d/13wPX838HrBrQMCywv1BsuMkt4PEKTChp52zj44s2izQ/edit?usp=sharing"",""กาญจนบุรี!R364"")+IMPORTRANGE(""https://docs.google.com/spreadsheets/d/1ddFKvqj1W1NEiWytbGlB1zMx_ykJDVtmfEQ-6-lIUBA/edit?usp=sharing"","&amp;"""จันทบุรี!R364"")+IMPORTRANGE(""https://docs.google.com/spreadsheets/d/1T1PQvRODqOBZk8BRht_U031fIS1beLA0Ub2CEytj2q0/edit?usp=sharing"",""ฉะเชิงเทรา!R364"")+IMPORTRANGE(""https://docs.google.com/spreadsheets/d/11tr1B-Bhyr79v2bkwVh5h_fR-PStkgjlZtkrZpYurG0/"&amp;"edit?usp=sharing"",""ชลบุรี!R364"")+IMPORTRANGE(""https://docs.google.com/spreadsheets/d/1hh-FVnSX0vozXhGluamEcS54Dw9_zqW0N7qJUWgJ0Sw/edit?usp=sharing"",""ชัยนาท!R364"")+IMPORTRANGE(""https://docs.google.com/spreadsheets/d/1jkqa6GXxSacMcY1eN8AHjMNJ_7dDXMJ"&amp;"VRLDlaFSOdPM/edit?usp=sharing"",""ตราด!R364"")+IMPORTRANGE(""https://docs.google.com/spreadsheets/d/18hSgUJ3VwClqi_qtULmmW3cLr0oe3OKaSYoKzdpTsYQ/edit?usp=sharing"",""นครนายก!R364"")+IMPORTRANGE(""https://docs.google.com/spreadsheets/d/1YTZo6WM2dQ6Ix6FSdnL"&amp;"5P7uVnVKu40sxZu975tgG10E/edit?usp=sharing"",""นครปฐม!R364"")+IMPORTRANGE(""https://docs.google.com/spreadsheets/d/1OYoGg4WDg5RIzwGeB10padOxJF9E_Vljuvvct_M7RDo/edit?usp=sharing"",""ปทุมธานี!R364"")+IMPORTRANGE(""https://docs.google.com/spreadsheets/d/1GbCI"&amp;"E4D4wk9FUozzqk7SxfDMxDVBwVmI5zcaVUSzKAc/edit?usp=sharing"",""ประจวบคีรีขันธ์!R364"")+IMPORTRANGE(""https://docs.google.com/spreadsheets/d/1vVf6wykvW_lAyu7Yo9L4hUTqHqIeP_qcVuxCtosJEbg/edit?usp=sharing"",""ปราจีนบุรี!R364"")+IMPORTRANGE(""https://docs.googl"&amp;"e.com/spreadsheets/d/1BIDqLLg5jk3v59G8NlR8rk5xfQDKne0sAvZHSj7TI6I/edit?usp=sharing"",""พระนครศรีอยุธยา!R364"")+IMPORTRANGE(""https://docs.google.com/spreadsheets/d/1YXvxf8Yu6_rV4hTBrwMqAcAnv6DfhUxh5emyM3CJp_w/edit?usp=sharing"",""เพชรบุรี!R364"")+IMPORTRA"&amp;"NGE(""https://docs.google.com/spreadsheets/d/19KBlQQs7uwvsao6t2n-KvW3Ax8J8uRRfZPq1zPbXgKc/edit?usp=sharing"",""ระยอง!R364"")+IMPORTRANGE(""https://docs.google.com/spreadsheets/d/1jQ6P4QcrGM89YfqcC_PxOHGCMq5ezhucwJd8ci-NHng/edit?usp=sharing"",""ราชบุรี!R36"&amp;"4"")+IMPORTRANGE(""https://docs.google.com/spreadsheets/d/1lufeA2cfFqM-elVq2hznhDzC6Pr7wkJ9ZG_sYNGCMCU/edit?usp=sharing"",""ลพบุรี!R364"")+IMPORTRANGE(""https://docs.google.com/spreadsheets/d/10oOiF7loTyfsTkbd4MpaIm0HQ9SwB7IYHdIUvt-U1Uc/edit?usp=sharing"""&amp;",""สระแก้ว!R364"")+IMPORTRANGE(""https://docs.google.com/spreadsheets/d/1xmPlrr1QbdSIKvl1dWUl9K4PjAfSL9oeMr_37QVzcxc/edit?usp=sharing"",""สระบุรี!R364"")+IMPORTRANGE(""https://docs.google.com/spreadsheets/d/1j51vR6CYVGhABJpv6tkstgok82RLpXieLzW1yOY5rHw/edi"&amp;"t?usp=sharing"",""สิงห์บุรี!R364"")+IMPORTRANGE(""https://docs.google.com/spreadsheets/d/1H1EalTWKUSzO4Z1-1CwzoDUaVffgrThEBe2sl74kKG0/edit?usp=sharing"",""สุพรรณบุรี!R364"")+IMPORTRANGE(""https://docs.google.com/spreadsheets/d/1BmIruG_sIrJLYao_Pdr7zVArWsf"&amp;"oBt2692TMi6x_854/edit?usp=sharing"",""อ่างทอง!R364"")"),0)</f>
        <v>0</v>
      </c>
      <c r="S364" s="72">
        <f ca="1">IFERROR(__xludf.DUMMYFUNCTION("IMPORTRANGE(""https://docs.google.com/spreadsheets/d/13wPX838HrBrQMCywv1BsuMkt4PEKTChp52zj44s2izQ/edit?usp=sharing"",""กาญจนบุรี!S364"")+IMPORTRANGE(""https://docs.google.com/spreadsheets/d/1ddFKvqj1W1NEiWytbGlB1zMx_ykJDVtmfEQ-6-lIUBA/edit?usp=sharing"","&amp;"""จันทบุรี!S364"")+IMPORTRANGE(""https://docs.google.com/spreadsheets/d/1T1PQvRODqOBZk8BRht_U031fIS1beLA0Ub2CEytj2q0/edit?usp=sharing"",""ฉะเชิงเทรา!S364"")+IMPORTRANGE(""https://docs.google.com/spreadsheets/d/11tr1B-Bhyr79v2bkwVh5h_fR-PStkgjlZtkrZpYurG0/"&amp;"edit?usp=sharing"",""ชลบุรี!S364"")+IMPORTRANGE(""https://docs.google.com/spreadsheets/d/1hh-FVnSX0vozXhGluamEcS54Dw9_zqW0N7qJUWgJ0Sw/edit?usp=sharing"",""ชัยนาท!S364"")+IMPORTRANGE(""https://docs.google.com/spreadsheets/d/1jkqa6GXxSacMcY1eN8AHjMNJ_7dDXMJ"&amp;"VRLDlaFSOdPM/edit?usp=sharing"",""ตราด!S364"")+IMPORTRANGE(""https://docs.google.com/spreadsheets/d/18hSgUJ3VwClqi_qtULmmW3cLr0oe3OKaSYoKzdpTsYQ/edit?usp=sharing"",""นครนายก!S364"")+IMPORTRANGE(""https://docs.google.com/spreadsheets/d/1YTZo6WM2dQ6Ix6FSdnL"&amp;"5P7uVnVKu40sxZu975tgG10E/edit?usp=sharing"",""นครปฐม!S364"")+IMPORTRANGE(""https://docs.google.com/spreadsheets/d/1OYoGg4WDg5RIzwGeB10padOxJF9E_Vljuvvct_M7RDo/edit?usp=sharing"",""ปทุมธานี!S364"")+IMPORTRANGE(""https://docs.google.com/spreadsheets/d/1GbCI"&amp;"E4D4wk9FUozzqk7SxfDMxDVBwVmI5zcaVUSzKAc/edit?usp=sharing"",""ประจวบคีรีขันธ์!S364"")+IMPORTRANGE(""https://docs.google.com/spreadsheets/d/1vVf6wykvW_lAyu7Yo9L4hUTqHqIeP_qcVuxCtosJEbg/edit?usp=sharing"",""ปราจีนบุรี!S364"")+IMPORTRANGE(""https://docs.googl"&amp;"e.com/spreadsheets/d/1BIDqLLg5jk3v59G8NlR8rk5xfQDKne0sAvZHSj7TI6I/edit?usp=sharing"",""พระนครศรีอยุธยา!S364"")+IMPORTRANGE(""https://docs.google.com/spreadsheets/d/1YXvxf8Yu6_rV4hTBrwMqAcAnv6DfhUxh5emyM3CJp_w/edit?usp=sharing"",""เพชรบุรี!S364"")+IMPORTRA"&amp;"NGE(""https://docs.google.com/spreadsheets/d/19KBlQQs7uwvsao6t2n-KvW3Ax8J8uRRfZPq1zPbXgKc/edit?usp=sharing"",""ระยอง!S364"")+IMPORTRANGE(""https://docs.google.com/spreadsheets/d/1jQ6P4QcrGM89YfqcC_PxOHGCMq5ezhucwJd8ci-NHng/edit?usp=sharing"",""ราชบุรี!S36"&amp;"4"")+IMPORTRANGE(""https://docs.google.com/spreadsheets/d/1lufeA2cfFqM-elVq2hznhDzC6Pr7wkJ9ZG_sYNGCMCU/edit?usp=sharing"",""ลพบุรี!S364"")+IMPORTRANGE(""https://docs.google.com/spreadsheets/d/10oOiF7loTyfsTkbd4MpaIm0HQ9SwB7IYHdIUvt-U1Uc/edit?usp=sharing"""&amp;",""สระแก้ว!S364"")+IMPORTRANGE(""https://docs.google.com/spreadsheets/d/1xmPlrr1QbdSIKvl1dWUl9K4PjAfSL9oeMr_37QVzcxc/edit?usp=sharing"",""สระบุรี!S364"")+IMPORTRANGE(""https://docs.google.com/spreadsheets/d/1j51vR6CYVGhABJpv6tkstgok82RLpXieLzW1yOY5rHw/edi"&amp;"t?usp=sharing"",""สิงห์บุรี!S364"")+IMPORTRANGE(""https://docs.google.com/spreadsheets/d/1H1EalTWKUSzO4Z1-1CwzoDUaVffgrThEBe2sl74kKG0/edit?usp=sharing"",""สุพรรณบุรี!S364"")+IMPORTRANGE(""https://docs.google.com/spreadsheets/d/1BmIruG_sIrJLYao_Pdr7zVArWsf"&amp;"oBt2692TMi6x_854/edit?usp=sharing"",""อ่างทอง!S364"")"),0)</f>
        <v>0</v>
      </c>
      <c r="T364" s="130">
        <f t="shared" ca="1" si="262"/>
        <v>0</v>
      </c>
      <c r="U364" s="130">
        <f t="shared" ca="1" si="263"/>
        <v>0</v>
      </c>
    </row>
    <row r="365" spans="1:21" ht="19.5" x14ac:dyDescent="0.3">
      <c r="A365" s="368"/>
      <c r="B365" s="369"/>
      <c r="C365" s="371"/>
      <c r="D365" s="543" t="s">
        <v>150</v>
      </c>
      <c r="E365" s="371"/>
      <c r="F365" s="371"/>
      <c r="G365" s="372"/>
      <c r="H365" s="382" t="s">
        <v>35</v>
      </c>
      <c r="I365" s="544">
        <f t="shared" ref="I365:J365" ca="1" si="272">I371</f>
        <v>3292</v>
      </c>
      <c r="J365" s="544">
        <f t="shared" ca="1" si="272"/>
        <v>2491</v>
      </c>
      <c r="K365" s="545">
        <f ca="1">IF(I365&gt;0,J365*100/I365,0)</f>
        <v>75.668286755771561</v>
      </c>
      <c r="L365" s="376"/>
      <c r="M365" s="376"/>
      <c r="N365" s="376"/>
      <c r="O365" s="376"/>
      <c r="P365" s="376"/>
      <c r="Q365" s="377"/>
      <c r="R365" s="378"/>
      <c r="S365" s="378"/>
      <c r="T365" s="378"/>
      <c r="U365" s="378"/>
    </row>
    <row r="366" spans="1:21" ht="19.5" x14ac:dyDescent="0.3">
      <c r="A366" s="220"/>
      <c r="B366" s="221"/>
      <c r="C366" s="208" t="s">
        <v>18</v>
      </c>
      <c r="D366" s="222" t="s">
        <v>38</v>
      </c>
      <c r="E366" s="223"/>
      <c r="F366" s="223"/>
      <c r="G366" s="224"/>
      <c r="H366" s="225"/>
      <c r="I366" s="69"/>
      <c r="J366" s="69"/>
      <c r="K366" s="70"/>
      <c r="L366" s="218"/>
      <c r="M366" s="218"/>
      <c r="N366" s="218"/>
      <c r="O366" s="218"/>
      <c r="P366" s="218"/>
      <c r="Q366" s="226"/>
      <c r="R366" s="227"/>
      <c r="S366" s="227"/>
      <c r="T366" s="227"/>
      <c r="U366" s="227"/>
    </row>
    <row r="367" spans="1:21" ht="18.75" x14ac:dyDescent="0.25">
      <c r="A367" s="220"/>
      <c r="B367" s="229"/>
      <c r="C367" s="221"/>
      <c r="D367" s="229"/>
      <c r="E367" s="228" t="s">
        <v>151</v>
      </c>
      <c r="F367" s="229"/>
      <c r="G367" s="225"/>
      <c r="H367" s="240" t="s">
        <v>35</v>
      </c>
      <c r="I367" s="237">
        <v>0</v>
      </c>
      <c r="J367" s="237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1665)</f>
        <v>1665</v>
      </c>
      <c r="K367" s="86">
        <f t="shared" ref="K367:K372" si="273">IF(I367&gt;0,J367*100/I367,0)</f>
        <v>0</v>
      </c>
      <c r="L367" s="218"/>
      <c r="M367" s="218"/>
      <c r="N367" s="218"/>
      <c r="O367" s="218"/>
      <c r="P367" s="218"/>
      <c r="Q367" s="226"/>
      <c r="R367" s="227"/>
      <c r="S367" s="227"/>
      <c r="T367" s="227"/>
      <c r="U367" s="227"/>
    </row>
    <row r="368" spans="1:21" ht="18.75" x14ac:dyDescent="0.25">
      <c r="A368" s="220"/>
      <c r="B368" s="229"/>
      <c r="C368" s="221"/>
      <c r="D368" s="229"/>
      <c r="E368" s="229"/>
      <c r="F368" s="229"/>
      <c r="G368" s="225"/>
      <c r="H368" s="240" t="s">
        <v>46</v>
      </c>
      <c r="I368" s="237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14805)</f>
        <v>14805</v>
      </c>
      <c r="J368" s="237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21037.26)</f>
        <v>21037.26</v>
      </c>
      <c r="K368" s="86">
        <f t="shared" ca="1" si="273"/>
        <v>142.09564336372847</v>
      </c>
      <c r="L368" s="218"/>
      <c r="M368" s="218"/>
      <c r="N368" s="218"/>
      <c r="O368" s="218"/>
      <c r="P368" s="218"/>
      <c r="Q368" s="226"/>
      <c r="R368" s="227"/>
      <c r="S368" s="227"/>
      <c r="T368" s="227"/>
      <c r="U368" s="227"/>
    </row>
    <row r="369" spans="1:21" ht="18.75" x14ac:dyDescent="0.25">
      <c r="A369" s="220"/>
      <c r="B369" s="229"/>
      <c r="C369" s="221"/>
      <c r="D369" s="229"/>
      <c r="E369" s="228" t="s">
        <v>152</v>
      </c>
      <c r="F369" s="229"/>
      <c r="G369" s="225"/>
      <c r="H369" s="235" t="s">
        <v>35</v>
      </c>
      <c r="I369" s="237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3292)</f>
        <v>3292</v>
      </c>
      <c r="J369" s="237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3095)</f>
        <v>3095</v>
      </c>
      <c r="K369" s="86">
        <f t="shared" ca="1" si="273"/>
        <v>94.015795868772784</v>
      </c>
      <c r="L369" s="218"/>
      <c r="M369" s="218"/>
      <c r="N369" s="218"/>
      <c r="O369" s="218"/>
      <c r="P369" s="218"/>
      <c r="Q369" s="226"/>
      <c r="R369" s="227"/>
      <c r="S369" s="227"/>
      <c r="T369" s="227"/>
      <c r="U369" s="227"/>
    </row>
    <row r="370" spans="1:21" ht="18.75" x14ac:dyDescent="0.25">
      <c r="A370" s="220"/>
      <c r="B370" s="229"/>
      <c r="C370" s="221"/>
      <c r="D370" s="229"/>
      <c r="E370" s="229"/>
      <c r="F370" s="229"/>
      <c r="G370" s="225"/>
      <c r="H370" s="235" t="s">
        <v>46</v>
      </c>
      <c r="I370" s="237">
        <v>0</v>
      </c>
      <c r="J370" s="237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46698.5)</f>
        <v>46698.5</v>
      </c>
      <c r="K370" s="86">
        <f t="shared" si="273"/>
        <v>0</v>
      </c>
      <c r="L370" s="218"/>
      <c r="M370" s="218"/>
      <c r="N370" s="218"/>
      <c r="O370" s="218"/>
      <c r="P370" s="218"/>
      <c r="Q370" s="226"/>
      <c r="R370" s="227"/>
      <c r="S370" s="227"/>
      <c r="T370" s="227"/>
      <c r="U370" s="227"/>
    </row>
    <row r="371" spans="1:21" ht="18.75" x14ac:dyDescent="0.25">
      <c r="A371" s="220"/>
      <c r="B371" s="229"/>
      <c r="C371" s="221"/>
      <c r="D371" s="229"/>
      <c r="E371" s="228" t="s">
        <v>153</v>
      </c>
      <c r="F371" s="229"/>
      <c r="G371" s="225"/>
      <c r="H371" s="235" t="s">
        <v>35</v>
      </c>
      <c r="I371" s="237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3292)</f>
        <v>3292</v>
      </c>
      <c r="J371" s="237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2491)</f>
        <v>2491</v>
      </c>
      <c r="K371" s="86">
        <f t="shared" ca="1" si="273"/>
        <v>75.668286755771561</v>
      </c>
      <c r="L371" s="218"/>
      <c r="M371" s="218"/>
      <c r="N371" s="218"/>
      <c r="O371" s="218"/>
      <c r="P371" s="218"/>
      <c r="Q371" s="226"/>
      <c r="R371" s="227"/>
      <c r="S371" s="227"/>
      <c r="T371" s="227"/>
      <c r="U371" s="227"/>
    </row>
    <row r="372" spans="1:21" ht="18.75" x14ac:dyDescent="0.25">
      <c r="A372" s="546"/>
      <c r="B372" s="436"/>
      <c r="C372" s="434"/>
      <c r="D372" s="436"/>
      <c r="E372" s="436"/>
      <c r="F372" s="436"/>
      <c r="G372" s="437"/>
      <c r="H372" s="547" t="s">
        <v>46</v>
      </c>
      <c r="I372" s="337">
        <v>0</v>
      </c>
      <c r="J372" s="337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39137.36)</f>
        <v>39137.360000000001</v>
      </c>
      <c r="K372" s="179">
        <f t="shared" si="273"/>
        <v>0</v>
      </c>
      <c r="L372" s="439"/>
      <c r="M372" s="439"/>
      <c r="N372" s="439"/>
      <c r="O372" s="439"/>
      <c r="P372" s="439"/>
      <c r="Q372" s="226"/>
      <c r="R372" s="227"/>
      <c r="S372" s="227"/>
      <c r="T372" s="227"/>
      <c r="U372" s="227"/>
    </row>
    <row r="373" spans="1:21" ht="19.5" x14ac:dyDescent="0.3">
      <c r="A373" s="548"/>
      <c r="B373" s="549"/>
      <c r="C373" s="550"/>
      <c r="D373" s="55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552"/>
      <c r="F373" s="552"/>
      <c r="G373" s="552"/>
      <c r="H373" s="553"/>
      <c r="I373" s="554"/>
      <c r="J373" s="554"/>
      <c r="K373" s="555"/>
      <c r="L373" s="555"/>
      <c r="M373" s="555"/>
      <c r="N373" s="555"/>
      <c r="O373" s="555"/>
      <c r="P373" s="555"/>
      <c r="Q373" s="95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3000</v>
      </c>
      <c r="J374" s="563">
        <f ca="1">J386+J388</f>
        <v>1104</v>
      </c>
      <c r="K374" s="564">
        <f ca="1">IF(I374&gt;0,J374*100/I374,0)</f>
        <v>36.799999999999997</v>
      </c>
      <c r="L374" s="565"/>
      <c r="M374" s="565"/>
      <c r="N374" s="565"/>
      <c r="O374" s="565"/>
      <c r="P374" s="565"/>
      <c r="Q374" s="509"/>
      <c r="R374" s="510"/>
      <c r="S374" s="510"/>
      <c r="T374" s="510"/>
      <c r="U374" s="510"/>
    </row>
    <row r="375" spans="1:21" ht="19.5" x14ac:dyDescent="0.3">
      <c r="A375" s="255"/>
      <c r="B375" s="267"/>
      <c r="C375" s="276" t="s">
        <v>18</v>
      </c>
      <c r="D375" s="566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t="shared" ref="L375:N375" ca="1" si="274">L376+L377</f>
        <v>249900</v>
      </c>
      <c r="M375" s="262">
        <f t="shared" ca="1" si="274"/>
        <v>249900</v>
      </c>
      <c r="N375" s="262">
        <f t="shared" ca="1" si="274"/>
        <v>93924.2</v>
      </c>
      <c r="O375" s="262">
        <f t="shared" ref="O375:O383" ca="1" si="275">IF(L375&gt;0,N375*100/L375,0)</f>
        <v>37.584713885554223</v>
      </c>
      <c r="P375" s="262">
        <f t="shared" ref="P375:P383" ca="1" si="276">IF(M375&gt;0,N375*100/M375,0)</f>
        <v>37.584713885554223</v>
      </c>
      <c r="Q375" s="212">
        <f t="shared" ref="Q375:S375" ca="1" si="277">Q376+Q377</f>
        <v>862500</v>
      </c>
      <c r="R375" s="213">
        <f t="shared" ca="1" si="277"/>
        <v>862500</v>
      </c>
      <c r="S375" s="213">
        <f t="shared" ca="1" si="277"/>
        <v>159386</v>
      </c>
      <c r="T375" s="213">
        <f t="shared" ref="T375:T383" ca="1" si="278">IF(Q375&gt;0,S375*100/Q375,0)</f>
        <v>18.479536231884058</v>
      </c>
      <c r="U375" s="213">
        <f t="shared" ref="U375:U383" ca="1" si="279">IF(R375&gt;0,S375*100/R375,0)</f>
        <v>18.479536231884058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 t="shared" ref="L376:N376" ca="1" si="280">L379+L382</f>
        <v>0</v>
      </c>
      <c r="M376" s="75">
        <f t="shared" ca="1" si="280"/>
        <v>0</v>
      </c>
      <c r="N376" s="75">
        <f t="shared" ca="1" si="280"/>
        <v>0</v>
      </c>
      <c r="O376" s="75">
        <f t="shared" ca="1" si="275"/>
        <v>0</v>
      </c>
      <c r="P376" s="75">
        <f t="shared" ca="1" si="276"/>
        <v>0</v>
      </c>
      <c r="Q376" s="215">
        <f t="shared" ref="Q376:S376" ca="1" si="281">Q379+Q382</f>
        <v>0</v>
      </c>
      <c r="R376" s="131">
        <f t="shared" ca="1" si="281"/>
        <v>0</v>
      </c>
      <c r="S376" s="131">
        <f t="shared" ca="1" si="281"/>
        <v>0</v>
      </c>
      <c r="T376" s="131">
        <f t="shared" ca="1" si="278"/>
        <v>0</v>
      </c>
      <c r="U376" s="131">
        <f t="shared" ca="1" si="279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t="shared" ref="L377:N377" ca="1" si="282">L380+L383</f>
        <v>249900</v>
      </c>
      <c r="M377" s="72">
        <f t="shared" ca="1" si="282"/>
        <v>249900</v>
      </c>
      <c r="N377" s="72">
        <f t="shared" ca="1" si="282"/>
        <v>93924.2</v>
      </c>
      <c r="O377" s="72">
        <f t="shared" ca="1" si="275"/>
        <v>37.584713885554223</v>
      </c>
      <c r="P377" s="72">
        <f t="shared" ca="1" si="276"/>
        <v>37.584713885554223</v>
      </c>
      <c r="Q377" s="129">
        <f t="shared" ref="Q377:S377" ca="1" si="283">Q380+Q383</f>
        <v>862500</v>
      </c>
      <c r="R377" s="130">
        <f t="shared" ca="1" si="283"/>
        <v>862500</v>
      </c>
      <c r="S377" s="130">
        <f t="shared" ca="1" si="283"/>
        <v>159386</v>
      </c>
      <c r="T377" s="130">
        <f t="shared" ca="1" si="278"/>
        <v>18.479536231884058</v>
      </c>
      <c r="U377" s="130">
        <f t="shared" ca="1" si="279"/>
        <v>18.479536231884058</v>
      </c>
    </row>
    <row r="378" spans="1:21" ht="18.75" x14ac:dyDescent="0.25">
      <c r="A378" s="255"/>
      <c r="B378" s="267"/>
      <c r="C378" s="267"/>
      <c r="D378" s="27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t="shared" ref="L378:N378" ca="1" si="284">L379+L380</f>
        <v>249900</v>
      </c>
      <c r="M378" s="72">
        <f t="shared" ca="1" si="284"/>
        <v>249900</v>
      </c>
      <c r="N378" s="72">
        <f t="shared" ca="1" si="284"/>
        <v>93924.2</v>
      </c>
      <c r="O378" s="72">
        <f t="shared" ca="1" si="275"/>
        <v>37.584713885554223</v>
      </c>
      <c r="P378" s="72">
        <f t="shared" ca="1" si="276"/>
        <v>37.584713885554223</v>
      </c>
      <c r="Q378" s="129">
        <f t="shared" ref="Q378:S378" ca="1" si="285">Q379+Q380</f>
        <v>862500</v>
      </c>
      <c r="R378" s="130">
        <f t="shared" ca="1" si="285"/>
        <v>862500</v>
      </c>
      <c r="S378" s="130">
        <f t="shared" ca="1" si="285"/>
        <v>159386</v>
      </c>
      <c r="T378" s="130">
        <f t="shared" ca="1" si="278"/>
        <v>18.479536231884058</v>
      </c>
      <c r="U378" s="130">
        <f t="shared" ca="1" si="279"/>
        <v>18.479536231884058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f ca="1">IFERROR(__xludf.DUMMYFUNCTION("IMPORTRANGE(""https://docs.google.com/spreadsheets/d/13wPX838HrBrQMCywv1BsuMkt4PEKTChp52zj44s2izQ/edit?usp=sharing"",""กาญจนบุรี!L379"")+IMPORTRANGE(""https://docs.google.com/spreadsheets/d/1ddFKvqj1W1NEiWytbGlB1zMx_ykJDVtmfEQ-6-lIUBA/edit?usp=sharing"","&amp;"""จันทบุรี!L379"")+IMPORTRANGE(""https://docs.google.com/spreadsheets/d/1T1PQvRODqOBZk8BRht_U031fIS1beLA0Ub2CEytj2q0/edit?usp=sharing"",""ฉะเชิงเทรา!L379"")+IMPORTRANGE(""https://docs.google.com/spreadsheets/d/11tr1B-Bhyr79v2bkwVh5h_fR-PStkgjlZtkrZpYurG0/"&amp;"edit?usp=sharing"",""ชลบุรี!L379"")+IMPORTRANGE(""https://docs.google.com/spreadsheets/d/1hh-FVnSX0vozXhGluamEcS54Dw9_zqW0N7qJUWgJ0Sw/edit?usp=sharing"",""ชัยนาท!L379"")+IMPORTRANGE(""https://docs.google.com/spreadsheets/d/1jkqa6GXxSacMcY1eN8AHjMNJ_7dDXMJ"&amp;"VRLDlaFSOdPM/edit?usp=sharing"",""ตราด!L379"")+IMPORTRANGE(""https://docs.google.com/spreadsheets/d/18hSgUJ3VwClqi_qtULmmW3cLr0oe3OKaSYoKzdpTsYQ/edit?usp=sharing"",""นครนายก!L379"")+IMPORTRANGE(""https://docs.google.com/spreadsheets/d/1YTZo6WM2dQ6Ix6FSdnL"&amp;"5P7uVnVKu40sxZu975tgG10E/edit?usp=sharing"",""นครปฐม!L379"")+IMPORTRANGE(""https://docs.google.com/spreadsheets/d/1OYoGg4WDg5RIzwGeB10padOxJF9E_Vljuvvct_M7RDo/edit?usp=sharing"",""ปทุมธานี!L379"")+IMPORTRANGE(""https://docs.google.com/spreadsheets/d/1GbCI"&amp;"E4D4wk9FUozzqk7SxfDMxDVBwVmI5zcaVUSzKAc/edit?usp=sharing"",""ประจวบคีรีขันธ์!L379"")+IMPORTRANGE(""https://docs.google.com/spreadsheets/d/1vVf6wykvW_lAyu7Yo9L4hUTqHqIeP_qcVuxCtosJEbg/edit?usp=sharing"",""ปราจีนบุรี!L379"")+IMPORTRANGE(""https://docs.googl"&amp;"e.com/spreadsheets/d/1BIDqLLg5jk3v59G8NlR8rk5xfQDKne0sAvZHSj7TI6I/edit?usp=sharing"",""พระนครศรีอยุธยา!L379"")+IMPORTRANGE(""https://docs.google.com/spreadsheets/d/1YXvxf8Yu6_rV4hTBrwMqAcAnv6DfhUxh5emyM3CJp_w/edit?usp=sharing"",""เพชรบุรี!L379"")+IMPORTRA"&amp;"NGE(""https://docs.google.com/spreadsheets/d/19KBlQQs7uwvsao6t2n-KvW3Ax8J8uRRfZPq1zPbXgKc/edit?usp=sharing"",""ระยอง!L379"")+IMPORTRANGE(""https://docs.google.com/spreadsheets/d/1jQ6P4QcrGM89YfqcC_PxOHGCMq5ezhucwJd8ci-NHng/edit?usp=sharing"",""ราชบุรี!L37"&amp;"9"")+IMPORTRANGE(""https://docs.google.com/spreadsheets/d/1lufeA2cfFqM-elVq2hznhDzC6Pr7wkJ9ZG_sYNGCMCU/edit?usp=sharing"",""ลพบุรี!L379"")+IMPORTRANGE(""https://docs.google.com/spreadsheets/d/10oOiF7loTyfsTkbd4MpaIm0HQ9SwB7IYHdIUvt-U1Uc/edit?usp=sharing"""&amp;",""สระแก้ว!L379"")+IMPORTRANGE(""https://docs.google.com/spreadsheets/d/1xmPlrr1QbdSIKvl1dWUl9K4PjAfSL9oeMr_37QVzcxc/edit?usp=sharing"",""สระบุรี!L379"")+IMPORTRANGE(""https://docs.google.com/spreadsheets/d/1j51vR6CYVGhABJpv6tkstgok82RLpXieLzW1yOY5rHw/edi"&amp;"t?usp=sharing"",""สิงห์บุรี!L379"")+IMPORTRANGE(""https://docs.google.com/spreadsheets/d/1H1EalTWKUSzO4Z1-1CwzoDUaVffgrThEBe2sl74kKG0/edit?usp=sharing"",""สุพรรณบุรี!L379"")+IMPORTRANGE(""https://docs.google.com/spreadsheets/d/1BmIruG_sIrJLYao_Pdr7zVArWsf"&amp;"oBt2692TMi6x_854/edit?usp=sharing"",""อ่างทอง!L379"")"),0)</f>
        <v>0</v>
      </c>
      <c r="M379" s="75">
        <f ca="1">IFERROR(__xludf.DUMMYFUNCTION("IMPORTRANGE(""https://docs.google.com/spreadsheets/d/13wPX838HrBrQMCywv1BsuMkt4PEKTChp52zj44s2izQ/edit?usp=sharing"",""กาญจนบุรี!M379"")+IMPORTRANGE(""https://docs.google.com/spreadsheets/d/1ddFKvqj1W1NEiWytbGlB1zMx_ykJDVtmfEQ-6-lIUBA/edit?usp=sharing"","&amp;"""จันทบุรี!M379"")+IMPORTRANGE(""https://docs.google.com/spreadsheets/d/1T1PQvRODqOBZk8BRht_U031fIS1beLA0Ub2CEytj2q0/edit?usp=sharing"",""ฉะเชิงเทรา!M379"")+IMPORTRANGE(""https://docs.google.com/spreadsheets/d/11tr1B-Bhyr79v2bkwVh5h_fR-PStkgjlZtkrZpYurG0/"&amp;"edit?usp=sharing"",""ชลบุรี!M379"")+IMPORTRANGE(""https://docs.google.com/spreadsheets/d/1hh-FVnSX0vozXhGluamEcS54Dw9_zqW0N7qJUWgJ0Sw/edit?usp=sharing"",""ชัยนาท!M379"")+IMPORTRANGE(""https://docs.google.com/spreadsheets/d/1jkqa6GXxSacMcY1eN8AHjMNJ_7dDXMJ"&amp;"VRLDlaFSOdPM/edit?usp=sharing"",""ตราด!M379"")+IMPORTRANGE(""https://docs.google.com/spreadsheets/d/18hSgUJ3VwClqi_qtULmmW3cLr0oe3OKaSYoKzdpTsYQ/edit?usp=sharing"",""นครนายก!M379"")+IMPORTRANGE(""https://docs.google.com/spreadsheets/d/1YTZo6WM2dQ6Ix6FSdnL"&amp;"5P7uVnVKu40sxZu975tgG10E/edit?usp=sharing"",""นครปฐม!M379"")+IMPORTRANGE(""https://docs.google.com/spreadsheets/d/1OYoGg4WDg5RIzwGeB10padOxJF9E_Vljuvvct_M7RDo/edit?usp=sharing"",""ปทุมธานี!M379"")+IMPORTRANGE(""https://docs.google.com/spreadsheets/d/1GbCI"&amp;"E4D4wk9FUozzqk7SxfDMxDVBwVmI5zcaVUSzKAc/edit?usp=sharing"",""ประจวบคีรีขันธ์!M379"")+IMPORTRANGE(""https://docs.google.com/spreadsheets/d/1vVf6wykvW_lAyu7Yo9L4hUTqHqIeP_qcVuxCtosJEbg/edit?usp=sharing"",""ปราจีนบุรี!M379"")+IMPORTRANGE(""https://docs.googl"&amp;"e.com/spreadsheets/d/1BIDqLLg5jk3v59G8NlR8rk5xfQDKne0sAvZHSj7TI6I/edit?usp=sharing"",""พระนครศรีอยุธยา!M379"")+IMPORTRANGE(""https://docs.google.com/spreadsheets/d/1YXvxf8Yu6_rV4hTBrwMqAcAnv6DfhUxh5emyM3CJp_w/edit?usp=sharing"",""เพชรบุรี!M379"")+IMPORTRA"&amp;"NGE(""https://docs.google.com/spreadsheets/d/19KBlQQs7uwvsao6t2n-KvW3Ax8J8uRRfZPq1zPbXgKc/edit?usp=sharing"",""ระยอง!M379"")+IMPORTRANGE(""https://docs.google.com/spreadsheets/d/1jQ6P4QcrGM89YfqcC_PxOHGCMq5ezhucwJd8ci-NHng/edit?usp=sharing"",""ราชบุรี!M37"&amp;"9"")+IMPORTRANGE(""https://docs.google.com/spreadsheets/d/1lufeA2cfFqM-elVq2hznhDzC6Pr7wkJ9ZG_sYNGCMCU/edit?usp=sharing"",""ลพบุรี!M379"")+IMPORTRANGE(""https://docs.google.com/spreadsheets/d/10oOiF7loTyfsTkbd4MpaIm0HQ9SwB7IYHdIUvt-U1Uc/edit?usp=sharing"""&amp;",""สระแก้ว!M379"")+IMPORTRANGE(""https://docs.google.com/spreadsheets/d/1xmPlrr1QbdSIKvl1dWUl9K4PjAfSL9oeMr_37QVzcxc/edit?usp=sharing"",""สระบุรี!M379"")+IMPORTRANGE(""https://docs.google.com/spreadsheets/d/1j51vR6CYVGhABJpv6tkstgok82RLpXieLzW1yOY5rHw/edi"&amp;"t?usp=sharing"",""สิงห์บุรี!M379"")+IMPORTRANGE(""https://docs.google.com/spreadsheets/d/1H1EalTWKUSzO4Z1-1CwzoDUaVffgrThEBe2sl74kKG0/edit?usp=sharing"",""สุพรรณบุรี!M379"")+IMPORTRANGE(""https://docs.google.com/spreadsheets/d/1BmIruG_sIrJLYao_Pdr7zVArWsf"&amp;"oBt2692TMi6x_854/edit?usp=sharing"",""อ่างทอง!M379"")"),0)</f>
        <v>0</v>
      </c>
      <c r="N379" s="75">
        <f ca="1">IFERROR(__xludf.DUMMYFUNCTION("IMPORTRANGE(""https://docs.google.com/spreadsheets/d/13wPX838HrBrQMCywv1BsuMkt4PEKTChp52zj44s2izQ/edit?usp=sharing"",""กาญจนบุรี!N379"")+IMPORTRANGE(""https://docs.google.com/spreadsheets/d/1ddFKvqj1W1NEiWytbGlB1zMx_ykJDVtmfEQ-6-lIUBA/edit?usp=sharing"","&amp;"""จันทบุรี!N379"")+IMPORTRANGE(""https://docs.google.com/spreadsheets/d/1T1PQvRODqOBZk8BRht_U031fIS1beLA0Ub2CEytj2q0/edit?usp=sharing"",""ฉะเชิงเทรา!N379"")+IMPORTRANGE(""https://docs.google.com/spreadsheets/d/11tr1B-Bhyr79v2bkwVh5h_fR-PStkgjlZtkrZpYurG0/"&amp;"edit?usp=sharing"",""ชลบุรี!N379"")+IMPORTRANGE(""https://docs.google.com/spreadsheets/d/1hh-FVnSX0vozXhGluamEcS54Dw9_zqW0N7qJUWgJ0Sw/edit?usp=sharing"",""ชัยนาท!N379"")+IMPORTRANGE(""https://docs.google.com/spreadsheets/d/1jkqa6GXxSacMcY1eN8AHjMNJ_7dDXMJ"&amp;"VRLDlaFSOdPM/edit?usp=sharing"",""ตราด!N379"")+IMPORTRANGE(""https://docs.google.com/spreadsheets/d/18hSgUJ3VwClqi_qtULmmW3cLr0oe3OKaSYoKzdpTsYQ/edit?usp=sharing"",""นครนายก!N379"")+IMPORTRANGE(""https://docs.google.com/spreadsheets/d/1YTZo6WM2dQ6Ix6FSdnL"&amp;"5P7uVnVKu40sxZu975tgG10E/edit?usp=sharing"",""นครปฐม!N379"")+IMPORTRANGE(""https://docs.google.com/spreadsheets/d/1OYoGg4WDg5RIzwGeB10padOxJF9E_Vljuvvct_M7RDo/edit?usp=sharing"",""ปทุมธานี!N379"")+IMPORTRANGE(""https://docs.google.com/spreadsheets/d/1GbCI"&amp;"E4D4wk9FUozzqk7SxfDMxDVBwVmI5zcaVUSzKAc/edit?usp=sharing"",""ประจวบคีรีขันธ์!N379"")+IMPORTRANGE(""https://docs.google.com/spreadsheets/d/1vVf6wykvW_lAyu7Yo9L4hUTqHqIeP_qcVuxCtosJEbg/edit?usp=sharing"",""ปราจีนบุรี!N379"")+IMPORTRANGE(""https://docs.googl"&amp;"e.com/spreadsheets/d/1BIDqLLg5jk3v59G8NlR8rk5xfQDKne0sAvZHSj7TI6I/edit?usp=sharing"",""พระนครศรีอยุธยา!N379"")+IMPORTRANGE(""https://docs.google.com/spreadsheets/d/1YXvxf8Yu6_rV4hTBrwMqAcAnv6DfhUxh5emyM3CJp_w/edit?usp=sharing"",""เพชรบุรี!N379"")+IMPORTRA"&amp;"NGE(""https://docs.google.com/spreadsheets/d/19KBlQQs7uwvsao6t2n-KvW3Ax8J8uRRfZPq1zPbXgKc/edit?usp=sharing"",""ระยอง!N379"")+IMPORTRANGE(""https://docs.google.com/spreadsheets/d/1jQ6P4QcrGM89YfqcC_PxOHGCMq5ezhucwJd8ci-NHng/edit?usp=sharing"",""ราชบุรี!N37"&amp;"9"")+IMPORTRANGE(""https://docs.google.com/spreadsheets/d/1lufeA2cfFqM-elVq2hznhDzC6Pr7wkJ9ZG_sYNGCMCU/edit?usp=sharing"",""ลพบุรี!N379"")+IMPORTRANGE(""https://docs.google.com/spreadsheets/d/10oOiF7loTyfsTkbd4MpaIm0HQ9SwB7IYHdIUvt-U1Uc/edit?usp=sharing"""&amp;",""สระแก้ว!N379"")+IMPORTRANGE(""https://docs.google.com/spreadsheets/d/1xmPlrr1QbdSIKvl1dWUl9K4PjAfSL9oeMr_37QVzcxc/edit?usp=sharing"",""สระบุรี!N379"")+IMPORTRANGE(""https://docs.google.com/spreadsheets/d/1j51vR6CYVGhABJpv6tkstgok82RLpXieLzW1yOY5rHw/edi"&amp;"t?usp=sharing"",""สิงห์บุรี!N379"")+IMPORTRANGE(""https://docs.google.com/spreadsheets/d/1H1EalTWKUSzO4Z1-1CwzoDUaVffgrThEBe2sl74kKG0/edit?usp=sharing"",""สุพรรณบุรี!N379"")+IMPORTRANGE(""https://docs.google.com/spreadsheets/d/1BmIruG_sIrJLYao_Pdr7zVArWsf"&amp;"oBt2692TMi6x_854/edit?usp=sharing"",""อ่างทอง!N379"")"),0)</f>
        <v>0</v>
      </c>
      <c r="O379" s="75">
        <f t="shared" ca="1" si="275"/>
        <v>0</v>
      </c>
      <c r="P379" s="75">
        <f t="shared" ca="1" si="276"/>
        <v>0</v>
      </c>
      <c r="Q379" s="74">
        <f ca="1">IFERROR(__xludf.DUMMYFUNCTION("IMPORTRANGE(""https://docs.google.com/spreadsheets/d/13wPX838HrBrQMCywv1BsuMkt4PEKTChp52zj44s2izQ/edit?usp=sharing"",""กาญจนบุรี!Q379"")+IMPORTRANGE(""https://docs.google.com/spreadsheets/d/1ddFKvqj1W1NEiWytbGlB1zMx_ykJDVtmfEQ-6-lIUBA/edit?usp=sharing"","&amp;"""จันทบุรี!Q379"")+IMPORTRANGE(""https://docs.google.com/spreadsheets/d/1T1PQvRODqOBZk8BRht_U031fIS1beLA0Ub2CEytj2q0/edit?usp=sharing"",""ฉะเชิงเทรา!Q379"")+IMPORTRANGE(""https://docs.google.com/spreadsheets/d/11tr1B-Bhyr79v2bkwVh5h_fR-PStkgjlZtkrZpYurG0/"&amp;"edit?usp=sharing"",""ชลบุรี!Q379"")+IMPORTRANGE(""https://docs.google.com/spreadsheets/d/1hh-FVnSX0vozXhGluamEcS54Dw9_zqW0N7qJUWgJ0Sw/edit?usp=sharing"",""ชัยนาท!Q379"")+IMPORTRANGE(""https://docs.google.com/spreadsheets/d/1jkqa6GXxSacMcY1eN8AHjMNJ_7dDXMJ"&amp;"VRLDlaFSOdPM/edit?usp=sharing"",""ตราด!Q379"")+IMPORTRANGE(""https://docs.google.com/spreadsheets/d/18hSgUJ3VwClqi_qtULmmW3cLr0oe3OKaSYoKzdpTsYQ/edit?usp=sharing"",""นครนายก!Q379"")+IMPORTRANGE(""https://docs.google.com/spreadsheets/d/1YTZo6WM2dQ6Ix6FSdnL"&amp;"5P7uVnVKu40sxZu975tgG10E/edit?usp=sharing"",""นครปฐม!Q379"")+IMPORTRANGE(""https://docs.google.com/spreadsheets/d/1OYoGg4WDg5RIzwGeB10padOxJF9E_Vljuvvct_M7RDo/edit?usp=sharing"",""ปทุมธานี!Q379"")+IMPORTRANGE(""https://docs.google.com/spreadsheets/d/1GbCI"&amp;"E4D4wk9FUozzqk7SxfDMxDVBwVmI5zcaVUSzKAc/edit?usp=sharing"",""ประจวบคีรีขันธ์!Q379"")+IMPORTRANGE(""https://docs.google.com/spreadsheets/d/1vVf6wykvW_lAyu7Yo9L4hUTqHqIeP_qcVuxCtosJEbg/edit?usp=sharing"",""ปราจีนบุรี!Q379"")+IMPORTRANGE(""https://docs.googl"&amp;"e.com/spreadsheets/d/1BIDqLLg5jk3v59G8NlR8rk5xfQDKne0sAvZHSj7TI6I/edit?usp=sharing"",""พระนครศรีอยุธยา!Q379"")+IMPORTRANGE(""https://docs.google.com/spreadsheets/d/1YXvxf8Yu6_rV4hTBrwMqAcAnv6DfhUxh5emyM3CJp_w/edit?usp=sharing"",""เพชรบุรี!Q379"")+IMPORTRA"&amp;"NGE(""https://docs.google.com/spreadsheets/d/19KBlQQs7uwvsao6t2n-KvW3Ax8J8uRRfZPq1zPbXgKc/edit?usp=sharing"",""ระยอง!Q379"")+IMPORTRANGE(""https://docs.google.com/spreadsheets/d/1jQ6P4QcrGM89YfqcC_PxOHGCMq5ezhucwJd8ci-NHng/edit?usp=sharing"",""ราชบุรี!Q37"&amp;"9"")+IMPORTRANGE(""https://docs.google.com/spreadsheets/d/1lufeA2cfFqM-elVq2hznhDzC6Pr7wkJ9ZG_sYNGCMCU/edit?usp=sharing"",""ลพบุรี!Q379"")+IMPORTRANGE(""https://docs.google.com/spreadsheets/d/10oOiF7loTyfsTkbd4MpaIm0HQ9SwB7IYHdIUvt-U1Uc/edit?usp=sharing"""&amp;",""สระแก้ว!Q379"")+IMPORTRANGE(""https://docs.google.com/spreadsheets/d/1xmPlrr1QbdSIKvl1dWUl9K4PjAfSL9oeMr_37QVzcxc/edit?usp=sharing"",""สระบุรี!Q379"")+IMPORTRANGE(""https://docs.google.com/spreadsheets/d/1j51vR6CYVGhABJpv6tkstgok82RLpXieLzW1yOY5rHw/edi"&amp;"t?usp=sharing"",""สิงห์บุรี!Q379"")+IMPORTRANGE(""https://docs.google.com/spreadsheets/d/1H1EalTWKUSzO4Z1-1CwzoDUaVffgrThEBe2sl74kKG0/edit?usp=sharing"",""สุพรรณบุรี!Q379"")+IMPORTRANGE(""https://docs.google.com/spreadsheets/d/1BmIruG_sIrJLYao_Pdr7zVArWsf"&amp;"oBt2692TMi6x_854/edit?usp=sharing"",""อ่างทอง!Q379"")"),0)</f>
        <v>0</v>
      </c>
      <c r="R379" s="75">
        <f ca="1">IFERROR(__xludf.DUMMYFUNCTION("IMPORTRANGE(""https://docs.google.com/spreadsheets/d/13wPX838HrBrQMCywv1BsuMkt4PEKTChp52zj44s2izQ/edit?usp=sharing"",""กาญจนบุรี!R379"")+IMPORTRANGE(""https://docs.google.com/spreadsheets/d/1ddFKvqj1W1NEiWytbGlB1zMx_ykJDVtmfEQ-6-lIUBA/edit?usp=sharing"","&amp;"""จันทบุรี!R379"")+IMPORTRANGE(""https://docs.google.com/spreadsheets/d/1T1PQvRODqOBZk8BRht_U031fIS1beLA0Ub2CEytj2q0/edit?usp=sharing"",""ฉะเชิงเทรา!R379"")+IMPORTRANGE(""https://docs.google.com/spreadsheets/d/11tr1B-Bhyr79v2bkwVh5h_fR-PStkgjlZtkrZpYurG0/"&amp;"edit?usp=sharing"",""ชลบุรี!R379"")+IMPORTRANGE(""https://docs.google.com/spreadsheets/d/1hh-FVnSX0vozXhGluamEcS54Dw9_zqW0N7qJUWgJ0Sw/edit?usp=sharing"",""ชัยนาท!R379"")+IMPORTRANGE(""https://docs.google.com/spreadsheets/d/1jkqa6GXxSacMcY1eN8AHjMNJ_7dDXMJ"&amp;"VRLDlaFSOdPM/edit?usp=sharing"",""ตราด!R379"")+IMPORTRANGE(""https://docs.google.com/spreadsheets/d/18hSgUJ3VwClqi_qtULmmW3cLr0oe3OKaSYoKzdpTsYQ/edit?usp=sharing"",""นครนายก!R379"")+IMPORTRANGE(""https://docs.google.com/spreadsheets/d/1YTZo6WM2dQ6Ix6FSdnL"&amp;"5P7uVnVKu40sxZu975tgG10E/edit?usp=sharing"",""นครปฐม!R379"")+IMPORTRANGE(""https://docs.google.com/spreadsheets/d/1OYoGg4WDg5RIzwGeB10padOxJF9E_Vljuvvct_M7RDo/edit?usp=sharing"",""ปทุมธานี!R379"")+IMPORTRANGE(""https://docs.google.com/spreadsheets/d/1GbCI"&amp;"E4D4wk9FUozzqk7SxfDMxDVBwVmI5zcaVUSzKAc/edit?usp=sharing"",""ประจวบคีรีขันธ์!R379"")+IMPORTRANGE(""https://docs.google.com/spreadsheets/d/1vVf6wykvW_lAyu7Yo9L4hUTqHqIeP_qcVuxCtosJEbg/edit?usp=sharing"",""ปราจีนบุรี!R379"")+IMPORTRANGE(""https://docs.googl"&amp;"e.com/spreadsheets/d/1BIDqLLg5jk3v59G8NlR8rk5xfQDKne0sAvZHSj7TI6I/edit?usp=sharing"",""พระนครศรีอยุธยา!R379"")+IMPORTRANGE(""https://docs.google.com/spreadsheets/d/1YXvxf8Yu6_rV4hTBrwMqAcAnv6DfhUxh5emyM3CJp_w/edit?usp=sharing"",""เพชรบุรี!R379"")+IMPORTRA"&amp;"NGE(""https://docs.google.com/spreadsheets/d/19KBlQQs7uwvsao6t2n-KvW3Ax8J8uRRfZPq1zPbXgKc/edit?usp=sharing"",""ระยอง!R379"")+IMPORTRANGE(""https://docs.google.com/spreadsheets/d/1jQ6P4QcrGM89YfqcC_PxOHGCMq5ezhucwJd8ci-NHng/edit?usp=sharing"",""ราชบุรี!R37"&amp;"9"")+IMPORTRANGE(""https://docs.google.com/spreadsheets/d/1lufeA2cfFqM-elVq2hznhDzC6Pr7wkJ9ZG_sYNGCMCU/edit?usp=sharing"",""ลพบุรี!R379"")+IMPORTRANGE(""https://docs.google.com/spreadsheets/d/10oOiF7loTyfsTkbd4MpaIm0HQ9SwB7IYHdIUvt-U1Uc/edit?usp=sharing"""&amp;",""สระแก้ว!R379"")+IMPORTRANGE(""https://docs.google.com/spreadsheets/d/1xmPlrr1QbdSIKvl1dWUl9K4PjAfSL9oeMr_37QVzcxc/edit?usp=sharing"",""สระบุรี!R379"")+IMPORTRANGE(""https://docs.google.com/spreadsheets/d/1j51vR6CYVGhABJpv6tkstgok82RLpXieLzW1yOY5rHw/edi"&amp;"t?usp=sharing"",""สิงห์บุรี!R379"")+IMPORTRANGE(""https://docs.google.com/spreadsheets/d/1H1EalTWKUSzO4Z1-1CwzoDUaVffgrThEBe2sl74kKG0/edit?usp=sharing"",""สุพรรณบุรี!R379"")+IMPORTRANGE(""https://docs.google.com/spreadsheets/d/1BmIruG_sIrJLYao_Pdr7zVArWsf"&amp;"oBt2692TMi6x_854/edit?usp=sharing"",""อ่างทอง!R379"")"),0)</f>
        <v>0</v>
      </c>
      <c r="S379" s="75">
        <f ca="1">IFERROR(__xludf.DUMMYFUNCTION("IMPORTRANGE(""https://docs.google.com/spreadsheets/d/13wPX838HrBrQMCywv1BsuMkt4PEKTChp52zj44s2izQ/edit?usp=sharing"",""กาญจนบุรี!S379"")+IMPORTRANGE(""https://docs.google.com/spreadsheets/d/1ddFKvqj1W1NEiWytbGlB1zMx_ykJDVtmfEQ-6-lIUBA/edit?usp=sharing"","&amp;"""จันทบุรี!S379"")+IMPORTRANGE(""https://docs.google.com/spreadsheets/d/1T1PQvRODqOBZk8BRht_U031fIS1beLA0Ub2CEytj2q0/edit?usp=sharing"",""ฉะเชิงเทรา!S379"")+IMPORTRANGE(""https://docs.google.com/spreadsheets/d/11tr1B-Bhyr79v2bkwVh5h_fR-PStkgjlZtkrZpYurG0/"&amp;"edit?usp=sharing"",""ชลบุรี!S379"")+IMPORTRANGE(""https://docs.google.com/spreadsheets/d/1hh-FVnSX0vozXhGluamEcS54Dw9_zqW0N7qJUWgJ0Sw/edit?usp=sharing"",""ชัยนาท!S379"")+IMPORTRANGE(""https://docs.google.com/spreadsheets/d/1jkqa6GXxSacMcY1eN8AHjMNJ_7dDXMJ"&amp;"VRLDlaFSOdPM/edit?usp=sharing"",""ตราด!S379"")+IMPORTRANGE(""https://docs.google.com/spreadsheets/d/18hSgUJ3VwClqi_qtULmmW3cLr0oe3OKaSYoKzdpTsYQ/edit?usp=sharing"",""นครนายก!S379"")+IMPORTRANGE(""https://docs.google.com/spreadsheets/d/1YTZo6WM2dQ6Ix6FSdnL"&amp;"5P7uVnVKu40sxZu975tgG10E/edit?usp=sharing"",""นครปฐม!S379"")+IMPORTRANGE(""https://docs.google.com/spreadsheets/d/1OYoGg4WDg5RIzwGeB10padOxJF9E_Vljuvvct_M7RDo/edit?usp=sharing"",""ปทุมธานี!S379"")+IMPORTRANGE(""https://docs.google.com/spreadsheets/d/1GbCI"&amp;"E4D4wk9FUozzqk7SxfDMxDVBwVmI5zcaVUSzKAc/edit?usp=sharing"",""ประจวบคีรีขันธ์!S379"")+IMPORTRANGE(""https://docs.google.com/spreadsheets/d/1vVf6wykvW_lAyu7Yo9L4hUTqHqIeP_qcVuxCtosJEbg/edit?usp=sharing"",""ปราจีนบุรี!S379"")+IMPORTRANGE(""https://docs.googl"&amp;"e.com/spreadsheets/d/1BIDqLLg5jk3v59G8NlR8rk5xfQDKne0sAvZHSj7TI6I/edit?usp=sharing"",""พระนครศรีอยุธยา!S379"")+IMPORTRANGE(""https://docs.google.com/spreadsheets/d/1YXvxf8Yu6_rV4hTBrwMqAcAnv6DfhUxh5emyM3CJp_w/edit?usp=sharing"",""เพชรบุรี!S379"")+IMPORTRA"&amp;"NGE(""https://docs.google.com/spreadsheets/d/19KBlQQs7uwvsao6t2n-KvW3Ax8J8uRRfZPq1zPbXgKc/edit?usp=sharing"",""ระยอง!S379"")+IMPORTRANGE(""https://docs.google.com/spreadsheets/d/1jQ6P4QcrGM89YfqcC_PxOHGCMq5ezhucwJd8ci-NHng/edit?usp=sharing"",""ราชบุรี!S37"&amp;"9"")+IMPORTRANGE(""https://docs.google.com/spreadsheets/d/1lufeA2cfFqM-elVq2hznhDzC6Pr7wkJ9ZG_sYNGCMCU/edit?usp=sharing"",""ลพบุรี!S379"")+IMPORTRANGE(""https://docs.google.com/spreadsheets/d/10oOiF7loTyfsTkbd4MpaIm0HQ9SwB7IYHdIUvt-U1Uc/edit?usp=sharing"""&amp;",""สระแก้ว!S379"")+IMPORTRANGE(""https://docs.google.com/spreadsheets/d/1xmPlrr1QbdSIKvl1dWUl9K4PjAfSL9oeMr_37QVzcxc/edit?usp=sharing"",""สระบุรี!S379"")+IMPORTRANGE(""https://docs.google.com/spreadsheets/d/1j51vR6CYVGhABJpv6tkstgok82RLpXieLzW1yOY5rHw/edi"&amp;"t?usp=sharing"",""สิงห์บุรี!S379"")+IMPORTRANGE(""https://docs.google.com/spreadsheets/d/1H1EalTWKUSzO4Z1-1CwzoDUaVffgrThEBe2sl74kKG0/edit?usp=sharing"",""สุพรรณบุรี!S379"")+IMPORTRANGE(""https://docs.google.com/spreadsheets/d/1BmIruG_sIrJLYao_Pdr7zVArWsf"&amp;"oBt2692TMi6x_854/edit?usp=sharing"",""อ่างทอง!S379"")"),0)</f>
        <v>0</v>
      </c>
      <c r="T379" s="131">
        <f t="shared" ca="1" si="278"/>
        <v>0</v>
      </c>
      <c r="U379" s="131">
        <f t="shared" ca="1" si="279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13wPX838HrBrQMCywv1BsuMkt4PEKTChp52zj44s2izQ/edit?usp=sharing"",""กาญจนบุรี!L380"")+IMPORTRANGE(""https://docs.google.com/spreadsheets/d/1ddFKvqj1W1NEiWytbGlB1zMx_ykJDVtmfEQ-6-lIUBA/edit?usp=sharing"","&amp;"""จันทบุรี!L380"")+IMPORTRANGE(""https://docs.google.com/spreadsheets/d/1T1PQvRODqOBZk8BRht_U031fIS1beLA0Ub2CEytj2q0/edit?usp=sharing"",""ฉะเชิงเทรา!L380"")+IMPORTRANGE(""https://docs.google.com/spreadsheets/d/11tr1B-Bhyr79v2bkwVh5h_fR-PStkgjlZtkrZpYurG0/"&amp;"edit?usp=sharing"",""ชลบุรี!L380"")+IMPORTRANGE(""https://docs.google.com/spreadsheets/d/1hh-FVnSX0vozXhGluamEcS54Dw9_zqW0N7qJUWgJ0Sw/edit?usp=sharing"",""ชัยนาท!L380"")+IMPORTRANGE(""https://docs.google.com/spreadsheets/d/1jkqa6GXxSacMcY1eN8AHjMNJ_7dDXMJ"&amp;"VRLDlaFSOdPM/edit?usp=sharing"",""ตราด!L380"")+IMPORTRANGE(""https://docs.google.com/spreadsheets/d/18hSgUJ3VwClqi_qtULmmW3cLr0oe3OKaSYoKzdpTsYQ/edit?usp=sharing"",""นครนายก!L380"")+IMPORTRANGE(""https://docs.google.com/spreadsheets/d/1YTZo6WM2dQ6Ix6FSdnL"&amp;"5P7uVnVKu40sxZu975tgG10E/edit?usp=sharing"",""นครปฐม!L380"")+IMPORTRANGE(""https://docs.google.com/spreadsheets/d/1OYoGg4WDg5RIzwGeB10padOxJF9E_Vljuvvct_M7RDo/edit?usp=sharing"",""ปทุมธานี!L380"")+IMPORTRANGE(""https://docs.google.com/spreadsheets/d/1GbCI"&amp;"E4D4wk9FUozzqk7SxfDMxDVBwVmI5zcaVUSzKAc/edit?usp=sharing"",""ประจวบคีรีขันธ์!L380"")+IMPORTRANGE(""https://docs.google.com/spreadsheets/d/1vVf6wykvW_lAyu7Yo9L4hUTqHqIeP_qcVuxCtosJEbg/edit?usp=sharing"",""ปราจีนบุรี!L380"")+IMPORTRANGE(""https://docs.googl"&amp;"e.com/spreadsheets/d/1BIDqLLg5jk3v59G8NlR8rk5xfQDKne0sAvZHSj7TI6I/edit?usp=sharing"",""พระนครศรีอยุธยา!L380"")+IMPORTRANGE(""https://docs.google.com/spreadsheets/d/1YXvxf8Yu6_rV4hTBrwMqAcAnv6DfhUxh5emyM3CJp_w/edit?usp=sharing"",""เพชรบุรี!L380"")+IMPORTRA"&amp;"NGE(""https://docs.google.com/spreadsheets/d/19KBlQQs7uwvsao6t2n-KvW3Ax8J8uRRfZPq1zPbXgKc/edit?usp=sharing"",""ระยอง!L380"")+IMPORTRANGE(""https://docs.google.com/spreadsheets/d/1jQ6P4QcrGM89YfqcC_PxOHGCMq5ezhucwJd8ci-NHng/edit?usp=sharing"",""ราชบุรี!L38"&amp;"0"")+IMPORTRANGE(""https://docs.google.com/spreadsheets/d/1lufeA2cfFqM-elVq2hznhDzC6Pr7wkJ9ZG_sYNGCMCU/edit?usp=sharing"",""ลพบุรี!L380"")+IMPORTRANGE(""https://docs.google.com/spreadsheets/d/10oOiF7loTyfsTkbd4MpaIm0HQ9SwB7IYHdIUvt-U1Uc/edit?usp=sharing"""&amp;",""สระแก้ว!L380"")+IMPORTRANGE(""https://docs.google.com/spreadsheets/d/1xmPlrr1QbdSIKvl1dWUl9K4PjAfSL9oeMr_37QVzcxc/edit?usp=sharing"",""สระบุรี!L380"")+IMPORTRANGE(""https://docs.google.com/spreadsheets/d/1j51vR6CYVGhABJpv6tkstgok82RLpXieLzW1yOY5rHw/edi"&amp;"t?usp=sharing"",""สิงห์บุรี!L380"")+IMPORTRANGE(""https://docs.google.com/spreadsheets/d/1H1EalTWKUSzO4Z1-1CwzoDUaVffgrThEBe2sl74kKG0/edit?usp=sharing"",""สุพรรณบุรี!L380"")+IMPORTRANGE(""https://docs.google.com/spreadsheets/d/1BmIruG_sIrJLYao_Pdr7zVArWsf"&amp;"oBt2692TMi6x_854/edit?usp=sharing"",""อ่างทอง!L380"")"),249900)</f>
        <v>249900</v>
      </c>
      <c r="M380" s="72">
        <f ca="1">IFERROR(__xludf.DUMMYFUNCTION("IMPORTRANGE(""https://docs.google.com/spreadsheets/d/13wPX838HrBrQMCywv1BsuMkt4PEKTChp52zj44s2izQ/edit?usp=sharing"",""กาญจนบุรี!M380"")+IMPORTRANGE(""https://docs.google.com/spreadsheets/d/1ddFKvqj1W1NEiWytbGlB1zMx_ykJDVtmfEQ-6-lIUBA/edit?usp=sharing"","&amp;"""จันทบุรี!M380"")+IMPORTRANGE(""https://docs.google.com/spreadsheets/d/1T1PQvRODqOBZk8BRht_U031fIS1beLA0Ub2CEytj2q0/edit?usp=sharing"",""ฉะเชิงเทรา!M380"")+IMPORTRANGE(""https://docs.google.com/spreadsheets/d/11tr1B-Bhyr79v2bkwVh5h_fR-PStkgjlZtkrZpYurG0/"&amp;"edit?usp=sharing"",""ชลบุรี!M380"")+IMPORTRANGE(""https://docs.google.com/spreadsheets/d/1hh-FVnSX0vozXhGluamEcS54Dw9_zqW0N7qJUWgJ0Sw/edit?usp=sharing"",""ชัยนาท!M380"")+IMPORTRANGE(""https://docs.google.com/spreadsheets/d/1jkqa6GXxSacMcY1eN8AHjMNJ_7dDXMJ"&amp;"VRLDlaFSOdPM/edit?usp=sharing"",""ตราด!M380"")+IMPORTRANGE(""https://docs.google.com/spreadsheets/d/18hSgUJ3VwClqi_qtULmmW3cLr0oe3OKaSYoKzdpTsYQ/edit?usp=sharing"",""นครนายก!M380"")+IMPORTRANGE(""https://docs.google.com/spreadsheets/d/1YTZo6WM2dQ6Ix6FSdnL"&amp;"5P7uVnVKu40sxZu975tgG10E/edit?usp=sharing"",""นครปฐม!M380"")+IMPORTRANGE(""https://docs.google.com/spreadsheets/d/1OYoGg4WDg5RIzwGeB10padOxJF9E_Vljuvvct_M7RDo/edit?usp=sharing"",""ปทุมธานี!M380"")+IMPORTRANGE(""https://docs.google.com/spreadsheets/d/1GbCI"&amp;"E4D4wk9FUozzqk7SxfDMxDVBwVmI5zcaVUSzKAc/edit?usp=sharing"",""ประจวบคีรีขันธ์!M380"")+IMPORTRANGE(""https://docs.google.com/spreadsheets/d/1vVf6wykvW_lAyu7Yo9L4hUTqHqIeP_qcVuxCtosJEbg/edit?usp=sharing"",""ปราจีนบุรี!M380"")+IMPORTRANGE(""https://docs.googl"&amp;"e.com/spreadsheets/d/1BIDqLLg5jk3v59G8NlR8rk5xfQDKne0sAvZHSj7TI6I/edit?usp=sharing"",""พระนครศรีอยุธยา!M380"")+IMPORTRANGE(""https://docs.google.com/spreadsheets/d/1YXvxf8Yu6_rV4hTBrwMqAcAnv6DfhUxh5emyM3CJp_w/edit?usp=sharing"",""เพชรบุรี!M380"")+IMPORTRA"&amp;"NGE(""https://docs.google.com/spreadsheets/d/19KBlQQs7uwvsao6t2n-KvW3Ax8J8uRRfZPq1zPbXgKc/edit?usp=sharing"",""ระยอง!M380"")+IMPORTRANGE(""https://docs.google.com/spreadsheets/d/1jQ6P4QcrGM89YfqcC_PxOHGCMq5ezhucwJd8ci-NHng/edit?usp=sharing"",""ราชบุรี!M38"&amp;"0"")+IMPORTRANGE(""https://docs.google.com/spreadsheets/d/1lufeA2cfFqM-elVq2hznhDzC6Pr7wkJ9ZG_sYNGCMCU/edit?usp=sharing"",""ลพบุรี!M380"")+IMPORTRANGE(""https://docs.google.com/spreadsheets/d/10oOiF7loTyfsTkbd4MpaIm0HQ9SwB7IYHdIUvt-U1Uc/edit?usp=sharing"""&amp;",""สระแก้ว!M380"")+IMPORTRANGE(""https://docs.google.com/spreadsheets/d/1xmPlrr1QbdSIKvl1dWUl9K4PjAfSL9oeMr_37QVzcxc/edit?usp=sharing"",""สระบุรี!M380"")+IMPORTRANGE(""https://docs.google.com/spreadsheets/d/1j51vR6CYVGhABJpv6tkstgok82RLpXieLzW1yOY5rHw/edi"&amp;"t?usp=sharing"",""สิงห์บุรี!M380"")+IMPORTRANGE(""https://docs.google.com/spreadsheets/d/1H1EalTWKUSzO4Z1-1CwzoDUaVffgrThEBe2sl74kKG0/edit?usp=sharing"",""สุพรรณบุรี!M380"")+IMPORTRANGE(""https://docs.google.com/spreadsheets/d/1BmIruG_sIrJLYao_Pdr7zVArWsf"&amp;"oBt2692TMi6x_854/edit?usp=sharing"",""อ่างทอง!M380"")"),249900)</f>
        <v>249900</v>
      </c>
      <c r="N380" s="72">
        <f ca="1">IFERROR(__xludf.DUMMYFUNCTION("IMPORTRANGE(""https://docs.google.com/spreadsheets/d/13wPX838HrBrQMCywv1BsuMkt4PEKTChp52zj44s2izQ/edit?usp=sharing"",""กาญจนบุรี!N380"")+IMPORTRANGE(""https://docs.google.com/spreadsheets/d/1ddFKvqj1W1NEiWytbGlB1zMx_ykJDVtmfEQ-6-lIUBA/edit?usp=sharing"","&amp;"""จันทบุรี!N380"")+IMPORTRANGE(""https://docs.google.com/spreadsheets/d/1T1PQvRODqOBZk8BRht_U031fIS1beLA0Ub2CEytj2q0/edit?usp=sharing"",""ฉะเชิงเทรา!N380"")+IMPORTRANGE(""https://docs.google.com/spreadsheets/d/11tr1B-Bhyr79v2bkwVh5h_fR-PStkgjlZtkrZpYurG0/"&amp;"edit?usp=sharing"",""ชลบุรี!N380"")+IMPORTRANGE(""https://docs.google.com/spreadsheets/d/1hh-FVnSX0vozXhGluamEcS54Dw9_zqW0N7qJUWgJ0Sw/edit?usp=sharing"",""ชัยนาท!N380"")+IMPORTRANGE(""https://docs.google.com/spreadsheets/d/1jkqa6GXxSacMcY1eN8AHjMNJ_7dDXMJ"&amp;"VRLDlaFSOdPM/edit?usp=sharing"",""ตราด!N380"")+IMPORTRANGE(""https://docs.google.com/spreadsheets/d/18hSgUJ3VwClqi_qtULmmW3cLr0oe3OKaSYoKzdpTsYQ/edit?usp=sharing"",""นครนายก!N380"")+IMPORTRANGE(""https://docs.google.com/spreadsheets/d/1YTZo6WM2dQ6Ix6FSdnL"&amp;"5P7uVnVKu40sxZu975tgG10E/edit?usp=sharing"",""นครปฐม!N380"")+IMPORTRANGE(""https://docs.google.com/spreadsheets/d/1OYoGg4WDg5RIzwGeB10padOxJF9E_Vljuvvct_M7RDo/edit?usp=sharing"",""ปทุมธานี!N380"")+IMPORTRANGE(""https://docs.google.com/spreadsheets/d/1GbCI"&amp;"E4D4wk9FUozzqk7SxfDMxDVBwVmI5zcaVUSzKAc/edit?usp=sharing"",""ประจวบคีรีขันธ์!N380"")+IMPORTRANGE(""https://docs.google.com/spreadsheets/d/1vVf6wykvW_lAyu7Yo9L4hUTqHqIeP_qcVuxCtosJEbg/edit?usp=sharing"",""ปราจีนบุรี!N380"")+IMPORTRANGE(""https://docs.googl"&amp;"e.com/spreadsheets/d/1BIDqLLg5jk3v59G8NlR8rk5xfQDKne0sAvZHSj7TI6I/edit?usp=sharing"",""พระนครศรีอยุธยา!N380"")+IMPORTRANGE(""https://docs.google.com/spreadsheets/d/1YXvxf8Yu6_rV4hTBrwMqAcAnv6DfhUxh5emyM3CJp_w/edit?usp=sharing"",""เพชรบุรี!N380"")+IMPORTRA"&amp;"NGE(""https://docs.google.com/spreadsheets/d/19KBlQQs7uwvsao6t2n-KvW3Ax8J8uRRfZPq1zPbXgKc/edit?usp=sharing"",""ระยอง!N380"")+IMPORTRANGE(""https://docs.google.com/spreadsheets/d/1jQ6P4QcrGM89YfqcC_PxOHGCMq5ezhucwJd8ci-NHng/edit?usp=sharing"",""ราชบุรี!N38"&amp;"0"")+IMPORTRANGE(""https://docs.google.com/spreadsheets/d/1lufeA2cfFqM-elVq2hznhDzC6Pr7wkJ9ZG_sYNGCMCU/edit?usp=sharing"",""ลพบุรี!N380"")+IMPORTRANGE(""https://docs.google.com/spreadsheets/d/10oOiF7loTyfsTkbd4MpaIm0HQ9SwB7IYHdIUvt-U1Uc/edit?usp=sharing"""&amp;",""สระแก้ว!N380"")+IMPORTRANGE(""https://docs.google.com/spreadsheets/d/1xmPlrr1QbdSIKvl1dWUl9K4PjAfSL9oeMr_37QVzcxc/edit?usp=sharing"",""สระบุรี!N380"")+IMPORTRANGE(""https://docs.google.com/spreadsheets/d/1j51vR6CYVGhABJpv6tkstgok82RLpXieLzW1yOY5rHw/edi"&amp;"t?usp=sharing"",""สิงห์บุรี!N380"")+IMPORTRANGE(""https://docs.google.com/spreadsheets/d/1H1EalTWKUSzO4Z1-1CwzoDUaVffgrThEBe2sl74kKG0/edit?usp=sharing"",""สุพรรณบุรี!N380"")+IMPORTRANGE(""https://docs.google.com/spreadsheets/d/1BmIruG_sIrJLYao_Pdr7zVArWsf"&amp;"oBt2692TMi6x_854/edit?usp=sharing"",""อ่างทอง!N380"")"),93924.2)</f>
        <v>93924.2</v>
      </c>
      <c r="O380" s="72">
        <f t="shared" ca="1" si="275"/>
        <v>37.584713885554223</v>
      </c>
      <c r="P380" s="72">
        <f t="shared" ca="1" si="276"/>
        <v>37.584713885554223</v>
      </c>
      <c r="Q380" s="129">
        <f ca="1">IFERROR(__xludf.DUMMYFUNCTION("IMPORTRANGE(""https://docs.google.com/spreadsheets/d/13wPX838HrBrQMCywv1BsuMkt4PEKTChp52zj44s2izQ/edit?usp=sharing"",""กาญจนบุรี!Q380"")+IMPORTRANGE(""https://docs.google.com/spreadsheets/d/1ddFKvqj1W1NEiWytbGlB1zMx_ykJDVtmfEQ-6-lIUBA/edit?usp=sharing"","&amp;"""จันทบุรี!Q380"")+IMPORTRANGE(""https://docs.google.com/spreadsheets/d/1T1PQvRODqOBZk8BRht_U031fIS1beLA0Ub2CEytj2q0/edit?usp=sharing"",""ฉะเชิงเทรา!Q380"")+IMPORTRANGE(""https://docs.google.com/spreadsheets/d/11tr1B-Bhyr79v2bkwVh5h_fR-PStkgjlZtkrZpYurG0/"&amp;"edit?usp=sharing"",""ชลบุรี!Q380"")+IMPORTRANGE(""https://docs.google.com/spreadsheets/d/1hh-FVnSX0vozXhGluamEcS54Dw9_zqW0N7qJUWgJ0Sw/edit?usp=sharing"",""ชัยนาท!Q380"")+IMPORTRANGE(""https://docs.google.com/spreadsheets/d/1jkqa6GXxSacMcY1eN8AHjMNJ_7dDXMJ"&amp;"VRLDlaFSOdPM/edit?usp=sharing"",""ตราด!Q380"")+IMPORTRANGE(""https://docs.google.com/spreadsheets/d/18hSgUJ3VwClqi_qtULmmW3cLr0oe3OKaSYoKzdpTsYQ/edit?usp=sharing"",""นครนายก!Q380"")+IMPORTRANGE(""https://docs.google.com/spreadsheets/d/1YTZo6WM2dQ6Ix6FSdnL"&amp;"5P7uVnVKu40sxZu975tgG10E/edit?usp=sharing"",""นครปฐม!Q380"")+IMPORTRANGE(""https://docs.google.com/spreadsheets/d/1OYoGg4WDg5RIzwGeB10padOxJF9E_Vljuvvct_M7RDo/edit?usp=sharing"",""ปทุมธานี!Q380"")+IMPORTRANGE(""https://docs.google.com/spreadsheets/d/1GbCI"&amp;"E4D4wk9FUozzqk7SxfDMxDVBwVmI5zcaVUSzKAc/edit?usp=sharing"",""ประจวบคีรีขันธ์!Q380"")+IMPORTRANGE(""https://docs.google.com/spreadsheets/d/1vVf6wykvW_lAyu7Yo9L4hUTqHqIeP_qcVuxCtosJEbg/edit?usp=sharing"",""ปราจีนบุรี!Q380"")+IMPORTRANGE(""https://docs.googl"&amp;"e.com/spreadsheets/d/1BIDqLLg5jk3v59G8NlR8rk5xfQDKne0sAvZHSj7TI6I/edit?usp=sharing"",""พระนครศรีอยุธยา!Q380"")+IMPORTRANGE(""https://docs.google.com/spreadsheets/d/1YXvxf8Yu6_rV4hTBrwMqAcAnv6DfhUxh5emyM3CJp_w/edit?usp=sharing"",""เพชรบุรี!Q380"")+IMPORTRA"&amp;"NGE(""https://docs.google.com/spreadsheets/d/19KBlQQs7uwvsao6t2n-KvW3Ax8J8uRRfZPq1zPbXgKc/edit?usp=sharing"",""ระยอง!Q380"")+IMPORTRANGE(""https://docs.google.com/spreadsheets/d/1jQ6P4QcrGM89YfqcC_PxOHGCMq5ezhucwJd8ci-NHng/edit?usp=sharing"",""ราชบุรี!Q38"&amp;"0"")+IMPORTRANGE(""https://docs.google.com/spreadsheets/d/1lufeA2cfFqM-elVq2hznhDzC6Pr7wkJ9ZG_sYNGCMCU/edit?usp=sharing"",""ลพบุรี!Q380"")+IMPORTRANGE(""https://docs.google.com/spreadsheets/d/10oOiF7loTyfsTkbd4MpaIm0HQ9SwB7IYHdIUvt-U1Uc/edit?usp=sharing"""&amp;",""สระแก้ว!Q380"")+IMPORTRANGE(""https://docs.google.com/spreadsheets/d/1xmPlrr1QbdSIKvl1dWUl9K4PjAfSL9oeMr_37QVzcxc/edit?usp=sharing"",""สระบุรี!Q380"")+IMPORTRANGE(""https://docs.google.com/spreadsheets/d/1j51vR6CYVGhABJpv6tkstgok82RLpXieLzW1yOY5rHw/edi"&amp;"t?usp=sharing"",""สิงห์บุรี!Q380"")+IMPORTRANGE(""https://docs.google.com/spreadsheets/d/1H1EalTWKUSzO4Z1-1CwzoDUaVffgrThEBe2sl74kKG0/edit?usp=sharing"",""สุพรรณบุรี!Q380"")+IMPORTRANGE(""https://docs.google.com/spreadsheets/d/1BmIruG_sIrJLYao_Pdr7zVArWsf"&amp;"oBt2692TMi6x_854/edit?usp=sharing"",""อ่างทอง!Q380"")"),862500)</f>
        <v>862500</v>
      </c>
      <c r="R380" s="130">
        <f ca="1">IFERROR(__xludf.DUMMYFUNCTION("IMPORTRANGE(""https://docs.google.com/spreadsheets/d/13wPX838HrBrQMCywv1BsuMkt4PEKTChp52zj44s2izQ/edit?usp=sharing"",""กาญจนบุรี!R380"")+IMPORTRANGE(""https://docs.google.com/spreadsheets/d/1ddFKvqj1W1NEiWytbGlB1zMx_ykJDVtmfEQ-6-lIUBA/edit?usp=sharing"","&amp;"""จันทบุรี!R380"")+IMPORTRANGE(""https://docs.google.com/spreadsheets/d/1T1PQvRODqOBZk8BRht_U031fIS1beLA0Ub2CEytj2q0/edit?usp=sharing"",""ฉะเชิงเทรา!R380"")+IMPORTRANGE(""https://docs.google.com/spreadsheets/d/11tr1B-Bhyr79v2bkwVh5h_fR-PStkgjlZtkrZpYurG0/"&amp;"edit?usp=sharing"",""ชลบุรี!R380"")+IMPORTRANGE(""https://docs.google.com/spreadsheets/d/1hh-FVnSX0vozXhGluamEcS54Dw9_zqW0N7qJUWgJ0Sw/edit?usp=sharing"",""ชัยนาท!R380"")+IMPORTRANGE(""https://docs.google.com/spreadsheets/d/1jkqa6GXxSacMcY1eN8AHjMNJ_7dDXMJ"&amp;"VRLDlaFSOdPM/edit?usp=sharing"",""ตราด!R380"")+IMPORTRANGE(""https://docs.google.com/spreadsheets/d/18hSgUJ3VwClqi_qtULmmW3cLr0oe3OKaSYoKzdpTsYQ/edit?usp=sharing"",""นครนายก!R380"")+IMPORTRANGE(""https://docs.google.com/spreadsheets/d/1YTZo6WM2dQ6Ix6FSdnL"&amp;"5P7uVnVKu40sxZu975tgG10E/edit?usp=sharing"",""นครปฐม!R380"")+IMPORTRANGE(""https://docs.google.com/spreadsheets/d/1OYoGg4WDg5RIzwGeB10padOxJF9E_Vljuvvct_M7RDo/edit?usp=sharing"",""ปทุมธานี!R380"")+IMPORTRANGE(""https://docs.google.com/spreadsheets/d/1GbCI"&amp;"E4D4wk9FUozzqk7SxfDMxDVBwVmI5zcaVUSzKAc/edit?usp=sharing"",""ประจวบคีรีขันธ์!R380"")+IMPORTRANGE(""https://docs.google.com/spreadsheets/d/1vVf6wykvW_lAyu7Yo9L4hUTqHqIeP_qcVuxCtosJEbg/edit?usp=sharing"",""ปราจีนบุรี!R380"")+IMPORTRANGE(""https://docs.googl"&amp;"e.com/spreadsheets/d/1BIDqLLg5jk3v59G8NlR8rk5xfQDKne0sAvZHSj7TI6I/edit?usp=sharing"",""พระนครศรีอยุธยา!R380"")+IMPORTRANGE(""https://docs.google.com/spreadsheets/d/1YXvxf8Yu6_rV4hTBrwMqAcAnv6DfhUxh5emyM3CJp_w/edit?usp=sharing"",""เพชรบุรี!R380"")+IMPORTRA"&amp;"NGE(""https://docs.google.com/spreadsheets/d/19KBlQQs7uwvsao6t2n-KvW3Ax8J8uRRfZPq1zPbXgKc/edit?usp=sharing"",""ระยอง!R380"")+IMPORTRANGE(""https://docs.google.com/spreadsheets/d/1jQ6P4QcrGM89YfqcC_PxOHGCMq5ezhucwJd8ci-NHng/edit?usp=sharing"",""ราชบุรี!R38"&amp;"0"")+IMPORTRANGE(""https://docs.google.com/spreadsheets/d/1lufeA2cfFqM-elVq2hznhDzC6Pr7wkJ9ZG_sYNGCMCU/edit?usp=sharing"",""ลพบุรี!R380"")+IMPORTRANGE(""https://docs.google.com/spreadsheets/d/10oOiF7loTyfsTkbd4MpaIm0HQ9SwB7IYHdIUvt-U1Uc/edit?usp=sharing"""&amp;",""สระแก้ว!R380"")+IMPORTRANGE(""https://docs.google.com/spreadsheets/d/1xmPlrr1QbdSIKvl1dWUl9K4PjAfSL9oeMr_37QVzcxc/edit?usp=sharing"",""สระบุรี!R380"")+IMPORTRANGE(""https://docs.google.com/spreadsheets/d/1j51vR6CYVGhABJpv6tkstgok82RLpXieLzW1yOY5rHw/edi"&amp;"t?usp=sharing"",""สิงห์บุรี!R380"")+IMPORTRANGE(""https://docs.google.com/spreadsheets/d/1H1EalTWKUSzO4Z1-1CwzoDUaVffgrThEBe2sl74kKG0/edit?usp=sharing"",""สุพรรณบุรี!R380"")+IMPORTRANGE(""https://docs.google.com/spreadsheets/d/1BmIruG_sIrJLYao_Pdr7zVArWsf"&amp;"oBt2692TMi6x_854/edit?usp=sharing"",""อ่างทอง!R380"")"),862500)</f>
        <v>862500</v>
      </c>
      <c r="S380" s="130">
        <f ca="1">IFERROR(__xludf.DUMMYFUNCTION("IMPORTRANGE(""https://docs.google.com/spreadsheets/d/13wPX838HrBrQMCywv1BsuMkt4PEKTChp52zj44s2izQ/edit?usp=sharing"",""กาญจนบุรี!S380"")+IMPORTRANGE(""https://docs.google.com/spreadsheets/d/1ddFKvqj1W1NEiWytbGlB1zMx_ykJDVtmfEQ-6-lIUBA/edit?usp=sharing"","&amp;"""จันทบุรี!S380"")+IMPORTRANGE(""https://docs.google.com/spreadsheets/d/1T1PQvRODqOBZk8BRht_U031fIS1beLA0Ub2CEytj2q0/edit?usp=sharing"",""ฉะเชิงเทรา!S380"")+IMPORTRANGE(""https://docs.google.com/spreadsheets/d/11tr1B-Bhyr79v2bkwVh5h_fR-PStkgjlZtkrZpYurG0/"&amp;"edit?usp=sharing"",""ชลบุรี!S380"")+IMPORTRANGE(""https://docs.google.com/spreadsheets/d/1hh-FVnSX0vozXhGluamEcS54Dw9_zqW0N7qJUWgJ0Sw/edit?usp=sharing"",""ชัยนาท!S380"")+IMPORTRANGE(""https://docs.google.com/spreadsheets/d/1jkqa6GXxSacMcY1eN8AHjMNJ_7dDXMJ"&amp;"VRLDlaFSOdPM/edit?usp=sharing"",""ตราด!S380"")+IMPORTRANGE(""https://docs.google.com/spreadsheets/d/18hSgUJ3VwClqi_qtULmmW3cLr0oe3OKaSYoKzdpTsYQ/edit?usp=sharing"",""นครนายก!S380"")+IMPORTRANGE(""https://docs.google.com/spreadsheets/d/1YTZo6WM2dQ6Ix6FSdnL"&amp;"5P7uVnVKu40sxZu975tgG10E/edit?usp=sharing"",""นครปฐม!S380"")+IMPORTRANGE(""https://docs.google.com/spreadsheets/d/1OYoGg4WDg5RIzwGeB10padOxJF9E_Vljuvvct_M7RDo/edit?usp=sharing"",""ปทุมธานี!S380"")+IMPORTRANGE(""https://docs.google.com/spreadsheets/d/1GbCI"&amp;"E4D4wk9FUozzqk7SxfDMxDVBwVmI5zcaVUSzKAc/edit?usp=sharing"",""ประจวบคีรีขันธ์!S380"")+IMPORTRANGE(""https://docs.google.com/spreadsheets/d/1vVf6wykvW_lAyu7Yo9L4hUTqHqIeP_qcVuxCtosJEbg/edit?usp=sharing"",""ปราจีนบุรี!S380"")+IMPORTRANGE(""https://docs.googl"&amp;"e.com/spreadsheets/d/1BIDqLLg5jk3v59G8NlR8rk5xfQDKne0sAvZHSj7TI6I/edit?usp=sharing"",""พระนครศรีอยุธยา!S380"")+IMPORTRANGE(""https://docs.google.com/spreadsheets/d/1YXvxf8Yu6_rV4hTBrwMqAcAnv6DfhUxh5emyM3CJp_w/edit?usp=sharing"",""เพชรบุรี!S380"")+IMPORTRA"&amp;"NGE(""https://docs.google.com/spreadsheets/d/19KBlQQs7uwvsao6t2n-KvW3Ax8J8uRRfZPq1zPbXgKc/edit?usp=sharing"",""ระยอง!S380"")+IMPORTRANGE(""https://docs.google.com/spreadsheets/d/1jQ6P4QcrGM89YfqcC_PxOHGCMq5ezhucwJd8ci-NHng/edit?usp=sharing"",""ราชบุรี!S38"&amp;"0"")+IMPORTRANGE(""https://docs.google.com/spreadsheets/d/1lufeA2cfFqM-elVq2hznhDzC6Pr7wkJ9ZG_sYNGCMCU/edit?usp=sharing"",""ลพบุรี!S380"")+IMPORTRANGE(""https://docs.google.com/spreadsheets/d/10oOiF7loTyfsTkbd4MpaIm0HQ9SwB7IYHdIUvt-U1Uc/edit?usp=sharing"""&amp;",""สระแก้ว!S380"")+IMPORTRANGE(""https://docs.google.com/spreadsheets/d/1xmPlrr1QbdSIKvl1dWUl9K4PjAfSL9oeMr_37QVzcxc/edit?usp=sharing"",""สระบุรี!S380"")+IMPORTRANGE(""https://docs.google.com/spreadsheets/d/1j51vR6CYVGhABJpv6tkstgok82RLpXieLzW1yOY5rHw/edi"&amp;"t?usp=sharing"",""สิงห์บุรี!S380"")+IMPORTRANGE(""https://docs.google.com/spreadsheets/d/1H1EalTWKUSzO4Z1-1CwzoDUaVffgrThEBe2sl74kKG0/edit?usp=sharing"",""สุพรรณบุรี!S380"")+IMPORTRANGE(""https://docs.google.com/spreadsheets/d/1BmIruG_sIrJLYao_Pdr7zVArWsf"&amp;"oBt2692TMi6x_854/edit?usp=sharing"",""อ่างทอง!S380"")"),159386)</f>
        <v>159386</v>
      </c>
      <c r="T380" s="130">
        <f t="shared" ca="1" si="278"/>
        <v>18.479536231884058</v>
      </c>
      <c r="U380" s="130">
        <f t="shared" ca="1" si="279"/>
        <v>18.479536231884058</v>
      </c>
    </row>
    <row r="381" spans="1:21" ht="18.75" x14ac:dyDescent="0.25">
      <c r="A381" s="255"/>
      <c r="B381" s="267"/>
      <c r="C381" s="267"/>
      <c r="D381" s="27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t="shared" ref="L381:N381" ca="1" si="286">L382+L383</f>
        <v>0</v>
      </c>
      <c r="M381" s="72">
        <f t="shared" ca="1" si="286"/>
        <v>0</v>
      </c>
      <c r="N381" s="72">
        <f t="shared" ca="1" si="286"/>
        <v>0</v>
      </c>
      <c r="O381" s="72">
        <f t="shared" ca="1" si="275"/>
        <v>0</v>
      </c>
      <c r="P381" s="72">
        <f t="shared" ca="1" si="276"/>
        <v>0</v>
      </c>
      <c r="Q381" s="129">
        <f t="shared" ref="Q381:S381" ca="1" si="287">Q382+Q383</f>
        <v>0</v>
      </c>
      <c r="R381" s="130">
        <f t="shared" ca="1" si="287"/>
        <v>0</v>
      </c>
      <c r="S381" s="130">
        <f t="shared" ca="1" si="287"/>
        <v>0</v>
      </c>
      <c r="T381" s="130">
        <f t="shared" ca="1" si="278"/>
        <v>0</v>
      </c>
      <c r="U381" s="130">
        <f t="shared" ca="1" si="279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2" s="75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2" s="75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2" s="75">
        <f t="shared" ca="1" si="275"/>
        <v>0</v>
      </c>
      <c r="P382" s="75">
        <f t="shared" ca="1" si="276"/>
        <v>0</v>
      </c>
      <c r="Q382" s="74">
        <f ca="1">IFERROR(__xludf.DUMMYFUNCTION("IMPORTRANGE(""https://docs.google.com/spreadsheets/d/13wPX838HrBrQMCywv1BsuMkt4PEKTChp52zj44s2izQ/edit?usp=sharing"",""กาญจนบุรี!Q382"")+IMPORTRANGE(""https://docs.google.com/spreadsheets/d/1ddFKvqj1W1NEiWytbGlB1zMx_ykJDVtmfEQ-6-lIUBA/edit?usp=sharing"","&amp;"""จันทบุรี!Q382"")+IMPORTRANGE(""https://docs.google.com/spreadsheets/d/1T1PQvRODqOBZk8BRht_U031fIS1beLA0Ub2CEytj2q0/edit?usp=sharing"",""ฉะเชิงเทรา!Q382"")+IMPORTRANGE(""https://docs.google.com/spreadsheets/d/11tr1B-Bhyr79v2bkwVh5h_fR-PStkgjlZtkrZpYurG0/"&amp;"edit?usp=sharing"",""ชลบุรี!Q382"")+IMPORTRANGE(""https://docs.google.com/spreadsheets/d/1hh-FVnSX0vozXhGluamEcS54Dw9_zqW0N7qJUWgJ0Sw/edit?usp=sharing"",""ชัยนาท!Q382"")+IMPORTRANGE(""https://docs.google.com/spreadsheets/d/1jkqa6GXxSacMcY1eN8AHjMNJ_7dDXMJ"&amp;"VRLDlaFSOdPM/edit?usp=sharing"",""ตราด!Q382"")+IMPORTRANGE(""https://docs.google.com/spreadsheets/d/18hSgUJ3VwClqi_qtULmmW3cLr0oe3OKaSYoKzdpTsYQ/edit?usp=sharing"",""นครนายก!Q382"")+IMPORTRANGE(""https://docs.google.com/spreadsheets/d/1YTZo6WM2dQ6Ix6FSdnL"&amp;"5P7uVnVKu40sxZu975tgG10E/edit?usp=sharing"",""นครปฐม!Q382"")+IMPORTRANGE(""https://docs.google.com/spreadsheets/d/1OYoGg4WDg5RIzwGeB10padOxJF9E_Vljuvvct_M7RDo/edit?usp=sharing"",""ปทุมธานี!Q382"")+IMPORTRANGE(""https://docs.google.com/spreadsheets/d/1GbCI"&amp;"E4D4wk9FUozzqk7SxfDMxDVBwVmI5zcaVUSzKAc/edit?usp=sharing"",""ประจวบคีรีขันธ์!Q382"")+IMPORTRANGE(""https://docs.google.com/spreadsheets/d/1vVf6wykvW_lAyu7Yo9L4hUTqHqIeP_qcVuxCtosJEbg/edit?usp=sharing"",""ปราจีนบุรี!Q382"")+IMPORTRANGE(""https://docs.googl"&amp;"e.com/spreadsheets/d/1BIDqLLg5jk3v59G8NlR8rk5xfQDKne0sAvZHSj7TI6I/edit?usp=sharing"",""พระนครศรีอยุธยา!Q382"")+IMPORTRANGE(""https://docs.google.com/spreadsheets/d/1YXvxf8Yu6_rV4hTBrwMqAcAnv6DfhUxh5emyM3CJp_w/edit?usp=sharing"",""เพชรบุรี!Q382"")+IMPORTRA"&amp;"NGE(""https://docs.google.com/spreadsheets/d/19KBlQQs7uwvsao6t2n-KvW3Ax8J8uRRfZPq1zPbXgKc/edit?usp=sharing"",""ระยอง!Q382"")+IMPORTRANGE(""https://docs.google.com/spreadsheets/d/1jQ6P4QcrGM89YfqcC_PxOHGCMq5ezhucwJd8ci-NHng/edit?usp=sharing"",""ราชบุรี!Q38"&amp;"2"")+IMPORTRANGE(""https://docs.google.com/spreadsheets/d/1lufeA2cfFqM-elVq2hznhDzC6Pr7wkJ9ZG_sYNGCMCU/edit?usp=sharing"",""ลพบุรี!Q382"")+IMPORTRANGE(""https://docs.google.com/spreadsheets/d/10oOiF7loTyfsTkbd4MpaIm0HQ9SwB7IYHdIUvt-U1Uc/edit?usp=sharing"""&amp;",""สระแก้ว!Q382"")+IMPORTRANGE(""https://docs.google.com/spreadsheets/d/1xmPlrr1QbdSIKvl1dWUl9K4PjAfSL9oeMr_37QVzcxc/edit?usp=sharing"",""สระบุรี!Q382"")+IMPORTRANGE(""https://docs.google.com/spreadsheets/d/1j51vR6CYVGhABJpv6tkstgok82RLpXieLzW1yOY5rHw/edi"&amp;"t?usp=sharing"",""สิงห์บุรี!Q382"")+IMPORTRANGE(""https://docs.google.com/spreadsheets/d/1H1EalTWKUSzO4Z1-1CwzoDUaVffgrThEBe2sl74kKG0/edit?usp=sharing"",""สุพรรณบุรี!Q382"")+IMPORTRANGE(""https://docs.google.com/spreadsheets/d/1BmIruG_sIrJLYao_Pdr7zVArWsf"&amp;"oBt2692TMi6x_854/edit?usp=sharing"",""อ่างทอง!Q382"")"),0)</f>
        <v>0</v>
      </c>
      <c r="R382" s="75">
        <f ca="1">IFERROR(__xludf.DUMMYFUNCTION("IMPORTRANGE(""https://docs.google.com/spreadsheets/d/13wPX838HrBrQMCywv1BsuMkt4PEKTChp52zj44s2izQ/edit?usp=sharing"",""กาญจนบุรี!R382"")+IMPORTRANGE(""https://docs.google.com/spreadsheets/d/1ddFKvqj1W1NEiWytbGlB1zMx_ykJDVtmfEQ-6-lIUBA/edit?usp=sharing"","&amp;"""จันทบุรี!R382"")+IMPORTRANGE(""https://docs.google.com/spreadsheets/d/1T1PQvRODqOBZk8BRht_U031fIS1beLA0Ub2CEytj2q0/edit?usp=sharing"",""ฉะเชิงเทรา!R382"")+IMPORTRANGE(""https://docs.google.com/spreadsheets/d/11tr1B-Bhyr79v2bkwVh5h_fR-PStkgjlZtkrZpYurG0/"&amp;"edit?usp=sharing"",""ชลบุรี!R382"")+IMPORTRANGE(""https://docs.google.com/spreadsheets/d/1hh-FVnSX0vozXhGluamEcS54Dw9_zqW0N7qJUWgJ0Sw/edit?usp=sharing"",""ชัยนาท!R382"")+IMPORTRANGE(""https://docs.google.com/spreadsheets/d/1jkqa6GXxSacMcY1eN8AHjMNJ_7dDXMJ"&amp;"VRLDlaFSOdPM/edit?usp=sharing"",""ตราด!R382"")+IMPORTRANGE(""https://docs.google.com/spreadsheets/d/18hSgUJ3VwClqi_qtULmmW3cLr0oe3OKaSYoKzdpTsYQ/edit?usp=sharing"",""นครนายก!R382"")+IMPORTRANGE(""https://docs.google.com/spreadsheets/d/1YTZo6WM2dQ6Ix6FSdnL"&amp;"5P7uVnVKu40sxZu975tgG10E/edit?usp=sharing"",""นครปฐม!R382"")+IMPORTRANGE(""https://docs.google.com/spreadsheets/d/1OYoGg4WDg5RIzwGeB10padOxJF9E_Vljuvvct_M7RDo/edit?usp=sharing"",""ปทุมธานี!R382"")+IMPORTRANGE(""https://docs.google.com/spreadsheets/d/1GbCI"&amp;"E4D4wk9FUozzqk7SxfDMxDVBwVmI5zcaVUSzKAc/edit?usp=sharing"",""ประจวบคีรีขันธ์!R382"")+IMPORTRANGE(""https://docs.google.com/spreadsheets/d/1vVf6wykvW_lAyu7Yo9L4hUTqHqIeP_qcVuxCtosJEbg/edit?usp=sharing"",""ปราจีนบุรี!R382"")+IMPORTRANGE(""https://docs.googl"&amp;"e.com/spreadsheets/d/1BIDqLLg5jk3v59G8NlR8rk5xfQDKne0sAvZHSj7TI6I/edit?usp=sharing"",""พระนครศรีอยุธยา!R382"")+IMPORTRANGE(""https://docs.google.com/spreadsheets/d/1YXvxf8Yu6_rV4hTBrwMqAcAnv6DfhUxh5emyM3CJp_w/edit?usp=sharing"",""เพชรบุรี!R382"")+IMPORTRA"&amp;"NGE(""https://docs.google.com/spreadsheets/d/19KBlQQs7uwvsao6t2n-KvW3Ax8J8uRRfZPq1zPbXgKc/edit?usp=sharing"",""ระยอง!R382"")+IMPORTRANGE(""https://docs.google.com/spreadsheets/d/1jQ6P4QcrGM89YfqcC_PxOHGCMq5ezhucwJd8ci-NHng/edit?usp=sharing"",""ราชบุรี!R38"&amp;"2"")+IMPORTRANGE(""https://docs.google.com/spreadsheets/d/1lufeA2cfFqM-elVq2hznhDzC6Pr7wkJ9ZG_sYNGCMCU/edit?usp=sharing"",""ลพบุรี!R382"")+IMPORTRANGE(""https://docs.google.com/spreadsheets/d/10oOiF7loTyfsTkbd4MpaIm0HQ9SwB7IYHdIUvt-U1Uc/edit?usp=sharing"""&amp;",""สระแก้ว!R382"")+IMPORTRANGE(""https://docs.google.com/spreadsheets/d/1xmPlrr1QbdSIKvl1dWUl9K4PjAfSL9oeMr_37QVzcxc/edit?usp=sharing"",""สระบุรี!R382"")+IMPORTRANGE(""https://docs.google.com/spreadsheets/d/1j51vR6CYVGhABJpv6tkstgok82RLpXieLzW1yOY5rHw/edi"&amp;"t?usp=sharing"",""สิงห์บุรี!R382"")+IMPORTRANGE(""https://docs.google.com/spreadsheets/d/1H1EalTWKUSzO4Z1-1CwzoDUaVffgrThEBe2sl74kKG0/edit?usp=sharing"",""สุพรรณบุรี!R382"")+IMPORTRANGE(""https://docs.google.com/spreadsheets/d/1BmIruG_sIrJLYao_Pdr7zVArWsf"&amp;"oBt2692TMi6x_854/edit?usp=sharing"",""อ่างทอง!R382"")"),0)</f>
        <v>0</v>
      </c>
      <c r="S382" s="75">
        <f ca="1">IFERROR(__xludf.DUMMYFUNCTION("IMPORTRANGE(""https://docs.google.com/spreadsheets/d/13wPX838HrBrQMCywv1BsuMkt4PEKTChp52zj44s2izQ/edit?usp=sharing"",""กาญจนบุรี!S382"")+IMPORTRANGE(""https://docs.google.com/spreadsheets/d/1ddFKvqj1W1NEiWytbGlB1zMx_ykJDVtmfEQ-6-lIUBA/edit?usp=sharing"","&amp;"""จันทบุรี!S382"")+IMPORTRANGE(""https://docs.google.com/spreadsheets/d/1T1PQvRODqOBZk8BRht_U031fIS1beLA0Ub2CEytj2q0/edit?usp=sharing"",""ฉะเชิงเทรา!S382"")+IMPORTRANGE(""https://docs.google.com/spreadsheets/d/11tr1B-Bhyr79v2bkwVh5h_fR-PStkgjlZtkrZpYurG0/"&amp;"edit?usp=sharing"",""ชลบุรี!S382"")+IMPORTRANGE(""https://docs.google.com/spreadsheets/d/1hh-FVnSX0vozXhGluamEcS54Dw9_zqW0N7qJUWgJ0Sw/edit?usp=sharing"",""ชัยนาท!S382"")+IMPORTRANGE(""https://docs.google.com/spreadsheets/d/1jkqa6GXxSacMcY1eN8AHjMNJ_7dDXMJ"&amp;"VRLDlaFSOdPM/edit?usp=sharing"",""ตราด!S382"")+IMPORTRANGE(""https://docs.google.com/spreadsheets/d/18hSgUJ3VwClqi_qtULmmW3cLr0oe3OKaSYoKzdpTsYQ/edit?usp=sharing"",""นครนายก!S382"")+IMPORTRANGE(""https://docs.google.com/spreadsheets/d/1YTZo6WM2dQ6Ix6FSdnL"&amp;"5P7uVnVKu40sxZu975tgG10E/edit?usp=sharing"",""นครปฐม!S382"")+IMPORTRANGE(""https://docs.google.com/spreadsheets/d/1OYoGg4WDg5RIzwGeB10padOxJF9E_Vljuvvct_M7RDo/edit?usp=sharing"",""ปทุมธานี!S382"")+IMPORTRANGE(""https://docs.google.com/spreadsheets/d/1GbCI"&amp;"E4D4wk9FUozzqk7SxfDMxDVBwVmI5zcaVUSzKAc/edit?usp=sharing"",""ประจวบคีรีขันธ์!S382"")+IMPORTRANGE(""https://docs.google.com/spreadsheets/d/1vVf6wykvW_lAyu7Yo9L4hUTqHqIeP_qcVuxCtosJEbg/edit?usp=sharing"",""ปราจีนบุรี!S382"")+IMPORTRANGE(""https://docs.googl"&amp;"e.com/spreadsheets/d/1BIDqLLg5jk3v59G8NlR8rk5xfQDKne0sAvZHSj7TI6I/edit?usp=sharing"",""พระนครศรีอยุธยา!S382"")+IMPORTRANGE(""https://docs.google.com/spreadsheets/d/1YXvxf8Yu6_rV4hTBrwMqAcAnv6DfhUxh5emyM3CJp_w/edit?usp=sharing"",""เพชรบุรี!S382"")+IMPORTRA"&amp;"NGE(""https://docs.google.com/spreadsheets/d/19KBlQQs7uwvsao6t2n-KvW3Ax8J8uRRfZPq1zPbXgKc/edit?usp=sharing"",""ระยอง!S382"")+IMPORTRANGE(""https://docs.google.com/spreadsheets/d/1jQ6P4QcrGM89YfqcC_PxOHGCMq5ezhucwJd8ci-NHng/edit?usp=sharing"",""ราชบุรี!S38"&amp;"2"")+IMPORTRANGE(""https://docs.google.com/spreadsheets/d/1lufeA2cfFqM-elVq2hznhDzC6Pr7wkJ9ZG_sYNGCMCU/edit?usp=sharing"",""ลพบุรี!S382"")+IMPORTRANGE(""https://docs.google.com/spreadsheets/d/10oOiF7loTyfsTkbd4MpaIm0HQ9SwB7IYHdIUvt-U1Uc/edit?usp=sharing"""&amp;",""สระแก้ว!S382"")+IMPORTRANGE(""https://docs.google.com/spreadsheets/d/1xmPlrr1QbdSIKvl1dWUl9K4PjAfSL9oeMr_37QVzcxc/edit?usp=sharing"",""สระบุรี!S382"")+IMPORTRANGE(""https://docs.google.com/spreadsheets/d/1j51vR6CYVGhABJpv6tkstgok82RLpXieLzW1yOY5rHw/edi"&amp;"t?usp=sharing"",""สิงห์บุรี!S382"")+IMPORTRANGE(""https://docs.google.com/spreadsheets/d/1H1EalTWKUSzO4Z1-1CwzoDUaVffgrThEBe2sl74kKG0/edit?usp=sharing"",""สุพรรณบุรี!S382"")+IMPORTRANGE(""https://docs.google.com/spreadsheets/d/1BmIruG_sIrJLYao_Pdr7zVArWsf"&amp;"oBt2692TMi6x_854/edit?usp=sharing"",""อ่างทอง!S382"")"),0)</f>
        <v>0</v>
      </c>
      <c r="T382" s="131">
        <f t="shared" ca="1" si="278"/>
        <v>0</v>
      </c>
      <c r="U382" s="131">
        <f t="shared" ca="1" si="279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13wPX838HrBrQMCywv1BsuMkt4PEKTChp52zj44s2izQ/edit?usp=sharing"",""กาญจนบุรี!L383"")+IMPORTRANGE(""https://docs.google.com/spreadsheets/d/1ddFKvqj1W1NEiWytbGlB1zMx_ykJDVtmfEQ-6-lIUBA/edit?usp=sharing"","&amp;"""จันทบุรี!L383"")+IMPORTRANGE(""https://docs.google.com/spreadsheets/d/1T1PQvRODqOBZk8BRht_U031fIS1beLA0Ub2CEytj2q0/edit?usp=sharing"",""ฉะเชิงเทรา!L383"")+IMPORTRANGE(""https://docs.google.com/spreadsheets/d/11tr1B-Bhyr79v2bkwVh5h_fR-PStkgjlZtkrZpYurG0/"&amp;"edit?usp=sharing"",""ชลบุรี!L383"")+IMPORTRANGE(""https://docs.google.com/spreadsheets/d/1hh-FVnSX0vozXhGluamEcS54Dw9_zqW0N7qJUWgJ0Sw/edit?usp=sharing"",""ชัยนาท!L383"")+IMPORTRANGE(""https://docs.google.com/spreadsheets/d/1jkqa6GXxSacMcY1eN8AHjMNJ_7dDXMJ"&amp;"VRLDlaFSOdPM/edit?usp=sharing"",""ตราด!L383"")+IMPORTRANGE(""https://docs.google.com/spreadsheets/d/18hSgUJ3VwClqi_qtULmmW3cLr0oe3OKaSYoKzdpTsYQ/edit?usp=sharing"",""นครนายก!L383"")+IMPORTRANGE(""https://docs.google.com/spreadsheets/d/1YTZo6WM2dQ6Ix6FSdnL"&amp;"5P7uVnVKu40sxZu975tgG10E/edit?usp=sharing"",""นครปฐม!L383"")+IMPORTRANGE(""https://docs.google.com/spreadsheets/d/1OYoGg4WDg5RIzwGeB10padOxJF9E_Vljuvvct_M7RDo/edit?usp=sharing"",""ปทุมธานี!L383"")+IMPORTRANGE(""https://docs.google.com/spreadsheets/d/1GbCI"&amp;"E4D4wk9FUozzqk7SxfDMxDVBwVmI5zcaVUSzKAc/edit?usp=sharing"",""ประจวบคีรีขันธ์!L383"")+IMPORTRANGE(""https://docs.google.com/spreadsheets/d/1vVf6wykvW_lAyu7Yo9L4hUTqHqIeP_qcVuxCtosJEbg/edit?usp=sharing"",""ปราจีนบุรี!L383"")+IMPORTRANGE(""https://docs.googl"&amp;"e.com/spreadsheets/d/1BIDqLLg5jk3v59G8NlR8rk5xfQDKne0sAvZHSj7TI6I/edit?usp=sharing"",""พระนครศรีอยุธยา!L383"")+IMPORTRANGE(""https://docs.google.com/spreadsheets/d/1YXvxf8Yu6_rV4hTBrwMqAcAnv6DfhUxh5emyM3CJp_w/edit?usp=sharing"",""เพชรบุรี!L383"")+IMPORTRA"&amp;"NGE(""https://docs.google.com/spreadsheets/d/19KBlQQs7uwvsao6t2n-KvW3Ax8J8uRRfZPq1zPbXgKc/edit?usp=sharing"",""ระยอง!L383"")+IMPORTRANGE(""https://docs.google.com/spreadsheets/d/1jQ6P4QcrGM89YfqcC_PxOHGCMq5ezhucwJd8ci-NHng/edit?usp=sharing"",""ราชบุรี!L38"&amp;"3"")+IMPORTRANGE(""https://docs.google.com/spreadsheets/d/1lufeA2cfFqM-elVq2hznhDzC6Pr7wkJ9ZG_sYNGCMCU/edit?usp=sharing"",""ลพบุรี!L383"")+IMPORTRANGE(""https://docs.google.com/spreadsheets/d/10oOiF7loTyfsTkbd4MpaIm0HQ9SwB7IYHdIUvt-U1Uc/edit?usp=sharing"""&amp;",""สระแก้ว!L383"")+IMPORTRANGE(""https://docs.google.com/spreadsheets/d/1xmPlrr1QbdSIKvl1dWUl9K4PjAfSL9oeMr_37QVzcxc/edit?usp=sharing"",""สระบุรี!L383"")+IMPORTRANGE(""https://docs.google.com/spreadsheets/d/1j51vR6CYVGhABJpv6tkstgok82RLpXieLzW1yOY5rHw/edi"&amp;"t?usp=sharing"",""สิงห์บุรี!L383"")+IMPORTRANGE(""https://docs.google.com/spreadsheets/d/1H1EalTWKUSzO4Z1-1CwzoDUaVffgrThEBe2sl74kKG0/edit?usp=sharing"",""สุพรรณบุรี!L383"")+IMPORTRANGE(""https://docs.google.com/spreadsheets/d/1BmIruG_sIrJLYao_Pdr7zVArWsf"&amp;"oBt2692TMi6x_854/edit?usp=sharing"",""อ่างทอง!L383"")"),0)</f>
        <v>0</v>
      </c>
      <c r="M383" s="72">
        <f ca="1">IFERROR(__xludf.DUMMYFUNCTION("IMPORTRANGE(""https://docs.google.com/spreadsheets/d/13wPX838HrBrQMCywv1BsuMkt4PEKTChp52zj44s2izQ/edit?usp=sharing"",""กาญจนบุรี!M383"")+IMPORTRANGE(""https://docs.google.com/spreadsheets/d/1ddFKvqj1W1NEiWytbGlB1zMx_ykJDVtmfEQ-6-lIUBA/edit?usp=sharing"","&amp;"""จันทบุรี!M383"")+IMPORTRANGE(""https://docs.google.com/spreadsheets/d/1T1PQvRODqOBZk8BRht_U031fIS1beLA0Ub2CEytj2q0/edit?usp=sharing"",""ฉะเชิงเทรา!M383"")+IMPORTRANGE(""https://docs.google.com/spreadsheets/d/11tr1B-Bhyr79v2bkwVh5h_fR-PStkgjlZtkrZpYurG0/"&amp;"edit?usp=sharing"",""ชลบุรี!M383"")+IMPORTRANGE(""https://docs.google.com/spreadsheets/d/1hh-FVnSX0vozXhGluamEcS54Dw9_zqW0N7qJUWgJ0Sw/edit?usp=sharing"",""ชัยนาท!M383"")+IMPORTRANGE(""https://docs.google.com/spreadsheets/d/1jkqa6GXxSacMcY1eN8AHjMNJ_7dDXMJ"&amp;"VRLDlaFSOdPM/edit?usp=sharing"",""ตราด!M383"")+IMPORTRANGE(""https://docs.google.com/spreadsheets/d/18hSgUJ3VwClqi_qtULmmW3cLr0oe3OKaSYoKzdpTsYQ/edit?usp=sharing"",""นครนายก!M383"")+IMPORTRANGE(""https://docs.google.com/spreadsheets/d/1YTZo6WM2dQ6Ix6FSdnL"&amp;"5P7uVnVKu40sxZu975tgG10E/edit?usp=sharing"",""นครปฐม!M383"")+IMPORTRANGE(""https://docs.google.com/spreadsheets/d/1OYoGg4WDg5RIzwGeB10padOxJF9E_Vljuvvct_M7RDo/edit?usp=sharing"",""ปทุมธานี!M383"")+IMPORTRANGE(""https://docs.google.com/spreadsheets/d/1GbCI"&amp;"E4D4wk9FUozzqk7SxfDMxDVBwVmI5zcaVUSzKAc/edit?usp=sharing"",""ประจวบคีรีขันธ์!M383"")+IMPORTRANGE(""https://docs.google.com/spreadsheets/d/1vVf6wykvW_lAyu7Yo9L4hUTqHqIeP_qcVuxCtosJEbg/edit?usp=sharing"",""ปราจีนบุรี!M383"")+IMPORTRANGE(""https://docs.googl"&amp;"e.com/spreadsheets/d/1BIDqLLg5jk3v59G8NlR8rk5xfQDKne0sAvZHSj7TI6I/edit?usp=sharing"",""พระนครศรีอยุธยา!M383"")+IMPORTRANGE(""https://docs.google.com/spreadsheets/d/1YXvxf8Yu6_rV4hTBrwMqAcAnv6DfhUxh5emyM3CJp_w/edit?usp=sharing"",""เพชรบุรี!M383"")+IMPORTRA"&amp;"NGE(""https://docs.google.com/spreadsheets/d/19KBlQQs7uwvsao6t2n-KvW3Ax8J8uRRfZPq1zPbXgKc/edit?usp=sharing"",""ระยอง!M383"")+IMPORTRANGE(""https://docs.google.com/spreadsheets/d/1jQ6P4QcrGM89YfqcC_PxOHGCMq5ezhucwJd8ci-NHng/edit?usp=sharing"",""ราชบุรี!M38"&amp;"3"")+IMPORTRANGE(""https://docs.google.com/spreadsheets/d/1lufeA2cfFqM-elVq2hznhDzC6Pr7wkJ9ZG_sYNGCMCU/edit?usp=sharing"",""ลพบุรี!M383"")+IMPORTRANGE(""https://docs.google.com/spreadsheets/d/10oOiF7loTyfsTkbd4MpaIm0HQ9SwB7IYHdIUvt-U1Uc/edit?usp=sharing"""&amp;",""สระแก้ว!M383"")+IMPORTRANGE(""https://docs.google.com/spreadsheets/d/1xmPlrr1QbdSIKvl1dWUl9K4PjAfSL9oeMr_37QVzcxc/edit?usp=sharing"",""สระบุรี!M383"")+IMPORTRANGE(""https://docs.google.com/spreadsheets/d/1j51vR6CYVGhABJpv6tkstgok82RLpXieLzW1yOY5rHw/edi"&amp;"t?usp=sharing"",""สิงห์บุรี!M383"")+IMPORTRANGE(""https://docs.google.com/spreadsheets/d/1H1EalTWKUSzO4Z1-1CwzoDUaVffgrThEBe2sl74kKG0/edit?usp=sharing"",""สุพรรณบุรี!M383"")+IMPORTRANGE(""https://docs.google.com/spreadsheets/d/1BmIruG_sIrJLYao_Pdr7zVArWsf"&amp;"oBt2692TMi6x_854/edit?usp=sharing"",""อ่างทอง!M383"")"),0)</f>
        <v>0</v>
      </c>
      <c r="N383" s="72">
        <f ca="1">IFERROR(__xludf.DUMMYFUNCTION("IMPORTRANGE(""https://docs.google.com/spreadsheets/d/13wPX838HrBrQMCywv1BsuMkt4PEKTChp52zj44s2izQ/edit?usp=sharing"",""กาญจนบุรี!N383"")+IMPORTRANGE(""https://docs.google.com/spreadsheets/d/1ddFKvqj1W1NEiWytbGlB1zMx_ykJDVtmfEQ-6-lIUBA/edit?usp=sharing"","&amp;"""จันทบุรี!N383"")+IMPORTRANGE(""https://docs.google.com/spreadsheets/d/1T1PQvRODqOBZk8BRht_U031fIS1beLA0Ub2CEytj2q0/edit?usp=sharing"",""ฉะเชิงเทรา!N383"")+IMPORTRANGE(""https://docs.google.com/spreadsheets/d/11tr1B-Bhyr79v2bkwVh5h_fR-PStkgjlZtkrZpYurG0/"&amp;"edit?usp=sharing"",""ชลบุรี!N383"")+IMPORTRANGE(""https://docs.google.com/spreadsheets/d/1hh-FVnSX0vozXhGluamEcS54Dw9_zqW0N7qJUWgJ0Sw/edit?usp=sharing"",""ชัยนาท!N383"")+IMPORTRANGE(""https://docs.google.com/spreadsheets/d/1jkqa6GXxSacMcY1eN8AHjMNJ_7dDXMJ"&amp;"VRLDlaFSOdPM/edit?usp=sharing"",""ตราด!N383"")+IMPORTRANGE(""https://docs.google.com/spreadsheets/d/18hSgUJ3VwClqi_qtULmmW3cLr0oe3OKaSYoKzdpTsYQ/edit?usp=sharing"",""นครนายก!N383"")+IMPORTRANGE(""https://docs.google.com/spreadsheets/d/1YTZo6WM2dQ6Ix6FSdnL"&amp;"5P7uVnVKu40sxZu975tgG10E/edit?usp=sharing"",""นครปฐม!N383"")+IMPORTRANGE(""https://docs.google.com/spreadsheets/d/1OYoGg4WDg5RIzwGeB10padOxJF9E_Vljuvvct_M7RDo/edit?usp=sharing"",""ปทุมธานี!N383"")+IMPORTRANGE(""https://docs.google.com/spreadsheets/d/1GbCI"&amp;"E4D4wk9FUozzqk7SxfDMxDVBwVmI5zcaVUSzKAc/edit?usp=sharing"",""ประจวบคีรีขันธ์!N383"")+IMPORTRANGE(""https://docs.google.com/spreadsheets/d/1vVf6wykvW_lAyu7Yo9L4hUTqHqIeP_qcVuxCtosJEbg/edit?usp=sharing"",""ปราจีนบุรี!N383"")+IMPORTRANGE(""https://docs.googl"&amp;"e.com/spreadsheets/d/1BIDqLLg5jk3v59G8NlR8rk5xfQDKne0sAvZHSj7TI6I/edit?usp=sharing"",""พระนครศรีอยุธยา!N383"")+IMPORTRANGE(""https://docs.google.com/spreadsheets/d/1YXvxf8Yu6_rV4hTBrwMqAcAnv6DfhUxh5emyM3CJp_w/edit?usp=sharing"",""เพชรบุรี!N383"")+IMPORTRA"&amp;"NGE(""https://docs.google.com/spreadsheets/d/19KBlQQs7uwvsao6t2n-KvW3Ax8J8uRRfZPq1zPbXgKc/edit?usp=sharing"",""ระยอง!N383"")+IMPORTRANGE(""https://docs.google.com/spreadsheets/d/1jQ6P4QcrGM89YfqcC_PxOHGCMq5ezhucwJd8ci-NHng/edit?usp=sharing"",""ราชบุรี!N38"&amp;"3"")+IMPORTRANGE(""https://docs.google.com/spreadsheets/d/1lufeA2cfFqM-elVq2hznhDzC6Pr7wkJ9ZG_sYNGCMCU/edit?usp=sharing"",""ลพบุรี!N383"")+IMPORTRANGE(""https://docs.google.com/spreadsheets/d/10oOiF7loTyfsTkbd4MpaIm0HQ9SwB7IYHdIUvt-U1Uc/edit?usp=sharing"""&amp;",""สระแก้ว!N383"")+IMPORTRANGE(""https://docs.google.com/spreadsheets/d/1xmPlrr1QbdSIKvl1dWUl9K4PjAfSL9oeMr_37QVzcxc/edit?usp=sharing"",""สระบุรี!N383"")+IMPORTRANGE(""https://docs.google.com/spreadsheets/d/1j51vR6CYVGhABJpv6tkstgok82RLpXieLzW1yOY5rHw/edi"&amp;"t?usp=sharing"",""สิงห์บุรี!N383"")+IMPORTRANGE(""https://docs.google.com/spreadsheets/d/1H1EalTWKUSzO4Z1-1CwzoDUaVffgrThEBe2sl74kKG0/edit?usp=sharing"",""สุพรรณบุรี!N383"")+IMPORTRANGE(""https://docs.google.com/spreadsheets/d/1BmIruG_sIrJLYao_Pdr7zVArWsf"&amp;"oBt2692TMi6x_854/edit?usp=sharing"",""อ่างทอง!N383"")"),0)</f>
        <v>0</v>
      </c>
      <c r="O383" s="72">
        <f t="shared" ca="1" si="275"/>
        <v>0</v>
      </c>
      <c r="P383" s="72">
        <f t="shared" ca="1" si="276"/>
        <v>0</v>
      </c>
      <c r="Q383" s="71">
        <f ca="1">IFERROR(__xludf.DUMMYFUNCTION("IMPORTRANGE(""https://docs.google.com/spreadsheets/d/13wPX838HrBrQMCywv1BsuMkt4PEKTChp52zj44s2izQ/edit?usp=sharing"",""กาญจนบุรี!Q383"")+IMPORTRANGE(""https://docs.google.com/spreadsheets/d/1ddFKvqj1W1NEiWytbGlB1zMx_ykJDVtmfEQ-6-lIUBA/edit?usp=sharing"","&amp;"""จันทบุรี!Q383"")+IMPORTRANGE(""https://docs.google.com/spreadsheets/d/1T1PQvRODqOBZk8BRht_U031fIS1beLA0Ub2CEytj2q0/edit?usp=sharing"",""ฉะเชิงเทรา!Q383"")+IMPORTRANGE(""https://docs.google.com/spreadsheets/d/11tr1B-Bhyr79v2bkwVh5h_fR-PStkgjlZtkrZpYurG0/"&amp;"edit?usp=sharing"",""ชลบุรี!Q383"")+IMPORTRANGE(""https://docs.google.com/spreadsheets/d/1hh-FVnSX0vozXhGluamEcS54Dw9_zqW0N7qJUWgJ0Sw/edit?usp=sharing"",""ชัยนาท!Q383"")+IMPORTRANGE(""https://docs.google.com/spreadsheets/d/1jkqa6GXxSacMcY1eN8AHjMNJ_7dDXMJ"&amp;"VRLDlaFSOdPM/edit?usp=sharing"",""ตราด!Q383"")+IMPORTRANGE(""https://docs.google.com/spreadsheets/d/18hSgUJ3VwClqi_qtULmmW3cLr0oe3OKaSYoKzdpTsYQ/edit?usp=sharing"",""นครนายก!Q383"")+IMPORTRANGE(""https://docs.google.com/spreadsheets/d/1YTZo6WM2dQ6Ix6FSdnL"&amp;"5P7uVnVKu40sxZu975tgG10E/edit?usp=sharing"",""นครปฐม!Q383"")+IMPORTRANGE(""https://docs.google.com/spreadsheets/d/1OYoGg4WDg5RIzwGeB10padOxJF9E_Vljuvvct_M7RDo/edit?usp=sharing"",""ปทุมธานี!Q383"")+IMPORTRANGE(""https://docs.google.com/spreadsheets/d/1GbCI"&amp;"E4D4wk9FUozzqk7SxfDMxDVBwVmI5zcaVUSzKAc/edit?usp=sharing"",""ประจวบคีรีขันธ์!Q383"")+IMPORTRANGE(""https://docs.google.com/spreadsheets/d/1vVf6wykvW_lAyu7Yo9L4hUTqHqIeP_qcVuxCtosJEbg/edit?usp=sharing"",""ปราจีนบุรี!Q383"")+IMPORTRANGE(""https://docs.googl"&amp;"e.com/spreadsheets/d/1BIDqLLg5jk3v59G8NlR8rk5xfQDKne0sAvZHSj7TI6I/edit?usp=sharing"",""พระนครศรีอยุธยา!Q383"")+IMPORTRANGE(""https://docs.google.com/spreadsheets/d/1YXvxf8Yu6_rV4hTBrwMqAcAnv6DfhUxh5emyM3CJp_w/edit?usp=sharing"",""เพชรบุรี!Q383"")+IMPORTRA"&amp;"NGE(""https://docs.google.com/spreadsheets/d/19KBlQQs7uwvsao6t2n-KvW3Ax8J8uRRfZPq1zPbXgKc/edit?usp=sharing"",""ระยอง!Q383"")+IMPORTRANGE(""https://docs.google.com/spreadsheets/d/1jQ6P4QcrGM89YfqcC_PxOHGCMq5ezhucwJd8ci-NHng/edit?usp=sharing"",""ราชบุรี!Q38"&amp;"3"")+IMPORTRANGE(""https://docs.google.com/spreadsheets/d/1lufeA2cfFqM-elVq2hznhDzC6Pr7wkJ9ZG_sYNGCMCU/edit?usp=sharing"",""ลพบุรี!Q383"")+IMPORTRANGE(""https://docs.google.com/spreadsheets/d/10oOiF7loTyfsTkbd4MpaIm0HQ9SwB7IYHdIUvt-U1Uc/edit?usp=sharing"""&amp;",""สระแก้ว!Q383"")+IMPORTRANGE(""https://docs.google.com/spreadsheets/d/1xmPlrr1QbdSIKvl1dWUl9K4PjAfSL9oeMr_37QVzcxc/edit?usp=sharing"",""สระบุรี!Q383"")+IMPORTRANGE(""https://docs.google.com/spreadsheets/d/1j51vR6CYVGhABJpv6tkstgok82RLpXieLzW1yOY5rHw/edi"&amp;"t?usp=sharing"",""สิงห์บุรี!Q383"")+IMPORTRANGE(""https://docs.google.com/spreadsheets/d/1H1EalTWKUSzO4Z1-1CwzoDUaVffgrThEBe2sl74kKG0/edit?usp=sharing"",""สุพรรณบุรี!Q383"")+IMPORTRANGE(""https://docs.google.com/spreadsheets/d/1BmIruG_sIrJLYao_Pdr7zVArWsf"&amp;"oBt2692TMi6x_854/edit?usp=sharing"",""อ่างทอง!Q383"")"),0)</f>
        <v>0</v>
      </c>
      <c r="R383" s="72">
        <f ca="1">IFERROR(__xludf.DUMMYFUNCTION("IMPORTRANGE(""https://docs.google.com/spreadsheets/d/13wPX838HrBrQMCywv1BsuMkt4PEKTChp52zj44s2izQ/edit?usp=sharing"",""กาญจนบุรี!R383"")+IMPORTRANGE(""https://docs.google.com/spreadsheets/d/1ddFKvqj1W1NEiWytbGlB1zMx_ykJDVtmfEQ-6-lIUBA/edit?usp=sharing"","&amp;"""จันทบุรี!R383"")+IMPORTRANGE(""https://docs.google.com/spreadsheets/d/1T1PQvRODqOBZk8BRht_U031fIS1beLA0Ub2CEytj2q0/edit?usp=sharing"",""ฉะเชิงเทรา!R383"")+IMPORTRANGE(""https://docs.google.com/spreadsheets/d/11tr1B-Bhyr79v2bkwVh5h_fR-PStkgjlZtkrZpYurG0/"&amp;"edit?usp=sharing"",""ชลบุรี!R383"")+IMPORTRANGE(""https://docs.google.com/spreadsheets/d/1hh-FVnSX0vozXhGluamEcS54Dw9_zqW0N7qJUWgJ0Sw/edit?usp=sharing"",""ชัยนาท!R383"")+IMPORTRANGE(""https://docs.google.com/spreadsheets/d/1jkqa6GXxSacMcY1eN8AHjMNJ_7dDXMJ"&amp;"VRLDlaFSOdPM/edit?usp=sharing"",""ตราด!R383"")+IMPORTRANGE(""https://docs.google.com/spreadsheets/d/18hSgUJ3VwClqi_qtULmmW3cLr0oe3OKaSYoKzdpTsYQ/edit?usp=sharing"",""นครนายก!R383"")+IMPORTRANGE(""https://docs.google.com/spreadsheets/d/1YTZo6WM2dQ6Ix6FSdnL"&amp;"5P7uVnVKu40sxZu975tgG10E/edit?usp=sharing"",""นครปฐม!R383"")+IMPORTRANGE(""https://docs.google.com/spreadsheets/d/1OYoGg4WDg5RIzwGeB10padOxJF9E_Vljuvvct_M7RDo/edit?usp=sharing"",""ปทุมธานี!R383"")+IMPORTRANGE(""https://docs.google.com/spreadsheets/d/1GbCI"&amp;"E4D4wk9FUozzqk7SxfDMxDVBwVmI5zcaVUSzKAc/edit?usp=sharing"",""ประจวบคีรีขันธ์!R383"")+IMPORTRANGE(""https://docs.google.com/spreadsheets/d/1vVf6wykvW_lAyu7Yo9L4hUTqHqIeP_qcVuxCtosJEbg/edit?usp=sharing"",""ปราจีนบุรี!R383"")+IMPORTRANGE(""https://docs.googl"&amp;"e.com/spreadsheets/d/1BIDqLLg5jk3v59G8NlR8rk5xfQDKne0sAvZHSj7TI6I/edit?usp=sharing"",""พระนครศรีอยุธยา!R383"")+IMPORTRANGE(""https://docs.google.com/spreadsheets/d/1YXvxf8Yu6_rV4hTBrwMqAcAnv6DfhUxh5emyM3CJp_w/edit?usp=sharing"",""เพชรบุรี!R383"")+IMPORTRA"&amp;"NGE(""https://docs.google.com/spreadsheets/d/19KBlQQs7uwvsao6t2n-KvW3Ax8J8uRRfZPq1zPbXgKc/edit?usp=sharing"",""ระยอง!R383"")+IMPORTRANGE(""https://docs.google.com/spreadsheets/d/1jQ6P4QcrGM89YfqcC_PxOHGCMq5ezhucwJd8ci-NHng/edit?usp=sharing"",""ราชบุรี!R38"&amp;"3"")+IMPORTRANGE(""https://docs.google.com/spreadsheets/d/1lufeA2cfFqM-elVq2hznhDzC6Pr7wkJ9ZG_sYNGCMCU/edit?usp=sharing"",""ลพบุรี!R383"")+IMPORTRANGE(""https://docs.google.com/spreadsheets/d/10oOiF7loTyfsTkbd4MpaIm0HQ9SwB7IYHdIUvt-U1Uc/edit?usp=sharing"""&amp;",""สระแก้ว!R383"")+IMPORTRANGE(""https://docs.google.com/spreadsheets/d/1xmPlrr1QbdSIKvl1dWUl9K4PjAfSL9oeMr_37QVzcxc/edit?usp=sharing"",""สระบุรี!R383"")+IMPORTRANGE(""https://docs.google.com/spreadsheets/d/1j51vR6CYVGhABJpv6tkstgok82RLpXieLzW1yOY5rHw/edi"&amp;"t?usp=sharing"",""สิงห์บุรี!R383"")+IMPORTRANGE(""https://docs.google.com/spreadsheets/d/1H1EalTWKUSzO4Z1-1CwzoDUaVffgrThEBe2sl74kKG0/edit?usp=sharing"",""สุพรรณบุรี!R383"")+IMPORTRANGE(""https://docs.google.com/spreadsheets/d/1BmIruG_sIrJLYao_Pdr7zVArWsf"&amp;"oBt2692TMi6x_854/edit?usp=sharing"",""อ่างทอง!R383"")"),0)</f>
        <v>0</v>
      </c>
      <c r="S383" s="72">
        <f ca="1">IFERROR(__xludf.DUMMYFUNCTION("IMPORTRANGE(""https://docs.google.com/spreadsheets/d/13wPX838HrBrQMCywv1BsuMkt4PEKTChp52zj44s2izQ/edit?usp=sharing"",""กาญจนบุรี!S383"")+IMPORTRANGE(""https://docs.google.com/spreadsheets/d/1ddFKvqj1W1NEiWytbGlB1zMx_ykJDVtmfEQ-6-lIUBA/edit?usp=sharing"","&amp;"""จันทบุรี!S383"")+IMPORTRANGE(""https://docs.google.com/spreadsheets/d/1T1PQvRODqOBZk8BRht_U031fIS1beLA0Ub2CEytj2q0/edit?usp=sharing"",""ฉะเชิงเทรา!S383"")+IMPORTRANGE(""https://docs.google.com/spreadsheets/d/11tr1B-Bhyr79v2bkwVh5h_fR-PStkgjlZtkrZpYurG0/"&amp;"edit?usp=sharing"",""ชลบุรี!S383"")+IMPORTRANGE(""https://docs.google.com/spreadsheets/d/1hh-FVnSX0vozXhGluamEcS54Dw9_zqW0N7qJUWgJ0Sw/edit?usp=sharing"",""ชัยนาท!S383"")+IMPORTRANGE(""https://docs.google.com/spreadsheets/d/1jkqa6GXxSacMcY1eN8AHjMNJ_7dDXMJ"&amp;"VRLDlaFSOdPM/edit?usp=sharing"",""ตราด!S383"")+IMPORTRANGE(""https://docs.google.com/spreadsheets/d/18hSgUJ3VwClqi_qtULmmW3cLr0oe3OKaSYoKzdpTsYQ/edit?usp=sharing"",""นครนายก!S383"")+IMPORTRANGE(""https://docs.google.com/spreadsheets/d/1YTZo6WM2dQ6Ix6FSdnL"&amp;"5P7uVnVKu40sxZu975tgG10E/edit?usp=sharing"",""นครปฐม!S383"")+IMPORTRANGE(""https://docs.google.com/spreadsheets/d/1OYoGg4WDg5RIzwGeB10padOxJF9E_Vljuvvct_M7RDo/edit?usp=sharing"",""ปทุมธานี!S383"")+IMPORTRANGE(""https://docs.google.com/spreadsheets/d/1GbCI"&amp;"E4D4wk9FUozzqk7SxfDMxDVBwVmI5zcaVUSzKAc/edit?usp=sharing"",""ประจวบคีรีขันธ์!S383"")+IMPORTRANGE(""https://docs.google.com/spreadsheets/d/1vVf6wykvW_lAyu7Yo9L4hUTqHqIeP_qcVuxCtosJEbg/edit?usp=sharing"",""ปราจีนบุรี!S383"")+IMPORTRANGE(""https://docs.googl"&amp;"e.com/spreadsheets/d/1BIDqLLg5jk3v59G8NlR8rk5xfQDKne0sAvZHSj7TI6I/edit?usp=sharing"",""พระนครศรีอยุธยา!S383"")+IMPORTRANGE(""https://docs.google.com/spreadsheets/d/1YXvxf8Yu6_rV4hTBrwMqAcAnv6DfhUxh5emyM3CJp_w/edit?usp=sharing"",""เพชรบุรี!S383"")+IMPORTRA"&amp;"NGE(""https://docs.google.com/spreadsheets/d/19KBlQQs7uwvsao6t2n-KvW3Ax8J8uRRfZPq1zPbXgKc/edit?usp=sharing"",""ระยอง!S383"")+IMPORTRANGE(""https://docs.google.com/spreadsheets/d/1jQ6P4QcrGM89YfqcC_PxOHGCMq5ezhucwJd8ci-NHng/edit?usp=sharing"",""ราชบุรี!S38"&amp;"3"")+IMPORTRANGE(""https://docs.google.com/spreadsheets/d/1lufeA2cfFqM-elVq2hznhDzC6Pr7wkJ9ZG_sYNGCMCU/edit?usp=sharing"",""ลพบุรี!S383"")+IMPORTRANGE(""https://docs.google.com/spreadsheets/d/10oOiF7loTyfsTkbd4MpaIm0HQ9SwB7IYHdIUvt-U1Uc/edit?usp=sharing"""&amp;",""สระแก้ว!S383"")+IMPORTRANGE(""https://docs.google.com/spreadsheets/d/1xmPlrr1QbdSIKvl1dWUl9K4PjAfSL9oeMr_37QVzcxc/edit?usp=sharing"",""สระบุรี!S383"")+IMPORTRANGE(""https://docs.google.com/spreadsheets/d/1j51vR6CYVGhABJpv6tkstgok82RLpXieLzW1yOY5rHw/edi"&amp;"t?usp=sharing"",""สิงห์บุรี!S383"")+IMPORTRANGE(""https://docs.google.com/spreadsheets/d/1H1EalTWKUSzO4Z1-1CwzoDUaVffgrThEBe2sl74kKG0/edit?usp=sharing"",""สุพรรณบุรี!S383"")+IMPORTRANGE(""https://docs.google.com/spreadsheets/d/1BmIruG_sIrJLYao_Pdr7zVArWsf"&amp;"oBt2692TMi6x_854/edit?usp=sharing"",""อ่างทอง!S383"")"),0)</f>
        <v>0</v>
      </c>
      <c r="T383" s="130">
        <f t="shared" ca="1" si="278"/>
        <v>0</v>
      </c>
      <c r="U383" s="130">
        <f t="shared" ca="1" si="279"/>
        <v>0</v>
      </c>
    </row>
    <row r="384" spans="1:21" ht="19.5" x14ac:dyDescent="0.3">
      <c r="A384" s="274"/>
      <c r="B384" s="275"/>
      <c r="C384" s="276" t="s">
        <v>18</v>
      </c>
      <c r="D384" s="568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13wPX838HrBrQMCywv1BsuMkt4PEKTChp52zj44s2izQ/edit?usp=sharing"",""กาญจนบุรี!I385"")+IMPORTRANGE(""https://docs.google.com/spreadsheets/d/1ddFKvqj1W1NEiWytbGlB1zMx_ykJDVtmfEQ-6-lIUBA/edit?usp=sharing"","&amp;"""จันทบุรี!I385"")+IMPORTRANGE(""https://docs.google.com/spreadsheets/d/1T1PQvRODqOBZk8BRht_U031fIS1beLA0Ub2CEytj2q0/edit?usp=sharing"",""ฉะเชิงเทรา!I385"")+IMPORTRANGE(""https://docs.google.com/spreadsheets/d/11tr1B-Bhyr79v2bkwVh5h_fR-PStkgjlZtkrZpYurG0/"&amp;"edit?usp=sharing"",""ชลบุรี!I385"")+IMPORTRANGE(""https://docs.google.com/spreadsheets/d/1hh-FVnSX0vozXhGluamEcS54Dw9_zqW0N7qJUWgJ0Sw/edit?usp=sharing"",""ชัยนาท!I385"")+IMPORTRANGE(""https://docs.google.com/spreadsheets/d/1jkqa6GXxSacMcY1eN8AHjMNJ_7dDXMJ"&amp;"VRLDlaFSOdPM/edit?usp=sharing"",""ตราด!I385"")+IMPORTRANGE(""https://docs.google.com/spreadsheets/d/18hSgUJ3VwClqi_qtULmmW3cLr0oe3OKaSYoKzdpTsYQ/edit?usp=sharing"",""นครนายก!I385"")+IMPORTRANGE(""https://docs.google.com/spreadsheets/d/1YTZo6WM2dQ6Ix6FSdnL"&amp;"5P7uVnVKu40sxZu975tgG10E/edit?usp=sharing"",""นครปฐม!I385"")+IMPORTRANGE(""https://docs.google.com/spreadsheets/d/1OYoGg4WDg5RIzwGeB10padOxJF9E_Vljuvvct_M7RDo/edit?usp=sharing"",""ปทุมธานี!I385"")+IMPORTRANGE(""https://docs.google.com/spreadsheets/d/1GbCI"&amp;"E4D4wk9FUozzqk7SxfDMxDVBwVmI5zcaVUSzKAc/edit?usp=sharing"",""ประจวบคีรีขันธ์!I385"")+IMPORTRANGE(""https://docs.google.com/spreadsheets/d/1vVf6wykvW_lAyu7Yo9L4hUTqHqIeP_qcVuxCtosJEbg/edit?usp=sharing"",""ปราจีนบุรี!I385"")+IMPORTRANGE(""https://docs.googl"&amp;"e.com/spreadsheets/d/1BIDqLLg5jk3v59G8NlR8rk5xfQDKne0sAvZHSj7TI6I/edit?usp=sharing"",""พระนครศรีอยุธยา!I385"")+IMPORTRANGE(""https://docs.google.com/spreadsheets/d/1YXvxf8Yu6_rV4hTBrwMqAcAnv6DfhUxh5emyM3CJp_w/edit?usp=sharing"",""เพชรบุรี!I385"")+IMPORTRA"&amp;"NGE(""https://docs.google.com/spreadsheets/d/19KBlQQs7uwvsao6t2n-KvW3Ax8J8uRRfZPq1zPbXgKc/edit?usp=sharing"",""ระยอง!I385"")+IMPORTRANGE(""https://docs.google.com/spreadsheets/d/1jQ6P4QcrGM89YfqcC_PxOHGCMq5ezhucwJd8ci-NHng/edit?usp=sharing"",""ราชบุรี!I38"&amp;"5"")+IMPORTRANGE(""https://docs.google.com/spreadsheets/d/1lufeA2cfFqM-elVq2hznhDzC6Pr7wkJ9ZG_sYNGCMCU/edit?usp=sharing"",""ลพบุรี!I385"")+IMPORTRANGE(""https://docs.google.com/spreadsheets/d/10oOiF7loTyfsTkbd4MpaIm0HQ9SwB7IYHdIUvt-U1Uc/edit?usp=sharing"""&amp;",""สระแก้ว!I385"")+IMPORTRANGE(""https://docs.google.com/spreadsheets/d/1xmPlrr1QbdSIKvl1dWUl9K4PjAfSL9oeMr_37QVzcxc/edit?usp=sharing"",""สระบุรี!I385"")+IMPORTRANGE(""https://docs.google.com/spreadsheets/d/1j51vR6CYVGhABJpv6tkstgok82RLpXieLzW1yOY5rHw/edi"&amp;"t?usp=sharing"",""สิงห์บุรี!I385"")+IMPORTRANGE(""https://docs.google.com/spreadsheets/d/1H1EalTWKUSzO4Z1-1CwzoDUaVffgrThEBe2sl74kKG0/edit?usp=sharing"",""สุพรรณบุรี!I385"")+IMPORTRANGE(""https://docs.google.com/spreadsheets/d/1BmIruG_sIrJLYao_Pdr7zVArWsf"&amp;"oBt2692TMi6x_854/edit?usp=sharing"",""อ่างทอง!I385"")"),3000)</f>
        <v>3000</v>
      </c>
      <c r="J385" s="291">
        <f ca="1">IFERROR(__xludf.DUMMYFUNCTION("IMPORTRANGE(""https://docs.google.com/spreadsheets/d/13wPX838HrBrQMCywv1BsuMkt4PEKTChp52zj44s2izQ/edit?usp=sharing"",""กาญจนบุรี!J385"")+IMPORTRANGE(""https://docs.google.com/spreadsheets/d/1ddFKvqj1W1NEiWytbGlB1zMx_ykJDVtmfEQ-6-lIUBA/edit?usp=sharing"","&amp;"""จันทบุรี!J385"")+IMPORTRANGE(""https://docs.google.com/spreadsheets/d/1T1PQvRODqOBZk8BRht_U031fIS1beLA0Ub2CEytj2q0/edit?usp=sharing"",""ฉะเชิงเทรา!J385"")+IMPORTRANGE(""https://docs.google.com/spreadsheets/d/11tr1B-Bhyr79v2bkwVh5h_fR-PStkgjlZtkrZpYurG0/"&amp;"edit?usp=sharing"",""ชลบุรี!J385"")+IMPORTRANGE(""https://docs.google.com/spreadsheets/d/1hh-FVnSX0vozXhGluamEcS54Dw9_zqW0N7qJUWgJ0Sw/edit?usp=sharing"",""ชัยนาท!J385"")+IMPORTRANGE(""https://docs.google.com/spreadsheets/d/1jkqa6GXxSacMcY1eN8AHjMNJ_7dDXMJ"&amp;"VRLDlaFSOdPM/edit?usp=sharing"",""ตราด!J385"")+IMPORTRANGE(""https://docs.google.com/spreadsheets/d/18hSgUJ3VwClqi_qtULmmW3cLr0oe3OKaSYoKzdpTsYQ/edit?usp=sharing"",""นครนายก!J385"")+IMPORTRANGE(""https://docs.google.com/spreadsheets/d/1YTZo6WM2dQ6Ix6FSdnL"&amp;"5P7uVnVKu40sxZu975tgG10E/edit?usp=sharing"",""นครปฐม!J385"")+IMPORTRANGE(""https://docs.google.com/spreadsheets/d/1OYoGg4WDg5RIzwGeB10padOxJF9E_Vljuvvct_M7RDo/edit?usp=sharing"",""ปทุมธานี!J385"")+IMPORTRANGE(""https://docs.google.com/spreadsheets/d/1GbCI"&amp;"E4D4wk9FUozzqk7SxfDMxDVBwVmI5zcaVUSzKAc/edit?usp=sharing"",""ประจวบคีรีขันธ์!J385"")+IMPORTRANGE(""https://docs.google.com/spreadsheets/d/1vVf6wykvW_lAyu7Yo9L4hUTqHqIeP_qcVuxCtosJEbg/edit?usp=sharing"",""ปราจีนบุรี!J385"")+IMPORTRANGE(""https://docs.googl"&amp;"e.com/spreadsheets/d/1BIDqLLg5jk3v59G8NlR8rk5xfQDKne0sAvZHSj7TI6I/edit?usp=sharing"",""พระนครศรีอยุธยา!J385"")+IMPORTRANGE(""https://docs.google.com/spreadsheets/d/1YXvxf8Yu6_rV4hTBrwMqAcAnv6DfhUxh5emyM3CJp_w/edit?usp=sharing"",""เพชรบุรี!J385"")+IMPORTRA"&amp;"NGE(""https://docs.google.com/spreadsheets/d/19KBlQQs7uwvsao6t2n-KvW3Ax8J8uRRfZPq1zPbXgKc/edit?usp=sharing"",""ระยอง!J385"")+IMPORTRANGE(""https://docs.google.com/spreadsheets/d/1jQ6P4QcrGM89YfqcC_PxOHGCMq5ezhucwJd8ci-NHng/edit?usp=sharing"",""ราชบุรี!J38"&amp;"5"")+IMPORTRANGE(""https://docs.google.com/spreadsheets/d/1lufeA2cfFqM-elVq2hznhDzC6Pr7wkJ9ZG_sYNGCMCU/edit?usp=sharing"",""ลพบุรี!J385"")+IMPORTRANGE(""https://docs.google.com/spreadsheets/d/10oOiF7loTyfsTkbd4MpaIm0HQ9SwB7IYHdIUvt-U1Uc/edit?usp=sharing"""&amp;",""สระแก้ว!J385"")+IMPORTRANGE(""https://docs.google.com/spreadsheets/d/1xmPlrr1QbdSIKvl1dWUl9K4PjAfSL9oeMr_37QVzcxc/edit?usp=sharing"",""สระบุรี!J385"")+IMPORTRANGE(""https://docs.google.com/spreadsheets/d/1j51vR6CYVGhABJpv6tkstgok82RLpXieLzW1yOY5rHw/edi"&amp;"t?usp=sharing"",""สิงห์บุรี!J385"")+IMPORTRANGE(""https://docs.google.com/spreadsheets/d/1H1EalTWKUSzO4Z1-1CwzoDUaVffgrThEBe2sl74kKG0/edit?usp=sharing"",""สุพรรณบุรี!J385"")+IMPORTRANGE(""https://docs.google.com/spreadsheets/d/1BmIruG_sIrJLYao_Pdr7zVArWsf"&amp;"oBt2692TMi6x_854/edit?usp=sharing"",""อ่างทอง!J385"")"),84)</f>
        <v>84</v>
      </c>
      <c r="K385" s="72">
        <f t="shared" ref="K385:K388" ca="1" si="288">IF(I385&gt;0,J385*100/I385,0)</f>
        <v>2.8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x14ac:dyDescent="0.25">
      <c r="A386" s="267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13wPX838HrBrQMCywv1BsuMkt4PEKTChp52zj44s2izQ/edit?usp=sharing"",""กาญจนบุรี!I386"")+IMPORTRANGE(""https://docs.google.com/spreadsheets/d/1ddFKvqj1W1NEiWytbGlB1zMx_ykJDVtmfEQ-6-lIUBA/edit?usp=sharing"","&amp;"""จันทบุรี!I386"")+IMPORTRANGE(""https://docs.google.com/spreadsheets/d/1T1PQvRODqOBZk8BRht_U031fIS1beLA0Ub2CEytj2q0/edit?usp=sharing"",""ฉะเชิงเทรา!I386"")+IMPORTRANGE(""https://docs.google.com/spreadsheets/d/11tr1B-Bhyr79v2bkwVh5h_fR-PStkgjlZtkrZpYurG0/"&amp;"edit?usp=sharing"",""ชลบุรี!I386"")+IMPORTRANGE(""https://docs.google.com/spreadsheets/d/1hh-FVnSX0vozXhGluamEcS54Dw9_zqW0N7qJUWgJ0Sw/edit?usp=sharing"",""ชัยนาท!I386"")+IMPORTRANGE(""https://docs.google.com/spreadsheets/d/1jkqa6GXxSacMcY1eN8AHjMNJ_7dDXMJ"&amp;"VRLDlaFSOdPM/edit?usp=sharing"",""ตราด!I386"")+IMPORTRANGE(""https://docs.google.com/spreadsheets/d/18hSgUJ3VwClqi_qtULmmW3cLr0oe3OKaSYoKzdpTsYQ/edit?usp=sharing"",""นครนายก!I386"")+IMPORTRANGE(""https://docs.google.com/spreadsheets/d/1YTZo6WM2dQ6Ix6FSdnL"&amp;"5P7uVnVKu40sxZu975tgG10E/edit?usp=sharing"",""นครปฐม!I386"")+IMPORTRANGE(""https://docs.google.com/spreadsheets/d/1OYoGg4WDg5RIzwGeB10padOxJF9E_Vljuvvct_M7RDo/edit?usp=sharing"",""ปทุมธานี!I386"")+IMPORTRANGE(""https://docs.google.com/spreadsheets/d/1GbCI"&amp;"E4D4wk9FUozzqk7SxfDMxDVBwVmI5zcaVUSzKAc/edit?usp=sharing"",""ประจวบคีรีขันธ์!I386"")+IMPORTRANGE(""https://docs.google.com/spreadsheets/d/1vVf6wykvW_lAyu7Yo9L4hUTqHqIeP_qcVuxCtosJEbg/edit?usp=sharing"",""ปราจีนบุรี!I386"")+IMPORTRANGE(""https://docs.googl"&amp;"e.com/spreadsheets/d/1BIDqLLg5jk3v59G8NlR8rk5xfQDKne0sAvZHSj7TI6I/edit?usp=sharing"",""พระนครศรีอยุธยา!I386"")+IMPORTRANGE(""https://docs.google.com/spreadsheets/d/1YXvxf8Yu6_rV4hTBrwMqAcAnv6DfhUxh5emyM3CJp_w/edit?usp=sharing"",""เพชรบุรี!I386"")+IMPORTRA"&amp;"NGE(""https://docs.google.com/spreadsheets/d/19KBlQQs7uwvsao6t2n-KvW3Ax8J8uRRfZPq1zPbXgKc/edit?usp=sharing"",""ระยอง!I386"")+IMPORTRANGE(""https://docs.google.com/spreadsheets/d/1jQ6P4QcrGM89YfqcC_PxOHGCMq5ezhucwJd8ci-NHng/edit?usp=sharing"",""ราชบุรี!I38"&amp;"6"")+IMPORTRANGE(""https://docs.google.com/spreadsheets/d/1lufeA2cfFqM-elVq2hznhDzC6Pr7wkJ9ZG_sYNGCMCU/edit?usp=sharing"",""ลพบุรี!I386"")+IMPORTRANGE(""https://docs.google.com/spreadsheets/d/10oOiF7loTyfsTkbd4MpaIm0HQ9SwB7IYHdIUvt-U1Uc/edit?usp=sharing"""&amp;",""สระแก้ว!I386"")+IMPORTRANGE(""https://docs.google.com/spreadsheets/d/1xmPlrr1QbdSIKvl1dWUl9K4PjAfSL9oeMr_37QVzcxc/edit?usp=sharing"",""สระบุรี!I386"")+IMPORTRANGE(""https://docs.google.com/spreadsheets/d/1j51vR6CYVGhABJpv6tkstgok82RLpXieLzW1yOY5rHw/edi"&amp;"t?usp=sharing"",""สิงห์บุรี!I386"")+IMPORTRANGE(""https://docs.google.com/spreadsheets/d/1H1EalTWKUSzO4Z1-1CwzoDUaVffgrThEBe2sl74kKG0/edit?usp=sharing"",""สุพรรณบุรี!I386"")+IMPORTRANGE(""https://docs.google.com/spreadsheets/d/1BmIruG_sIrJLYao_Pdr7zVArWsf"&amp;"oBt2692TMi6x_854/edit?usp=sharing"",""อ่างทอง!I386"")"),13800)</f>
        <v>13800</v>
      </c>
      <c r="J386" s="291">
        <f ca="1">IFERROR(__xludf.DUMMYFUNCTION("IMPORTRANGE(""https://docs.google.com/spreadsheets/d/13wPX838HrBrQMCywv1BsuMkt4PEKTChp52zj44s2izQ/edit?usp=sharing"",""กาญจนบุรี!J386"")+IMPORTRANGE(""https://docs.google.com/spreadsheets/d/1ddFKvqj1W1NEiWytbGlB1zMx_ykJDVtmfEQ-6-lIUBA/edit?usp=sharing"","&amp;"""จันทบุรี!J386"")+IMPORTRANGE(""https://docs.google.com/spreadsheets/d/1T1PQvRODqOBZk8BRht_U031fIS1beLA0Ub2CEytj2q0/edit?usp=sharing"",""ฉะเชิงเทรา!J386"")+IMPORTRANGE(""https://docs.google.com/spreadsheets/d/11tr1B-Bhyr79v2bkwVh5h_fR-PStkgjlZtkrZpYurG0/"&amp;"edit?usp=sharing"",""ชลบุรี!J386"")+IMPORTRANGE(""https://docs.google.com/spreadsheets/d/1hh-FVnSX0vozXhGluamEcS54Dw9_zqW0N7qJUWgJ0Sw/edit?usp=sharing"",""ชัยนาท!J386"")+IMPORTRANGE(""https://docs.google.com/spreadsheets/d/1jkqa6GXxSacMcY1eN8AHjMNJ_7dDXMJ"&amp;"VRLDlaFSOdPM/edit?usp=sharing"",""ตราด!J386"")+IMPORTRANGE(""https://docs.google.com/spreadsheets/d/18hSgUJ3VwClqi_qtULmmW3cLr0oe3OKaSYoKzdpTsYQ/edit?usp=sharing"",""นครนายก!J386"")+IMPORTRANGE(""https://docs.google.com/spreadsheets/d/1YTZo6WM2dQ6Ix6FSdnL"&amp;"5P7uVnVKu40sxZu975tgG10E/edit?usp=sharing"",""นครปฐม!J386"")+IMPORTRANGE(""https://docs.google.com/spreadsheets/d/1OYoGg4WDg5RIzwGeB10padOxJF9E_Vljuvvct_M7RDo/edit?usp=sharing"",""ปทุมธานี!J386"")+IMPORTRANGE(""https://docs.google.com/spreadsheets/d/1GbCI"&amp;"E4D4wk9FUozzqk7SxfDMxDVBwVmI5zcaVUSzKAc/edit?usp=sharing"",""ประจวบคีรีขันธ์!J386"")+IMPORTRANGE(""https://docs.google.com/spreadsheets/d/1vVf6wykvW_lAyu7Yo9L4hUTqHqIeP_qcVuxCtosJEbg/edit?usp=sharing"",""ปราจีนบุรี!J386"")+IMPORTRANGE(""https://docs.googl"&amp;"e.com/spreadsheets/d/1BIDqLLg5jk3v59G8NlR8rk5xfQDKne0sAvZHSj7TI6I/edit?usp=sharing"",""พระนครศรีอยุธยา!J386"")+IMPORTRANGE(""https://docs.google.com/spreadsheets/d/1YXvxf8Yu6_rV4hTBrwMqAcAnv6DfhUxh5emyM3CJp_w/edit?usp=sharing"",""เพชรบุรี!J386"")+IMPORTRA"&amp;"NGE(""https://docs.google.com/spreadsheets/d/19KBlQQs7uwvsao6t2n-KvW3Ax8J8uRRfZPq1zPbXgKc/edit?usp=sharing"",""ระยอง!J386"")+IMPORTRANGE(""https://docs.google.com/spreadsheets/d/1jQ6P4QcrGM89YfqcC_PxOHGCMq5ezhucwJd8ci-NHng/edit?usp=sharing"",""ราชบุรี!J38"&amp;"6"")+IMPORTRANGE(""https://docs.google.com/spreadsheets/d/1lufeA2cfFqM-elVq2hznhDzC6Pr7wkJ9ZG_sYNGCMCU/edit?usp=sharing"",""ลพบุรี!J386"")+IMPORTRANGE(""https://docs.google.com/spreadsheets/d/10oOiF7loTyfsTkbd4MpaIm0HQ9SwB7IYHdIUvt-U1Uc/edit?usp=sharing"""&amp;",""สระแก้ว!J386"")+IMPORTRANGE(""https://docs.google.com/spreadsheets/d/1xmPlrr1QbdSIKvl1dWUl9K4PjAfSL9oeMr_37QVzcxc/edit?usp=sharing"",""สระบุรี!J386"")+IMPORTRANGE(""https://docs.google.com/spreadsheets/d/1j51vR6CYVGhABJpv6tkstgok82RLpXieLzW1yOY5rHw/edi"&amp;"t?usp=sharing"",""สิงห์บุรี!J386"")+IMPORTRANGE(""https://docs.google.com/spreadsheets/d/1H1EalTWKUSzO4Z1-1CwzoDUaVffgrThEBe2sl74kKG0/edit?usp=sharing"",""สุพรรณบุรี!J386"")+IMPORTRANGE(""https://docs.google.com/spreadsheets/d/1BmIruG_sIrJLYao_Pdr7zVArWsf"&amp;"oBt2692TMi6x_854/edit?usp=sharing"",""อ่างทอง!J386"")"),1104)</f>
        <v>1104</v>
      </c>
      <c r="K386" s="72">
        <f t="shared" ca="1" si="288"/>
        <v>8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x14ac:dyDescent="0.25">
      <c r="A387" s="267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f ca="1">IFERROR(__xludf.DUMMYFUNCTION("IMPORTRANGE(""https://docs.google.com/spreadsheets/d/13wPX838HrBrQMCywv1BsuMkt4PEKTChp52zj44s2izQ/edit?usp=sharing"",""กาญจนบุรี!I387"")+IMPORTRANGE(""https://docs.google.com/spreadsheets/d/1ddFKvqj1W1NEiWytbGlB1zMx_ykJDVtmfEQ-6-lIUBA/edit?usp=sharing"","&amp;"""จันทบุรี!I387"")+IMPORTRANGE(""https://docs.google.com/spreadsheets/d/1T1PQvRODqOBZk8BRht_U031fIS1beLA0Ub2CEytj2q0/edit?usp=sharing"",""ฉะเชิงเทรา!I387"")+IMPORTRANGE(""https://docs.google.com/spreadsheets/d/11tr1B-Bhyr79v2bkwVh5h_fR-PStkgjlZtkrZpYurG0/"&amp;"edit?usp=sharing"",""ชลบุรี!I387"")+IMPORTRANGE(""https://docs.google.com/spreadsheets/d/1hh-FVnSX0vozXhGluamEcS54Dw9_zqW0N7qJUWgJ0Sw/edit?usp=sharing"",""ชัยนาท!I387"")+IMPORTRANGE(""https://docs.google.com/spreadsheets/d/1jkqa6GXxSacMcY1eN8AHjMNJ_7dDXMJ"&amp;"VRLDlaFSOdPM/edit?usp=sharing"",""ตราด!I387"")+IMPORTRANGE(""https://docs.google.com/spreadsheets/d/18hSgUJ3VwClqi_qtULmmW3cLr0oe3OKaSYoKzdpTsYQ/edit?usp=sharing"",""นครนายก!I387"")+IMPORTRANGE(""https://docs.google.com/spreadsheets/d/1YTZo6WM2dQ6Ix6FSdnL"&amp;"5P7uVnVKu40sxZu975tgG10E/edit?usp=sharing"",""นครปฐม!I387"")+IMPORTRANGE(""https://docs.google.com/spreadsheets/d/1OYoGg4WDg5RIzwGeB10padOxJF9E_Vljuvvct_M7RDo/edit?usp=sharing"",""ปทุมธานี!I387"")+IMPORTRANGE(""https://docs.google.com/spreadsheets/d/1GbCI"&amp;"E4D4wk9FUozzqk7SxfDMxDVBwVmI5zcaVUSzKAc/edit?usp=sharing"",""ประจวบคีรีขันธ์!I387"")+IMPORTRANGE(""https://docs.google.com/spreadsheets/d/1vVf6wykvW_lAyu7Yo9L4hUTqHqIeP_qcVuxCtosJEbg/edit?usp=sharing"",""ปราจีนบุรี!I387"")+IMPORTRANGE(""https://docs.googl"&amp;"e.com/spreadsheets/d/1BIDqLLg5jk3v59G8NlR8rk5xfQDKne0sAvZHSj7TI6I/edit?usp=sharing"",""พระนครศรีอยุธยา!I387"")+IMPORTRANGE(""https://docs.google.com/spreadsheets/d/1YXvxf8Yu6_rV4hTBrwMqAcAnv6DfhUxh5emyM3CJp_w/edit?usp=sharing"",""เพชรบุรี!I387"")+IMPORTRA"&amp;"NGE(""https://docs.google.com/spreadsheets/d/19KBlQQs7uwvsao6t2n-KvW3Ax8J8uRRfZPq1zPbXgKc/edit?usp=sharing"",""ระยอง!I387"")+IMPORTRANGE(""https://docs.google.com/spreadsheets/d/1jQ6P4QcrGM89YfqcC_PxOHGCMq5ezhucwJd8ci-NHng/edit?usp=sharing"",""ราชบุรี!I38"&amp;"7"")+IMPORTRANGE(""https://docs.google.com/spreadsheets/d/1lufeA2cfFqM-elVq2hznhDzC6Pr7wkJ9ZG_sYNGCMCU/edit?usp=sharing"",""ลพบุรี!I387"")+IMPORTRANGE(""https://docs.google.com/spreadsheets/d/10oOiF7loTyfsTkbd4MpaIm0HQ9SwB7IYHdIUvt-U1Uc/edit?usp=sharing"""&amp;",""สระแก้ว!I387"")+IMPORTRANGE(""https://docs.google.com/spreadsheets/d/1xmPlrr1QbdSIKvl1dWUl9K4PjAfSL9oeMr_37QVzcxc/edit?usp=sharing"",""สระบุรี!I387"")+IMPORTRANGE(""https://docs.google.com/spreadsheets/d/1j51vR6CYVGhABJpv6tkstgok82RLpXieLzW1yOY5rHw/edi"&amp;"t?usp=sharing"",""สิงห์บุรี!I387"")+IMPORTRANGE(""https://docs.google.com/spreadsheets/d/1H1EalTWKUSzO4Z1-1CwzoDUaVffgrThEBe2sl74kKG0/edit?usp=sharing"",""สุพรรณบุรี!I387"")+IMPORTRANGE(""https://docs.google.com/spreadsheets/d/1BmIruG_sIrJLYao_Pdr7zVArWsf"&amp;"oBt2692TMi6x_854/edit?usp=sharing"",""อ่างทอง!I387"")"),0)</f>
        <v>0</v>
      </c>
      <c r="J387" s="570">
        <f ca="1">IFERROR(__xludf.DUMMYFUNCTION("IMPORTRANGE(""https://docs.google.com/spreadsheets/d/13wPX838HrBrQMCywv1BsuMkt4PEKTChp52zj44s2izQ/edit?usp=sharing"",""กาญจนบุรี!J387"")+IMPORTRANGE(""https://docs.google.com/spreadsheets/d/1ddFKvqj1W1NEiWytbGlB1zMx_ykJDVtmfEQ-6-lIUBA/edit?usp=sharing"","&amp;"""จันทบุรี!J387"")+IMPORTRANGE(""https://docs.google.com/spreadsheets/d/1T1PQvRODqOBZk8BRht_U031fIS1beLA0Ub2CEytj2q0/edit?usp=sharing"",""ฉะเชิงเทรา!J387"")+IMPORTRANGE(""https://docs.google.com/spreadsheets/d/11tr1B-Bhyr79v2bkwVh5h_fR-PStkgjlZtkrZpYurG0/"&amp;"edit?usp=sharing"",""ชลบุรี!J387"")+IMPORTRANGE(""https://docs.google.com/spreadsheets/d/1hh-FVnSX0vozXhGluamEcS54Dw9_zqW0N7qJUWgJ0Sw/edit?usp=sharing"",""ชัยนาท!J387"")+IMPORTRANGE(""https://docs.google.com/spreadsheets/d/1jkqa6GXxSacMcY1eN8AHjMNJ_7dDXMJ"&amp;"VRLDlaFSOdPM/edit?usp=sharing"",""ตราด!J387"")+IMPORTRANGE(""https://docs.google.com/spreadsheets/d/18hSgUJ3VwClqi_qtULmmW3cLr0oe3OKaSYoKzdpTsYQ/edit?usp=sharing"",""นครนายก!J387"")+IMPORTRANGE(""https://docs.google.com/spreadsheets/d/1YTZo6WM2dQ6Ix6FSdnL"&amp;"5P7uVnVKu40sxZu975tgG10E/edit?usp=sharing"",""นครปฐม!J387"")+IMPORTRANGE(""https://docs.google.com/spreadsheets/d/1OYoGg4WDg5RIzwGeB10padOxJF9E_Vljuvvct_M7RDo/edit?usp=sharing"",""ปทุมธานี!J387"")+IMPORTRANGE(""https://docs.google.com/spreadsheets/d/1GbCI"&amp;"E4D4wk9FUozzqk7SxfDMxDVBwVmI5zcaVUSzKAc/edit?usp=sharing"",""ประจวบคีรีขันธ์!J387"")+IMPORTRANGE(""https://docs.google.com/spreadsheets/d/1vVf6wykvW_lAyu7Yo9L4hUTqHqIeP_qcVuxCtosJEbg/edit?usp=sharing"",""ปราจีนบุรี!J387"")+IMPORTRANGE(""https://docs.googl"&amp;"e.com/spreadsheets/d/1BIDqLLg5jk3v59G8NlR8rk5xfQDKne0sAvZHSj7TI6I/edit?usp=sharing"",""พระนครศรีอยุธยา!J387"")+IMPORTRANGE(""https://docs.google.com/spreadsheets/d/1YXvxf8Yu6_rV4hTBrwMqAcAnv6DfhUxh5emyM3CJp_w/edit?usp=sharing"",""เพชรบุรี!J387"")+IMPORTRA"&amp;"NGE(""https://docs.google.com/spreadsheets/d/19KBlQQs7uwvsao6t2n-KvW3Ax8J8uRRfZPq1zPbXgKc/edit?usp=sharing"",""ระยอง!J387"")+IMPORTRANGE(""https://docs.google.com/spreadsheets/d/1jQ6P4QcrGM89YfqcC_PxOHGCMq5ezhucwJd8ci-NHng/edit?usp=sharing"",""ราชบุรี!J38"&amp;"7"")+IMPORTRANGE(""https://docs.google.com/spreadsheets/d/1lufeA2cfFqM-elVq2hznhDzC6Pr7wkJ9ZG_sYNGCMCU/edit?usp=sharing"",""ลพบุรี!J387"")+IMPORTRANGE(""https://docs.google.com/spreadsheets/d/10oOiF7loTyfsTkbd4MpaIm0HQ9SwB7IYHdIUvt-U1Uc/edit?usp=sharing"""&amp;",""สระแก้ว!J387"")+IMPORTRANGE(""https://docs.google.com/spreadsheets/d/1xmPlrr1QbdSIKvl1dWUl9K4PjAfSL9oeMr_37QVzcxc/edit?usp=sharing"",""สระบุรี!J387"")+IMPORTRANGE(""https://docs.google.com/spreadsheets/d/1j51vR6CYVGhABJpv6tkstgok82RLpXieLzW1yOY5rHw/edi"&amp;"t?usp=sharing"",""สิงห์บุรี!J387"")+IMPORTRANGE(""https://docs.google.com/spreadsheets/d/1H1EalTWKUSzO4Z1-1CwzoDUaVffgrThEBe2sl74kKG0/edit?usp=sharing"",""สุพรรณบุรี!J387"")+IMPORTRANGE(""https://docs.google.com/spreadsheets/d/1BmIruG_sIrJLYao_Pdr7zVArWsf"&amp;"oBt2692TMi6x_854/edit?usp=sharing"",""อ่างทอง!J387"")"),0)</f>
        <v>0</v>
      </c>
      <c r="K387" s="75">
        <f t="shared" ca="1" si="288"/>
        <v>0</v>
      </c>
      <c r="L387" s="85"/>
      <c r="M387" s="85"/>
      <c r="N387" s="85"/>
      <c r="O387" s="85"/>
      <c r="P387" s="85"/>
      <c r="Q387" s="84"/>
      <c r="R387" s="85"/>
      <c r="S387" s="85"/>
      <c r="T387" s="85"/>
      <c r="U387" s="85"/>
    </row>
    <row r="388" spans="1:21" ht="18.75" x14ac:dyDescent="0.25">
      <c r="A388" s="267"/>
      <c r="B388" s="267"/>
      <c r="C388" s="267"/>
      <c r="D388" s="267"/>
      <c r="E388" s="267"/>
      <c r="F388" s="267"/>
      <c r="G388" s="307"/>
      <c r="H388" s="264" t="s">
        <v>46</v>
      </c>
      <c r="I388" s="570">
        <f ca="1">IFERROR(__xludf.DUMMYFUNCTION("IMPORTRANGE(""https://docs.google.com/spreadsheets/d/13wPX838HrBrQMCywv1BsuMkt4PEKTChp52zj44s2izQ/edit?usp=sharing"",""กาญจนบุรี!I388"")+IMPORTRANGE(""https://docs.google.com/spreadsheets/d/1ddFKvqj1W1NEiWytbGlB1zMx_ykJDVtmfEQ-6-lIUBA/edit?usp=sharing"","&amp;"""จันทบุรี!I388"")+IMPORTRANGE(""https://docs.google.com/spreadsheets/d/1T1PQvRODqOBZk8BRht_U031fIS1beLA0Ub2CEytj2q0/edit?usp=sharing"",""ฉะเชิงเทรา!I388"")+IMPORTRANGE(""https://docs.google.com/spreadsheets/d/11tr1B-Bhyr79v2bkwVh5h_fR-PStkgjlZtkrZpYurG0/"&amp;"edit?usp=sharing"",""ชลบุรี!I388"")+IMPORTRANGE(""https://docs.google.com/spreadsheets/d/1hh-FVnSX0vozXhGluamEcS54Dw9_zqW0N7qJUWgJ0Sw/edit?usp=sharing"",""ชัยนาท!I388"")+IMPORTRANGE(""https://docs.google.com/spreadsheets/d/1jkqa6GXxSacMcY1eN8AHjMNJ_7dDXMJ"&amp;"VRLDlaFSOdPM/edit?usp=sharing"",""ตราด!I388"")+IMPORTRANGE(""https://docs.google.com/spreadsheets/d/18hSgUJ3VwClqi_qtULmmW3cLr0oe3OKaSYoKzdpTsYQ/edit?usp=sharing"",""นครนายก!I388"")+IMPORTRANGE(""https://docs.google.com/spreadsheets/d/1YTZo6WM2dQ6Ix6FSdnL"&amp;"5P7uVnVKu40sxZu975tgG10E/edit?usp=sharing"",""นครปฐม!I388"")+IMPORTRANGE(""https://docs.google.com/spreadsheets/d/1OYoGg4WDg5RIzwGeB10padOxJF9E_Vljuvvct_M7RDo/edit?usp=sharing"",""ปทุมธานี!I388"")+IMPORTRANGE(""https://docs.google.com/spreadsheets/d/1GbCI"&amp;"E4D4wk9FUozzqk7SxfDMxDVBwVmI5zcaVUSzKAc/edit?usp=sharing"",""ประจวบคีรีขันธ์!I388"")+IMPORTRANGE(""https://docs.google.com/spreadsheets/d/1vVf6wykvW_lAyu7Yo9L4hUTqHqIeP_qcVuxCtosJEbg/edit?usp=sharing"",""ปราจีนบุรี!I388"")+IMPORTRANGE(""https://docs.googl"&amp;"e.com/spreadsheets/d/1BIDqLLg5jk3v59G8NlR8rk5xfQDKne0sAvZHSj7TI6I/edit?usp=sharing"",""พระนครศรีอยุธยา!I388"")+IMPORTRANGE(""https://docs.google.com/spreadsheets/d/1YXvxf8Yu6_rV4hTBrwMqAcAnv6DfhUxh5emyM3CJp_w/edit?usp=sharing"",""เพชรบุรี!I388"")+IMPORTRA"&amp;"NGE(""https://docs.google.com/spreadsheets/d/19KBlQQs7uwvsao6t2n-KvW3Ax8J8uRRfZPq1zPbXgKc/edit?usp=sharing"",""ระยอง!I388"")+IMPORTRANGE(""https://docs.google.com/spreadsheets/d/1jQ6P4QcrGM89YfqcC_PxOHGCMq5ezhucwJd8ci-NHng/edit?usp=sharing"",""ราชบุรี!I38"&amp;"8"")+IMPORTRANGE(""https://docs.google.com/spreadsheets/d/1lufeA2cfFqM-elVq2hznhDzC6Pr7wkJ9ZG_sYNGCMCU/edit?usp=sharing"",""ลพบุรี!I388"")+IMPORTRANGE(""https://docs.google.com/spreadsheets/d/10oOiF7loTyfsTkbd4MpaIm0HQ9SwB7IYHdIUvt-U1Uc/edit?usp=sharing"""&amp;",""สระแก้ว!I388"")+IMPORTRANGE(""https://docs.google.com/spreadsheets/d/1xmPlrr1QbdSIKvl1dWUl9K4PjAfSL9oeMr_37QVzcxc/edit?usp=sharing"",""สระบุรี!I388"")+IMPORTRANGE(""https://docs.google.com/spreadsheets/d/1j51vR6CYVGhABJpv6tkstgok82RLpXieLzW1yOY5rHw/edi"&amp;"t?usp=sharing"",""สิงห์บุรี!I388"")+IMPORTRANGE(""https://docs.google.com/spreadsheets/d/1H1EalTWKUSzO4Z1-1CwzoDUaVffgrThEBe2sl74kKG0/edit?usp=sharing"",""สุพรรณบุรี!I388"")+IMPORTRANGE(""https://docs.google.com/spreadsheets/d/1BmIruG_sIrJLYao_Pdr7zVArWsf"&amp;"oBt2692TMi6x_854/edit?usp=sharing"",""อ่างทอง!I388"")"),0)</f>
        <v>0</v>
      </c>
      <c r="J388" s="570">
        <f ca="1">IFERROR(__xludf.DUMMYFUNCTION("IMPORTRANGE(""https://docs.google.com/spreadsheets/d/13wPX838HrBrQMCywv1BsuMkt4PEKTChp52zj44s2izQ/edit?usp=sharing"",""กาญจนบุรี!J388"")+IMPORTRANGE(""https://docs.google.com/spreadsheets/d/1ddFKvqj1W1NEiWytbGlB1zMx_ykJDVtmfEQ-6-lIUBA/edit?usp=sharing"","&amp;"""จันทบุรี!J388"")+IMPORTRANGE(""https://docs.google.com/spreadsheets/d/1T1PQvRODqOBZk8BRht_U031fIS1beLA0Ub2CEytj2q0/edit?usp=sharing"",""ฉะเชิงเทรา!J388"")+IMPORTRANGE(""https://docs.google.com/spreadsheets/d/11tr1B-Bhyr79v2bkwVh5h_fR-PStkgjlZtkrZpYurG0/"&amp;"edit?usp=sharing"",""ชลบุรี!J388"")+IMPORTRANGE(""https://docs.google.com/spreadsheets/d/1hh-FVnSX0vozXhGluamEcS54Dw9_zqW0N7qJUWgJ0Sw/edit?usp=sharing"",""ชัยนาท!J388"")+IMPORTRANGE(""https://docs.google.com/spreadsheets/d/1jkqa6GXxSacMcY1eN8AHjMNJ_7dDXMJ"&amp;"VRLDlaFSOdPM/edit?usp=sharing"",""ตราด!J388"")+IMPORTRANGE(""https://docs.google.com/spreadsheets/d/18hSgUJ3VwClqi_qtULmmW3cLr0oe3OKaSYoKzdpTsYQ/edit?usp=sharing"",""นครนายก!J388"")+IMPORTRANGE(""https://docs.google.com/spreadsheets/d/1YTZo6WM2dQ6Ix6FSdnL"&amp;"5P7uVnVKu40sxZu975tgG10E/edit?usp=sharing"",""นครปฐม!J388"")+IMPORTRANGE(""https://docs.google.com/spreadsheets/d/1OYoGg4WDg5RIzwGeB10padOxJF9E_Vljuvvct_M7RDo/edit?usp=sharing"",""ปทุมธานี!J388"")+IMPORTRANGE(""https://docs.google.com/spreadsheets/d/1GbCI"&amp;"E4D4wk9FUozzqk7SxfDMxDVBwVmI5zcaVUSzKAc/edit?usp=sharing"",""ประจวบคีรีขันธ์!J388"")+IMPORTRANGE(""https://docs.google.com/spreadsheets/d/1vVf6wykvW_lAyu7Yo9L4hUTqHqIeP_qcVuxCtosJEbg/edit?usp=sharing"",""ปราจีนบุรี!J388"")+IMPORTRANGE(""https://docs.googl"&amp;"e.com/spreadsheets/d/1BIDqLLg5jk3v59G8NlR8rk5xfQDKne0sAvZHSj7TI6I/edit?usp=sharing"",""พระนครศรีอยุธยา!J388"")+IMPORTRANGE(""https://docs.google.com/spreadsheets/d/1YXvxf8Yu6_rV4hTBrwMqAcAnv6DfhUxh5emyM3CJp_w/edit?usp=sharing"",""เพชรบุรี!J388"")+IMPORTRA"&amp;"NGE(""https://docs.google.com/spreadsheets/d/19KBlQQs7uwvsao6t2n-KvW3Ax8J8uRRfZPq1zPbXgKc/edit?usp=sharing"",""ระยอง!J388"")+IMPORTRANGE(""https://docs.google.com/spreadsheets/d/1jQ6P4QcrGM89YfqcC_PxOHGCMq5ezhucwJd8ci-NHng/edit?usp=sharing"",""ราชบุรี!J38"&amp;"8"")+IMPORTRANGE(""https://docs.google.com/spreadsheets/d/1lufeA2cfFqM-elVq2hznhDzC6Pr7wkJ9ZG_sYNGCMCU/edit?usp=sharing"",""ลพบุรี!J388"")+IMPORTRANGE(""https://docs.google.com/spreadsheets/d/10oOiF7loTyfsTkbd4MpaIm0HQ9SwB7IYHdIUvt-U1Uc/edit?usp=sharing"""&amp;",""สระแก้ว!J388"")+IMPORTRANGE(""https://docs.google.com/spreadsheets/d/1xmPlrr1QbdSIKvl1dWUl9K4PjAfSL9oeMr_37QVzcxc/edit?usp=sharing"",""สระบุรี!J388"")+IMPORTRANGE(""https://docs.google.com/spreadsheets/d/1j51vR6CYVGhABJpv6tkstgok82RLpXieLzW1yOY5rHw/edi"&amp;"t?usp=sharing"",""สิงห์บุรี!J388"")+IMPORTRANGE(""https://docs.google.com/spreadsheets/d/1H1EalTWKUSzO4Z1-1CwzoDUaVffgrThEBe2sl74kKG0/edit?usp=sharing"",""สุพรรณบุรี!J388"")+IMPORTRANGE(""https://docs.google.com/spreadsheets/d/1BmIruG_sIrJLYao_Pdr7zVArWsf"&amp;"oBt2692TMi6x_854/edit?usp=sharing"",""อ่างทอง!J388"")"),0)</f>
        <v>0</v>
      </c>
      <c r="K388" s="75">
        <f t="shared" ca="1" si="288"/>
        <v>0</v>
      </c>
      <c r="L388" s="85"/>
      <c r="M388" s="85"/>
      <c r="N388" s="85"/>
      <c r="O388" s="85"/>
      <c r="P388" s="85"/>
      <c r="Q388" s="84"/>
      <c r="R388" s="85"/>
      <c r="S388" s="85"/>
      <c r="T388" s="85"/>
      <c r="U388" s="85"/>
    </row>
    <row r="389" spans="1:21" ht="12.75" hidden="1" x14ac:dyDescent="0.2">
      <c r="A389" s="571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4"/>
      <c r="M389" s="574"/>
      <c r="N389" s="574"/>
      <c r="O389" s="574"/>
      <c r="P389" s="574"/>
      <c r="Q389" s="575"/>
      <c r="R389" s="574"/>
      <c r="S389" s="574"/>
      <c r="T389" s="574"/>
      <c r="U389" s="574"/>
    </row>
    <row r="390" spans="1:21" ht="12.75" hidden="1" x14ac:dyDescent="0.2">
      <c r="A390" s="576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79"/>
      <c r="M390" s="579"/>
      <c r="N390" s="579"/>
      <c r="O390" s="579"/>
      <c r="P390" s="579"/>
      <c r="Q390" s="580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588">
        <f t="shared" ref="I391:J391" si="289">I402</f>
        <v>0</v>
      </c>
      <c r="J391" s="588">
        <f t="shared" si="289"/>
        <v>0</v>
      </c>
      <c r="K391" s="589">
        <f>IF(I391&gt;0,J391*100/I391,0)</f>
        <v>0</v>
      </c>
      <c r="L391" s="510"/>
      <c r="M391" s="510"/>
      <c r="N391" s="510"/>
      <c r="O391" s="510"/>
      <c r="P391" s="510"/>
      <c r="Q391" s="509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566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 t="shared" ref="L392:N392" ca="1" si="290">L393+L394</f>
        <v>0</v>
      </c>
      <c r="M392" s="262">
        <f t="shared" ca="1" si="290"/>
        <v>0</v>
      </c>
      <c r="N392" s="262">
        <f t="shared" ca="1" si="290"/>
        <v>0</v>
      </c>
      <c r="O392" s="262">
        <f t="shared" ref="O392:O400" ca="1" si="291">IF(L392&gt;0,N392*100/L392,0)</f>
        <v>0</v>
      </c>
      <c r="P392" s="262">
        <f t="shared" ref="P392:P400" ca="1" si="292">IF(M392&gt;0,N392*100/M392,0)</f>
        <v>0</v>
      </c>
      <c r="Q392" s="212">
        <f t="shared" ref="Q392:S392" ca="1" si="293">Q393+Q394</f>
        <v>0</v>
      </c>
      <c r="R392" s="213">
        <f t="shared" ca="1" si="293"/>
        <v>0</v>
      </c>
      <c r="S392" s="213">
        <f t="shared" ca="1" si="293"/>
        <v>0</v>
      </c>
      <c r="T392" s="213">
        <f t="shared" ref="T392:T400" ca="1" si="294">IF(Q392&gt;0,S392*100/Q392,0)</f>
        <v>0</v>
      </c>
      <c r="U392" s="213">
        <f t="shared" ref="U392:U400" ca="1" si="295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 t="shared" ref="L393:N393" ca="1" si="296">L396+L399</f>
        <v>0</v>
      </c>
      <c r="M393" s="75">
        <f t="shared" ca="1" si="296"/>
        <v>0</v>
      </c>
      <c r="N393" s="75">
        <f t="shared" ca="1" si="296"/>
        <v>0</v>
      </c>
      <c r="O393" s="75">
        <f t="shared" ca="1" si="291"/>
        <v>0</v>
      </c>
      <c r="P393" s="75">
        <f t="shared" ca="1" si="292"/>
        <v>0</v>
      </c>
      <c r="Q393" s="215">
        <f t="shared" ref="Q393:S393" ca="1" si="297">Q396+Q399</f>
        <v>0</v>
      </c>
      <c r="R393" s="131">
        <f t="shared" ca="1" si="297"/>
        <v>0</v>
      </c>
      <c r="S393" s="131">
        <f t="shared" ca="1" si="297"/>
        <v>0</v>
      </c>
      <c r="T393" s="131">
        <f t="shared" ca="1" si="294"/>
        <v>0</v>
      </c>
      <c r="U393" s="131">
        <f t="shared" ca="1" si="295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 t="shared" ref="L394:N394" ca="1" si="298">L397+L400</f>
        <v>0</v>
      </c>
      <c r="M394" s="72">
        <f t="shared" ca="1" si="298"/>
        <v>0</v>
      </c>
      <c r="N394" s="72">
        <f t="shared" ca="1" si="298"/>
        <v>0</v>
      </c>
      <c r="O394" s="72">
        <f t="shared" ca="1" si="291"/>
        <v>0</v>
      </c>
      <c r="P394" s="72">
        <f t="shared" ca="1" si="292"/>
        <v>0</v>
      </c>
      <c r="Q394" s="129">
        <f t="shared" ref="Q394:S394" ca="1" si="299">Q397+Q400</f>
        <v>0</v>
      </c>
      <c r="R394" s="130">
        <f t="shared" ca="1" si="299"/>
        <v>0</v>
      </c>
      <c r="S394" s="130">
        <f t="shared" ca="1" si="299"/>
        <v>0</v>
      </c>
      <c r="T394" s="130">
        <f t="shared" ca="1" si="294"/>
        <v>0</v>
      </c>
      <c r="U394" s="130">
        <f t="shared" ca="1" si="295"/>
        <v>0</v>
      </c>
    </row>
    <row r="395" spans="1:21" ht="18.75" hidden="1" x14ac:dyDescent="0.25">
      <c r="A395" s="255"/>
      <c r="B395" s="267"/>
      <c r="C395" s="267"/>
      <c r="D395" s="27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 t="shared" ref="L395:N395" ca="1" si="300">L396+L397</f>
        <v>0</v>
      </c>
      <c r="M395" s="72">
        <f t="shared" ca="1" si="300"/>
        <v>0</v>
      </c>
      <c r="N395" s="72">
        <f t="shared" ca="1" si="300"/>
        <v>0</v>
      </c>
      <c r="O395" s="72">
        <f t="shared" ca="1" si="291"/>
        <v>0</v>
      </c>
      <c r="P395" s="72">
        <f t="shared" ca="1" si="292"/>
        <v>0</v>
      </c>
      <c r="Q395" s="129">
        <f t="shared" ref="Q395:S395" ca="1" si="301">Q396+Q397</f>
        <v>0</v>
      </c>
      <c r="R395" s="130">
        <f t="shared" ca="1" si="301"/>
        <v>0</v>
      </c>
      <c r="S395" s="130">
        <f t="shared" ca="1" si="301"/>
        <v>0</v>
      </c>
      <c r="T395" s="130">
        <f t="shared" ca="1" si="294"/>
        <v>0</v>
      </c>
      <c r="U395" s="130">
        <f t="shared" ca="1" si="295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f ca="1">IFERROR(__xludf.DUMMYFUNCTION("IMPORTRANGE(""https://docs.google.com/spreadsheets/d/13wPX838HrBrQMCywv1BsuMkt4PEKTChp52zj44s2izQ/edit?usp=sharing"",""กาญจนบุรี!L396"")+IMPORTRANGE(""https://docs.google.com/spreadsheets/d/1ddFKvqj1W1NEiWytbGlB1zMx_ykJDVtmfEQ-6-lIUBA/edit?usp=sharing"","&amp;"""จันทบุรี!L396"")+IMPORTRANGE(""https://docs.google.com/spreadsheets/d/1T1PQvRODqOBZk8BRht_U031fIS1beLA0Ub2CEytj2q0/edit?usp=sharing"",""ฉะเชิงเทรา!L396"")+IMPORTRANGE(""https://docs.google.com/spreadsheets/d/11tr1B-Bhyr79v2bkwVh5h_fR-PStkgjlZtkrZpYurG0/"&amp;"edit?usp=sharing"",""ชลบุรี!L396"")+IMPORTRANGE(""https://docs.google.com/spreadsheets/d/1hh-FVnSX0vozXhGluamEcS54Dw9_zqW0N7qJUWgJ0Sw/edit?usp=sharing"",""ชัยนาท!L396"")+IMPORTRANGE(""https://docs.google.com/spreadsheets/d/1jkqa6GXxSacMcY1eN8AHjMNJ_7dDXMJ"&amp;"VRLDlaFSOdPM/edit?usp=sharing"",""ตราด!L396"")+IMPORTRANGE(""https://docs.google.com/spreadsheets/d/18hSgUJ3VwClqi_qtULmmW3cLr0oe3OKaSYoKzdpTsYQ/edit?usp=sharing"",""นครนายก!L396"")+IMPORTRANGE(""https://docs.google.com/spreadsheets/d/1YTZo6WM2dQ6Ix6FSdnL"&amp;"5P7uVnVKu40sxZu975tgG10E/edit?usp=sharing"",""นครปฐม!L396"")+IMPORTRANGE(""https://docs.google.com/spreadsheets/d/1OYoGg4WDg5RIzwGeB10padOxJF9E_Vljuvvct_M7RDo/edit?usp=sharing"",""ปทุมธานี!L396"")+IMPORTRANGE(""https://docs.google.com/spreadsheets/d/1GbCI"&amp;"E4D4wk9FUozzqk7SxfDMxDVBwVmI5zcaVUSzKAc/edit?usp=sharing"",""ประจวบคีรีขันธ์!L396"")+IMPORTRANGE(""https://docs.google.com/spreadsheets/d/1vVf6wykvW_lAyu7Yo9L4hUTqHqIeP_qcVuxCtosJEbg/edit?usp=sharing"",""ปราจีนบุรี!L396"")+IMPORTRANGE(""https://docs.googl"&amp;"e.com/spreadsheets/d/1BIDqLLg5jk3v59G8NlR8rk5xfQDKne0sAvZHSj7TI6I/edit?usp=sharing"",""พระนครศรีอยุธยา!L396"")+IMPORTRANGE(""https://docs.google.com/spreadsheets/d/1YXvxf8Yu6_rV4hTBrwMqAcAnv6DfhUxh5emyM3CJp_w/edit?usp=sharing"",""เพชรบุรี!L396"")+IMPORTRA"&amp;"NGE(""https://docs.google.com/spreadsheets/d/19KBlQQs7uwvsao6t2n-KvW3Ax8J8uRRfZPq1zPbXgKc/edit?usp=sharing"",""ระยอง!L396"")+IMPORTRANGE(""https://docs.google.com/spreadsheets/d/1jQ6P4QcrGM89YfqcC_PxOHGCMq5ezhucwJd8ci-NHng/edit?usp=sharing"",""ราชบุรี!L39"&amp;"6"")+IMPORTRANGE(""https://docs.google.com/spreadsheets/d/1lufeA2cfFqM-elVq2hznhDzC6Pr7wkJ9ZG_sYNGCMCU/edit?usp=sharing"",""ลพบุรี!L396"")+IMPORTRANGE(""https://docs.google.com/spreadsheets/d/10oOiF7loTyfsTkbd4MpaIm0HQ9SwB7IYHdIUvt-U1Uc/edit?usp=sharing"""&amp;",""สระแก้ว!L396"")+IMPORTRANGE(""https://docs.google.com/spreadsheets/d/1xmPlrr1QbdSIKvl1dWUl9K4PjAfSL9oeMr_37QVzcxc/edit?usp=sharing"",""สระบุรี!L396"")+IMPORTRANGE(""https://docs.google.com/spreadsheets/d/1j51vR6CYVGhABJpv6tkstgok82RLpXieLzW1yOY5rHw/edi"&amp;"t?usp=sharing"",""สิงห์บุรี!L396"")+IMPORTRANGE(""https://docs.google.com/spreadsheets/d/1H1EalTWKUSzO4Z1-1CwzoDUaVffgrThEBe2sl74kKG0/edit?usp=sharing"",""สุพรรณบุรี!L396"")+IMPORTRANGE(""https://docs.google.com/spreadsheets/d/1BmIruG_sIrJLYao_Pdr7zVArWsf"&amp;"oBt2692TMi6x_854/edit?usp=sharing"",""อ่างทอง!L396"")"),0)</f>
        <v>0</v>
      </c>
      <c r="M396" s="75">
        <f ca="1">IFERROR(__xludf.DUMMYFUNCTION("IMPORTRANGE(""https://docs.google.com/spreadsheets/d/13wPX838HrBrQMCywv1BsuMkt4PEKTChp52zj44s2izQ/edit?usp=sharing"",""กาญจนบุรี!M396"")+IMPORTRANGE(""https://docs.google.com/spreadsheets/d/1ddFKvqj1W1NEiWytbGlB1zMx_ykJDVtmfEQ-6-lIUBA/edit?usp=sharing"","&amp;"""จันทบุรี!M396"")+IMPORTRANGE(""https://docs.google.com/spreadsheets/d/1T1PQvRODqOBZk8BRht_U031fIS1beLA0Ub2CEytj2q0/edit?usp=sharing"",""ฉะเชิงเทรา!M396"")+IMPORTRANGE(""https://docs.google.com/spreadsheets/d/11tr1B-Bhyr79v2bkwVh5h_fR-PStkgjlZtkrZpYurG0/"&amp;"edit?usp=sharing"",""ชลบุรี!M396"")+IMPORTRANGE(""https://docs.google.com/spreadsheets/d/1hh-FVnSX0vozXhGluamEcS54Dw9_zqW0N7qJUWgJ0Sw/edit?usp=sharing"",""ชัยนาท!M396"")+IMPORTRANGE(""https://docs.google.com/spreadsheets/d/1jkqa6GXxSacMcY1eN8AHjMNJ_7dDXMJ"&amp;"VRLDlaFSOdPM/edit?usp=sharing"",""ตราด!M396"")+IMPORTRANGE(""https://docs.google.com/spreadsheets/d/18hSgUJ3VwClqi_qtULmmW3cLr0oe3OKaSYoKzdpTsYQ/edit?usp=sharing"",""นครนายก!M396"")+IMPORTRANGE(""https://docs.google.com/spreadsheets/d/1YTZo6WM2dQ6Ix6FSdnL"&amp;"5P7uVnVKu40sxZu975tgG10E/edit?usp=sharing"",""นครปฐม!M396"")+IMPORTRANGE(""https://docs.google.com/spreadsheets/d/1OYoGg4WDg5RIzwGeB10padOxJF9E_Vljuvvct_M7RDo/edit?usp=sharing"",""ปทุมธานี!M396"")+IMPORTRANGE(""https://docs.google.com/spreadsheets/d/1GbCI"&amp;"E4D4wk9FUozzqk7SxfDMxDVBwVmI5zcaVUSzKAc/edit?usp=sharing"",""ประจวบคีรีขันธ์!M396"")+IMPORTRANGE(""https://docs.google.com/spreadsheets/d/1vVf6wykvW_lAyu7Yo9L4hUTqHqIeP_qcVuxCtosJEbg/edit?usp=sharing"",""ปราจีนบุรี!M396"")+IMPORTRANGE(""https://docs.googl"&amp;"e.com/spreadsheets/d/1BIDqLLg5jk3v59G8NlR8rk5xfQDKne0sAvZHSj7TI6I/edit?usp=sharing"",""พระนครศรีอยุธยา!M396"")+IMPORTRANGE(""https://docs.google.com/spreadsheets/d/1YXvxf8Yu6_rV4hTBrwMqAcAnv6DfhUxh5emyM3CJp_w/edit?usp=sharing"",""เพชรบุรี!M396"")+IMPORTRA"&amp;"NGE(""https://docs.google.com/spreadsheets/d/19KBlQQs7uwvsao6t2n-KvW3Ax8J8uRRfZPq1zPbXgKc/edit?usp=sharing"",""ระยอง!M396"")+IMPORTRANGE(""https://docs.google.com/spreadsheets/d/1jQ6P4QcrGM89YfqcC_PxOHGCMq5ezhucwJd8ci-NHng/edit?usp=sharing"",""ราชบุรี!M39"&amp;"6"")+IMPORTRANGE(""https://docs.google.com/spreadsheets/d/1lufeA2cfFqM-elVq2hznhDzC6Pr7wkJ9ZG_sYNGCMCU/edit?usp=sharing"",""ลพบุรี!M396"")+IMPORTRANGE(""https://docs.google.com/spreadsheets/d/10oOiF7loTyfsTkbd4MpaIm0HQ9SwB7IYHdIUvt-U1Uc/edit?usp=sharing"""&amp;",""สระแก้ว!M396"")+IMPORTRANGE(""https://docs.google.com/spreadsheets/d/1xmPlrr1QbdSIKvl1dWUl9K4PjAfSL9oeMr_37QVzcxc/edit?usp=sharing"",""สระบุรี!M396"")+IMPORTRANGE(""https://docs.google.com/spreadsheets/d/1j51vR6CYVGhABJpv6tkstgok82RLpXieLzW1yOY5rHw/edi"&amp;"t?usp=sharing"",""สิงห์บุรี!M396"")+IMPORTRANGE(""https://docs.google.com/spreadsheets/d/1H1EalTWKUSzO4Z1-1CwzoDUaVffgrThEBe2sl74kKG0/edit?usp=sharing"",""สุพรรณบุรี!M396"")+IMPORTRANGE(""https://docs.google.com/spreadsheets/d/1BmIruG_sIrJLYao_Pdr7zVArWsf"&amp;"oBt2692TMi6x_854/edit?usp=sharing"",""อ่างทอง!M396"")"),0)</f>
        <v>0</v>
      </c>
      <c r="N396" s="75">
        <f ca="1">IFERROR(__xludf.DUMMYFUNCTION("IMPORTRANGE(""https://docs.google.com/spreadsheets/d/13wPX838HrBrQMCywv1BsuMkt4PEKTChp52zj44s2izQ/edit?usp=sharing"",""กาญจนบุรี!N396"")+IMPORTRANGE(""https://docs.google.com/spreadsheets/d/1ddFKvqj1W1NEiWytbGlB1zMx_ykJDVtmfEQ-6-lIUBA/edit?usp=sharing"","&amp;"""จันทบุรี!N396"")+IMPORTRANGE(""https://docs.google.com/spreadsheets/d/1T1PQvRODqOBZk8BRht_U031fIS1beLA0Ub2CEytj2q0/edit?usp=sharing"",""ฉะเชิงเทรา!N396"")+IMPORTRANGE(""https://docs.google.com/spreadsheets/d/11tr1B-Bhyr79v2bkwVh5h_fR-PStkgjlZtkrZpYurG0/"&amp;"edit?usp=sharing"",""ชลบุรี!N396"")+IMPORTRANGE(""https://docs.google.com/spreadsheets/d/1hh-FVnSX0vozXhGluamEcS54Dw9_zqW0N7qJUWgJ0Sw/edit?usp=sharing"",""ชัยนาท!N396"")+IMPORTRANGE(""https://docs.google.com/spreadsheets/d/1jkqa6GXxSacMcY1eN8AHjMNJ_7dDXMJ"&amp;"VRLDlaFSOdPM/edit?usp=sharing"",""ตราด!N396"")+IMPORTRANGE(""https://docs.google.com/spreadsheets/d/18hSgUJ3VwClqi_qtULmmW3cLr0oe3OKaSYoKzdpTsYQ/edit?usp=sharing"",""นครนายก!N396"")+IMPORTRANGE(""https://docs.google.com/spreadsheets/d/1YTZo6WM2dQ6Ix6FSdnL"&amp;"5P7uVnVKu40sxZu975tgG10E/edit?usp=sharing"",""นครปฐม!N396"")+IMPORTRANGE(""https://docs.google.com/spreadsheets/d/1OYoGg4WDg5RIzwGeB10padOxJF9E_Vljuvvct_M7RDo/edit?usp=sharing"",""ปทุมธานี!N396"")+IMPORTRANGE(""https://docs.google.com/spreadsheets/d/1GbCI"&amp;"E4D4wk9FUozzqk7SxfDMxDVBwVmI5zcaVUSzKAc/edit?usp=sharing"",""ประจวบคีรีขันธ์!N396"")+IMPORTRANGE(""https://docs.google.com/spreadsheets/d/1vVf6wykvW_lAyu7Yo9L4hUTqHqIeP_qcVuxCtosJEbg/edit?usp=sharing"",""ปราจีนบุรี!N396"")+IMPORTRANGE(""https://docs.googl"&amp;"e.com/spreadsheets/d/1BIDqLLg5jk3v59G8NlR8rk5xfQDKne0sAvZHSj7TI6I/edit?usp=sharing"",""พระนครศรีอยุธยา!N396"")+IMPORTRANGE(""https://docs.google.com/spreadsheets/d/1YXvxf8Yu6_rV4hTBrwMqAcAnv6DfhUxh5emyM3CJp_w/edit?usp=sharing"",""เพชรบุรี!N396"")+IMPORTRA"&amp;"NGE(""https://docs.google.com/spreadsheets/d/19KBlQQs7uwvsao6t2n-KvW3Ax8J8uRRfZPq1zPbXgKc/edit?usp=sharing"",""ระยอง!N396"")+IMPORTRANGE(""https://docs.google.com/spreadsheets/d/1jQ6P4QcrGM89YfqcC_PxOHGCMq5ezhucwJd8ci-NHng/edit?usp=sharing"",""ราชบุรี!N39"&amp;"6"")+IMPORTRANGE(""https://docs.google.com/spreadsheets/d/1lufeA2cfFqM-elVq2hznhDzC6Pr7wkJ9ZG_sYNGCMCU/edit?usp=sharing"",""ลพบุรี!N396"")+IMPORTRANGE(""https://docs.google.com/spreadsheets/d/10oOiF7loTyfsTkbd4MpaIm0HQ9SwB7IYHdIUvt-U1Uc/edit?usp=sharing"""&amp;",""สระแก้ว!N396"")+IMPORTRANGE(""https://docs.google.com/spreadsheets/d/1xmPlrr1QbdSIKvl1dWUl9K4PjAfSL9oeMr_37QVzcxc/edit?usp=sharing"",""สระบุรี!N396"")+IMPORTRANGE(""https://docs.google.com/spreadsheets/d/1j51vR6CYVGhABJpv6tkstgok82RLpXieLzW1yOY5rHw/edi"&amp;"t?usp=sharing"",""สิงห์บุรี!N396"")+IMPORTRANGE(""https://docs.google.com/spreadsheets/d/1H1EalTWKUSzO4Z1-1CwzoDUaVffgrThEBe2sl74kKG0/edit?usp=sharing"",""สุพรรณบุรี!N396"")+IMPORTRANGE(""https://docs.google.com/spreadsheets/d/1BmIruG_sIrJLYao_Pdr7zVArWsf"&amp;"oBt2692TMi6x_854/edit?usp=sharing"",""อ่างทอง!N396"")"),0)</f>
        <v>0</v>
      </c>
      <c r="O396" s="75">
        <f t="shared" ca="1" si="291"/>
        <v>0</v>
      </c>
      <c r="P396" s="75">
        <f t="shared" ca="1" si="292"/>
        <v>0</v>
      </c>
      <c r="Q396" s="74">
        <f ca="1">IFERROR(__xludf.DUMMYFUNCTION("IMPORTRANGE(""https://docs.google.com/spreadsheets/d/13wPX838HrBrQMCywv1BsuMkt4PEKTChp52zj44s2izQ/edit?usp=sharing"",""กาญจนบุรี!Q396"")+IMPORTRANGE(""https://docs.google.com/spreadsheets/d/1ddFKvqj1W1NEiWytbGlB1zMx_ykJDVtmfEQ-6-lIUBA/edit?usp=sharing"","&amp;"""จันทบุรี!Q396"")+IMPORTRANGE(""https://docs.google.com/spreadsheets/d/1T1PQvRODqOBZk8BRht_U031fIS1beLA0Ub2CEytj2q0/edit?usp=sharing"",""ฉะเชิงเทรา!Q396"")+IMPORTRANGE(""https://docs.google.com/spreadsheets/d/11tr1B-Bhyr79v2bkwVh5h_fR-PStkgjlZtkrZpYurG0/"&amp;"edit?usp=sharing"",""ชลบุรี!Q396"")+IMPORTRANGE(""https://docs.google.com/spreadsheets/d/1hh-FVnSX0vozXhGluamEcS54Dw9_zqW0N7qJUWgJ0Sw/edit?usp=sharing"",""ชัยนาท!Q396"")+IMPORTRANGE(""https://docs.google.com/spreadsheets/d/1jkqa6GXxSacMcY1eN8AHjMNJ_7dDXMJ"&amp;"VRLDlaFSOdPM/edit?usp=sharing"",""ตราด!Q396"")+IMPORTRANGE(""https://docs.google.com/spreadsheets/d/18hSgUJ3VwClqi_qtULmmW3cLr0oe3OKaSYoKzdpTsYQ/edit?usp=sharing"",""นครนายก!Q396"")+IMPORTRANGE(""https://docs.google.com/spreadsheets/d/1YTZo6WM2dQ6Ix6FSdnL"&amp;"5P7uVnVKu40sxZu975tgG10E/edit?usp=sharing"",""นครปฐม!Q396"")+IMPORTRANGE(""https://docs.google.com/spreadsheets/d/1OYoGg4WDg5RIzwGeB10padOxJF9E_Vljuvvct_M7RDo/edit?usp=sharing"",""ปทุมธานี!Q396"")+IMPORTRANGE(""https://docs.google.com/spreadsheets/d/1GbCI"&amp;"E4D4wk9FUozzqk7SxfDMxDVBwVmI5zcaVUSzKAc/edit?usp=sharing"",""ประจวบคีรีขันธ์!Q396"")+IMPORTRANGE(""https://docs.google.com/spreadsheets/d/1vVf6wykvW_lAyu7Yo9L4hUTqHqIeP_qcVuxCtosJEbg/edit?usp=sharing"",""ปราจีนบุรี!Q396"")+IMPORTRANGE(""https://docs.googl"&amp;"e.com/spreadsheets/d/1BIDqLLg5jk3v59G8NlR8rk5xfQDKne0sAvZHSj7TI6I/edit?usp=sharing"",""พระนครศรีอยุธยา!Q396"")+IMPORTRANGE(""https://docs.google.com/spreadsheets/d/1YXvxf8Yu6_rV4hTBrwMqAcAnv6DfhUxh5emyM3CJp_w/edit?usp=sharing"",""เพชรบุรี!Q396"")+IMPORTRA"&amp;"NGE(""https://docs.google.com/spreadsheets/d/19KBlQQs7uwvsao6t2n-KvW3Ax8J8uRRfZPq1zPbXgKc/edit?usp=sharing"",""ระยอง!Q396"")+IMPORTRANGE(""https://docs.google.com/spreadsheets/d/1jQ6P4QcrGM89YfqcC_PxOHGCMq5ezhucwJd8ci-NHng/edit?usp=sharing"",""ราชบุรี!Q39"&amp;"6"")+IMPORTRANGE(""https://docs.google.com/spreadsheets/d/1lufeA2cfFqM-elVq2hznhDzC6Pr7wkJ9ZG_sYNGCMCU/edit?usp=sharing"",""ลพบุรี!Q396"")+IMPORTRANGE(""https://docs.google.com/spreadsheets/d/10oOiF7loTyfsTkbd4MpaIm0HQ9SwB7IYHdIUvt-U1Uc/edit?usp=sharing"""&amp;",""สระแก้ว!Q396"")+IMPORTRANGE(""https://docs.google.com/spreadsheets/d/1xmPlrr1QbdSIKvl1dWUl9K4PjAfSL9oeMr_37QVzcxc/edit?usp=sharing"",""สระบุรี!Q396"")+IMPORTRANGE(""https://docs.google.com/spreadsheets/d/1j51vR6CYVGhABJpv6tkstgok82RLpXieLzW1yOY5rHw/edi"&amp;"t?usp=sharing"",""สิงห์บุรี!Q396"")+IMPORTRANGE(""https://docs.google.com/spreadsheets/d/1H1EalTWKUSzO4Z1-1CwzoDUaVffgrThEBe2sl74kKG0/edit?usp=sharing"",""สุพรรณบุรี!Q396"")+IMPORTRANGE(""https://docs.google.com/spreadsheets/d/1BmIruG_sIrJLYao_Pdr7zVArWsf"&amp;"oBt2692TMi6x_854/edit?usp=sharing"",""อ่างทอง!Q396"")"),0)</f>
        <v>0</v>
      </c>
      <c r="R396" s="75">
        <f ca="1">IFERROR(__xludf.DUMMYFUNCTION("IMPORTRANGE(""https://docs.google.com/spreadsheets/d/13wPX838HrBrQMCywv1BsuMkt4PEKTChp52zj44s2izQ/edit?usp=sharing"",""กาญจนบุรี!R396"")+IMPORTRANGE(""https://docs.google.com/spreadsheets/d/1ddFKvqj1W1NEiWytbGlB1zMx_ykJDVtmfEQ-6-lIUBA/edit?usp=sharing"","&amp;"""จันทบุรี!R396"")+IMPORTRANGE(""https://docs.google.com/spreadsheets/d/1T1PQvRODqOBZk8BRht_U031fIS1beLA0Ub2CEytj2q0/edit?usp=sharing"",""ฉะเชิงเทรา!R396"")+IMPORTRANGE(""https://docs.google.com/spreadsheets/d/11tr1B-Bhyr79v2bkwVh5h_fR-PStkgjlZtkrZpYurG0/"&amp;"edit?usp=sharing"",""ชลบุรี!R396"")+IMPORTRANGE(""https://docs.google.com/spreadsheets/d/1hh-FVnSX0vozXhGluamEcS54Dw9_zqW0N7qJUWgJ0Sw/edit?usp=sharing"",""ชัยนาท!R396"")+IMPORTRANGE(""https://docs.google.com/spreadsheets/d/1jkqa6GXxSacMcY1eN8AHjMNJ_7dDXMJ"&amp;"VRLDlaFSOdPM/edit?usp=sharing"",""ตราด!R396"")+IMPORTRANGE(""https://docs.google.com/spreadsheets/d/18hSgUJ3VwClqi_qtULmmW3cLr0oe3OKaSYoKzdpTsYQ/edit?usp=sharing"",""นครนายก!R396"")+IMPORTRANGE(""https://docs.google.com/spreadsheets/d/1YTZo6WM2dQ6Ix6FSdnL"&amp;"5P7uVnVKu40sxZu975tgG10E/edit?usp=sharing"",""นครปฐม!R396"")+IMPORTRANGE(""https://docs.google.com/spreadsheets/d/1OYoGg4WDg5RIzwGeB10padOxJF9E_Vljuvvct_M7RDo/edit?usp=sharing"",""ปทุมธานี!R396"")+IMPORTRANGE(""https://docs.google.com/spreadsheets/d/1GbCI"&amp;"E4D4wk9FUozzqk7SxfDMxDVBwVmI5zcaVUSzKAc/edit?usp=sharing"",""ประจวบคีรีขันธ์!R396"")+IMPORTRANGE(""https://docs.google.com/spreadsheets/d/1vVf6wykvW_lAyu7Yo9L4hUTqHqIeP_qcVuxCtosJEbg/edit?usp=sharing"",""ปราจีนบุรี!R396"")+IMPORTRANGE(""https://docs.googl"&amp;"e.com/spreadsheets/d/1BIDqLLg5jk3v59G8NlR8rk5xfQDKne0sAvZHSj7TI6I/edit?usp=sharing"",""พระนครศรีอยุธยา!R396"")+IMPORTRANGE(""https://docs.google.com/spreadsheets/d/1YXvxf8Yu6_rV4hTBrwMqAcAnv6DfhUxh5emyM3CJp_w/edit?usp=sharing"",""เพชรบุรี!R396"")+IMPORTRA"&amp;"NGE(""https://docs.google.com/spreadsheets/d/19KBlQQs7uwvsao6t2n-KvW3Ax8J8uRRfZPq1zPbXgKc/edit?usp=sharing"",""ระยอง!R396"")+IMPORTRANGE(""https://docs.google.com/spreadsheets/d/1jQ6P4QcrGM89YfqcC_PxOHGCMq5ezhucwJd8ci-NHng/edit?usp=sharing"",""ราชบุรี!R39"&amp;"6"")+IMPORTRANGE(""https://docs.google.com/spreadsheets/d/1lufeA2cfFqM-elVq2hznhDzC6Pr7wkJ9ZG_sYNGCMCU/edit?usp=sharing"",""ลพบุรี!R396"")+IMPORTRANGE(""https://docs.google.com/spreadsheets/d/10oOiF7loTyfsTkbd4MpaIm0HQ9SwB7IYHdIUvt-U1Uc/edit?usp=sharing"""&amp;",""สระแก้ว!R396"")+IMPORTRANGE(""https://docs.google.com/spreadsheets/d/1xmPlrr1QbdSIKvl1dWUl9K4PjAfSL9oeMr_37QVzcxc/edit?usp=sharing"",""สระบุรี!R396"")+IMPORTRANGE(""https://docs.google.com/spreadsheets/d/1j51vR6CYVGhABJpv6tkstgok82RLpXieLzW1yOY5rHw/edi"&amp;"t?usp=sharing"",""สิงห์บุรี!R396"")+IMPORTRANGE(""https://docs.google.com/spreadsheets/d/1H1EalTWKUSzO4Z1-1CwzoDUaVffgrThEBe2sl74kKG0/edit?usp=sharing"",""สุพรรณบุรี!R396"")+IMPORTRANGE(""https://docs.google.com/spreadsheets/d/1BmIruG_sIrJLYao_Pdr7zVArWsf"&amp;"oBt2692TMi6x_854/edit?usp=sharing"",""อ่างทอง!R396"")"),0)</f>
        <v>0</v>
      </c>
      <c r="S396" s="75">
        <f ca="1">IFERROR(__xludf.DUMMYFUNCTION("IMPORTRANGE(""https://docs.google.com/spreadsheets/d/13wPX838HrBrQMCywv1BsuMkt4PEKTChp52zj44s2izQ/edit?usp=sharing"",""กาญจนบุรี!S396"")+IMPORTRANGE(""https://docs.google.com/spreadsheets/d/1ddFKvqj1W1NEiWytbGlB1zMx_ykJDVtmfEQ-6-lIUBA/edit?usp=sharing"","&amp;"""จันทบุรี!S396"")+IMPORTRANGE(""https://docs.google.com/spreadsheets/d/1T1PQvRODqOBZk8BRht_U031fIS1beLA0Ub2CEytj2q0/edit?usp=sharing"",""ฉะเชิงเทรา!S396"")+IMPORTRANGE(""https://docs.google.com/spreadsheets/d/11tr1B-Bhyr79v2bkwVh5h_fR-PStkgjlZtkrZpYurG0/"&amp;"edit?usp=sharing"",""ชลบุรี!S396"")+IMPORTRANGE(""https://docs.google.com/spreadsheets/d/1hh-FVnSX0vozXhGluamEcS54Dw9_zqW0N7qJUWgJ0Sw/edit?usp=sharing"",""ชัยนาท!S396"")+IMPORTRANGE(""https://docs.google.com/spreadsheets/d/1jkqa6GXxSacMcY1eN8AHjMNJ_7dDXMJ"&amp;"VRLDlaFSOdPM/edit?usp=sharing"",""ตราด!S396"")+IMPORTRANGE(""https://docs.google.com/spreadsheets/d/18hSgUJ3VwClqi_qtULmmW3cLr0oe3OKaSYoKzdpTsYQ/edit?usp=sharing"",""นครนายก!S396"")+IMPORTRANGE(""https://docs.google.com/spreadsheets/d/1YTZo6WM2dQ6Ix6FSdnL"&amp;"5P7uVnVKu40sxZu975tgG10E/edit?usp=sharing"",""นครปฐม!S396"")+IMPORTRANGE(""https://docs.google.com/spreadsheets/d/1OYoGg4WDg5RIzwGeB10padOxJF9E_Vljuvvct_M7RDo/edit?usp=sharing"",""ปทุมธานี!S396"")+IMPORTRANGE(""https://docs.google.com/spreadsheets/d/1GbCI"&amp;"E4D4wk9FUozzqk7SxfDMxDVBwVmI5zcaVUSzKAc/edit?usp=sharing"",""ประจวบคีรีขันธ์!S396"")+IMPORTRANGE(""https://docs.google.com/spreadsheets/d/1vVf6wykvW_lAyu7Yo9L4hUTqHqIeP_qcVuxCtosJEbg/edit?usp=sharing"",""ปราจีนบุรี!S396"")+IMPORTRANGE(""https://docs.googl"&amp;"e.com/spreadsheets/d/1BIDqLLg5jk3v59G8NlR8rk5xfQDKne0sAvZHSj7TI6I/edit?usp=sharing"",""พระนครศรีอยุธยา!S396"")+IMPORTRANGE(""https://docs.google.com/spreadsheets/d/1YXvxf8Yu6_rV4hTBrwMqAcAnv6DfhUxh5emyM3CJp_w/edit?usp=sharing"",""เพชรบุรี!S396"")+IMPORTRA"&amp;"NGE(""https://docs.google.com/spreadsheets/d/19KBlQQs7uwvsao6t2n-KvW3Ax8J8uRRfZPq1zPbXgKc/edit?usp=sharing"",""ระยอง!S396"")+IMPORTRANGE(""https://docs.google.com/spreadsheets/d/1jQ6P4QcrGM89YfqcC_PxOHGCMq5ezhucwJd8ci-NHng/edit?usp=sharing"",""ราชบุรี!S39"&amp;"6"")+IMPORTRANGE(""https://docs.google.com/spreadsheets/d/1lufeA2cfFqM-elVq2hznhDzC6Pr7wkJ9ZG_sYNGCMCU/edit?usp=sharing"",""ลพบุรี!S396"")+IMPORTRANGE(""https://docs.google.com/spreadsheets/d/10oOiF7loTyfsTkbd4MpaIm0HQ9SwB7IYHdIUvt-U1Uc/edit?usp=sharing"""&amp;",""สระแก้ว!S396"")+IMPORTRANGE(""https://docs.google.com/spreadsheets/d/1xmPlrr1QbdSIKvl1dWUl9K4PjAfSL9oeMr_37QVzcxc/edit?usp=sharing"",""สระบุรี!S396"")+IMPORTRANGE(""https://docs.google.com/spreadsheets/d/1j51vR6CYVGhABJpv6tkstgok82RLpXieLzW1yOY5rHw/edi"&amp;"t?usp=sharing"",""สิงห์บุรี!S396"")+IMPORTRANGE(""https://docs.google.com/spreadsheets/d/1H1EalTWKUSzO4Z1-1CwzoDUaVffgrThEBe2sl74kKG0/edit?usp=sharing"",""สุพรรณบุรี!S396"")+IMPORTRANGE(""https://docs.google.com/spreadsheets/d/1BmIruG_sIrJLYao_Pdr7zVArWsf"&amp;"oBt2692TMi6x_854/edit?usp=sharing"",""อ่างทอง!S396"")"),0)</f>
        <v>0</v>
      </c>
      <c r="T396" s="131">
        <f t="shared" ca="1" si="294"/>
        <v>0</v>
      </c>
      <c r="U396" s="131">
        <f t="shared" ca="1" si="295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2">
        <f ca="1">IFERROR(__xludf.DUMMYFUNCTION("IMPORTRANGE(""https://docs.google.com/spreadsheets/d/13wPX838HrBrQMCywv1BsuMkt4PEKTChp52zj44s2izQ/edit?usp=sharing"",""กาญจนบุรี!L397"")+IMPORTRANGE(""https://docs.google.com/spreadsheets/d/1ddFKvqj1W1NEiWytbGlB1zMx_ykJDVtmfEQ-6-lIUBA/edit?usp=sharing"","&amp;"""จันทบุรี!L397"")+IMPORTRANGE(""https://docs.google.com/spreadsheets/d/1T1PQvRODqOBZk8BRht_U031fIS1beLA0Ub2CEytj2q0/edit?usp=sharing"",""ฉะเชิงเทรา!L397"")+IMPORTRANGE(""https://docs.google.com/spreadsheets/d/11tr1B-Bhyr79v2bkwVh5h_fR-PStkgjlZtkrZpYurG0/"&amp;"edit?usp=sharing"",""ชลบุรี!L397"")+IMPORTRANGE(""https://docs.google.com/spreadsheets/d/1hh-FVnSX0vozXhGluamEcS54Dw9_zqW0N7qJUWgJ0Sw/edit?usp=sharing"",""ชัยนาท!L397"")+IMPORTRANGE(""https://docs.google.com/spreadsheets/d/1jkqa6GXxSacMcY1eN8AHjMNJ_7dDXMJ"&amp;"VRLDlaFSOdPM/edit?usp=sharing"",""ตราด!L397"")+IMPORTRANGE(""https://docs.google.com/spreadsheets/d/18hSgUJ3VwClqi_qtULmmW3cLr0oe3OKaSYoKzdpTsYQ/edit?usp=sharing"",""นครนายก!L397"")+IMPORTRANGE(""https://docs.google.com/spreadsheets/d/1YTZo6WM2dQ6Ix6FSdnL"&amp;"5P7uVnVKu40sxZu975tgG10E/edit?usp=sharing"",""นครปฐม!L397"")+IMPORTRANGE(""https://docs.google.com/spreadsheets/d/1OYoGg4WDg5RIzwGeB10padOxJF9E_Vljuvvct_M7RDo/edit?usp=sharing"",""ปทุมธานี!L397"")+IMPORTRANGE(""https://docs.google.com/spreadsheets/d/1GbCI"&amp;"E4D4wk9FUozzqk7SxfDMxDVBwVmI5zcaVUSzKAc/edit?usp=sharing"",""ประจวบคีรีขันธ์!L397"")+IMPORTRANGE(""https://docs.google.com/spreadsheets/d/1vVf6wykvW_lAyu7Yo9L4hUTqHqIeP_qcVuxCtosJEbg/edit?usp=sharing"",""ปราจีนบุรี!L397"")+IMPORTRANGE(""https://docs.googl"&amp;"e.com/spreadsheets/d/1BIDqLLg5jk3v59G8NlR8rk5xfQDKne0sAvZHSj7TI6I/edit?usp=sharing"",""พระนครศรีอยุธยา!L397"")+IMPORTRANGE(""https://docs.google.com/spreadsheets/d/1YXvxf8Yu6_rV4hTBrwMqAcAnv6DfhUxh5emyM3CJp_w/edit?usp=sharing"",""เพชรบุรี!L397"")+IMPORTRA"&amp;"NGE(""https://docs.google.com/spreadsheets/d/19KBlQQs7uwvsao6t2n-KvW3Ax8J8uRRfZPq1zPbXgKc/edit?usp=sharing"",""ระยอง!L397"")+IMPORTRANGE(""https://docs.google.com/spreadsheets/d/1jQ6P4QcrGM89YfqcC_PxOHGCMq5ezhucwJd8ci-NHng/edit?usp=sharing"",""ราชบุรี!L39"&amp;"7"")+IMPORTRANGE(""https://docs.google.com/spreadsheets/d/1lufeA2cfFqM-elVq2hznhDzC6Pr7wkJ9ZG_sYNGCMCU/edit?usp=sharing"",""ลพบุรี!L397"")+IMPORTRANGE(""https://docs.google.com/spreadsheets/d/10oOiF7loTyfsTkbd4MpaIm0HQ9SwB7IYHdIUvt-U1Uc/edit?usp=sharing"""&amp;",""สระแก้ว!L397"")+IMPORTRANGE(""https://docs.google.com/spreadsheets/d/1xmPlrr1QbdSIKvl1dWUl9K4PjAfSL9oeMr_37QVzcxc/edit?usp=sharing"",""สระบุรี!L397"")+IMPORTRANGE(""https://docs.google.com/spreadsheets/d/1j51vR6CYVGhABJpv6tkstgok82RLpXieLzW1yOY5rHw/edi"&amp;"t?usp=sharing"",""สิงห์บุรี!L397"")+IMPORTRANGE(""https://docs.google.com/spreadsheets/d/1H1EalTWKUSzO4Z1-1CwzoDUaVffgrThEBe2sl74kKG0/edit?usp=sharing"",""สุพรรณบุรี!L397"")+IMPORTRANGE(""https://docs.google.com/spreadsheets/d/1BmIruG_sIrJLYao_Pdr7zVArWsf"&amp;"oBt2692TMi6x_854/edit?usp=sharing"",""อ่างทอง!L397"")"),0)</f>
        <v>0</v>
      </c>
      <c r="M397" s="72">
        <f ca="1">IFERROR(__xludf.DUMMYFUNCTION("IMPORTRANGE(""https://docs.google.com/spreadsheets/d/13wPX838HrBrQMCywv1BsuMkt4PEKTChp52zj44s2izQ/edit?usp=sharing"",""กาญจนบุรี!M397"")+IMPORTRANGE(""https://docs.google.com/spreadsheets/d/1ddFKvqj1W1NEiWytbGlB1zMx_ykJDVtmfEQ-6-lIUBA/edit?usp=sharing"","&amp;"""จันทบุรี!M397"")+IMPORTRANGE(""https://docs.google.com/spreadsheets/d/1T1PQvRODqOBZk8BRht_U031fIS1beLA0Ub2CEytj2q0/edit?usp=sharing"",""ฉะเชิงเทรา!M397"")+IMPORTRANGE(""https://docs.google.com/spreadsheets/d/11tr1B-Bhyr79v2bkwVh5h_fR-PStkgjlZtkrZpYurG0/"&amp;"edit?usp=sharing"",""ชลบุรี!M397"")+IMPORTRANGE(""https://docs.google.com/spreadsheets/d/1hh-FVnSX0vozXhGluamEcS54Dw9_zqW0N7qJUWgJ0Sw/edit?usp=sharing"",""ชัยนาท!M397"")+IMPORTRANGE(""https://docs.google.com/spreadsheets/d/1jkqa6GXxSacMcY1eN8AHjMNJ_7dDXMJ"&amp;"VRLDlaFSOdPM/edit?usp=sharing"",""ตราด!M397"")+IMPORTRANGE(""https://docs.google.com/spreadsheets/d/18hSgUJ3VwClqi_qtULmmW3cLr0oe3OKaSYoKzdpTsYQ/edit?usp=sharing"",""นครนายก!M397"")+IMPORTRANGE(""https://docs.google.com/spreadsheets/d/1YTZo6WM2dQ6Ix6FSdnL"&amp;"5P7uVnVKu40sxZu975tgG10E/edit?usp=sharing"",""นครปฐม!M397"")+IMPORTRANGE(""https://docs.google.com/spreadsheets/d/1OYoGg4WDg5RIzwGeB10padOxJF9E_Vljuvvct_M7RDo/edit?usp=sharing"",""ปทุมธานี!M397"")+IMPORTRANGE(""https://docs.google.com/spreadsheets/d/1GbCI"&amp;"E4D4wk9FUozzqk7SxfDMxDVBwVmI5zcaVUSzKAc/edit?usp=sharing"",""ประจวบคีรีขันธ์!M397"")+IMPORTRANGE(""https://docs.google.com/spreadsheets/d/1vVf6wykvW_lAyu7Yo9L4hUTqHqIeP_qcVuxCtosJEbg/edit?usp=sharing"",""ปราจีนบุรี!M397"")+IMPORTRANGE(""https://docs.googl"&amp;"e.com/spreadsheets/d/1BIDqLLg5jk3v59G8NlR8rk5xfQDKne0sAvZHSj7TI6I/edit?usp=sharing"",""พระนครศรีอยุธยา!M397"")+IMPORTRANGE(""https://docs.google.com/spreadsheets/d/1YXvxf8Yu6_rV4hTBrwMqAcAnv6DfhUxh5emyM3CJp_w/edit?usp=sharing"",""เพชรบุรี!M397"")+IMPORTRA"&amp;"NGE(""https://docs.google.com/spreadsheets/d/19KBlQQs7uwvsao6t2n-KvW3Ax8J8uRRfZPq1zPbXgKc/edit?usp=sharing"",""ระยอง!M397"")+IMPORTRANGE(""https://docs.google.com/spreadsheets/d/1jQ6P4QcrGM89YfqcC_PxOHGCMq5ezhucwJd8ci-NHng/edit?usp=sharing"",""ราชบุรี!M39"&amp;"7"")+IMPORTRANGE(""https://docs.google.com/spreadsheets/d/1lufeA2cfFqM-elVq2hznhDzC6Pr7wkJ9ZG_sYNGCMCU/edit?usp=sharing"",""ลพบุรี!M397"")+IMPORTRANGE(""https://docs.google.com/spreadsheets/d/10oOiF7loTyfsTkbd4MpaIm0HQ9SwB7IYHdIUvt-U1Uc/edit?usp=sharing"""&amp;",""สระแก้ว!M397"")+IMPORTRANGE(""https://docs.google.com/spreadsheets/d/1xmPlrr1QbdSIKvl1dWUl9K4PjAfSL9oeMr_37QVzcxc/edit?usp=sharing"",""สระบุรี!M397"")+IMPORTRANGE(""https://docs.google.com/spreadsheets/d/1j51vR6CYVGhABJpv6tkstgok82RLpXieLzW1yOY5rHw/edi"&amp;"t?usp=sharing"",""สิงห์บุรี!M397"")+IMPORTRANGE(""https://docs.google.com/spreadsheets/d/1H1EalTWKUSzO4Z1-1CwzoDUaVffgrThEBe2sl74kKG0/edit?usp=sharing"",""สุพรรณบุรี!M397"")+IMPORTRANGE(""https://docs.google.com/spreadsheets/d/1BmIruG_sIrJLYao_Pdr7zVArWsf"&amp;"oBt2692TMi6x_854/edit?usp=sharing"",""อ่างทอง!M397"")"),0)</f>
        <v>0</v>
      </c>
      <c r="N397" s="72">
        <f ca="1">IFERROR(__xludf.DUMMYFUNCTION("IMPORTRANGE(""https://docs.google.com/spreadsheets/d/13wPX838HrBrQMCywv1BsuMkt4PEKTChp52zj44s2izQ/edit?usp=sharing"",""กาญจนบุรี!N397"")+IMPORTRANGE(""https://docs.google.com/spreadsheets/d/1ddFKvqj1W1NEiWytbGlB1zMx_ykJDVtmfEQ-6-lIUBA/edit?usp=sharing"","&amp;"""จันทบุรี!N397"")+IMPORTRANGE(""https://docs.google.com/spreadsheets/d/1T1PQvRODqOBZk8BRht_U031fIS1beLA0Ub2CEytj2q0/edit?usp=sharing"",""ฉะเชิงเทรา!N397"")+IMPORTRANGE(""https://docs.google.com/spreadsheets/d/11tr1B-Bhyr79v2bkwVh5h_fR-PStkgjlZtkrZpYurG0/"&amp;"edit?usp=sharing"",""ชลบุรี!N397"")+IMPORTRANGE(""https://docs.google.com/spreadsheets/d/1hh-FVnSX0vozXhGluamEcS54Dw9_zqW0N7qJUWgJ0Sw/edit?usp=sharing"",""ชัยนาท!N397"")+IMPORTRANGE(""https://docs.google.com/spreadsheets/d/1jkqa6GXxSacMcY1eN8AHjMNJ_7dDXMJ"&amp;"VRLDlaFSOdPM/edit?usp=sharing"",""ตราด!N397"")+IMPORTRANGE(""https://docs.google.com/spreadsheets/d/18hSgUJ3VwClqi_qtULmmW3cLr0oe3OKaSYoKzdpTsYQ/edit?usp=sharing"",""นครนายก!N397"")+IMPORTRANGE(""https://docs.google.com/spreadsheets/d/1YTZo6WM2dQ6Ix6FSdnL"&amp;"5P7uVnVKu40sxZu975tgG10E/edit?usp=sharing"",""นครปฐม!N397"")+IMPORTRANGE(""https://docs.google.com/spreadsheets/d/1OYoGg4WDg5RIzwGeB10padOxJF9E_Vljuvvct_M7RDo/edit?usp=sharing"",""ปทุมธานี!N397"")+IMPORTRANGE(""https://docs.google.com/spreadsheets/d/1GbCI"&amp;"E4D4wk9FUozzqk7SxfDMxDVBwVmI5zcaVUSzKAc/edit?usp=sharing"",""ประจวบคีรีขันธ์!N397"")+IMPORTRANGE(""https://docs.google.com/spreadsheets/d/1vVf6wykvW_lAyu7Yo9L4hUTqHqIeP_qcVuxCtosJEbg/edit?usp=sharing"",""ปราจีนบุรี!N397"")+IMPORTRANGE(""https://docs.googl"&amp;"e.com/spreadsheets/d/1BIDqLLg5jk3v59G8NlR8rk5xfQDKne0sAvZHSj7TI6I/edit?usp=sharing"",""พระนครศรีอยุธยา!N397"")+IMPORTRANGE(""https://docs.google.com/spreadsheets/d/1YXvxf8Yu6_rV4hTBrwMqAcAnv6DfhUxh5emyM3CJp_w/edit?usp=sharing"",""เพชรบุรี!N397"")+IMPORTRA"&amp;"NGE(""https://docs.google.com/spreadsheets/d/19KBlQQs7uwvsao6t2n-KvW3Ax8J8uRRfZPq1zPbXgKc/edit?usp=sharing"",""ระยอง!N397"")+IMPORTRANGE(""https://docs.google.com/spreadsheets/d/1jQ6P4QcrGM89YfqcC_PxOHGCMq5ezhucwJd8ci-NHng/edit?usp=sharing"",""ราชบุรี!N39"&amp;"7"")+IMPORTRANGE(""https://docs.google.com/spreadsheets/d/1lufeA2cfFqM-elVq2hznhDzC6Pr7wkJ9ZG_sYNGCMCU/edit?usp=sharing"",""ลพบุรี!N397"")+IMPORTRANGE(""https://docs.google.com/spreadsheets/d/10oOiF7loTyfsTkbd4MpaIm0HQ9SwB7IYHdIUvt-U1Uc/edit?usp=sharing"""&amp;",""สระแก้ว!N397"")+IMPORTRANGE(""https://docs.google.com/spreadsheets/d/1xmPlrr1QbdSIKvl1dWUl9K4PjAfSL9oeMr_37QVzcxc/edit?usp=sharing"",""สระบุรี!N397"")+IMPORTRANGE(""https://docs.google.com/spreadsheets/d/1j51vR6CYVGhABJpv6tkstgok82RLpXieLzW1yOY5rHw/edi"&amp;"t?usp=sharing"",""สิงห์บุรี!N397"")+IMPORTRANGE(""https://docs.google.com/spreadsheets/d/1H1EalTWKUSzO4Z1-1CwzoDUaVffgrThEBe2sl74kKG0/edit?usp=sharing"",""สุพรรณบุรี!N397"")+IMPORTRANGE(""https://docs.google.com/spreadsheets/d/1BmIruG_sIrJLYao_Pdr7zVArWsf"&amp;"oBt2692TMi6x_854/edit?usp=sharing"",""อ่างทอง!N397"")"),0)</f>
        <v>0</v>
      </c>
      <c r="O397" s="72">
        <f t="shared" ca="1" si="291"/>
        <v>0</v>
      </c>
      <c r="P397" s="72">
        <f t="shared" ca="1" si="292"/>
        <v>0</v>
      </c>
      <c r="Q397" s="71">
        <f ca="1">IFERROR(__xludf.DUMMYFUNCTION("IMPORTRANGE(""https://docs.google.com/spreadsheets/d/13wPX838HrBrQMCywv1BsuMkt4PEKTChp52zj44s2izQ/edit?usp=sharing"",""กาญจนบุรี!Q397"")+IMPORTRANGE(""https://docs.google.com/spreadsheets/d/1ddFKvqj1W1NEiWytbGlB1zMx_ykJDVtmfEQ-6-lIUBA/edit?usp=sharing"","&amp;"""จันทบุรี!Q397"")+IMPORTRANGE(""https://docs.google.com/spreadsheets/d/1T1PQvRODqOBZk8BRht_U031fIS1beLA0Ub2CEytj2q0/edit?usp=sharing"",""ฉะเชิงเทรา!Q397"")+IMPORTRANGE(""https://docs.google.com/spreadsheets/d/11tr1B-Bhyr79v2bkwVh5h_fR-PStkgjlZtkrZpYurG0/"&amp;"edit?usp=sharing"",""ชลบุรี!Q397"")+IMPORTRANGE(""https://docs.google.com/spreadsheets/d/1hh-FVnSX0vozXhGluamEcS54Dw9_zqW0N7qJUWgJ0Sw/edit?usp=sharing"",""ชัยนาท!Q397"")+IMPORTRANGE(""https://docs.google.com/spreadsheets/d/1jkqa6GXxSacMcY1eN8AHjMNJ_7dDXMJ"&amp;"VRLDlaFSOdPM/edit?usp=sharing"",""ตราด!Q397"")+IMPORTRANGE(""https://docs.google.com/spreadsheets/d/18hSgUJ3VwClqi_qtULmmW3cLr0oe3OKaSYoKzdpTsYQ/edit?usp=sharing"",""นครนายก!Q397"")+IMPORTRANGE(""https://docs.google.com/spreadsheets/d/1YTZo6WM2dQ6Ix6FSdnL"&amp;"5P7uVnVKu40sxZu975tgG10E/edit?usp=sharing"",""นครปฐม!Q397"")+IMPORTRANGE(""https://docs.google.com/spreadsheets/d/1OYoGg4WDg5RIzwGeB10padOxJF9E_Vljuvvct_M7RDo/edit?usp=sharing"",""ปทุมธานี!Q397"")+IMPORTRANGE(""https://docs.google.com/spreadsheets/d/1GbCI"&amp;"E4D4wk9FUozzqk7SxfDMxDVBwVmI5zcaVUSzKAc/edit?usp=sharing"",""ประจวบคีรีขันธ์!Q397"")+IMPORTRANGE(""https://docs.google.com/spreadsheets/d/1vVf6wykvW_lAyu7Yo9L4hUTqHqIeP_qcVuxCtosJEbg/edit?usp=sharing"",""ปราจีนบุรี!Q397"")+IMPORTRANGE(""https://docs.googl"&amp;"e.com/spreadsheets/d/1BIDqLLg5jk3v59G8NlR8rk5xfQDKne0sAvZHSj7TI6I/edit?usp=sharing"",""พระนครศรีอยุธยา!Q397"")+IMPORTRANGE(""https://docs.google.com/spreadsheets/d/1YXvxf8Yu6_rV4hTBrwMqAcAnv6DfhUxh5emyM3CJp_w/edit?usp=sharing"",""เพชรบุรี!Q397"")+IMPORTRA"&amp;"NGE(""https://docs.google.com/spreadsheets/d/19KBlQQs7uwvsao6t2n-KvW3Ax8J8uRRfZPq1zPbXgKc/edit?usp=sharing"",""ระยอง!Q397"")+IMPORTRANGE(""https://docs.google.com/spreadsheets/d/1jQ6P4QcrGM89YfqcC_PxOHGCMq5ezhucwJd8ci-NHng/edit?usp=sharing"",""ราชบุรี!Q39"&amp;"7"")+IMPORTRANGE(""https://docs.google.com/spreadsheets/d/1lufeA2cfFqM-elVq2hznhDzC6Pr7wkJ9ZG_sYNGCMCU/edit?usp=sharing"",""ลพบุรี!Q397"")+IMPORTRANGE(""https://docs.google.com/spreadsheets/d/10oOiF7loTyfsTkbd4MpaIm0HQ9SwB7IYHdIUvt-U1Uc/edit?usp=sharing"""&amp;",""สระแก้ว!Q397"")+IMPORTRANGE(""https://docs.google.com/spreadsheets/d/1xmPlrr1QbdSIKvl1dWUl9K4PjAfSL9oeMr_37QVzcxc/edit?usp=sharing"",""สระบุรี!Q397"")+IMPORTRANGE(""https://docs.google.com/spreadsheets/d/1j51vR6CYVGhABJpv6tkstgok82RLpXieLzW1yOY5rHw/edi"&amp;"t?usp=sharing"",""สิงห์บุรี!Q397"")+IMPORTRANGE(""https://docs.google.com/spreadsheets/d/1H1EalTWKUSzO4Z1-1CwzoDUaVffgrThEBe2sl74kKG0/edit?usp=sharing"",""สุพรรณบุรี!Q397"")+IMPORTRANGE(""https://docs.google.com/spreadsheets/d/1BmIruG_sIrJLYao_Pdr7zVArWsf"&amp;"oBt2692TMi6x_854/edit?usp=sharing"",""อ่างทอง!Q397"")"),0)</f>
        <v>0</v>
      </c>
      <c r="R397" s="72">
        <f ca="1">IFERROR(__xludf.DUMMYFUNCTION("IMPORTRANGE(""https://docs.google.com/spreadsheets/d/13wPX838HrBrQMCywv1BsuMkt4PEKTChp52zj44s2izQ/edit?usp=sharing"",""กาญจนบุรี!R397"")+IMPORTRANGE(""https://docs.google.com/spreadsheets/d/1ddFKvqj1W1NEiWytbGlB1zMx_ykJDVtmfEQ-6-lIUBA/edit?usp=sharing"","&amp;"""จันทบุรี!R397"")+IMPORTRANGE(""https://docs.google.com/spreadsheets/d/1T1PQvRODqOBZk8BRht_U031fIS1beLA0Ub2CEytj2q0/edit?usp=sharing"",""ฉะเชิงเทรา!R397"")+IMPORTRANGE(""https://docs.google.com/spreadsheets/d/11tr1B-Bhyr79v2bkwVh5h_fR-PStkgjlZtkrZpYurG0/"&amp;"edit?usp=sharing"",""ชลบุรี!R397"")+IMPORTRANGE(""https://docs.google.com/spreadsheets/d/1hh-FVnSX0vozXhGluamEcS54Dw9_zqW0N7qJUWgJ0Sw/edit?usp=sharing"",""ชัยนาท!R397"")+IMPORTRANGE(""https://docs.google.com/spreadsheets/d/1jkqa6GXxSacMcY1eN8AHjMNJ_7dDXMJ"&amp;"VRLDlaFSOdPM/edit?usp=sharing"",""ตราด!R397"")+IMPORTRANGE(""https://docs.google.com/spreadsheets/d/18hSgUJ3VwClqi_qtULmmW3cLr0oe3OKaSYoKzdpTsYQ/edit?usp=sharing"",""นครนายก!R397"")+IMPORTRANGE(""https://docs.google.com/spreadsheets/d/1YTZo6WM2dQ6Ix6FSdnL"&amp;"5P7uVnVKu40sxZu975tgG10E/edit?usp=sharing"",""นครปฐม!R397"")+IMPORTRANGE(""https://docs.google.com/spreadsheets/d/1OYoGg4WDg5RIzwGeB10padOxJF9E_Vljuvvct_M7RDo/edit?usp=sharing"",""ปทุมธานี!R397"")+IMPORTRANGE(""https://docs.google.com/spreadsheets/d/1GbCI"&amp;"E4D4wk9FUozzqk7SxfDMxDVBwVmI5zcaVUSzKAc/edit?usp=sharing"",""ประจวบคีรีขันธ์!R397"")+IMPORTRANGE(""https://docs.google.com/spreadsheets/d/1vVf6wykvW_lAyu7Yo9L4hUTqHqIeP_qcVuxCtosJEbg/edit?usp=sharing"",""ปราจีนบุรี!R397"")+IMPORTRANGE(""https://docs.googl"&amp;"e.com/spreadsheets/d/1BIDqLLg5jk3v59G8NlR8rk5xfQDKne0sAvZHSj7TI6I/edit?usp=sharing"",""พระนครศรีอยุธยา!R397"")+IMPORTRANGE(""https://docs.google.com/spreadsheets/d/1YXvxf8Yu6_rV4hTBrwMqAcAnv6DfhUxh5emyM3CJp_w/edit?usp=sharing"",""เพชรบุรี!R397"")+IMPORTRA"&amp;"NGE(""https://docs.google.com/spreadsheets/d/19KBlQQs7uwvsao6t2n-KvW3Ax8J8uRRfZPq1zPbXgKc/edit?usp=sharing"",""ระยอง!R397"")+IMPORTRANGE(""https://docs.google.com/spreadsheets/d/1jQ6P4QcrGM89YfqcC_PxOHGCMq5ezhucwJd8ci-NHng/edit?usp=sharing"",""ราชบุรี!R39"&amp;"7"")+IMPORTRANGE(""https://docs.google.com/spreadsheets/d/1lufeA2cfFqM-elVq2hznhDzC6Pr7wkJ9ZG_sYNGCMCU/edit?usp=sharing"",""ลพบุรี!R397"")+IMPORTRANGE(""https://docs.google.com/spreadsheets/d/10oOiF7loTyfsTkbd4MpaIm0HQ9SwB7IYHdIUvt-U1Uc/edit?usp=sharing"""&amp;",""สระแก้ว!R397"")+IMPORTRANGE(""https://docs.google.com/spreadsheets/d/1xmPlrr1QbdSIKvl1dWUl9K4PjAfSL9oeMr_37QVzcxc/edit?usp=sharing"",""สระบุรี!R397"")+IMPORTRANGE(""https://docs.google.com/spreadsheets/d/1j51vR6CYVGhABJpv6tkstgok82RLpXieLzW1yOY5rHw/edi"&amp;"t?usp=sharing"",""สิงห์บุรี!R397"")+IMPORTRANGE(""https://docs.google.com/spreadsheets/d/1H1EalTWKUSzO4Z1-1CwzoDUaVffgrThEBe2sl74kKG0/edit?usp=sharing"",""สุพรรณบุรี!R397"")+IMPORTRANGE(""https://docs.google.com/spreadsheets/d/1BmIruG_sIrJLYao_Pdr7zVArWsf"&amp;"oBt2692TMi6x_854/edit?usp=sharing"",""อ่างทอง!R397"")"),0)</f>
        <v>0</v>
      </c>
      <c r="S397" s="72">
        <f ca="1">IFERROR(__xludf.DUMMYFUNCTION("IMPORTRANGE(""https://docs.google.com/spreadsheets/d/13wPX838HrBrQMCywv1BsuMkt4PEKTChp52zj44s2izQ/edit?usp=sharing"",""กาญจนบุรี!S397"")+IMPORTRANGE(""https://docs.google.com/spreadsheets/d/1ddFKvqj1W1NEiWytbGlB1zMx_ykJDVtmfEQ-6-lIUBA/edit?usp=sharing"","&amp;"""จันทบุรี!S397"")+IMPORTRANGE(""https://docs.google.com/spreadsheets/d/1T1PQvRODqOBZk8BRht_U031fIS1beLA0Ub2CEytj2q0/edit?usp=sharing"",""ฉะเชิงเทรา!S397"")+IMPORTRANGE(""https://docs.google.com/spreadsheets/d/11tr1B-Bhyr79v2bkwVh5h_fR-PStkgjlZtkrZpYurG0/"&amp;"edit?usp=sharing"",""ชลบุรี!S397"")+IMPORTRANGE(""https://docs.google.com/spreadsheets/d/1hh-FVnSX0vozXhGluamEcS54Dw9_zqW0N7qJUWgJ0Sw/edit?usp=sharing"",""ชัยนาท!S397"")+IMPORTRANGE(""https://docs.google.com/spreadsheets/d/1jkqa6GXxSacMcY1eN8AHjMNJ_7dDXMJ"&amp;"VRLDlaFSOdPM/edit?usp=sharing"",""ตราด!S397"")+IMPORTRANGE(""https://docs.google.com/spreadsheets/d/18hSgUJ3VwClqi_qtULmmW3cLr0oe3OKaSYoKzdpTsYQ/edit?usp=sharing"",""นครนายก!S397"")+IMPORTRANGE(""https://docs.google.com/spreadsheets/d/1YTZo6WM2dQ6Ix6FSdnL"&amp;"5P7uVnVKu40sxZu975tgG10E/edit?usp=sharing"",""นครปฐม!S397"")+IMPORTRANGE(""https://docs.google.com/spreadsheets/d/1OYoGg4WDg5RIzwGeB10padOxJF9E_Vljuvvct_M7RDo/edit?usp=sharing"",""ปทุมธานี!S397"")+IMPORTRANGE(""https://docs.google.com/spreadsheets/d/1GbCI"&amp;"E4D4wk9FUozzqk7SxfDMxDVBwVmI5zcaVUSzKAc/edit?usp=sharing"",""ประจวบคีรีขันธ์!S397"")+IMPORTRANGE(""https://docs.google.com/spreadsheets/d/1vVf6wykvW_lAyu7Yo9L4hUTqHqIeP_qcVuxCtosJEbg/edit?usp=sharing"",""ปราจีนบุรี!S397"")+IMPORTRANGE(""https://docs.googl"&amp;"e.com/spreadsheets/d/1BIDqLLg5jk3v59G8NlR8rk5xfQDKne0sAvZHSj7TI6I/edit?usp=sharing"",""พระนครศรีอยุธยา!S397"")+IMPORTRANGE(""https://docs.google.com/spreadsheets/d/1YXvxf8Yu6_rV4hTBrwMqAcAnv6DfhUxh5emyM3CJp_w/edit?usp=sharing"",""เพชรบุรี!S397"")+IMPORTRA"&amp;"NGE(""https://docs.google.com/spreadsheets/d/19KBlQQs7uwvsao6t2n-KvW3Ax8J8uRRfZPq1zPbXgKc/edit?usp=sharing"",""ระยอง!S397"")+IMPORTRANGE(""https://docs.google.com/spreadsheets/d/1jQ6P4QcrGM89YfqcC_PxOHGCMq5ezhucwJd8ci-NHng/edit?usp=sharing"",""ราชบุรี!S39"&amp;"7"")+IMPORTRANGE(""https://docs.google.com/spreadsheets/d/1lufeA2cfFqM-elVq2hznhDzC6Pr7wkJ9ZG_sYNGCMCU/edit?usp=sharing"",""ลพบุรี!S397"")+IMPORTRANGE(""https://docs.google.com/spreadsheets/d/10oOiF7loTyfsTkbd4MpaIm0HQ9SwB7IYHdIUvt-U1Uc/edit?usp=sharing"""&amp;",""สระแก้ว!S397"")+IMPORTRANGE(""https://docs.google.com/spreadsheets/d/1xmPlrr1QbdSIKvl1dWUl9K4PjAfSL9oeMr_37QVzcxc/edit?usp=sharing"",""สระบุรี!S397"")+IMPORTRANGE(""https://docs.google.com/spreadsheets/d/1j51vR6CYVGhABJpv6tkstgok82RLpXieLzW1yOY5rHw/edi"&amp;"t?usp=sharing"",""สิงห์บุรี!S397"")+IMPORTRANGE(""https://docs.google.com/spreadsheets/d/1H1EalTWKUSzO4Z1-1CwzoDUaVffgrThEBe2sl74kKG0/edit?usp=sharing"",""สุพรรณบุรี!S397"")+IMPORTRANGE(""https://docs.google.com/spreadsheets/d/1BmIruG_sIrJLYao_Pdr7zVArWsf"&amp;"oBt2692TMi6x_854/edit?usp=sharing"",""อ่างทอง!S397"")"),0)</f>
        <v>0</v>
      </c>
      <c r="T397" s="130">
        <f t="shared" ca="1" si="294"/>
        <v>0</v>
      </c>
      <c r="U397" s="130">
        <f t="shared" ca="1" si="295"/>
        <v>0</v>
      </c>
    </row>
    <row r="398" spans="1:21" ht="18.75" hidden="1" x14ac:dyDescent="0.25">
      <c r="A398" s="255"/>
      <c r="B398" s="267"/>
      <c r="C398" s="267"/>
      <c r="D398" s="27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 t="shared" ref="L398:N398" ca="1" si="302">L399+L400</f>
        <v>0</v>
      </c>
      <c r="M398" s="72">
        <f t="shared" ca="1" si="302"/>
        <v>0</v>
      </c>
      <c r="N398" s="72">
        <f t="shared" ca="1" si="302"/>
        <v>0</v>
      </c>
      <c r="O398" s="72">
        <f t="shared" ca="1" si="291"/>
        <v>0</v>
      </c>
      <c r="P398" s="72">
        <f t="shared" ca="1" si="292"/>
        <v>0</v>
      </c>
      <c r="Q398" s="129">
        <f t="shared" ref="Q398:S398" ca="1" si="303">Q399+Q400</f>
        <v>0</v>
      </c>
      <c r="R398" s="130">
        <f t="shared" ca="1" si="303"/>
        <v>0</v>
      </c>
      <c r="S398" s="130">
        <f t="shared" ca="1" si="303"/>
        <v>0</v>
      </c>
      <c r="T398" s="130">
        <f t="shared" ca="1" si="294"/>
        <v>0</v>
      </c>
      <c r="U398" s="130">
        <f t="shared" ca="1" si="295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f ca="1">IFERROR(__xludf.DUMMYFUNCTION("IMPORTRANGE(""https://docs.google.com/spreadsheets/d/13wPX838HrBrQMCywv1BsuMkt4PEKTChp52zj44s2izQ/edit?usp=sharing"",""กาญจนบุรี!L399"")+IMPORTRANGE(""https://docs.google.com/spreadsheets/d/1ddFKvqj1W1NEiWytbGlB1zMx_ykJDVtmfEQ-6-lIUBA/edit?usp=sharing"","&amp;"""จันทบุรี!L399"")+IMPORTRANGE(""https://docs.google.com/spreadsheets/d/1T1PQvRODqOBZk8BRht_U031fIS1beLA0Ub2CEytj2q0/edit?usp=sharing"",""ฉะเชิงเทรา!L399"")+IMPORTRANGE(""https://docs.google.com/spreadsheets/d/11tr1B-Bhyr79v2bkwVh5h_fR-PStkgjlZtkrZpYurG0/"&amp;"edit?usp=sharing"",""ชลบุรี!L399"")+IMPORTRANGE(""https://docs.google.com/spreadsheets/d/1hh-FVnSX0vozXhGluamEcS54Dw9_zqW0N7qJUWgJ0Sw/edit?usp=sharing"",""ชัยนาท!L399"")+IMPORTRANGE(""https://docs.google.com/spreadsheets/d/1jkqa6GXxSacMcY1eN8AHjMNJ_7dDXMJ"&amp;"VRLDlaFSOdPM/edit?usp=sharing"",""ตราด!L399"")+IMPORTRANGE(""https://docs.google.com/spreadsheets/d/18hSgUJ3VwClqi_qtULmmW3cLr0oe3OKaSYoKzdpTsYQ/edit?usp=sharing"",""นครนายก!L399"")+IMPORTRANGE(""https://docs.google.com/spreadsheets/d/1YTZo6WM2dQ6Ix6FSdnL"&amp;"5P7uVnVKu40sxZu975tgG10E/edit?usp=sharing"",""นครปฐม!L399"")+IMPORTRANGE(""https://docs.google.com/spreadsheets/d/1OYoGg4WDg5RIzwGeB10padOxJF9E_Vljuvvct_M7RDo/edit?usp=sharing"",""ปทุมธานี!L399"")+IMPORTRANGE(""https://docs.google.com/spreadsheets/d/1GbCI"&amp;"E4D4wk9FUozzqk7SxfDMxDVBwVmI5zcaVUSzKAc/edit?usp=sharing"",""ประจวบคีรีขันธ์!L399"")+IMPORTRANGE(""https://docs.google.com/spreadsheets/d/1vVf6wykvW_lAyu7Yo9L4hUTqHqIeP_qcVuxCtosJEbg/edit?usp=sharing"",""ปราจีนบุรี!L399"")+IMPORTRANGE(""https://docs.googl"&amp;"e.com/spreadsheets/d/1BIDqLLg5jk3v59G8NlR8rk5xfQDKne0sAvZHSj7TI6I/edit?usp=sharing"",""พระนครศรีอยุธยา!L399"")+IMPORTRANGE(""https://docs.google.com/spreadsheets/d/1YXvxf8Yu6_rV4hTBrwMqAcAnv6DfhUxh5emyM3CJp_w/edit?usp=sharing"",""เพชรบุรี!L399"")+IMPORTRA"&amp;"NGE(""https://docs.google.com/spreadsheets/d/19KBlQQs7uwvsao6t2n-KvW3Ax8J8uRRfZPq1zPbXgKc/edit?usp=sharing"",""ระยอง!L399"")+IMPORTRANGE(""https://docs.google.com/spreadsheets/d/1jQ6P4QcrGM89YfqcC_PxOHGCMq5ezhucwJd8ci-NHng/edit?usp=sharing"",""ราชบุรี!L39"&amp;"9"")+IMPORTRANGE(""https://docs.google.com/spreadsheets/d/1lufeA2cfFqM-elVq2hznhDzC6Pr7wkJ9ZG_sYNGCMCU/edit?usp=sharing"",""ลพบุรี!L399"")+IMPORTRANGE(""https://docs.google.com/spreadsheets/d/10oOiF7loTyfsTkbd4MpaIm0HQ9SwB7IYHdIUvt-U1Uc/edit?usp=sharing"""&amp;",""สระแก้ว!L399"")+IMPORTRANGE(""https://docs.google.com/spreadsheets/d/1xmPlrr1QbdSIKvl1dWUl9K4PjAfSL9oeMr_37QVzcxc/edit?usp=sharing"",""สระบุรี!L399"")+IMPORTRANGE(""https://docs.google.com/spreadsheets/d/1j51vR6CYVGhABJpv6tkstgok82RLpXieLzW1yOY5rHw/edi"&amp;"t?usp=sharing"",""สิงห์บุรี!L399"")+IMPORTRANGE(""https://docs.google.com/spreadsheets/d/1H1EalTWKUSzO4Z1-1CwzoDUaVffgrThEBe2sl74kKG0/edit?usp=sharing"",""สุพรรณบุรี!L399"")+IMPORTRANGE(""https://docs.google.com/spreadsheets/d/1BmIruG_sIrJLYao_Pdr7zVArWsf"&amp;"oBt2692TMi6x_854/edit?usp=sharing"",""อ่างทอง!L399"")"),0)</f>
        <v>0</v>
      </c>
      <c r="M399" s="75">
        <f ca="1">IFERROR(__xludf.DUMMYFUNCTION("IMPORTRANGE(""https://docs.google.com/spreadsheets/d/13wPX838HrBrQMCywv1BsuMkt4PEKTChp52zj44s2izQ/edit?usp=sharing"",""กาญจนบุรี!M399"")+IMPORTRANGE(""https://docs.google.com/spreadsheets/d/1ddFKvqj1W1NEiWytbGlB1zMx_ykJDVtmfEQ-6-lIUBA/edit?usp=sharing"","&amp;"""จันทบุรี!M399"")+IMPORTRANGE(""https://docs.google.com/spreadsheets/d/1T1PQvRODqOBZk8BRht_U031fIS1beLA0Ub2CEytj2q0/edit?usp=sharing"",""ฉะเชิงเทรา!M399"")+IMPORTRANGE(""https://docs.google.com/spreadsheets/d/11tr1B-Bhyr79v2bkwVh5h_fR-PStkgjlZtkrZpYurG0/"&amp;"edit?usp=sharing"",""ชลบุรี!M399"")+IMPORTRANGE(""https://docs.google.com/spreadsheets/d/1hh-FVnSX0vozXhGluamEcS54Dw9_zqW0N7qJUWgJ0Sw/edit?usp=sharing"",""ชัยนาท!M399"")+IMPORTRANGE(""https://docs.google.com/spreadsheets/d/1jkqa6GXxSacMcY1eN8AHjMNJ_7dDXMJ"&amp;"VRLDlaFSOdPM/edit?usp=sharing"",""ตราด!M399"")+IMPORTRANGE(""https://docs.google.com/spreadsheets/d/18hSgUJ3VwClqi_qtULmmW3cLr0oe3OKaSYoKzdpTsYQ/edit?usp=sharing"",""นครนายก!M399"")+IMPORTRANGE(""https://docs.google.com/spreadsheets/d/1YTZo6WM2dQ6Ix6FSdnL"&amp;"5P7uVnVKu40sxZu975tgG10E/edit?usp=sharing"",""นครปฐม!M399"")+IMPORTRANGE(""https://docs.google.com/spreadsheets/d/1OYoGg4WDg5RIzwGeB10padOxJF9E_Vljuvvct_M7RDo/edit?usp=sharing"",""ปทุมธานี!M399"")+IMPORTRANGE(""https://docs.google.com/spreadsheets/d/1GbCI"&amp;"E4D4wk9FUozzqk7SxfDMxDVBwVmI5zcaVUSzKAc/edit?usp=sharing"",""ประจวบคีรีขันธ์!M399"")+IMPORTRANGE(""https://docs.google.com/spreadsheets/d/1vVf6wykvW_lAyu7Yo9L4hUTqHqIeP_qcVuxCtosJEbg/edit?usp=sharing"",""ปราจีนบุรี!M399"")+IMPORTRANGE(""https://docs.googl"&amp;"e.com/spreadsheets/d/1BIDqLLg5jk3v59G8NlR8rk5xfQDKne0sAvZHSj7TI6I/edit?usp=sharing"",""พระนครศรีอยุธยา!M399"")+IMPORTRANGE(""https://docs.google.com/spreadsheets/d/1YXvxf8Yu6_rV4hTBrwMqAcAnv6DfhUxh5emyM3CJp_w/edit?usp=sharing"",""เพชรบุรี!M399"")+IMPORTRA"&amp;"NGE(""https://docs.google.com/spreadsheets/d/19KBlQQs7uwvsao6t2n-KvW3Ax8J8uRRfZPq1zPbXgKc/edit?usp=sharing"",""ระยอง!M399"")+IMPORTRANGE(""https://docs.google.com/spreadsheets/d/1jQ6P4QcrGM89YfqcC_PxOHGCMq5ezhucwJd8ci-NHng/edit?usp=sharing"",""ราชบุรี!M39"&amp;"9"")+IMPORTRANGE(""https://docs.google.com/spreadsheets/d/1lufeA2cfFqM-elVq2hznhDzC6Pr7wkJ9ZG_sYNGCMCU/edit?usp=sharing"",""ลพบุรี!M399"")+IMPORTRANGE(""https://docs.google.com/spreadsheets/d/10oOiF7loTyfsTkbd4MpaIm0HQ9SwB7IYHdIUvt-U1Uc/edit?usp=sharing"""&amp;",""สระแก้ว!M399"")+IMPORTRANGE(""https://docs.google.com/spreadsheets/d/1xmPlrr1QbdSIKvl1dWUl9K4PjAfSL9oeMr_37QVzcxc/edit?usp=sharing"",""สระบุรี!M399"")+IMPORTRANGE(""https://docs.google.com/spreadsheets/d/1j51vR6CYVGhABJpv6tkstgok82RLpXieLzW1yOY5rHw/edi"&amp;"t?usp=sharing"",""สิงห์บุรี!M399"")+IMPORTRANGE(""https://docs.google.com/spreadsheets/d/1H1EalTWKUSzO4Z1-1CwzoDUaVffgrThEBe2sl74kKG0/edit?usp=sharing"",""สุพรรณบุรี!M399"")+IMPORTRANGE(""https://docs.google.com/spreadsheets/d/1BmIruG_sIrJLYao_Pdr7zVArWsf"&amp;"oBt2692TMi6x_854/edit?usp=sharing"",""อ่างทอง!M399"")"),0)</f>
        <v>0</v>
      </c>
      <c r="N399" s="75">
        <f ca="1">IFERROR(__xludf.DUMMYFUNCTION("IMPORTRANGE(""https://docs.google.com/spreadsheets/d/13wPX838HrBrQMCywv1BsuMkt4PEKTChp52zj44s2izQ/edit?usp=sharing"",""กาญจนบุรี!N399"")+IMPORTRANGE(""https://docs.google.com/spreadsheets/d/1ddFKvqj1W1NEiWytbGlB1zMx_ykJDVtmfEQ-6-lIUBA/edit?usp=sharing"","&amp;"""จันทบุรี!N399"")+IMPORTRANGE(""https://docs.google.com/spreadsheets/d/1T1PQvRODqOBZk8BRht_U031fIS1beLA0Ub2CEytj2q0/edit?usp=sharing"",""ฉะเชิงเทรา!N399"")+IMPORTRANGE(""https://docs.google.com/spreadsheets/d/11tr1B-Bhyr79v2bkwVh5h_fR-PStkgjlZtkrZpYurG0/"&amp;"edit?usp=sharing"",""ชลบุรี!N399"")+IMPORTRANGE(""https://docs.google.com/spreadsheets/d/1hh-FVnSX0vozXhGluamEcS54Dw9_zqW0N7qJUWgJ0Sw/edit?usp=sharing"",""ชัยนาท!N399"")+IMPORTRANGE(""https://docs.google.com/spreadsheets/d/1jkqa6GXxSacMcY1eN8AHjMNJ_7dDXMJ"&amp;"VRLDlaFSOdPM/edit?usp=sharing"",""ตราด!N399"")+IMPORTRANGE(""https://docs.google.com/spreadsheets/d/18hSgUJ3VwClqi_qtULmmW3cLr0oe3OKaSYoKzdpTsYQ/edit?usp=sharing"",""นครนายก!N399"")+IMPORTRANGE(""https://docs.google.com/spreadsheets/d/1YTZo6WM2dQ6Ix6FSdnL"&amp;"5P7uVnVKu40sxZu975tgG10E/edit?usp=sharing"",""นครปฐม!N399"")+IMPORTRANGE(""https://docs.google.com/spreadsheets/d/1OYoGg4WDg5RIzwGeB10padOxJF9E_Vljuvvct_M7RDo/edit?usp=sharing"",""ปทุมธานี!N399"")+IMPORTRANGE(""https://docs.google.com/spreadsheets/d/1GbCI"&amp;"E4D4wk9FUozzqk7SxfDMxDVBwVmI5zcaVUSzKAc/edit?usp=sharing"",""ประจวบคีรีขันธ์!N399"")+IMPORTRANGE(""https://docs.google.com/spreadsheets/d/1vVf6wykvW_lAyu7Yo9L4hUTqHqIeP_qcVuxCtosJEbg/edit?usp=sharing"",""ปราจีนบุรี!N399"")+IMPORTRANGE(""https://docs.googl"&amp;"e.com/spreadsheets/d/1BIDqLLg5jk3v59G8NlR8rk5xfQDKne0sAvZHSj7TI6I/edit?usp=sharing"",""พระนครศรีอยุธยา!N399"")+IMPORTRANGE(""https://docs.google.com/spreadsheets/d/1YXvxf8Yu6_rV4hTBrwMqAcAnv6DfhUxh5emyM3CJp_w/edit?usp=sharing"",""เพชรบุรี!N399"")+IMPORTRA"&amp;"NGE(""https://docs.google.com/spreadsheets/d/19KBlQQs7uwvsao6t2n-KvW3Ax8J8uRRfZPq1zPbXgKc/edit?usp=sharing"",""ระยอง!N399"")+IMPORTRANGE(""https://docs.google.com/spreadsheets/d/1jQ6P4QcrGM89YfqcC_PxOHGCMq5ezhucwJd8ci-NHng/edit?usp=sharing"",""ราชบุรี!N39"&amp;"9"")+IMPORTRANGE(""https://docs.google.com/spreadsheets/d/1lufeA2cfFqM-elVq2hznhDzC6Pr7wkJ9ZG_sYNGCMCU/edit?usp=sharing"",""ลพบุรี!N399"")+IMPORTRANGE(""https://docs.google.com/spreadsheets/d/10oOiF7loTyfsTkbd4MpaIm0HQ9SwB7IYHdIUvt-U1Uc/edit?usp=sharing"""&amp;",""สระแก้ว!N399"")+IMPORTRANGE(""https://docs.google.com/spreadsheets/d/1xmPlrr1QbdSIKvl1dWUl9K4PjAfSL9oeMr_37QVzcxc/edit?usp=sharing"",""สระบุรี!N399"")+IMPORTRANGE(""https://docs.google.com/spreadsheets/d/1j51vR6CYVGhABJpv6tkstgok82RLpXieLzW1yOY5rHw/edi"&amp;"t?usp=sharing"",""สิงห์บุรี!N399"")+IMPORTRANGE(""https://docs.google.com/spreadsheets/d/1H1EalTWKUSzO4Z1-1CwzoDUaVffgrThEBe2sl74kKG0/edit?usp=sharing"",""สุพรรณบุรี!N399"")+IMPORTRANGE(""https://docs.google.com/spreadsheets/d/1BmIruG_sIrJLYao_Pdr7zVArWsf"&amp;"oBt2692TMi6x_854/edit?usp=sharing"",""อ่างทอง!N399"")"),0)</f>
        <v>0</v>
      </c>
      <c r="O399" s="75">
        <f t="shared" ca="1" si="291"/>
        <v>0</v>
      </c>
      <c r="P399" s="75">
        <f t="shared" ca="1" si="292"/>
        <v>0</v>
      </c>
      <c r="Q399" s="74">
        <f ca="1">IFERROR(__xludf.DUMMYFUNCTION("IMPORTRANGE(""https://docs.google.com/spreadsheets/d/13wPX838HrBrQMCywv1BsuMkt4PEKTChp52zj44s2izQ/edit?usp=sharing"",""กาญจนบุรี!Q399"")+IMPORTRANGE(""https://docs.google.com/spreadsheets/d/1ddFKvqj1W1NEiWytbGlB1zMx_ykJDVtmfEQ-6-lIUBA/edit?usp=sharing"","&amp;"""จันทบุรี!Q399"")+IMPORTRANGE(""https://docs.google.com/spreadsheets/d/1T1PQvRODqOBZk8BRht_U031fIS1beLA0Ub2CEytj2q0/edit?usp=sharing"",""ฉะเชิงเทรา!Q399"")+IMPORTRANGE(""https://docs.google.com/spreadsheets/d/11tr1B-Bhyr79v2bkwVh5h_fR-PStkgjlZtkrZpYurG0/"&amp;"edit?usp=sharing"",""ชลบุรี!Q399"")+IMPORTRANGE(""https://docs.google.com/spreadsheets/d/1hh-FVnSX0vozXhGluamEcS54Dw9_zqW0N7qJUWgJ0Sw/edit?usp=sharing"",""ชัยนาท!Q399"")+IMPORTRANGE(""https://docs.google.com/spreadsheets/d/1jkqa6GXxSacMcY1eN8AHjMNJ_7dDXMJ"&amp;"VRLDlaFSOdPM/edit?usp=sharing"",""ตราด!Q399"")+IMPORTRANGE(""https://docs.google.com/spreadsheets/d/18hSgUJ3VwClqi_qtULmmW3cLr0oe3OKaSYoKzdpTsYQ/edit?usp=sharing"",""นครนายก!Q399"")+IMPORTRANGE(""https://docs.google.com/spreadsheets/d/1YTZo6WM2dQ6Ix6FSdnL"&amp;"5P7uVnVKu40sxZu975tgG10E/edit?usp=sharing"",""นครปฐม!Q399"")+IMPORTRANGE(""https://docs.google.com/spreadsheets/d/1OYoGg4WDg5RIzwGeB10padOxJF9E_Vljuvvct_M7RDo/edit?usp=sharing"",""ปทุมธานี!Q399"")+IMPORTRANGE(""https://docs.google.com/spreadsheets/d/1GbCI"&amp;"E4D4wk9FUozzqk7SxfDMxDVBwVmI5zcaVUSzKAc/edit?usp=sharing"",""ประจวบคีรีขันธ์!Q399"")+IMPORTRANGE(""https://docs.google.com/spreadsheets/d/1vVf6wykvW_lAyu7Yo9L4hUTqHqIeP_qcVuxCtosJEbg/edit?usp=sharing"",""ปราจีนบุรี!Q399"")+IMPORTRANGE(""https://docs.googl"&amp;"e.com/spreadsheets/d/1BIDqLLg5jk3v59G8NlR8rk5xfQDKne0sAvZHSj7TI6I/edit?usp=sharing"",""พระนครศรีอยุธยา!Q399"")+IMPORTRANGE(""https://docs.google.com/spreadsheets/d/1YXvxf8Yu6_rV4hTBrwMqAcAnv6DfhUxh5emyM3CJp_w/edit?usp=sharing"",""เพชรบุรี!Q399"")+IMPORTRA"&amp;"NGE(""https://docs.google.com/spreadsheets/d/19KBlQQs7uwvsao6t2n-KvW3Ax8J8uRRfZPq1zPbXgKc/edit?usp=sharing"",""ระยอง!Q399"")+IMPORTRANGE(""https://docs.google.com/spreadsheets/d/1jQ6P4QcrGM89YfqcC_PxOHGCMq5ezhucwJd8ci-NHng/edit?usp=sharing"",""ราชบุรี!Q39"&amp;"9"")+IMPORTRANGE(""https://docs.google.com/spreadsheets/d/1lufeA2cfFqM-elVq2hznhDzC6Pr7wkJ9ZG_sYNGCMCU/edit?usp=sharing"",""ลพบุรี!Q399"")+IMPORTRANGE(""https://docs.google.com/spreadsheets/d/10oOiF7loTyfsTkbd4MpaIm0HQ9SwB7IYHdIUvt-U1Uc/edit?usp=sharing"""&amp;",""สระแก้ว!Q399"")+IMPORTRANGE(""https://docs.google.com/spreadsheets/d/1xmPlrr1QbdSIKvl1dWUl9K4PjAfSL9oeMr_37QVzcxc/edit?usp=sharing"",""สระบุรี!Q399"")+IMPORTRANGE(""https://docs.google.com/spreadsheets/d/1j51vR6CYVGhABJpv6tkstgok82RLpXieLzW1yOY5rHw/edi"&amp;"t?usp=sharing"",""สิงห์บุรี!Q399"")+IMPORTRANGE(""https://docs.google.com/spreadsheets/d/1H1EalTWKUSzO4Z1-1CwzoDUaVffgrThEBe2sl74kKG0/edit?usp=sharing"",""สุพรรณบุรี!Q399"")+IMPORTRANGE(""https://docs.google.com/spreadsheets/d/1BmIruG_sIrJLYao_Pdr7zVArWsf"&amp;"oBt2692TMi6x_854/edit?usp=sharing"",""อ่างทอง!Q399"")"),0)</f>
        <v>0</v>
      </c>
      <c r="R399" s="75">
        <f ca="1">IFERROR(__xludf.DUMMYFUNCTION("IMPORTRANGE(""https://docs.google.com/spreadsheets/d/13wPX838HrBrQMCywv1BsuMkt4PEKTChp52zj44s2izQ/edit?usp=sharing"",""กาญจนบุรี!R399"")+IMPORTRANGE(""https://docs.google.com/spreadsheets/d/1ddFKvqj1W1NEiWytbGlB1zMx_ykJDVtmfEQ-6-lIUBA/edit?usp=sharing"","&amp;"""จันทบุรี!R399"")+IMPORTRANGE(""https://docs.google.com/spreadsheets/d/1T1PQvRODqOBZk8BRht_U031fIS1beLA0Ub2CEytj2q0/edit?usp=sharing"",""ฉะเชิงเทรา!R399"")+IMPORTRANGE(""https://docs.google.com/spreadsheets/d/11tr1B-Bhyr79v2bkwVh5h_fR-PStkgjlZtkrZpYurG0/"&amp;"edit?usp=sharing"",""ชลบุรี!R399"")+IMPORTRANGE(""https://docs.google.com/spreadsheets/d/1hh-FVnSX0vozXhGluamEcS54Dw9_zqW0N7qJUWgJ0Sw/edit?usp=sharing"",""ชัยนาท!R399"")+IMPORTRANGE(""https://docs.google.com/spreadsheets/d/1jkqa6GXxSacMcY1eN8AHjMNJ_7dDXMJ"&amp;"VRLDlaFSOdPM/edit?usp=sharing"",""ตราด!R399"")+IMPORTRANGE(""https://docs.google.com/spreadsheets/d/18hSgUJ3VwClqi_qtULmmW3cLr0oe3OKaSYoKzdpTsYQ/edit?usp=sharing"",""นครนายก!R399"")+IMPORTRANGE(""https://docs.google.com/spreadsheets/d/1YTZo6WM2dQ6Ix6FSdnL"&amp;"5P7uVnVKu40sxZu975tgG10E/edit?usp=sharing"",""นครปฐม!R399"")+IMPORTRANGE(""https://docs.google.com/spreadsheets/d/1OYoGg4WDg5RIzwGeB10padOxJF9E_Vljuvvct_M7RDo/edit?usp=sharing"",""ปทุมธานี!R399"")+IMPORTRANGE(""https://docs.google.com/spreadsheets/d/1GbCI"&amp;"E4D4wk9FUozzqk7SxfDMxDVBwVmI5zcaVUSzKAc/edit?usp=sharing"",""ประจวบคีรีขันธ์!R399"")+IMPORTRANGE(""https://docs.google.com/spreadsheets/d/1vVf6wykvW_lAyu7Yo9L4hUTqHqIeP_qcVuxCtosJEbg/edit?usp=sharing"",""ปราจีนบุรี!R399"")+IMPORTRANGE(""https://docs.googl"&amp;"e.com/spreadsheets/d/1BIDqLLg5jk3v59G8NlR8rk5xfQDKne0sAvZHSj7TI6I/edit?usp=sharing"",""พระนครศรีอยุธยา!R399"")+IMPORTRANGE(""https://docs.google.com/spreadsheets/d/1YXvxf8Yu6_rV4hTBrwMqAcAnv6DfhUxh5emyM3CJp_w/edit?usp=sharing"",""เพชรบุรี!R399"")+IMPORTRA"&amp;"NGE(""https://docs.google.com/spreadsheets/d/19KBlQQs7uwvsao6t2n-KvW3Ax8J8uRRfZPq1zPbXgKc/edit?usp=sharing"",""ระยอง!R399"")+IMPORTRANGE(""https://docs.google.com/spreadsheets/d/1jQ6P4QcrGM89YfqcC_PxOHGCMq5ezhucwJd8ci-NHng/edit?usp=sharing"",""ราชบุรี!R39"&amp;"9"")+IMPORTRANGE(""https://docs.google.com/spreadsheets/d/1lufeA2cfFqM-elVq2hznhDzC6Pr7wkJ9ZG_sYNGCMCU/edit?usp=sharing"",""ลพบุรี!R399"")+IMPORTRANGE(""https://docs.google.com/spreadsheets/d/10oOiF7loTyfsTkbd4MpaIm0HQ9SwB7IYHdIUvt-U1Uc/edit?usp=sharing"""&amp;",""สระแก้ว!R399"")+IMPORTRANGE(""https://docs.google.com/spreadsheets/d/1xmPlrr1QbdSIKvl1dWUl9K4PjAfSL9oeMr_37QVzcxc/edit?usp=sharing"",""สระบุรี!R399"")+IMPORTRANGE(""https://docs.google.com/spreadsheets/d/1j51vR6CYVGhABJpv6tkstgok82RLpXieLzW1yOY5rHw/edi"&amp;"t?usp=sharing"",""สิงห์บุรี!R399"")+IMPORTRANGE(""https://docs.google.com/spreadsheets/d/1H1EalTWKUSzO4Z1-1CwzoDUaVffgrThEBe2sl74kKG0/edit?usp=sharing"",""สุพรรณบุรี!R399"")+IMPORTRANGE(""https://docs.google.com/spreadsheets/d/1BmIruG_sIrJLYao_Pdr7zVArWsf"&amp;"oBt2692TMi6x_854/edit?usp=sharing"",""อ่างทอง!R399"")"),0)</f>
        <v>0</v>
      </c>
      <c r="S399" s="75">
        <f ca="1">IFERROR(__xludf.DUMMYFUNCTION("IMPORTRANGE(""https://docs.google.com/spreadsheets/d/13wPX838HrBrQMCywv1BsuMkt4PEKTChp52zj44s2izQ/edit?usp=sharing"",""กาญจนบุรี!S399"")+IMPORTRANGE(""https://docs.google.com/spreadsheets/d/1ddFKvqj1W1NEiWytbGlB1zMx_ykJDVtmfEQ-6-lIUBA/edit?usp=sharing"","&amp;"""จันทบุรี!S399"")+IMPORTRANGE(""https://docs.google.com/spreadsheets/d/1T1PQvRODqOBZk8BRht_U031fIS1beLA0Ub2CEytj2q0/edit?usp=sharing"",""ฉะเชิงเทรา!S399"")+IMPORTRANGE(""https://docs.google.com/spreadsheets/d/11tr1B-Bhyr79v2bkwVh5h_fR-PStkgjlZtkrZpYurG0/"&amp;"edit?usp=sharing"",""ชลบุรี!S399"")+IMPORTRANGE(""https://docs.google.com/spreadsheets/d/1hh-FVnSX0vozXhGluamEcS54Dw9_zqW0N7qJUWgJ0Sw/edit?usp=sharing"",""ชัยนาท!S399"")+IMPORTRANGE(""https://docs.google.com/spreadsheets/d/1jkqa6GXxSacMcY1eN8AHjMNJ_7dDXMJ"&amp;"VRLDlaFSOdPM/edit?usp=sharing"",""ตราด!S399"")+IMPORTRANGE(""https://docs.google.com/spreadsheets/d/18hSgUJ3VwClqi_qtULmmW3cLr0oe3OKaSYoKzdpTsYQ/edit?usp=sharing"",""นครนายก!S399"")+IMPORTRANGE(""https://docs.google.com/spreadsheets/d/1YTZo6WM2dQ6Ix6FSdnL"&amp;"5P7uVnVKu40sxZu975tgG10E/edit?usp=sharing"",""นครปฐม!S399"")+IMPORTRANGE(""https://docs.google.com/spreadsheets/d/1OYoGg4WDg5RIzwGeB10padOxJF9E_Vljuvvct_M7RDo/edit?usp=sharing"",""ปทุมธานี!S399"")+IMPORTRANGE(""https://docs.google.com/spreadsheets/d/1GbCI"&amp;"E4D4wk9FUozzqk7SxfDMxDVBwVmI5zcaVUSzKAc/edit?usp=sharing"",""ประจวบคีรีขันธ์!S399"")+IMPORTRANGE(""https://docs.google.com/spreadsheets/d/1vVf6wykvW_lAyu7Yo9L4hUTqHqIeP_qcVuxCtosJEbg/edit?usp=sharing"",""ปราจีนบุรี!S399"")+IMPORTRANGE(""https://docs.googl"&amp;"e.com/spreadsheets/d/1BIDqLLg5jk3v59G8NlR8rk5xfQDKne0sAvZHSj7TI6I/edit?usp=sharing"",""พระนครศรีอยุธยา!S399"")+IMPORTRANGE(""https://docs.google.com/spreadsheets/d/1YXvxf8Yu6_rV4hTBrwMqAcAnv6DfhUxh5emyM3CJp_w/edit?usp=sharing"",""เพชรบุรี!S399"")+IMPORTRA"&amp;"NGE(""https://docs.google.com/spreadsheets/d/19KBlQQs7uwvsao6t2n-KvW3Ax8J8uRRfZPq1zPbXgKc/edit?usp=sharing"",""ระยอง!S399"")+IMPORTRANGE(""https://docs.google.com/spreadsheets/d/1jQ6P4QcrGM89YfqcC_PxOHGCMq5ezhucwJd8ci-NHng/edit?usp=sharing"",""ราชบุรี!S39"&amp;"9"")+IMPORTRANGE(""https://docs.google.com/spreadsheets/d/1lufeA2cfFqM-elVq2hznhDzC6Pr7wkJ9ZG_sYNGCMCU/edit?usp=sharing"",""ลพบุรี!S399"")+IMPORTRANGE(""https://docs.google.com/spreadsheets/d/10oOiF7loTyfsTkbd4MpaIm0HQ9SwB7IYHdIUvt-U1Uc/edit?usp=sharing"""&amp;",""สระแก้ว!S399"")+IMPORTRANGE(""https://docs.google.com/spreadsheets/d/1xmPlrr1QbdSIKvl1dWUl9K4PjAfSL9oeMr_37QVzcxc/edit?usp=sharing"",""สระบุรี!S399"")+IMPORTRANGE(""https://docs.google.com/spreadsheets/d/1j51vR6CYVGhABJpv6tkstgok82RLpXieLzW1yOY5rHw/edi"&amp;"t?usp=sharing"",""สิงห์บุรี!S399"")+IMPORTRANGE(""https://docs.google.com/spreadsheets/d/1H1EalTWKUSzO4Z1-1CwzoDUaVffgrThEBe2sl74kKG0/edit?usp=sharing"",""สุพรรณบุรี!S399"")+IMPORTRANGE(""https://docs.google.com/spreadsheets/d/1BmIruG_sIrJLYao_Pdr7zVArWsf"&amp;"oBt2692TMi6x_854/edit?usp=sharing"",""อ่างทอง!S399"")"),0)</f>
        <v>0</v>
      </c>
      <c r="T399" s="131">
        <f t="shared" ca="1" si="294"/>
        <v>0</v>
      </c>
      <c r="U399" s="131">
        <f t="shared" ca="1" si="295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f ca="1">IFERROR(__xludf.DUMMYFUNCTION("IMPORTRANGE(""https://docs.google.com/spreadsheets/d/13wPX838HrBrQMCywv1BsuMkt4PEKTChp52zj44s2izQ/edit?usp=sharing"",""กาญจนบุรี!L400"")+IMPORTRANGE(""https://docs.google.com/spreadsheets/d/1ddFKvqj1W1NEiWytbGlB1zMx_ykJDVtmfEQ-6-lIUBA/edit?usp=sharing"","&amp;"""จันทบุรี!L400"")+IMPORTRANGE(""https://docs.google.com/spreadsheets/d/1T1PQvRODqOBZk8BRht_U031fIS1beLA0Ub2CEytj2q0/edit?usp=sharing"",""ฉะเชิงเทรา!L400"")+IMPORTRANGE(""https://docs.google.com/spreadsheets/d/11tr1B-Bhyr79v2bkwVh5h_fR-PStkgjlZtkrZpYurG0/"&amp;"edit?usp=sharing"",""ชลบุรี!L400"")+IMPORTRANGE(""https://docs.google.com/spreadsheets/d/1hh-FVnSX0vozXhGluamEcS54Dw9_zqW0N7qJUWgJ0Sw/edit?usp=sharing"",""ชัยนาท!L400"")+IMPORTRANGE(""https://docs.google.com/spreadsheets/d/1jkqa6GXxSacMcY1eN8AHjMNJ_7dDXMJ"&amp;"VRLDlaFSOdPM/edit?usp=sharing"",""ตราด!L400"")+IMPORTRANGE(""https://docs.google.com/spreadsheets/d/18hSgUJ3VwClqi_qtULmmW3cLr0oe3OKaSYoKzdpTsYQ/edit?usp=sharing"",""นครนายก!L400"")+IMPORTRANGE(""https://docs.google.com/spreadsheets/d/1YTZo6WM2dQ6Ix6FSdnL"&amp;"5P7uVnVKu40sxZu975tgG10E/edit?usp=sharing"",""นครปฐม!L400"")+IMPORTRANGE(""https://docs.google.com/spreadsheets/d/1OYoGg4WDg5RIzwGeB10padOxJF9E_Vljuvvct_M7RDo/edit?usp=sharing"",""ปทุมธานี!L400"")+IMPORTRANGE(""https://docs.google.com/spreadsheets/d/1GbCI"&amp;"E4D4wk9FUozzqk7SxfDMxDVBwVmI5zcaVUSzKAc/edit?usp=sharing"",""ประจวบคีรีขันธ์!L400"")+IMPORTRANGE(""https://docs.google.com/spreadsheets/d/1vVf6wykvW_lAyu7Yo9L4hUTqHqIeP_qcVuxCtosJEbg/edit?usp=sharing"",""ปราจีนบุรี!L400"")+IMPORTRANGE(""https://docs.googl"&amp;"e.com/spreadsheets/d/1BIDqLLg5jk3v59G8NlR8rk5xfQDKne0sAvZHSj7TI6I/edit?usp=sharing"",""พระนครศรีอยุธยา!L400"")+IMPORTRANGE(""https://docs.google.com/spreadsheets/d/1YXvxf8Yu6_rV4hTBrwMqAcAnv6DfhUxh5emyM3CJp_w/edit?usp=sharing"",""เพชรบุรี!L400"")+IMPORTRA"&amp;"NGE(""https://docs.google.com/spreadsheets/d/19KBlQQs7uwvsao6t2n-KvW3Ax8J8uRRfZPq1zPbXgKc/edit?usp=sharing"",""ระยอง!L400"")+IMPORTRANGE(""https://docs.google.com/spreadsheets/d/1jQ6P4QcrGM89YfqcC_PxOHGCMq5ezhucwJd8ci-NHng/edit?usp=sharing"",""ราชบุรี!L40"&amp;"0"")+IMPORTRANGE(""https://docs.google.com/spreadsheets/d/1lufeA2cfFqM-elVq2hznhDzC6Pr7wkJ9ZG_sYNGCMCU/edit?usp=sharing"",""ลพบุรี!L400"")+IMPORTRANGE(""https://docs.google.com/spreadsheets/d/10oOiF7loTyfsTkbd4MpaIm0HQ9SwB7IYHdIUvt-U1Uc/edit?usp=sharing"""&amp;",""สระแก้ว!L400"")+IMPORTRANGE(""https://docs.google.com/spreadsheets/d/1xmPlrr1QbdSIKvl1dWUl9K4PjAfSL9oeMr_37QVzcxc/edit?usp=sharing"",""สระบุรี!L400"")+IMPORTRANGE(""https://docs.google.com/spreadsheets/d/1j51vR6CYVGhABJpv6tkstgok82RLpXieLzW1yOY5rHw/edi"&amp;"t?usp=sharing"",""สิงห์บุรี!L400"")+IMPORTRANGE(""https://docs.google.com/spreadsheets/d/1H1EalTWKUSzO4Z1-1CwzoDUaVffgrThEBe2sl74kKG0/edit?usp=sharing"",""สุพรรณบุรี!L400"")+IMPORTRANGE(""https://docs.google.com/spreadsheets/d/1BmIruG_sIrJLYao_Pdr7zVArWsf"&amp;"oBt2692TMi6x_854/edit?usp=sharing"",""อ่างทอง!L400"")"),0)</f>
        <v>0</v>
      </c>
      <c r="M400" s="72">
        <f ca="1">IFERROR(__xludf.DUMMYFUNCTION("IMPORTRANGE(""https://docs.google.com/spreadsheets/d/13wPX838HrBrQMCywv1BsuMkt4PEKTChp52zj44s2izQ/edit?usp=sharing"",""กาญจนบุรี!M400"")+IMPORTRANGE(""https://docs.google.com/spreadsheets/d/1ddFKvqj1W1NEiWytbGlB1zMx_ykJDVtmfEQ-6-lIUBA/edit?usp=sharing"","&amp;"""จันทบุรี!M400"")+IMPORTRANGE(""https://docs.google.com/spreadsheets/d/1T1PQvRODqOBZk8BRht_U031fIS1beLA0Ub2CEytj2q0/edit?usp=sharing"",""ฉะเชิงเทรา!M400"")+IMPORTRANGE(""https://docs.google.com/spreadsheets/d/11tr1B-Bhyr79v2bkwVh5h_fR-PStkgjlZtkrZpYurG0/"&amp;"edit?usp=sharing"",""ชลบุรี!M400"")+IMPORTRANGE(""https://docs.google.com/spreadsheets/d/1hh-FVnSX0vozXhGluamEcS54Dw9_zqW0N7qJUWgJ0Sw/edit?usp=sharing"",""ชัยนาท!M400"")+IMPORTRANGE(""https://docs.google.com/spreadsheets/d/1jkqa6GXxSacMcY1eN8AHjMNJ_7dDXMJ"&amp;"VRLDlaFSOdPM/edit?usp=sharing"",""ตราด!M400"")+IMPORTRANGE(""https://docs.google.com/spreadsheets/d/18hSgUJ3VwClqi_qtULmmW3cLr0oe3OKaSYoKzdpTsYQ/edit?usp=sharing"",""นครนายก!M400"")+IMPORTRANGE(""https://docs.google.com/spreadsheets/d/1YTZo6WM2dQ6Ix6FSdnL"&amp;"5P7uVnVKu40sxZu975tgG10E/edit?usp=sharing"",""นครปฐม!M400"")+IMPORTRANGE(""https://docs.google.com/spreadsheets/d/1OYoGg4WDg5RIzwGeB10padOxJF9E_Vljuvvct_M7RDo/edit?usp=sharing"",""ปทุมธานี!M400"")+IMPORTRANGE(""https://docs.google.com/spreadsheets/d/1GbCI"&amp;"E4D4wk9FUozzqk7SxfDMxDVBwVmI5zcaVUSzKAc/edit?usp=sharing"",""ประจวบคีรีขันธ์!M400"")+IMPORTRANGE(""https://docs.google.com/spreadsheets/d/1vVf6wykvW_lAyu7Yo9L4hUTqHqIeP_qcVuxCtosJEbg/edit?usp=sharing"",""ปราจีนบุรี!M400"")+IMPORTRANGE(""https://docs.googl"&amp;"e.com/spreadsheets/d/1BIDqLLg5jk3v59G8NlR8rk5xfQDKne0sAvZHSj7TI6I/edit?usp=sharing"",""พระนครศรีอยุธยา!M400"")+IMPORTRANGE(""https://docs.google.com/spreadsheets/d/1YXvxf8Yu6_rV4hTBrwMqAcAnv6DfhUxh5emyM3CJp_w/edit?usp=sharing"",""เพชรบุรี!M400"")+IMPORTRA"&amp;"NGE(""https://docs.google.com/spreadsheets/d/19KBlQQs7uwvsao6t2n-KvW3Ax8J8uRRfZPq1zPbXgKc/edit?usp=sharing"",""ระยอง!M400"")+IMPORTRANGE(""https://docs.google.com/spreadsheets/d/1jQ6P4QcrGM89YfqcC_PxOHGCMq5ezhucwJd8ci-NHng/edit?usp=sharing"",""ราชบุรี!M40"&amp;"0"")+IMPORTRANGE(""https://docs.google.com/spreadsheets/d/1lufeA2cfFqM-elVq2hznhDzC6Pr7wkJ9ZG_sYNGCMCU/edit?usp=sharing"",""ลพบุรี!M400"")+IMPORTRANGE(""https://docs.google.com/spreadsheets/d/10oOiF7loTyfsTkbd4MpaIm0HQ9SwB7IYHdIUvt-U1Uc/edit?usp=sharing"""&amp;",""สระแก้ว!M400"")+IMPORTRANGE(""https://docs.google.com/spreadsheets/d/1xmPlrr1QbdSIKvl1dWUl9K4PjAfSL9oeMr_37QVzcxc/edit?usp=sharing"",""สระบุรี!M400"")+IMPORTRANGE(""https://docs.google.com/spreadsheets/d/1j51vR6CYVGhABJpv6tkstgok82RLpXieLzW1yOY5rHw/edi"&amp;"t?usp=sharing"",""สิงห์บุรี!M400"")+IMPORTRANGE(""https://docs.google.com/spreadsheets/d/1H1EalTWKUSzO4Z1-1CwzoDUaVffgrThEBe2sl74kKG0/edit?usp=sharing"",""สุพรรณบุรี!M400"")+IMPORTRANGE(""https://docs.google.com/spreadsheets/d/1BmIruG_sIrJLYao_Pdr7zVArWsf"&amp;"oBt2692TMi6x_854/edit?usp=sharing"",""อ่างทอง!M400"")"),0)</f>
        <v>0</v>
      </c>
      <c r="N400" s="72">
        <f ca="1">IFERROR(__xludf.DUMMYFUNCTION("IMPORTRANGE(""https://docs.google.com/spreadsheets/d/13wPX838HrBrQMCywv1BsuMkt4PEKTChp52zj44s2izQ/edit?usp=sharing"",""กาญจนบุรี!N400"")+IMPORTRANGE(""https://docs.google.com/spreadsheets/d/1ddFKvqj1W1NEiWytbGlB1zMx_ykJDVtmfEQ-6-lIUBA/edit?usp=sharing"","&amp;"""จันทบุรี!N400"")+IMPORTRANGE(""https://docs.google.com/spreadsheets/d/1T1PQvRODqOBZk8BRht_U031fIS1beLA0Ub2CEytj2q0/edit?usp=sharing"",""ฉะเชิงเทรา!N400"")+IMPORTRANGE(""https://docs.google.com/spreadsheets/d/11tr1B-Bhyr79v2bkwVh5h_fR-PStkgjlZtkrZpYurG0/"&amp;"edit?usp=sharing"",""ชลบุรี!N400"")+IMPORTRANGE(""https://docs.google.com/spreadsheets/d/1hh-FVnSX0vozXhGluamEcS54Dw9_zqW0N7qJUWgJ0Sw/edit?usp=sharing"",""ชัยนาท!N400"")+IMPORTRANGE(""https://docs.google.com/spreadsheets/d/1jkqa6GXxSacMcY1eN8AHjMNJ_7dDXMJ"&amp;"VRLDlaFSOdPM/edit?usp=sharing"",""ตราด!N400"")+IMPORTRANGE(""https://docs.google.com/spreadsheets/d/18hSgUJ3VwClqi_qtULmmW3cLr0oe3OKaSYoKzdpTsYQ/edit?usp=sharing"",""นครนายก!N400"")+IMPORTRANGE(""https://docs.google.com/spreadsheets/d/1YTZo6WM2dQ6Ix6FSdnL"&amp;"5P7uVnVKu40sxZu975tgG10E/edit?usp=sharing"",""นครปฐม!N400"")+IMPORTRANGE(""https://docs.google.com/spreadsheets/d/1OYoGg4WDg5RIzwGeB10padOxJF9E_Vljuvvct_M7RDo/edit?usp=sharing"",""ปทุมธานี!N400"")+IMPORTRANGE(""https://docs.google.com/spreadsheets/d/1GbCI"&amp;"E4D4wk9FUozzqk7SxfDMxDVBwVmI5zcaVUSzKAc/edit?usp=sharing"",""ประจวบคีรีขันธ์!N400"")+IMPORTRANGE(""https://docs.google.com/spreadsheets/d/1vVf6wykvW_lAyu7Yo9L4hUTqHqIeP_qcVuxCtosJEbg/edit?usp=sharing"",""ปราจีนบุรี!N400"")+IMPORTRANGE(""https://docs.googl"&amp;"e.com/spreadsheets/d/1BIDqLLg5jk3v59G8NlR8rk5xfQDKne0sAvZHSj7TI6I/edit?usp=sharing"",""พระนครศรีอยุธยา!N400"")+IMPORTRANGE(""https://docs.google.com/spreadsheets/d/1YXvxf8Yu6_rV4hTBrwMqAcAnv6DfhUxh5emyM3CJp_w/edit?usp=sharing"",""เพชรบุรี!N400"")+IMPORTRA"&amp;"NGE(""https://docs.google.com/spreadsheets/d/19KBlQQs7uwvsao6t2n-KvW3Ax8J8uRRfZPq1zPbXgKc/edit?usp=sharing"",""ระยอง!N400"")+IMPORTRANGE(""https://docs.google.com/spreadsheets/d/1jQ6P4QcrGM89YfqcC_PxOHGCMq5ezhucwJd8ci-NHng/edit?usp=sharing"",""ราชบุรี!N40"&amp;"0"")+IMPORTRANGE(""https://docs.google.com/spreadsheets/d/1lufeA2cfFqM-elVq2hznhDzC6Pr7wkJ9ZG_sYNGCMCU/edit?usp=sharing"",""ลพบุรี!N400"")+IMPORTRANGE(""https://docs.google.com/spreadsheets/d/10oOiF7loTyfsTkbd4MpaIm0HQ9SwB7IYHdIUvt-U1Uc/edit?usp=sharing"""&amp;",""สระแก้ว!N400"")+IMPORTRANGE(""https://docs.google.com/spreadsheets/d/1xmPlrr1QbdSIKvl1dWUl9K4PjAfSL9oeMr_37QVzcxc/edit?usp=sharing"",""สระบุรี!N400"")+IMPORTRANGE(""https://docs.google.com/spreadsheets/d/1j51vR6CYVGhABJpv6tkstgok82RLpXieLzW1yOY5rHw/edi"&amp;"t?usp=sharing"",""สิงห์บุรี!N400"")+IMPORTRANGE(""https://docs.google.com/spreadsheets/d/1H1EalTWKUSzO4Z1-1CwzoDUaVffgrThEBe2sl74kKG0/edit?usp=sharing"",""สุพรรณบุรี!N400"")+IMPORTRANGE(""https://docs.google.com/spreadsheets/d/1BmIruG_sIrJLYao_Pdr7zVArWsf"&amp;"oBt2692TMi6x_854/edit?usp=sharing"",""อ่างทอง!N400"")"),0)</f>
        <v>0</v>
      </c>
      <c r="O400" s="72">
        <f t="shared" ca="1" si="291"/>
        <v>0</v>
      </c>
      <c r="P400" s="72">
        <f t="shared" ca="1" si="292"/>
        <v>0</v>
      </c>
      <c r="Q400" s="71">
        <f ca="1">IFERROR(__xludf.DUMMYFUNCTION("IMPORTRANGE(""https://docs.google.com/spreadsheets/d/13wPX838HrBrQMCywv1BsuMkt4PEKTChp52zj44s2izQ/edit?usp=sharing"",""กาญจนบุรี!Q400"")+IMPORTRANGE(""https://docs.google.com/spreadsheets/d/1ddFKvqj1W1NEiWytbGlB1zMx_ykJDVtmfEQ-6-lIUBA/edit?usp=sharing"","&amp;"""จันทบุรี!Q400"")+IMPORTRANGE(""https://docs.google.com/spreadsheets/d/1T1PQvRODqOBZk8BRht_U031fIS1beLA0Ub2CEytj2q0/edit?usp=sharing"",""ฉะเชิงเทรา!Q400"")+IMPORTRANGE(""https://docs.google.com/spreadsheets/d/11tr1B-Bhyr79v2bkwVh5h_fR-PStkgjlZtkrZpYurG0/"&amp;"edit?usp=sharing"",""ชลบุรี!Q400"")+IMPORTRANGE(""https://docs.google.com/spreadsheets/d/1hh-FVnSX0vozXhGluamEcS54Dw9_zqW0N7qJUWgJ0Sw/edit?usp=sharing"",""ชัยนาท!Q400"")+IMPORTRANGE(""https://docs.google.com/spreadsheets/d/1jkqa6GXxSacMcY1eN8AHjMNJ_7dDXMJ"&amp;"VRLDlaFSOdPM/edit?usp=sharing"",""ตราด!Q400"")+IMPORTRANGE(""https://docs.google.com/spreadsheets/d/18hSgUJ3VwClqi_qtULmmW3cLr0oe3OKaSYoKzdpTsYQ/edit?usp=sharing"",""นครนายก!Q400"")+IMPORTRANGE(""https://docs.google.com/spreadsheets/d/1YTZo6WM2dQ6Ix6FSdnL"&amp;"5P7uVnVKu40sxZu975tgG10E/edit?usp=sharing"",""นครปฐม!Q400"")+IMPORTRANGE(""https://docs.google.com/spreadsheets/d/1OYoGg4WDg5RIzwGeB10padOxJF9E_Vljuvvct_M7RDo/edit?usp=sharing"",""ปทุมธานี!Q400"")+IMPORTRANGE(""https://docs.google.com/spreadsheets/d/1GbCI"&amp;"E4D4wk9FUozzqk7SxfDMxDVBwVmI5zcaVUSzKAc/edit?usp=sharing"",""ประจวบคีรีขันธ์!Q400"")+IMPORTRANGE(""https://docs.google.com/spreadsheets/d/1vVf6wykvW_lAyu7Yo9L4hUTqHqIeP_qcVuxCtosJEbg/edit?usp=sharing"",""ปราจีนบุรี!Q400"")+IMPORTRANGE(""https://docs.googl"&amp;"e.com/spreadsheets/d/1BIDqLLg5jk3v59G8NlR8rk5xfQDKne0sAvZHSj7TI6I/edit?usp=sharing"",""พระนครศรีอยุธยา!Q400"")+IMPORTRANGE(""https://docs.google.com/spreadsheets/d/1YXvxf8Yu6_rV4hTBrwMqAcAnv6DfhUxh5emyM3CJp_w/edit?usp=sharing"",""เพชรบุรี!Q400"")+IMPORTRA"&amp;"NGE(""https://docs.google.com/spreadsheets/d/19KBlQQs7uwvsao6t2n-KvW3Ax8J8uRRfZPq1zPbXgKc/edit?usp=sharing"",""ระยอง!Q400"")+IMPORTRANGE(""https://docs.google.com/spreadsheets/d/1jQ6P4QcrGM89YfqcC_PxOHGCMq5ezhucwJd8ci-NHng/edit?usp=sharing"",""ราชบุรี!Q40"&amp;"0"")+IMPORTRANGE(""https://docs.google.com/spreadsheets/d/1lufeA2cfFqM-elVq2hznhDzC6Pr7wkJ9ZG_sYNGCMCU/edit?usp=sharing"",""ลพบุรี!Q400"")+IMPORTRANGE(""https://docs.google.com/spreadsheets/d/10oOiF7loTyfsTkbd4MpaIm0HQ9SwB7IYHdIUvt-U1Uc/edit?usp=sharing"""&amp;",""สระแก้ว!Q400"")+IMPORTRANGE(""https://docs.google.com/spreadsheets/d/1xmPlrr1QbdSIKvl1dWUl9K4PjAfSL9oeMr_37QVzcxc/edit?usp=sharing"",""สระบุรี!Q400"")+IMPORTRANGE(""https://docs.google.com/spreadsheets/d/1j51vR6CYVGhABJpv6tkstgok82RLpXieLzW1yOY5rHw/edi"&amp;"t?usp=sharing"",""สิงห์บุรี!Q400"")+IMPORTRANGE(""https://docs.google.com/spreadsheets/d/1H1EalTWKUSzO4Z1-1CwzoDUaVffgrThEBe2sl74kKG0/edit?usp=sharing"",""สุพรรณบุรี!Q400"")+IMPORTRANGE(""https://docs.google.com/spreadsheets/d/1BmIruG_sIrJLYao_Pdr7zVArWsf"&amp;"oBt2692TMi6x_854/edit?usp=sharing"",""อ่างทอง!Q400"")"),0)</f>
        <v>0</v>
      </c>
      <c r="R400" s="72">
        <f ca="1">IFERROR(__xludf.DUMMYFUNCTION("IMPORTRANGE(""https://docs.google.com/spreadsheets/d/13wPX838HrBrQMCywv1BsuMkt4PEKTChp52zj44s2izQ/edit?usp=sharing"",""กาญจนบุรี!R400"")+IMPORTRANGE(""https://docs.google.com/spreadsheets/d/1ddFKvqj1W1NEiWytbGlB1zMx_ykJDVtmfEQ-6-lIUBA/edit?usp=sharing"","&amp;"""จันทบุรี!R400"")+IMPORTRANGE(""https://docs.google.com/spreadsheets/d/1T1PQvRODqOBZk8BRht_U031fIS1beLA0Ub2CEytj2q0/edit?usp=sharing"",""ฉะเชิงเทรา!R400"")+IMPORTRANGE(""https://docs.google.com/spreadsheets/d/11tr1B-Bhyr79v2bkwVh5h_fR-PStkgjlZtkrZpYurG0/"&amp;"edit?usp=sharing"",""ชลบุรี!R400"")+IMPORTRANGE(""https://docs.google.com/spreadsheets/d/1hh-FVnSX0vozXhGluamEcS54Dw9_zqW0N7qJUWgJ0Sw/edit?usp=sharing"",""ชัยนาท!R400"")+IMPORTRANGE(""https://docs.google.com/spreadsheets/d/1jkqa6GXxSacMcY1eN8AHjMNJ_7dDXMJ"&amp;"VRLDlaFSOdPM/edit?usp=sharing"",""ตราด!R400"")+IMPORTRANGE(""https://docs.google.com/spreadsheets/d/18hSgUJ3VwClqi_qtULmmW3cLr0oe3OKaSYoKzdpTsYQ/edit?usp=sharing"",""นครนายก!R400"")+IMPORTRANGE(""https://docs.google.com/spreadsheets/d/1YTZo6WM2dQ6Ix6FSdnL"&amp;"5P7uVnVKu40sxZu975tgG10E/edit?usp=sharing"",""นครปฐม!R400"")+IMPORTRANGE(""https://docs.google.com/spreadsheets/d/1OYoGg4WDg5RIzwGeB10padOxJF9E_Vljuvvct_M7RDo/edit?usp=sharing"",""ปทุมธานี!R400"")+IMPORTRANGE(""https://docs.google.com/spreadsheets/d/1GbCI"&amp;"E4D4wk9FUozzqk7SxfDMxDVBwVmI5zcaVUSzKAc/edit?usp=sharing"",""ประจวบคีรีขันธ์!R400"")+IMPORTRANGE(""https://docs.google.com/spreadsheets/d/1vVf6wykvW_lAyu7Yo9L4hUTqHqIeP_qcVuxCtosJEbg/edit?usp=sharing"",""ปราจีนบุรี!R400"")+IMPORTRANGE(""https://docs.googl"&amp;"e.com/spreadsheets/d/1BIDqLLg5jk3v59G8NlR8rk5xfQDKne0sAvZHSj7TI6I/edit?usp=sharing"",""พระนครศรีอยุธยา!R400"")+IMPORTRANGE(""https://docs.google.com/spreadsheets/d/1YXvxf8Yu6_rV4hTBrwMqAcAnv6DfhUxh5emyM3CJp_w/edit?usp=sharing"",""เพชรบุรี!R400"")+IMPORTRA"&amp;"NGE(""https://docs.google.com/spreadsheets/d/19KBlQQs7uwvsao6t2n-KvW3Ax8J8uRRfZPq1zPbXgKc/edit?usp=sharing"",""ระยอง!R400"")+IMPORTRANGE(""https://docs.google.com/spreadsheets/d/1jQ6P4QcrGM89YfqcC_PxOHGCMq5ezhucwJd8ci-NHng/edit?usp=sharing"",""ราชบุรี!R40"&amp;"0"")+IMPORTRANGE(""https://docs.google.com/spreadsheets/d/1lufeA2cfFqM-elVq2hznhDzC6Pr7wkJ9ZG_sYNGCMCU/edit?usp=sharing"",""ลพบุรี!R400"")+IMPORTRANGE(""https://docs.google.com/spreadsheets/d/10oOiF7loTyfsTkbd4MpaIm0HQ9SwB7IYHdIUvt-U1Uc/edit?usp=sharing"""&amp;",""สระแก้ว!R400"")+IMPORTRANGE(""https://docs.google.com/spreadsheets/d/1xmPlrr1QbdSIKvl1dWUl9K4PjAfSL9oeMr_37QVzcxc/edit?usp=sharing"",""สระบุรี!R400"")+IMPORTRANGE(""https://docs.google.com/spreadsheets/d/1j51vR6CYVGhABJpv6tkstgok82RLpXieLzW1yOY5rHw/edi"&amp;"t?usp=sharing"",""สิงห์บุรี!R400"")+IMPORTRANGE(""https://docs.google.com/spreadsheets/d/1H1EalTWKUSzO4Z1-1CwzoDUaVffgrThEBe2sl74kKG0/edit?usp=sharing"",""สุพรรณบุรี!R400"")+IMPORTRANGE(""https://docs.google.com/spreadsheets/d/1BmIruG_sIrJLYao_Pdr7zVArWsf"&amp;"oBt2692TMi6x_854/edit?usp=sharing"",""อ่างทอง!R400"")"),0)</f>
        <v>0</v>
      </c>
      <c r="S400" s="72">
        <f ca="1">IFERROR(__xludf.DUMMYFUNCTION("IMPORTRANGE(""https://docs.google.com/spreadsheets/d/13wPX838HrBrQMCywv1BsuMkt4PEKTChp52zj44s2izQ/edit?usp=sharing"",""กาญจนบุรี!S400"")+IMPORTRANGE(""https://docs.google.com/spreadsheets/d/1ddFKvqj1W1NEiWytbGlB1zMx_ykJDVtmfEQ-6-lIUBA/edit?usp=sharing"","&amp;"""จันทบุรี!S400"")+IMPORTRANGE(""https://docs.google.com/spreadsheets/d/1T1PQvRODqOBZk8BRht_U031fIS1beLA0Ub2CEytj2q0/edit?usp=sharing"",""ฉะเชิงเทรา!S400"")+IMPORTRANGE(""https://docs.google.com/spreadsheets/d/11tr1B-Bhyr79v2bkwVh5h_fR-PStkgjlZtkrZpYurG0/"&amp;"edit?usp=sharing"",""ชลบุรี!S400"")+IMPORTRANGE(""https://docs.google.com/spreadsheets/d/1hh-FVnSX0vozXhGluamEcS54Dw9_zqW0N7qJUWgJ0Sw/edit?usp=sharing"",""ชัยนาท!S400"")+IMPORTRANGE(""https://docs.google.com/spreadsheets/d/1jkqa6GXxSacMcY1eN8AHjMNJ_7dDXMJ"&amp;"VRLDlaFSOdPM/edit?usp=sharing"",""ตราด!S400"")+IMPORTRANGE(""https://docs.google.com/spreadsheets/d/18hSgUJ3VwClqi_qtULmmW3cLr0oe3OKaSYoKzdpTsYQ/edit?usp=sharing"",""นครนายก!S400"")+IMPORTRANGE(""https://docs.google.com/spreadsheets/d/1YTZo6WM2dQ6Ix6FSdnL"&amp;"5P7uVnVKu40sxZu975tgG10E/edit?usp=sharing"",""นครปฐม!S400"")+IMPORTRANGE(""https://docs.google.com/spreadsheets/d/1OYoGg4WDg5RIzwGeB10padOxJF9E_Vljuvvct_M7RDo/edit?usp=sharing"",""ปทุมธานี!S400"")+IMPORTRANGE(""https://docs.google.com/spreadsheets/d/1GbCI"&amp;"E4D4wk9FUozzqk7SxfDMxDVBwVmI5zcaVUSzKAc/edit?usp=sharing"",""ประจวบคีรีขันธ์!S400"")+IMPORTRANGE(""https://docs.google.com/spreadsheets/d/1vVf6wykvW_lAyu7Yo9L4hUTqHqIeP_qcVuxCtosJEbg/edit?usp=sharing"",""ปราจีนบุรี!S400"")+IMPORTRANGE(""https://docs.googl"&amp;"e.com/spreadsheets/d/1BIDqLLg5jk3v59G8NlR8rk5xfQDKne0sAvZHSj7TI6I/edit?usp=sharing"",""พระนครศรีอยุธยา!S400"")+IMPORTRANGE(""https://docs.google.com/spreadsheets/d/1YXvxf8Yu6_rV4hTBrwMqAcAnv6DfhUxh5emyM3CJp_w/edit?usp=sharing"",""เพชรบุรี!S400"")+IMPORTRA"&amp;"NGE(""https://docs.google.com/spreadsheets/d/19KBlQQs7uwvsao6t2n-KvW3Ax8J8uRRfZPq1zPbXgKc/edit?usp=sharing"",""ระยอง!S400"")+IMPORTRANGE(""https://docs.google.com/spreadsheets/d/1jQ6P4QcrGM89YfqcC_PxOHGCMq5ezhucwJd8ci-NHng/edit?usp=sharing"",""ราชบุรี!S40"&amp;"0"")+IMPORTRANGE(""https://docs.google.com/spreadsheets/d/1lufeA2cfFqM-elVq2hznhDzC6Pr7wkJ9ZG_sYNGCMCU/edit?usp=sharing"",""ลพบุรี!S400"")+IMPORTRANGE(""https://docs.google.com/spreadsheets/d/10oOiF7loTyfsTkbd4MpaIm0HQ9SwB7IYHdIUvt-U1Uc/edit?usp=sharing"""&amp;",""สระแก้ว!S400"")+IMPORTRANGE(""https://docs.google.com/spreadsheets/d/1xmPlrr1QbdSIKvl1dWUl9K4PjAfSL9oeMr_37QVzcxc/edit?usp=sharing"",""สระบุรี!S400"")+IMPORTRANGE(""https://docs.google.com/spreadsheets/d/1j51vR6CYVGhABJpv6tkstgok82RLpXieLzW1yOY5rHw/edi"&amp;"t?usp=sharing"",""สิงห์บุรี!S400"")+IMPORTRANGE(""https://docs.google.com/spreadsheets/d/1H1EalTWKUSzO4Z1-1CwzoDUaVffgrThEBe2sl74kKG0/edit?usp=sharing"",""สุพรรณบุรี!S400"")+IMPORTRANGE(""https://docs.google.com/spreadsheets/d/1BmIruG_sIrJLYao_Pdr7zVArWsf"&amp;"oBt2692TMi6x_854/edit?usp=sharing"",""อ่างทอง!S400"")"),0)</f>
        <v>0</v>
      </c>
      <c r="T400" s="130">
        <f t="shared" ca="1" si="294"/>
        <v>0</v>
      </c>
      <c r="U400" s="130">
        <f t="shared" ca="1" si="295"/>
        <v>0</v>
      </c>
    </row>
    <row r="401" spans="1:21" ht="19.5" hidden="1" x14ac:dyDescent="0.3">
      <c r="A401" s="274"/>
      <c r="B401" s="275"/>
      <c r="C401" s="276" t="s">
        <v>18</v>
      </c>
      <c r="D401" s="568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4"/>
      <c r="M402" s="574"/>
      <c r="N402" s="574"/>
      <c r="O402" s="574"/>
      <c r="P402" s="574"/>
      <c r="Q402" s="575"/>
      <c r="R402" s="574"/>
      <c r="S402" s="574"/>
      <c r="T402" s="574"/>
      <c r="U402" s="574"/>
    </row>
    <row r="403" spans="1:21" ht="12.75" hidden="1" x14ac:dyDescent="0.2">
      <c r="A403" s="571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4"/>
      <c r="M403" s="574"/>
      <c r="N403" s="574"/>
      <c r="O403" s="574"/>
      <c r="P403" s="574"/>
      <c r="Q403" s="575"/>
      <c r="R403" s="574"/>
      <c r="S403" s="574"/>
      <c r="T403" s="574"/>
      <c r="U403" s="574"/>
    </row>
    <row r="404" spans="1:21" ht="12.75" hidden="1" x14ac:dyDescent="0.2">
      <c r="A404" s="571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4"/>
      <c r="M404" s="574"/>
      <c r="N404" s="574"/>
      <c r="O404" s="574"/>
      <c r="P404" s="574"/>
      <c r="Q404" s="575"/>
      <c r="R404" s="574"/>
      <c r="S404" s="574"/>
      <c r="T404" s="574"/>
      <c r="U404" s="574"/>
    </row>
    <row r="405" spans="1:21" ht="12.75" hidden="1" x14ac:dyDescent="0.2">
      <c r="A405" s="571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4"/>
      <c r="M405" s="574"/>
      <c r="N405" s="574"/>
      <c r="O405" s="574"/>
      <c r="P405" s="574"/>
      <c r="Q405" s="575"/>
      <c r="R405" s="574"/>
      <c r="S405" s="574"/>
      <c r="T405" s="574"/>
      <c r="U405" s="574"/>
    </row>
    <row r="406" spans="1:21" ht="12.75" hidden="1" x14ac:dyDescent="0.2">
      <c r="A406" s="571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4"/>
      <c r="M406" s="574"/>
      <c r="N406" s="574"/>
      <c r="O406" s="574"/>
      <c r="P406" s="574"/>
      <c r="Q406" s="575"/>
      <c r="R406" s="574"/>
      <c r="S406" s="574"/>
      <c r="T406" s="574"/>
      <c r="U406" s="574"/>
    </row>
    <row r="407" spans="1:21" ht="12.75" hidden="1" x14ac:dyDescent="0.2">
      <c r="A407" s="571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4"/>
      <c r="M407" s="574"/>
      <c r="N407" s="574"/>
      <c r="O407" s="574"/>
      <c r="P407" s="574"/>
      <c r="Q407" s="575"/>
      <c r="R407" s="574"/>
      <c r="S407" s="574"/>
      <c r="T407" s="574"/>
      <c r="U407" s="574"/>
    </row>
    <row r="408" spans="1:21" ht="12.75" hidden="1" x14ac:dyDescent="0.2">
      <c r="A408" s="571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4"/>
      <c r="M408" s="574"/>
      <c r="N408" s="574"/>
      <c r="O408" s="574"/>
      <c r="P408" s="574"/>
      <c r="Q408" s="575"/>
      <c r="R408" s="574"/>
      <c r="S408" s="574"/>
      <c r="T408" s="574"/>
      <c r="U408" s="574"/>
    </row>
    <row r="409" spans="1:21" ht="12.75" hidden="1" x14ac:dyDescent="0.2">
      <c r="A409" s="571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4"/>
      <c r="M409" s="574"/>
      <c r="N409" s="574"/>
      <c r="O409" s="574"/>
      <c r="P409" s="574"/>
      <c r="Q409" s="575"/>
      <c r="R409" s="574"/>
      <c r="S409" s="574"/>
      <c r="T409" s="574"/>
      <c r="U409" s="574"/>
    </row>
    <row r="410" spans="1:21" ht="12.75" hidden="1" x14ac:dyDescent="0.2">
      <c r="A410" s="571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4"/>
      <c r="M410" s="574"/>
      <c r="N410" s="574"/>
      <c r="O410" s="574"/>
      <c r="P410" s="574"/>
      <c r="Q410" s="575"/>
      <c r="R410" s="574"/>
      <c r="S410" s="574"/>
      <c r="T410" s="574"/>
      <c r="U410" s="574"/>
    </row>
    <row r="411" spans="1:21" ht="12.75" hidden="1" x14ac:dyDescent="0.2">
      <c r="A411" s="576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79"/>
      <c r="M411" s="579"/>
      <c r="N411" s="579"/>
      <c r="O411" s="579"/>
      <c r="P411" s="579"/>
      <c r="Q411" s="580"/>
      <c r="R411" s="579"/>
      <c r="S411" s="579"/>
      <c r="T411" s="579"/>
      <c r="U411" s="579"/>
    </row>
    <row r="412" spans="1:21" ht="19.5" x14ac:dyDescent="0.3">
      <c r="A412" s="584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t="shared" ref="I412:J412" ca="1" si="304">I423</f>
        <v>100559</v>
      </c>
      <c r="J412" s="595">
        <f t="shared" ca="1" si="304"/>
        <v>0</v>
      </c>
      <c r="K412" s="589">
        <f ca="1">IF(I412&gt;0,J412*100/I412,0)</f>
        <v>0</v>
      </c>
      <c r="L412" s="510"/>
      <c r="M412" s="510"/>
      <c r="N412" s="510"/>
      <c r="O412" s="510"/>
      <c r="P412" s="510"/>
      <c r="Q412" s="509"/>
      <c r="R412" s="510"/>
      <c r="S412" s="510"/>
      <c r="T412" s="510"/>
      <c r="U412" s="510"/>
    </row>
    <row r="413" spans="1:21" ht="19.5" x14ac:dyDescent="0.3">
      <c r="A413" s="255"/>
      <c r="B413" s="267"/>
      <c r="C413" s="596" t="s">
        <v>18</v>
      </c>
      <c r="D413" s="1420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262">
        <f t="shared" ref="L413:N413" ca="1" si="305">L414+L415</f>
        <v>2097160</v>
      </c>
      <c r="M413" s="262">
        <f t="shared" ca="1" si="305"/>
        <v>2546760</v>
      </c>
      <c r="N413" s="262">
        <f t="shared" ca="1" si="305"/>
        <v>812975.95</v>
      </c>
      <c r="O413" s="262">
        <f t="shared" ref="O413:O421" ca="1" si="306">IF(L413&gt;0,N413*100/L413,0)</f>
        <v>38.765566289648859</v>
      </c>
      <c r="P413" s="262">
        <f t="shared" ref="P413:P421" ca="1" si="307">IF(M413&gt;0,N413*100/M413,0)</f>
        <v>31.921969482793823</v>
      </c>
      <c r="Q413" s="212">
        <f t="shared" ref="Q413:S413" ca="1" si="308">Q414+Q415</f>
        <v>287810</v>
      </c>
      <c r="R413" s="213">
        <f t="shared" ca="1" si="308"/>
        <v>287810</v>
      </c>
      <c r="S413" s="213">
        <f t="shared" ca="1" si="308"/>
        <v>5300</v>
      </c>
      <c r="T413" s="213">
        <f t="shared" ref="T413:T421" ca="1" si="309">IF(Q413&gt;0,S413*100/Q413,0)</f>
        <v>1.8414926514019665</v>
      </c>
      <c r="U413" s="213">
        <f t="shared" ref="U413:U421" ca="1" si="310">IF(R413&gt;0,S413*100/R413,0)</f>
        <v>1.8414926514019665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5">
        <f t="shared" ref="L414:N414" ca="1" si="311">L417+L420</f>
        <v>0</v>
      </c>
      <c r="M414" s="75">
        <f t="shared" ca="1" si="311"/>
        <v>0</v>
      </c>
      <c r="N414" s="75">
        <f t="shared" ca="1" si="311"/>
        <v>0</v>
      </c>
      <c r="O414" s="75">
        <f t="shared" ca="1" si="306"/>
        <v>0</v>
      </c>
      <c r="P414" s="75">
        <f t="shared" ca="1" si="307"/>
        <v>0</v>
      </c>
      <c r="Q414" s="215">
        <f t="shared" ref="Q414:S414" ca="1" si="312">Q417+Q420</f>
        <v>0</v>
      </c>
      <c r="R414" s="131">
        <f t="shared" ca="1" si="312"/>
        <v>0</v>
      </c>
      <c r="S414" s="131">
        <f t="shared" ca="1" si="312"/>
        <v>0</v>
      </c>
      <c r="T414" s="131">
        <f t="shared" ca="1" si="309"/>
        <v>0</v>
      </c>
      <c r="U414" s="131">
        <f t="shared" ca="1" si="310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2">
        <f t="shared" ref="L415:N415" ca="1" si="313">L418+L421</f>
        <v>2097160</v>
      </c>
      <c r="M415" s="72">
        <f t="shared" ca="1" si="313"/>
        <v>2546760</v>
      </c>
      <c r="N415" s="72">
        <f t="shared" ca="1" si="313"/>
        <v>812975.95</v>
      </c>
      <c r="O415" s="72">
        <f t="shared" ca="1" si="306"/>
        <v>38.765566289648859</v>
      </c>
      <c r="P415" s="72">
        <f t="shared" ca="1" si="307"/>
        <v>31.921969482793823</v>
      </c>
      <c r="Q415" s="129">
        <f t="shared" ref="Q415:S415" ca="1" si="314">Q418+Q421</f>
        <v>287810</v>
      </c>
      <c r="R415" s="130">
        <f t="shared" ca="1" si="314"/>
        <v>287810</v>
      </c>
      <c r="S415" s="130">
        <f t="shared" ca="1" si="314"/>
        <v>5300</v>
      </c>
      <c r="T415" s="130">
        <f t="shared" ca="1" si="309"/>
        <v>1.8414926514019665</v>
      </c>
      <c r="U415" s="130">
        <f t="shared" ca="1" si="310"/>
        <v>1.8414926514019665</v>
      </c>
    </row>
    <row r="416" spans="1:21" ht="19.5" x14ac:dyDescent="0.3">
      <c r="A416" s="255"/>
      <c r="B416" s="267"/>
      <c r="C416" s="267"/>
      <c r="D416" s="566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2">
        <f t="shared" ref="L416:N416" ca="1" si="315">L417+L418</f>
        <v>2097160</v>
      </c>
      <c r="M416" s="72">
        <f t="shared" ca="1" si="315"/>
        <v>2546760</v>
      </c>
      <c r="N416" s="72">
        <f t="shared" ca="1" si="315"/>
        <v>812975.95</v>
      </c>
      <c r="O416" s="72">
        <f t="shared" ca="1" si="306"/>
        <v>38.765566289648859</v>
      </c>
      <c r="P416" s="72">
        <f t="shared" ca="1" si="307"/>
        <v>31.921969482793823</v>
      </c>
      <c r="Q416" s="129">
        <f t="shared" ref="Q416:S416" ca="1" si="316">Q417+Q418</f>
        <v>287810</v>
      </c>
      <c r="R416" s="130">
        <f t="shared" ca="1" si="316"/>
        <v>287810</v>
      </c>
      <c r="S416" s="130">
        <f t="shared" ca="1" si="316"/>
        <v>5300</v>
      </c>
      <c r="T416" s="130">
        <f t="shared" ca="1" si="309"/>
        <v>1.8414926514019665</v>
      </c>
      <c r="U416" s="130">
        <f t="shared" ca="1" si="310"/>
        <v>1.8414926514019665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5">
        <f ca="1">IFERROR(__xludf.DUMMYFUNCTION("IMPORTRANGE(""https://docs.google.com/spreadsheets/d/13wPX838HrBrQMCywv1BsuMkt4PEKTChp52zj44s2izQ/edit?usp=sharing"",""กาญจนบุรี!L417"")+IMPORTRANGE(""https://docs.google.com/spreadsheets/d/1ddFKvqj1W1NEiWytbGlB1zMx_ykJDVtmfEQ-6-lIUBA/edit?usp=sharing"","&amp;"""จันทบุรี!L417"")+IMPORTRANGE(""https://docs.google.com/spreadsheets/d/1T1PQvRODqOBZk8BRht_U031fIS1beLA0Ub2CEytj2q0/edit?usp=sharing"",""ฉะเชิงเทรา!L417"")+IMPORTRANGE(""https://docs.google.com/spreadsheets/d/11tr1B-Bhyr79v2bkwVh5h_fR-PStkgjlZtkrZpYurG0/"&amp;"edit?usp=sharing"",""ชลบุรี!L417"")+IMPORTRANGE(""https://docs.google.com/spreadsheets/d/1hh-FVnSX0vozXhGluamEcS54Dw9_zqW0N7qJUWgJ0Sw/edit?usp=sharing"",""ชัยนาท!L417"")+IMPORTRANGE(""https://docs.google.com/spreadsheets/d/1jkqa6GXxSacMcY1eN8AHjMNJ_7dDXMJ"&amp;"VRLDlaFSOdPM/edit?usp=sharing"",""ตราด!L417"")+IMPORTRANGE(""https://docs.google.com/spreadsheets/d/18hSgUJ3VwClqi_qtULmmW3cLr0oe3OKaSYoKzdpTsYQ/edit?usp=sharing"",""นครนายก!L417"")+IMPORTRANGE(""https://docs.google.com/spreadsheets/d/1YTZo6WM2dQ6Ix6FSdnL"&amp;"5P7uVnVKu40sxZu975tgG10E/edit?usp=sharing"",""นครปฐม!L417"")+IMPORTRANGE(""https://docs.google.com/spreadsheets/d/1OYoGg4WDg5RIzwGeB10padOxJF9E_Vljuvvct_M7RDo/edit?usp=sharing"",""ปทุมธานี!L417"")+IMPORTRANGE(""https://docs.google.com/spreadsheets/d/1GbCI"&amp;"E4D4wk9FUozzqk7SxfDMxDVBwVmI5zcaVUSzKAc/edit?usp=sharing"",""ประจวบคีรีขันธ์!L417"")+IMPORTRANGE(""https://docs.google.com/spreadsheets/d/1vVf6wykvW_lAyu7Yo9L4hUTqHqIeP_qcVuxCtosJEbg/edit?usp=sharing"",""ปราจีนบุรี!L417"")+IMPORTRANGE(""https://docs.googl"&amp;"e.com/spreadsheets/d/1BIDqLLg5jk3v59G8NlR8rk5xfQDKne0sAvZHSj7TI6I/edit?usp=sharing"",""พระนครศรีอยุธยา!L417"")+IMPORTRANGE(""https://docs.google.com/spreadsheets/d/1YXvxf8Yu6_rV4hTBrwMqAcAnv6DfhUxh5emyM3CJp_w/edit?usp=sharing"",""เพชรบุรี!L417"")+IMPORTRA"&amp;"NGE(""https://docs.google.com/spreadsheets/d/19KBlQQs7uwvsao6t2n-KvW3Ax8J8uRRfZPq1zPbXgKc/edit?usp=sharing"",""ระยอง!L417"")+IMPORTRANGE(""https://docs.google.com/spreadsheets/d/1jQ6P4QcrGM89YfqcC_PxOHGCMq5ezhucwJd8ci-NHng/edit?usp=sharing"",""ราชบุรี!L41"&amp;"7"")+IMPORTRANGE(""https://docs.google.com/spreadsheets/d/1lufeA2cfFqM-elVq2hznhDzC6Pr7wkJ9ZG_sYNGCMCU/edit?usp=sharing"",""ลพบุรี!L417"")+IMPORTRANGE(""https://docs.google.com/spreadsheets/d/10oOiF7loTyfsTkbd4MpaIm0HQ9SwB7IYHdIUvt-U1Uc/edit?usp=sharing"""&amp;",""สระแก้ว!L417"")+IMPORTRANGE(""https://docs.google.com/spreadsheets/d/1xmPlrr1QbdSIKvl1dWUl9K4PjAfSL9oeMr_37QVzcxc/edit?usp=sharing"",""สระบุรี!L417"")+IMPORTRANGE(""https://docs.google.com/spreadsheets/d/1j51vR6CYVGhABJpv6tkstgok82RLpXieLzW1yOY5rHw/edi"&amp;"t?usp=sharing"",""สิงห์บุรี!L417"")+IMPORTRANGE(""https://docs.google.com/spreadsheets/d/1H1EalTWKUSzO4Z1-1CwzoDUaVffgrThEBe2sl74kKG0/edit?usp=sharing"",""สุพรรณบุรี!L417"")+IMPORTRANGE(""https://docs.google.com/spreadsheets/d/1BmIruG_sIrJLYao_Pdr7zVArWsf"&amp;"oBt2692TMi6x_854/edit?usp=sharing"",""อ่างทอง!L417"")"),0)</f>
        <v>0</v>
      </c>
      <c r="M417" s="75">
        <f ca="1">IFERROR(__xludf.DUMMYFUNCTION("IMPORTRANGE(""https://docs.google.com/spreadsheets/d/13wPX838HrBrQMCywv1BsuMkt4PEKTChp52zj44s2izQ/edit?usp=sharing"",""กาญจนบุรี!M417"")+IMPORTRANGE(""https://docs.google.com/spreadsheets/d/1ddFKvqj1W1NEiWytbGlB1zMx_ykJDVtmfEQ-6-lIUBA/edit?usp=sharing"","&amp;"""จันทบุรี!M417"")+IMPORTRANGE(""https://docs.google.com/spreadsheets/d/1T1PQvRODqOBZk8BRht_U031fIS1beLA0Ub2CEytj2q0/edit?usp=sharing"",""ฉะเชิงเทรา!M417"")+IMPORTRANGE(""https://docs.google.com/spreadsheets/d/11tr1B-Bhyr79v2bkwVh5h_fR-PStkgjlZtkrZpYurG0/"&amp;"edit?usp=sharing"",""ชลบุรี!M417"")+IMPORTRANGE(""https://docs.google.com/spreadsheets/d/1hh-FVnSX0vozXhGluamEcS54Dw9_zqW0N7qJUWgJ0Sw/edit?usp=sharing"",""ชัยนาท!M417"")+IMPORTRANGE(""https://docs.google.com/spreadsheets/d/1jkqa6GXxSacMcY1eN8AHjMNJ_7dDXMJ"&amp;"VRLDlaFSOdPM/edit?usp=sharing"",""ตราด!M417"")+IMPORTRANGE(""https://docs.google.com/spreadsheets/d/18hSgUJ3VwClqi_qtULmmW3cLr0oe3OKaSYoKzdpTsYQ/edit?usp=sharing"",""นครนายก!M417"")+IMPORTRANGE(""https://docs.google.com/spreadsheets/d/1YTZo6WM2dQ6Ix6FSdnL"&amp;"5P7uVnVKu40sxZu975tgG10E/edit?usp=sharing"",""นครปฐม!M417"")+IMPORTRANGE(""https://docs.google.com/spreadsheets/d/1OYoGg4WDg5RIzwGeB10padOxJF9E_Vljuvvct_M7RDo/edit?usp=sharing"",""ปทุมธานี!M417"")+IMPORTRANGE(""https://docs.google.com/spreadsheets/d/1GbCI"&amp;"E4D4wk9FUozzqk7SxfDMxDVBwVmI5zcaVUSzKAc/edit?usp=sharing"",""ประจวบคีรีขันธ์!M417"")+IMPORTRANGE(""https://docs.google.com/spreadsheets/d/1vVf6wykvW_lAyu7Yo9L4hUTqHqIeP_qcVuxCtosJEbg/edit?usp=sharing"",""ปราจีนบุรี!M417"")+IMPORTRANGE(""https://docs.googl"&amp;"e.com/spreadsheets/d/1BIDqLLg5jk3v59G8NlR8rk5xfQDKne0sAvZHSj7TI6I/edit?usp=sharing"",""พระนครศรีอยุธยา!M417"")+IMPORTRANGE(""https://docs.google.com/spreadsheets/d/1YXvxf8Yu6_rV4hTBrwMqAcAnv6DfhUxh5emyM3CJp_w/edit?usp=sharing"",""เพชรบุรี!M417"")+IMPORTRA"&amp;"NGE(""https://docs.google.com/spreadsheets/d/19KBlQQs7uwvsao6t2n-KvW3Ax8J8uRRfZPq1zPbXgKc/edit?usp=sharing"",""ระยอง!M417"")+IMPORTRANGE(""https://docs.google.com/spreadsheets/d/1jQ6P4QcrGM89YfqcC_PxOHGCMq5ezhucwJd8ci-NHng/edit?usp=sharing"",""ราชบุรี!M41"&amp;"7"")+IMPORTRANGE(""https://docs.google.com/spreadsheets/d/1lufeA2cfFqM-elVq2hznhDzC6Pr7wkJ9ZG_sYNGCMCU/edit?usp=sharing"",""ลพบุรี!M417"")+IMPORTRANGE(""https://docs.google.com/spreadsheets/d/10oOiF7loTyfsTkbd4MpaIm0HQ9SwB7IYHdIUvt-U1Uc/edit?usp=sharing"""&amp;",""สระแก้ว!M417"")+IMPORTRANGE(""https://docs.google.com/spreadsheets/d/1xmPlrr1QbdSIKvl1dWUl9K4PjAfSL9oeMr_37QVzcxc/edit?usp=sharing"",""สระบุรี!M417"")+IMPORTRANGE(""https://docs.google.com/spreadsheets/d/1j51vR6CYVGhABJpv6tkstgok82RLpXieLzW1yOY5rHw/edi"&amp;"t?usp=sharing"",""สิงห์บุรี!M417"")+IMPORTRANGE(""https://docs.google.com/spreadsheets/d/1H1EalTWKUSzO4Z1-1CwzoDUaVffgrThEBe2sl74kKG0/edit?usp=sharing"",""สุพรรณบุรี!M417"")+IMPORTRANGE(""https://docs.google.com/spreadsheets/d/1BmIruG_sIrJLYao_Pdr7zVArWsf"&amp;"oBt2692TMi6x_854/edit?usp=sharing"",""อ่างทอง!M417"")"),0)</f>
        <v>0</v>
      </c>
      <c r="N417" s="75">
        <f ca="1">IFERROR(__xludf.DUMMYFUNCTION("IMPORTRANGE(""https://docs.google.com/spreadsheets/d/13wPX838HrBrQMCywv1BsuMkt4PEKTChp52zj44s2izQ/edit?usp=sharing"",""กาญจนบุรี!N417"")+IMPORTRANGE(""https://docs.google.com/spreadsheets/d/1ddFKvqj1W1NEiWytbGlB1zMx_ykJDVtmfEQ-6-lIUBA/edit?usp=sharing"","&amp;"""จันทบุรี!N417"")+IMPORTRANGE(""https://docs.google.com/spreadsheets/d/1T1PQvRODqOBZk8BRht_U031fIS1beLA0Ub2CEytj2q0/edit?usp=sharing"",""ฉะเชิงเทรา!N417"")+IMPORTRANGE(""https://docs.google.com/spreadsheets/d/11tr1B-Bhyr79v2bkwVh5h_fR-PStkgjlZtkrZpYurG0/"&amp;"edit?usp=sharing"",""ชลบุรี!N417"")+IMPORTRANGE(""https://docs.google.com/spreadsheets/d/1hh-FVnSX0vozXhGluamEcS54Dw9_zqW0N7qJUWgJ0Sw/edit?usp=sharing"",""ชัยนาท!N417"")+IMPORTRANGE(""https://docs.google.com/spreadsheets/d/1jkqa6GXxSacMcY1eN8AHjMNJ_7dDXMJ"&amp;"VRLDlaFSOdPM/edit?usp=sharing"",""ตราด!N417"")+IMPORTRANGE(""https://docs.google.com/spreadsheets/d/18hSgUJ3VwClqi_qtULmmW3cLr0oe3OKaSYoKzdpTsYQ/edit?usp=sharing"",""นครนายก!N417"")+IMPORTRANGE(""https://docs.google.com/spreadsheets/d/1YTZo6WM2dQ6Ix6FSdnL"&amp;"5P7uVnVKu40sxZu975tgG10E/edit?usp=sharing"",""นครปฐม!N417"")+IMPORTRANGE(""https://docs.google.com/spreadsheets/d/1OYoGg4WDg5RIzwGeB10padOxJF9E_Vljuvvct_M7RDo/edit?usp=sharing"",""ปทุมธานี!N417"")+IMPORTRANGE(""https://docs.google.com/spreadsheets/d/1GbCI"&amp;"E4D4wk9FUozzqk7SxfDMxDVBwVmI5zcaVUSzKAc/edit?usp=sharing"",""ประจวบคีรีขันธ์!N417"")+IMPORTRANGE(""https://docs.google.com/spreadsheets/d/1vVf6wykvW_lAyu7Yo9L4hUTqHqIeP_qcVuxCtosJEbg/edit?usp=sharing"",""ปราจีนบุรี!N417"")+IMPORTRANGE(""https://docs.googl"&amp;"e.com/spreadsheets/d/1BIDqLLg5jk3v59G8NlR8rk5xfQDKne0sAvZHSj7TI6I/edit?usp=sharing"",""พระนครศรีอยุธยา!N417"")+IMPORTRANGE(""https://docs.google.com/spreadsheets/d/1YXvxf8Yu6_rV4hTBrwMqAcAnv6DfhUxh5emyM3CJp_w/edit?usp=sharing"",""เพชรบุรี!N417"")+IMPORTRA"&amp;"NGE(""https://docs.google.com/spreadsheets/d/19KBlQQs7uwvsao6t2n-KvW3Ax8J8uRRfZPq1zPbXgKc/edit?usp=sharing"",""ระยอง!N417"")+IMPORTRANGE(""https://docs.google.com/spreadsheets/d/1jQ6P4QcrGM89YfqcC_PxOHGCMq5ezhucwJd8ci-NHng/edit?usp=sharing"",""ราชบุรี!N41"&amp;"7"")+IMPORTRANGE(""https://docs.google.com/spreadsheets/d/1lufeA2cfFqM-elVq2hznhDzC6Pr7wkJ9ZG_sYNGCMCU/edit?usp=sharing"",""ลพบุรี!N417"")+IMPORTRANGE(""https://docs.google.com/spreadsheets/d/10oOiF7loTyfsTkbd4MpaIm0HQ9SwB7IYHdIUvt-U1Uc/edit?usp=sharing"""&amp;",""สระแก้ว!N417"")+IMPORTRANGE(""https://docs.google.com/spreadsheets/d/1xmPlrr1QbdSIKvl1dWUl9K4PjAfSL9oeMr_37QVzcxc/edit?usp=sharing"",""สระบุรี!N417"")+IMPORTRANGE(""https://docs.google.com/spreadsheets/d/1j51vR6CYVGhABJpv6tkstgok82RLpXieLzW1yOY5rHw/edi"&amp;"t?usp=sharing"",""สิงห์บุรี!N417"")+IMPORTRANGE(""https://docs.google.com/spreadsheets/d/1H1EalTWKUSzO4Z1-1CwzoDUaVffgrThEBe2sl74kKG0/edit?usp=sharing"",""สุพรรณบุรี!N417"")+IMPORTRANGE(""https://docs.google.com/spreadsheets/d/1BmIruG_sIrJLYao_Pdr7zVArWsf"&amp;"oBt2692TMi6x_854/edit?usp=sharing"",""อ่างทอง!N417"")"),0)</f>
        <v>0</v>
      </c>
      <c r="O417" s="75">
        <f t="shared" ca="1" si="306"/>
        <v>0</v>
      </c>
      <c r="P417" s="75">
        <f t="shared" ca="1" si="307"/>
        <v>0</v>
      </c>
      <c r="Q417" s="74">
        <f ca="1">IFERROR(__xludf.DUMMYFUNCTION("IMPORTRANGE(""https://docs.google.com/spreadsheets/d/13wPX838HrBrQMCywv1BsuMkt4PEKTChp52zj44s2izQ/edit?usp=sharing"",""กาญจนบุรี!Q417"")+IMPORTRANGE(""https://docs.google.com/spreadsheets/d/1ddFKvqj1W1NEiWytbGlB1zMx_ykJDVtmfEQ-6-lIUBA/edit?usp=sharing"","&amp;"""จันทบุรี!Q417"")+IMPORTRANGE(""https://docs.google.com/spreadsheets/d/1T1PQvRODqOBZk8BRht_U031fIS1beLA0Ub2CEytj2q0/edit?usp=sharing"",""ฉะเชิงเทรา!Q417"")+IMPORTRANGE(""https://docs.google.com/spreadsheets/d/11tr1B-Bhyr79v2bkwVh5h_fR-PStkgjlZtkrZpYurG0/"&amp;"edit?usp=sharing"",""ชลบุรี!Q417"")+IMPORTRANGE(""https://docs.google.com/spreadsheets/d/1hh-FVnSX0vozXhGluamEcS54Dw9_zqW0N7qJUWgJ0Sw/edit?usp=sharing"",""ชัยนาท!Q417"")+IMPORTRANGE(""https://docs.google.com/spreadsheets/d/1jkqa6GXxSacMcY1eN8AHjMNJ_7dDXMJ"&amp;"VRLDlaFSOdPM/edit?usp=sharing"",""ตราด!Q417"")+IMPORTRANGE(""https://docs.google.com/spreadsheets/d/18hSgUJ3VwClqi_qtULmmW3cLr0oe3OKaSYoKzdpTsYQ/edit?usp=sharing"",""นครนายก!Q417"")+IMPORTRANGE(""https://docs.google.com/spreadsheets/d/1YTZo6WM2dQ6Ix6FSdnL"&amp;"5P7uVnVKu40sxZu975tgG10E/edit?usp=sharing"",""นครปฐม!Q417"")+IMPORTRANGE(""https://docs.google.com/spreadsheets/d/1OYoGg4WDg5RIzwGeB10padOxJF9E_Vljuvvct_M7RDo/edit?usp=sharing"",""ปทุมธานี!Q417"")+IMPORTRANGE(""https://docs.google.com/spreadsheets/d/1GbCI"&amp;"E4D4wk9FUozzqk7SxfDMxDVBwVmI5zcaVUSzKAc/edit?usp=sharing"",""ประจวบคีรีขันธ์!Q417"")+IMPORTRANGE(""https://docs.google.com/spreadsheets/d/1vVf6wykvW_lAyu7Yo9L4hUTqHqIeP_qcVuxCtosJEbg/edit?usp=sharing"",""ปราจีนบุรี!Q417"")+IMPORTRANGE(""https://docs.googl"&amp;"e.com/spreadsheets/d/1BIDqLLg5jk3v59G8NlR8rk5xfQDKne0sAvZHSj7TI6I/edit?usp=sharing"",""พระนครศรีอยุธยา!Q417"")+IMPORTRANGE(""https://docs.google.com/spreadsheets/d/1YXvxf8Yu6_rV4hTBrwMqAcAnv6DfhUxh5emyM3CJp_w/edit?usp=sharing"",""เพชรบุรี!Q417"")+IMPORTRA"&amp;"NGE(""https://docs.google.com/spreadsheets/d/19KBlQQs7uwvsao6t2n-KvW3Ax8J8uRRfZPq1zPbXgKc/edit?usp=sharing"",""ระยอง!Q417"")+IMPORTRANGE(""https://docs.google.com/spreadsheets/d/1jQ6P4QcrGM89YfqcC_PxOHGCMq5ezhucwJd8ci-NHng/edit?usp=sharing"",""ราชบุรี!Q41"&amp;"7"")+IMPORTRANGE(""https://docs.google.com/spreadsheets/d/1lufeA2cfFqM-elVq2hznhDzC6Pr7wkJ9ZG_sYNGCMCU/edit?usp=sharing"",""ลพบุรี!Q417"")+IMPORTRANGE(""https://docs.google.com/spreadsheets/d/10oOiF7loTyfsTkbd4MpaIm0HQ9SwB7IYHdIUvt-U1Uc/edit?usp=sharing"""&amp;",""สระแก้ว!Q417"")+IMPORTRANGE(""https://docs.google.com/spreadsheets/d/1xmPlrr1QbdSIKvl1dWUl9K4PjAfSL9oeMr_37QVzcxc/edit?usp=sharing"",""สระบุรี!Q417"")+IMPORTRANGE(""https://docs.google.com/spreadsheets/d/1j51vR6CYVGhABJpv6tkstgok82RLpXieLzW1yOY5rHw/edi"&amp;"t?usp=sharing"",""สิงห์บุรี!Q417"")+IMPORTRANGE(""https://docs.google.com/spreadsheets/d/1H1EalTWKUSzO4Z1-1CwzoDUaVffgrThEBe2sl74kKG0/edit?usp=sharing"",""สุพรรณบุรี!Q417"")+IMPORTRANGE(""https://docs.google.com/spreadsheets/d/1BmIruG_sIrJLYao_Pdr7zVArWsf"&amp;"oBt2692TMi6x_854/edit?usp=sharing"",""อ่างทอง!Q417"")"),0)</f>
        <v>0</v>
      </c>
      <c r="R417" s="75">
        <f ca="1">IFERROR(__xludf.DUMMYFUNCTION("IMPORTRANGE(""https://docs.google.com/spreadsheets/d/13wPX838HrBrQMCywv1BsuMkt4PEKTChp52zj44s2izQ/edit?usp=sharing"",""กาญจนบุรี!R417"")+IMPORTRANGE(""https://docs.google.com/spreadsheets/d/1ddFKvqj1W1NEiWytbGlB1zMx_ykJDVtmfEQ-6-lIUBA/edit?usp=sharing"","&amp;"""จันทบุรี!R417"")+IMPORTRANGE(""https://docs.google.com/spreadsheets/d/1T1PQvRODqOBZk8BRht_U031fIS1beLA0Ub2CEytj2q0/edit?usp=sharing"",""ฉะเชิงเทรา!R417"")+IMPORTRANGE(""https://docs.google.com/spreadsheets/d/11tr1B-Bhyr79v2bkwVh5h_fR-PStkgjlZtkrZpYurG0/"&amp;"edit?usp=sharing"",""ชลบุรี!R417"")+IMPORTRANGE(""https://docs.google.com/spreadsheets/d/1hh-FVnSX0vozXhGluamEcS54Dw9_zqW0N7qJUWgJ0Sw/edit?usp=sharing"",""ชัยนาท!R417"")+IMPORTRANGE(""https://docs.google.com/spreadsheets/d/1jkqa6GXxSacMcY1eN8AHjMNJ_7dDXMJ"&amp;"VRLDlaFSOdPM/edit?usp=sharing"",""ตราด!R417"")+IMPORTRANGE(""https://docs.google.com/spreadsheets/d/18hSgUJ3VwClqi_qtULmmW3cLr0oe3OKaSYoKzdpTsYQ/edit?usp=sharing"",""นครนายก!R417"")+IMPORTRANGE(""https://docs.google.com/spreadsheets/d/1YTZo6WM2dQ6Ix6FSdnL"&amp;"5P7uVnVKu40sxZu975tgG10E/edit?usp=sharing"",""นครปฐม!R417"")+IMPORTRANGE(""https://docs.google.com/spreadsheets/d/1OYoGg4WDg5RIzwGeB10padOxJF9E_Vljuvvct_M7RDo/edit?usp=sharing"",""ปทุมธานี!R417"")+IMPORTRANGE(""https://docs.google.com/spreadsheets/d/1GbCI"&amp;"E4D4wk9FUozzqk7SxfDMxDVBwVmI5zcaVUSzKAc/edit?usp=sharing"",""ประจวบคีรีขันธ์!R417"")+IMPORTRANGE(""https://docs.google.com/spreadsheets/d/1vVf6wykvW_lAyu7Yo9L4hUTqHqIeP_qcVuxCtosJEbg/edit?usp=sharing"",""ปราจีนบุรี!R417"")+IMPORTRANGE(""https://docs.googl"&amp;"e.com/spreadsheets/d/1BIDqLLg5jk3v59G8NlR8rk5xfQDKne0sAvZHSj7TI6I/edit?usp=sharing"",""พระนครศรีอยุธยา!R417"")+IMPORTRANGE(""https://docs.google.com/spreadsheets/d/1YXvxf8Yu6_rV4hTBrwMqAcAnv6DfhUxh5emyM3CJp_w/edit?usp=sharing"",""เพชรบุรี!R417"")+IMPORTRA"&amp;"NGE(""https://docs.google.com/spreadsheets/d/19KBlQQs7uwvsao6t2n-KvW3Ax8J8uRRfZPq1zPbXgKc/edit?usp=sharing"",""ระยอง!R417"")+IMPORTRANGE(""https://docs.google.com/spreadsheets/d/1jQ6P4QcrGM89YfqcC_PxOHGCMq5ezhucwJd8ci-NHng/edit?usp=sharing"",""ราชบุรี!R41"&amp;"7"")+IMPORTRANGE(""https://docs.google.com/spreadsheets/d/1lufeA2cfFqM-elVq2hznhDzC6Pr7wkJ9ZG_sYNGCMCU/edit?usp=sharing"",""ลพบุรี!R417"")+IMPORTRANGE(""https://docs.google.com/spreadsheets/d/10oOiF7loTyfsTkbd4MpaIm0HQ9SwB7IYHdIUvt-U1Uc/edit?usp=sharing"""&amp;",""สระแก้ว!R417"")+IMPORTRANGE(""https://docs.google.com/spreadsheets/d/1xmPlrr1QbdSIKvl1dWUl9K4PjAfSL9oeMr_37QVzcxc/edit?usp=sharing"",""สระบุรี!R417"")+IMPORTRANGE(""https://docs.google.com/spreadsheets/d/1j51vR6CYVGhABJpv6tkstgok82RLpXieLzW1yOY5rHw/edi"&amp;"t?usp=sharing"",""สิงห์บุรี!R417"")+IMPORTRANGE(""https://docs.google.com/spreadsheets/d/1H1EalTWKUSzO4Z1-1CwzoDUaVffgrThEBe2sl74kKG0/edit?usp=sharing"",""สุพรรณบุรี!R417"")+IMPORTRANGE(""https://docs.google.com/spreadsheets/d/1BmIruG_sIrJLYao_Pdr7zVArWsf"&amp;"oBt2692TMi6x_854/edit?usp=sharing"",""อ่างทอง!R417"")"),0)</f>
        <v>0</v>
      </c>
      <c r="S417" s="75">
        <f ca="1">IFERROR(__xludf.DUMMYFUNCTION("IMPORTRANGE(""https://docs.google.com/spreadsheets/d/13wPX838HrBrQMCywv1BsuMkt4PEKTChp52zj44s2izQ/edit?usp=sharing"",""กาญจนบุรี!S417"")+IMPORTRANGE(""https://docs.google.com/spreadsheets/d/1ddFKvqj1W1NEiWytbGlB1zMx_ykJDVtmfEQ-6-lIUBA/edit?usp=sharing"","&amp;"""จันทบุรี!S417"")+IMPORTRANGE(""https://docs.google.com/spreadsheets/d/1T1PQvRODqOBZk8BRht_U031fIS1beLA0Ub2CEytj2q0/edit?usp=sharing"",""ฉะเชิงเทรา!S417"")+IMPORTRANGE(""https://docs.google.com/spreadsheets/d/11tr1B-Bhyr79v2bkwVh5h_fR-PStkgjlZtkrZpYurG0/"&amp;"edit?usp=sharing"",""ชลบุรี!S417"")+IMPORTRANGE(""https://docs.google.com/spreadsheets/d/1hh-FVnSX0vozXhGluamEcS54Dw9_zqW0N7qJUWgJ0Sw/edit?usp=sharing"",""ชัยนาท!S417"")+IMPORTRANGE(""https://docs.google.com/spreadsheets/d/1jkqa6GXxSacMcY1eN8AHjMNJ_7dDXMJ"&amp;"VRLDlaFSOdPM/edit?usp=sharing"",""ตราด!S417"")+IMPORTRANGE(""https://docs.google.com/spreadsheets/d/18hSgUJ3VwClqi_qtULmmW3cLr0oe3OKaSYoKzdpTsYQ/edit?usp=sharing"",""นครนายก!S417"")+IMPORTRANGE(""https://docs.google.com/spreadsheets/d/1YTZo6WM2dQ6Ix6FSdnL"&amp;"5P7uVnVKu40sxZu975tgG10E/edit?usp=sharing"",""นครปฐม!S417"")+IMPORTRANGE(""https://docs.google.com/spreadsheets/d/1OYoGg4WDg5RIzwGeB10padOxJF9E_Vljuvvct_M7RDo/edit?usp=sharing"",""ปทุมธานี!S417"")+IMPORTRANGE(""https://docs.google.com/spreadsheets/d/1GbCI"&amp;"E4D4wk9FUozzqk7SxfDMxDVBwVmI5zcaVUSzKAc/edit?usp=sharing"",""ประจวบคีรีขันธ์!S417"")+IMPORTRANGE(""https://docs.google.com/spreadsheets/d/1vVf6wykvW_lAyu7Yo9L4hUTqHqIeP_qcVuxCtosJEbg/edit?usp=sharing"",""ปราจีนบุรี!S417"")+IMPORTRANGE(""https://docs.googl"&amp;"e.com/spreadsheets/d/1BIDqLLg5jk3v59G8NlR8rk5xfQDKne0sAvZHSj7TI6I/edit?usp=sharing"",""พระนครศรีอยุธยา!S417"")+IMPORTRANGE(""https://docs.google.com/spreadsheets/d/1YXvxf8Yu6_rV4hTBrwMqAcAnv6DfhUxh5emyM3CJp_w/edit?usp=sharing"",""เพชรบุรี!S417"")+IMPORTRA"&amp;"NGE(""https://docs.google.com/spreadsheets/d/19KBlQQs7uwvsao6t2n-KvW3Ax8J8uRRfZPq1zPbXgKc/edit?usp=sharing"",""ระยอง!S417"")+IMPORTRANGE(""https://docs.google.com/spreadsheets/d/1jQ6P4QcrGM89YfqcC_PxOHGCMq5ezhucwJd8ci-NHng/edit?usp=sharing"",""ราชบุรี!S41"&amp;"7"")+IMPORTRANGE(""https://docs.google.com/spreadsheets/d/1lufeA2cfFqM-elVq2hznhDzC6Pr7wkJ9ZG_sYNGCMCU/edit?usp=sharing"",""ลพบุรี!S417"")+IMPORTRANGE(""https://docs.google.com/spreadsheets/d/10oOiF7loTyfsTkbd4MpaIm0HQ9SwB7IYHdIUvt-U1Uc/edit?usp=sharing"""&amp;",""สระแก้ว!S417"")+IMPORTRANGE(""https://docs.google.com/spreadsheets/d/1xmPlrr1QbdSIKvl1dWUl9K4PjAfSL9oeMr_37QVzcxc/edit?usp=sharing"",""สระบุรี!S417"")+IMPORTRANGE(""https://docs.google.com/spreadsheets/d/1j51vR6CYVGhABJpv6tkstgok82RLpXieLzW1yOY5rHw/edi"&amp;"t?usp=sharing"",""สิงห์บุรี!S417"")+IMPORTRANGE(""https://docs.google.com/spreadsheets/d/1H1EalTWKUSzO4Z1-1CwzoDUaVffgrThEBe2sl74kKG0/edit?usp=sharing"",""สุพรรณบุรี!S417"")+IMPORTRANGE(""https://docs.google.com/spreadsheets/d/1BmIruG_sIrJLYao_Pdr7zVArWsf"&amp;"oBt2692TMi6x_854/edit?usp=sharing"",""อ่างทอง!S417"")"),0)</f>
        <v>0</v>
      </c>
      <c r="T417" s="131">
        <f t="shared" ca="1" si="309"/>
        <v>0</v>
      </c>
      <c r="U417" s="131">
        <f t="shared" ca="1" si="310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13wPX838HrBrQMCywv1BsuMkt4PEKTChp52zj44s2izQ/edit?usp=sharing"",""กาญจนบุรี!L418"")+IMPORTRANGE(""https://docs.google.com/spreadsheets/d/1ddFKvqj1W1NEiWytbGlB1zMx_ykJDVtmfEQ-6-lIUBA/edit?usp=sharing"","&amp;"""จันทบุรี!L418"")+IMPORTRANGE(""https://docs.google.com/spreadsheets/d/1T1PQvRODqOBZk8BRht_U031fIS1beLA0Ub2CEytj2q0/edit?usp=sharing"",""ฉะเชิงเทรา!L418"")+IMPORTRANGE(""https://docs.google.com/spreadsheets/d/11tr1B-Bhyr79v2bkwVh5h_fR-PStkgjlZtkrZpYurG0/"&amp;"edit?usp=sharing"",""ชลบุรี!L418"")+IMPORTRANGE(""https://docs.google.com/spreadsheets/d/1hh-FVnSX0vozXhGluamEcS54Dw9_zqW0N7qJUWgJ0Sw/edit?usp=sharing"",""ชัยนาท!L418"")+IMPORTRANGE(""https://docs.google.com/spreadsheets/d/1jkqa6GXxSacMcY1eN8AHjMNJ_7dDXMJ"&amp;"VRLDlaFSOdPM/edit?usp=sharing"",""ตราด!L418"")+IMPORTRANGE(""https://docs.google.com/spreadsheets/d/18hSgUJ3VwClqi_qtULmmW3cLr0oe3OKaSYoKzdpTsYQ/edit?usp=sharing"",""นครนายก!L418"")+IMPORTRANGE(""https://docs.google.com/spreadsheets/d/1YTZo6WM2dQ6Ix6FSdnL"&amp;"5P7uVnVKu40sxZu975tgG10E/edit?usp=sharing"",""นครปฐม!L418"")+IMPORTRANGE(""https://docs.google.com/spreadsheets/d/1OYoGg4WDg5RIzwGeB10padOxJF9E_Vljuvvct_M7RDo/edit?usp=sharing"",""ปทุมธานี!L418"")+IMPORTRANGE(""https://docs.google.com/spreadsheets/d/1GbCI"&amp;"E4D4wk9FUozzqk7SxfDMxDVBwVmI5zcaVUSzKAc/edit?usp=sharing"",""ประจวบคีรีขันธ์!L418"")+IMPORTRANGE(""https://docs.google.com/spreadsheets/d/1vVf6wykvW_lAyu7Yo9L4hUTqHqIeP_qcVuxCtosJEbg/edit?usp=sharing"",""ปราจีนบุรี!L418"")+IMPORTRANGE(""https://docs.googl"&amp;"e.com/spreadsheets/d/1BIDqLLg5jk3v59G8NlR8rk5xfQDKne0sAvZHSj7TI6I/edit?usp=sharing"",""พระนครศรีอยุธยา!L418"")+IMPORTRANGE(""https://docs.google.com/spreadsheets/d/1YXvxf8Yu6_rV4hTBrwMqAcAnv6DfhUxh5emyM3CJp_w/edit?usp=sharing"",""เพชรบุรี!L418"")+IMPORTRA"&amp;"NGE(""https://docs.google.com/spreadsheets/d/19KBlQQs7uwvsao6t2n-KvW3Ax8J8uRRfZPq1zPbXgKc/edit?usp=sharing"",""ระยอง!L418"")+IMPORTRANGE(""https://docs.google.com/spreadsheets/d/1jQ6P4QcrGM89YfqcC_PxOHGCMq5ezhucwJd8ci-NHng/edit?usp=sharing"",""ราชบุรี!L41"&amp;"8"")+IMPORTRANGE(""https://docs.google.com/spreadsheets/d/1lufeA2cfFqM-elVq2hznhDzC6Pr7wkJ9ZG_sYNGCMCU/edit?usp=sharing"",""ลพบุรี!L418"")+IMPORTRANGE(""https://docs.google.com/spreadsheets/d/10oOiF7loTyfsTkbd4MpaIm0HQ9SwB7IYHdIUvt-U1Uc/edit?usp=sharing"""&amp;",""สระแก้ว!L418"")+IMPORTRANGE(""https://docs.google.com/spreadsheets/d/1xmPlrr1QbdSIKvl1dWUl9K4PjAfSL9oeMr_37QVzcxc/edit?usp=sharing"",""สระบุรี!L418"")+IMPORTRANGE(""https://docs.google.com/spreadsheets/d/1j51vR6CYVGhABJpv6tkstgok82RLpXieLzW1yOY5rHw/edi"&amp;"t?usp=sharing"",""สิงห์บุรี!L418"")+IMPORTRANGE(""https://docs.google.com/spreadsheets/d/1H1EalTWKUSzO4Z1-1CwzoDUaVffgrThEBe2sl74kKG0/edit?usp=sharing"",""สุพรรณบุรี!L418"")+IMPORTRANGE(""https://docs.google.com/spreadsheets/d/1BmIruG_sIrJLYao_Pdr7zVArWsf"&amp;"oBt2692TMi6x_854/edit?usp=sharing"",""อ่างทอง!L418"")"),2097160)</f>
        <v>2097160</v>
      </c>
      <c r="M418" s="72">
        <f ca="1">IFERROR(__xludf.DUMMYFUNCTION("IMPORTRANGE(""https://docs.google.com/spreadsheets/d/13wPX838HrBrQMCywv1BsuMkt4PEKTChp52zj44s2izQ/edit?usp=sharing"",""กาญจนบุรี!M418"")+IMPORTRANGE(""https://docs.google.com/spreadsheets/d/1ddFKvqj1W1NEiWytbGlB1zMx_ykJDVtmfEQ-6-lIUBA/edit?usp=sharing"","&amp;"""จันทบุรี!M418"")+IMPORTRANGE(""https://docs.google.com/spreadsheets/d/1T1PQvRODqOBZk8BRht_U031fIS1beLA0Ub2CEytj2q0/edit?usp=sharing"",""ฉะเชิงเทรา!M418"")+IMPORTRANGE(""https://docs.google.com/spreadsheets/d/11tr1B-Bhyr79v2bkwVh5h_fR-PStkgjlZtkrZpYurG0/"&amp;"edit?usp=sharing"",""ชลบุรี!M418"")+IMPORTRANGE(""https://docs.google.com/spreadsheets/d/1hh-FVnSX0vozXhGluamEcS54Dw9_zqW0N7qJUWgJ0Sw/edit?usp=sharing"",""ชัยนาท!M418"")+IMPORTRANGE(""https://docs.google.com/spreadsheets/d/1jkqa6GXxSacMcY1eN8AHjMNJ_7dDXMJ"&amp;"VRLDlaFSOdPM/edit?usp=sharing"",""ตราด!M418"")+IMPORTRANGE(""https://docs.google.com/spreadsheets/d/18hSgUJ3VwClqi_qtULmmW3cLr0oe3OKaSYoKzdpTsYQ/edit?usp=sharing"",""นครนายก!M418"")+IMPORTRANGE(""https://docs.google.com/spreadsheets/d/1YTZo6WM2dQ6Ix6FSdnL"&amp;"5P7uVnVKu40sxZu975tgG10E/edit?usp=sharing"",""นครปฐม!M418"")+IMPORTRANGE(""https://docs.google.com/spreadsheets/d/1OYoGg4WDg5RIzwGeB10padOxJF9E_Vljuvvct_M7RDo/edit?usp=sharing"",""ปทุมธานี!M418"")+IMPORTRANGE(""https://docs.google.com/spreadsheets/d/1GbCI"&amp;"E4D4wk9FUozzqk7SxfDMxDVBwVmI5zcaVUSzKAc/edit?usp=sharing"",""ประจวบคีรีขันธ์!M418"")+IMPORTRANGE(""https://docs.google.com/spreadsheets/d/1vVf6wykvW_lAyu7Yo9L4hUTqHqIeP_qcVuxCtosJEbg/edit?usp=sharing"",""ปราจีนบุรี!M418"")+IMPORTRANGE(""https://docs.googl"&amp;"e.com/spreadsheets/d/1BIDqLLg5jk3v59G8NlR8rk5xfQDKne0sAvZHSj7TI6I/edit?usp=sharing"",""พระนครศรีอยุธยา!M418"")+IMPORTRANGE(""https://docs.google.com/spreadsheets/d/1YXvxf8Yu6_rV4hTBrwMqAcAnv6DfhUxh5emyM3CJp_w/edit?usp=sharing"",""เพชรบุรี!M418"")+IMPORTRA"&amp;"NGE(""https://docs.google.com/spreadsheets/d/19KBlQQs7uwvsao6t2n-KvW3Ax8J8uRRfZPq1zPbXgKc/edit?usp=sharing"",""ระยอง!M418"")+IMPORTRANGE(""https://docs.google.com/spreadsheets/d/1jQ6P4QcrGM89YfqcC_PxOHGCMq5ezhucwJd8ci-NHng/edit?usp=sharing"",""ราชบุรี!M41"&amp;"8"")+IMPORTRANGE(""https://docs.google.com/spreadsheets/d/1lufeA2cfFqM-elVq2hznhDzC6Pr7wkJ9ZG_sYNGCMCU/edit?usp=sharing"",""ลพบุรี!M418"")+IMPORTRANGE(""https://docs.google.com/spreadsheets/d/10oOiF7loTyfsTkbd4MpaIm0HQ9SwB7IYHdIUvt-U1Uc/edit?usp=sharing"""&amp;",""สระแก้ว!M418"")+IMPORTRANGE(""https://docs.google.com/spreadsheets/d/1xmPlrr1QbdSIKvl1dWUl9K4PjAfSL9oeMr_37QVzcxc/edit?usp=sharing"",""สระบุรี!M418"")+IMPORTRANGE(""https://docs.google.com/spreadsheets/d/1j51vR6CYVGhABJpv6tkstgok82RLpXieLzW1yOY5rHw/edi"&amp;"t?usp=sharing"",""สิงห์บุรี!M418"")+IMPORTRANGE(""https://docs.google.com/spreadsheets/d/1H1EalTWKUSzO4Z1-1CwzoDUaVffgrThEBe2sl74kKG0/edit?usp=sharing"",""สุพรรณบุรี!M418"")+IMPORTRANGE(""https://docs.google.com/spreadsheets/d/1BmIruG_sIrJLYao_Pdr7zVArWsf"&amp;"oBt2692TMi6x_854/edit?usp=sharing"",""อ่างทอง!M418"")"),2546760)</f>
        <v>2546760</v>
      </c>
      <c r="N418" s="72">
        <f ca="1">IFERROR(__xludf.DUMMYFUNCTION("IMPORTRANGE(""https://docs.google.com/spreadsheets/d/13wPX838HrBrQMCywv1BsuMkt4PEKTChp52zj44s2izQ/edit?usp=sharing"",""กาญจนบุรี!N418"")+IMPORTRANGE(""https://docs.google.com/spreadsheets/d/1ddFKvqj1W1NEiWytbGlB1zMx_ykJDVtmfEQ-6-lIUBA/edit?usp=sharing"","&amp;"""จันทบุรี!N418"")+IMPORTRANGE(""https://docs.google.com/spreadsheets/d/1T1PQvRODqOBZk8BRht_U031fIS1beLA0Ub2CEytj2q0/edit?usp=sharing"",""ฉะเชิงเทรา!N418"")+IMPORTRANGE(""https://docs.google.com/spreadsheets/d/11tr1B-Bhyr79v2bkwVh5h_fR-PStkgjlZtkrZpYurG0/"&amp;"edit?usp=sharing"",""ชลบุรี!N418"")+IMPORTRANGE(""https://docs.google.com/spreadsheets/d/1hh-FVnSX0vozXhGluamEcS54Dw9_zqW0N7qJUWgJ0Sw/edit?usp=sharing"",""ชัยนาท!N418"")+IMPORTRANGE(""https://docs.google.com/spreadsheets/d/1jkqa6GXxSacMcY1eN8AHjMNJ_7dDXMJ"&amp;"VRLDlaFSOdPM/edit?usp=sharing"",""ตราด!N418"")+IMPORTRANGE(""https://docs.google.com/spreadsheets/d/18hSgUJ3VwClqi_qtULmmW3cLr0oe3OKaSYoKzdpTsYQ/edit?usp=sharing"",""นครนายก!N418"")+IMPORTRANGE(""https://docs.google.com/spreadsheets/d/1YTZo6WM2dQ6Ix6FSdnL"&amp;"5P7uVnVKu40sxZu975tgG10E/edit?usp=sharing"",""นครปฐม!N418"")+IMPORTRANGE(""https://docs.google.com/spreadsheets/d/1OYoGg4WDg5RIzwGeB10padOxJF9E_Vljuvvct_M7RDo/edit?usp=sharing"",""ปทุมธานี!N418"")+IMPORTRANGE(""https://docs.google.com/spreadsheets/d/1GbCI"&amp;"E4D4wk9FUozzqk7SxfDMxDVBwVmI5zcaVUSzKAc/edit?usp=sharing"",""ประจวบคีรีขันธ์!N418"")+IMPORTRANGE(""https://docs.google.com/spreadsheets/d/1vVf6wykvW_lAyu7Yo9L4hUTqHqIeP_qcVuxCtosJEbg/edit?usp=sharing"",""ปราจีนบุรี!N418"")+IMPORTRANGE(""https://docs.googl"&amp;"e.com/spreadsheets/d/1BIDqLLg5jk3v59G8NlR8rk5xfQDKne0sAvZHSj7TI6I/edit?usp=sharing"",""พระนครศรีอยุธยา!N418"")+IMPORTRANGE(""https://docs.google.com/spreadsheets/d/1YXvxf8Yu6_rV4hTBrwMqAcAnv6DfhUxh5emyM3CJp_w/edit?usp=sharing"",""เพชรบุรี!N418"")+IMPORTRA"&amp;"NGE(""https://docs.google.com/spreadsheets/d/19KBlQQs7uwvsao6t2n-KvW3Ax8J8uRRfZPq1zPbXgKc/edit?usp=sharing"",""ระยอง!N418"")+IMPORTRANGE(""https://docs.google.com/spreadsheets/d/1jQ6P4QcrGM89YfqcC_PxOHGCMq5ezhucwJd8ci-NHng/edit?usp=sharing"",""ราชบุรี!N41"&amp;"8"")+IMPORTRANGE(""https://docs.google.com/spreadsheets/d/1lufeA2cfFqM-elVq2hznhDzC6Pr7wkJ9ZG_sYNGCMCU/edit?usp=sharing"",""ลพบุรี!N418"")+IMPORTRANGE(""https://docs.google.com/spreadsheets/d/10oOiF7loTyfsTkbd4MpaIm0HQ9SwB7IYHdIUvt-U1Uc/edit?usp=sharing"""&amp;",""สระแก้ว!N418"")+IMPORTRANGE(""https://docs.google.com/spreadsheets/d/1xmPlrr1QbdSIKvl1dWUl9K4PjAfSL9oeMr_37QVzcxc/edit?usp=sharing"",""สระบุรี!N418"")+IMPORTRANGE(""https://docs.google.com/spreadsheets/d/1j51vR6CYVGhABJpv6tkstgok82RLpXieLzW1yOY5rHw/edi"&amp;"t?usp=sharing"",""สิงห์บุรี!N418"")+IMPORTRANGE(""https://docs.google.com/spreadsheets/d/1H1EalTWKUSzO4Z1-1CwzoDUaVffgrThEBe2sl74kKG0/edit?usp=sharing"",""สุพรรณบุรี!N418"")+IMPORTRANGE(""https://docs.google.com/spreadsheets/d/1BmIruG_sIrJLYao_Pdr7zVArWsf"&amp;"oBt2692TMi6x_854/edit?usp=sharing"",""อ่างทอง!N418"")"),812975.95)</f>
        <v>812975.95</v>
      </c>
      <c r="O418" s="72">
        <f t="shared" ca="1" si="306"/>
        <v>38.765566289648859</v>
      </c>
      <c r="P418" s="72">
        <f t="shared" ca="1" si="307"/>
        <v>31.921969482793823</v>
      </c>
      <c r="Q418" s="129">
        <f ca="1">IFERROR(__xludf.DUMMYFUNCTION("IMPORTRANGE(""https://docs.google.com/spreadsheets/d/13wPX838HrBrQMCywv1BsuMkt4PEKTChp52zj44s2izQ/edit?usp=sharing"",""กาญจนบุรี!Q418"")+IMPORTRANGE(""https://docs.google.com/spreadsheets/d/1ddFKvqj1W1NEiWytbGlB1zMx_ykJDVtmfEQ-6-lIUBA/edit?usp=sharing"","&amp;"""จันทบุรี!Q418"")+IMPORTRANGE(""https://docs.google.com/spreadsheets/d/1T1PQvRODqOBZk8BRht_U031fIS1beLA0Ub2CEytj2q0/edit?usp=sharing"",""ฉะเชิงเทรา!Q418"")+IMPORTRANGE(""https://docs.google.com/spreadsheets/d/11tr1B-Bhyr79v2bkwVh5h_fR-PStkgjlZtkrZpYurG0/"&amp;"edit?usp=sharing"",""ชลบุรี!Q418"")+IMPORTRANGE(""https://docs.google.com/spreadsheets/d/1hh-FVnSX0vozXhGluamEcS54Dw9_zqW0N7qJUWgJ0Sw/edit?usp=sharing"",""ชัยนาท!Q418"")+IMPORTRANGE(""https://docs.google.com/spreadsheets/d/1jkqa6GXxSacMcY1eN8AHjMNJ_7dDXMJ"&amp;"VRLDlaFSOdPM/edit?usp=sharing"",""ตราด!Q418"")+IMPORTRANGE(""https://docs.google.com/spreadsheets/d/18hSgUJ3VwClqi_qtULmmW3cLr0oe3OKaSYoKzdpTsYQ/edit?usp=sharing"",""นครนายก!Q418"")+IMPORTRANGE(""https://docs.google.com/spreadsheets/d/1YTZo6WM2dQ6Ix6FSdnL"&amp;"5P7uVnVKu40sxZu975tgG10E/edit?usp=sharing"",""นครปฐม!Q418"")+IMPORTRANGE(""https://docs.google.com/spreadsheets/d/1OYoGg4WDg5RIzwGeB10padOxJF9E_Vljuvvct_M7RDo/edit?usp=sharing"",""ปทุมธานี!Q418"")+IMPORTRANGE(""https://docs.google.com/spreadsheets/d/1GbCI"&amp;"E4D4wk9FUozzqk7SxfDMxDVBwVmI5zcaVUSzKAc/edit?usp=sharing"",""ประจวบคีรีขันธ์!Q418"")+IMPORTRANGE(""https://docs.google.com/spreadsheets/d/1vVf6wykvW_lAyu7Yo9L4hUTqHqIeP_qcVuxCtosJEbg/edit?usp=sharing"",""ปราจีนบุรี!Q418"")+IMPORTRANGE(""https://docs.googl"&amp;"e.com/spreadsheets/d/1BIDqLLg5jk3v59G8NlR8rk5xfQDKne0sAvZHSj7TI6I/edit?usp=sharing"",""พระนครศรีอยุธยา!Q418"")+IMPORTRANGE(""https://docs.google.com/spreadsheets/d/1YXvxf8Yu6_rV4hTBrwMqAcAnv6DfhUxh5emyM3CJp_w/edit?usp=sharing"",""เพชรบุรี!Q418"")+IMPORTRA"&amp;"NGE(""https://docs.google.com/spreadsheets/d/19KBlQQs7uwvsao6t2n-KvW3Ax8J8uRRfZPq1zPbXgKc/edit?usp=sharing"",""ระยอง!Q418"")+IMPORTRANGE(""https://docs.google.com/spreadsheets/d/1jQ6P4QcrGM89YfqcC_PxOHGCMq5ezhucwJd8ci-NHng/edit?usp=sharing"",""ราชบุรี!Q41"&amp;"8"")+IMPORTRANGE(""https://docs.google.com/spreadsheets/d/1lufeA2cfFqM-elVq2hznhDzC6Pr7wkJ9ZG_sYNGCMCU/edit?usp=sharing"",""ลพบุรี!Q418"")+IMPORTRANGE(""https://docs.google.com/spreadsheets/d/10oOiF7loTyfsTkbd4MpaIm0HQ9SwB7IYHdIUvt-U1Uc/edit?usp=sharing"""&amp;",""สระแก้ว!Q418"")+IMPORTRANGE(""https://docs.google.com/spreadsheets/d/1xmPlrr1QbdSIKvl1dWUl9K4PjAfSL9oeMr_37QVzcxc/edit?usp=sharing"",""สระบุรี!Q418"")+IMPORTRANGE(""https://docs.google.com/spreadsheets/d/1j51vR6CYVGhABJpv6tkstgok82RLpXieLzW1yOY5rHw/edi"&amp;"t?usp=sharing"",""สิงห์บุรี!Q418"")+IMPORTRANGE(""https://docs.google.com/spreadsheets/d/1H1EalTWKUSzO4Z1-1CwzoDUaVffgrThEBe2sl74kKG0/edit?usp=sharing"",""สุพรรณบุรี!Q418"")+IMPORTRANGE(""https://docs.google.com/spreadsheets/d/1BmIruG_sIrJLYao_Pdr7zVArWsf"&amp;"oBt2692TMi6x_854/edit?usp=sharing"",""อ่างทอง!Q418"")"),287810)</f>
        <v>287810</v>
      </c>
      <c r="R418" s="130">
        <f ca="1">IFERROR(__xludf.DUMMYFUNCTION("IMPORTRANGE(""https://docs.google.com/spreadsheets/d/13wPX838HrBrQMCywv1BsuMkt4PEKTChp52zj44s2izQ/edit?usp=sharing"",""กาญจนบุรี!R418"")+IMPORTRANGE(""https://docs.google.com/spreadsheets/d/1ddFKvqj1W1NEiWytbGlB1zMx_ykJDVtmfEQ-6-lIUBA/edit?usp=sharing"","&amp;"""จันทบุรี!R418"")+IMPORTRANGE(""https://docs.google.com/spreadsheets/d/1T1PQvRODqOBZk8BRht_U031fIS1beLA0Ub2CEytj2q0/edit?usp=sharing"",""ฉะเชิงเทรา!R418"")+IMPORTRANGE(""https://docs.google.com/spreadsheets/d/11tr1B-Bhyr79v2bkwVh5h_fR-PStkgjlZtkrZpYurG0/"&amp;"edit?usp=sharing"",""ชลบุรี!R418"")+IMPORTRANGE(""https://docs.google.com/spreadsheets/d/1hh-FVnSX0vozXhGluamEcS54Dw9_zqW0N7qJUWgJ0Sw/edit?usp=sharing"",""ชัยนาท!R418"")+IMPORTRANGE(""https://docs.google.com/spreadsheets/d/1jkqa6GXxSacMcY1eN8AHjMNJ_7dDXMJ"&amp;"VRLDlaFSOdPM/edit?usp=sharing"",""ตราด!R418"")+IMPORTRANGE(""https://docs.google.com/spreadsheets/d/18hSgUJ3VwClqi_qtULmmW3cLr0oe3OKaSYoKzdpTsYQ/edit?usp=sharing"",""นครนายก!R418"")+IMPORTRANGE(""https://docs.google.com/spreadsheets/d/1YTZo6WM2dQ6Ix6FSdnL"&amp;"5P7uVnVKu40sxZu975tgG10E/edit?usp=sharing"",""นครปฐม!R418"")+IMPORTRANGE(""https://docs.google.com/spreadsheets/d/1OYoGg4WDg5RIzwGeB10padOxJF9E_Vljuvvct_M7RDo/edit?usp=sharing"",""ปทุมธานี!R418"")+IMPORTRANGE(""https://docs.google.com/spreadsheets/d/1GbCI"&amp;"E4D4wk9FUozzqk7SxfDMxDVBwVmI5zcaVUSzKAc/edit?usp=sharing"",""ประจวบคีรีขันธ์!R418"")+IMPORTRANGE(""https://docs.google.com/spreadsheets/d/1vVf6wykvW_lAyu7Yo9L4hUTqHqIeP_qcVuxCtosJEbg/edit?usp=sharing"",""ปราจีนบุรี!R418"")+IMPORTRANGE(""https://docs.googl"&amp;"e.com/spreadsheets/d/1BIDqLLg5jk3v59G8NlR8rk5xfQDKne0sAvZHSj7TI6I/edit?usp=sharing"",""พระนครศรีอยุธยา!R418"")+IMPORTRANGE(""https://docs.google.com/spreadsheets/d/1YXvxf8Yu6_rV4hTBrwMqAcAnv6DfhUxh5emyM3CJp_w/edit?usp=sharing"",""เพชรบุรี!R418"")+IMPORTRA"&amp;"NGE(""https://docs.google.com/spreadsheets/d/19KBlQQs7uwvsao6t2n-KvW3Ax8J8uRRfZPq1zPbXgKc/edit?usp=sharing"",""ระยอง!R418"")+IMPORTRANGE(""https://docs.google.com/spreadsheets/d/1jQ6P4QcrGM89YfqcC_PxOHGCMq5ezhucwJd8ci-NHng/edit?usp=sharing"",""ราชบุรี!R41"&amp;"8"")+IMPORTRANGE(""https://docs.google.com/spreadsheets/d/1lufeA2cfFqM-elVq2hznhDzC6Pr7wkJ9ZG_sYNGCMCU/edit?usp=sharing"",""ลพบุรี!R418"")+IMPORTRANGE(""https://docs.google.com/spreadsheets/d/10oOiF7loTyfsTkbd4MpaIm0HQ9SwB7IYHdIUvt-U1Uc/edit?usp=sharing"""&amp;",""สระแก้ว!R418"")+IMPORTRANGE(""https://docs.google.com/spreadsheets/d/1xmPlrr1QbdSIKvl1dWUl9K4PjAfSL9oeMr_37QVzcxc/edit?usp=sharing"",""สระบุรี!R418"")+IMPORTRANGE(""https://docs.google.com/spreadsheets/d/1j51vR6CYVGhABJpv6tkstgok82RLpXieLzW1yOY5rHw/edi"&amp;"t?usp=sharing"",""สิงห์บุรี!R418"")+IMPORTRANGE(""https://docs.google.com/spreadsheets/d/1H1EalTWKUSzO4Z1-1CwzoDUaVffgrThEBe2sl74kKG0/edit?usp=sharing"",""สุพรรณบุรี!R418"")+IMPORTRANGE(""https://docs.google.com/spreadsheets/d/1BmIruG_sIrJLYao_Pdr7zVArWsf"&amp;"oBt2692TMi6x_854/edit?usp=sharing"",""อ่างทอง!R418"")"),287810)</f>
        <v>287810</v>
      </c>
      <c r="S418" s="130">
        <f ca="1">IFERROR(__xludf.DUMMYFUNCTION("IMPORTRANGE(""https://docs.google.com/spreadsheets/d/13wPX838HrBrQMCywv1BsuMkt4PEKTChp52zj44s2izQ/edit?usp=sharing"",""กาญจนบุรี!S418"")+IMPORTRANGE(""https://docs.google.com/spreadsheets/d/1ddFKvqj1W1NEiWytbGlB1zMx_ykJDVtmfEQ-6-lIUBA/edit?usp=sharing"","&amp;"""จันทบุรี!S418"")+IMPORTRANGE(""https://docs.google.com/spreadsheets/d/1T1PQvRODqOBZk8BRht_U031fIS1beLA0Ub2CEytj2q0/edit?usp=sharing"",""ฉะเชิงเทรา!S418"")+IMPORTRANGE(""https://docs.google.com/spreadsheets/d/11tr1B-Bhyr79v2bkwVh5h_fR-PStkgjlZtkrZpYurG0/"&amp;"edit?usp=sharing"",""ชลบุรี!S418"")+IMPORTRANGE(""https://docs.google.com/spreadsheets/d/1hh-FVnSX0vozXhGluamEcS54Dw9_zqW0N7qJUWgJ0Sw/edit?usp=sharing"",""ชัยนาท!S418"")+IMPORTRANGE(""https://docs.google.com/spreadsheets/d/1jkqa6GXxSacMcY1eN8AHjMNJ_7dDXMJ"&amp;"VRLDlaFSOdPM/edit?usp=sharing"",""ตราด!S418"")+IMPORTRANGE(""https://docs.google.com/spreadsheets/d/18hSgUJ3VwClqi_qtULmmW3cLr0oe3OKaSYoKzdpTsYQ/edit?usp=sharing"",""นครนายก!S418"")+IMPORTRANGE(""https://docs.google.com/spreadsheets/d/1YTZo6WM2dQ6Ix6FSdnL"&amp;"5P7uVnVKu40sxZu975tgG10E/edit?usp=sharing"",""นครปฐม!S418"")+IMPORTRANGE(""https://docs.google.com/spreadsheets/d/1OYoGg4WDg5RIzwGeB10padOxJF9E_Vljuvvct_M7RDo/edit?usp=sharing"",""ปทุมธานี!S418"")+IMPORTRANGE(""https://docs.google.com/spreadsheets/d/1GbCI"&amp;"E4D4wk9FUozzqk7SxfDMxDVBwVmI5zcaVUSzKAc/edit?usp=sharing"",""ประจวบคีรีขันธ์!S418"")+IMPORTRANGE(""https://docs.google.com/spreadsheets/d/1vVf6wykvW_lAyu7Yo9L4hUTqHqIeP_qcVuxCtosJEbg/edit?usp=sharing"",""ปราจีนบุรี!S418"")+IMPORTRANGE(""https://docs.googl"&amp;"e.com/spreadsheets/d/1BIDqLLg5jk3v59G8NlR8rk5xfQDKne0sAvZHSj7TI6I/edit?usp=sharing"",""พระนครศรีอยุธยา!S418"")+IMPORTRANGE(""https://docs.google.com/spreadsheets/d/1YXvxf8Yu6_rV4hTBrwMqAcAnv6DfhUxh5emyM3CJp_w/edit?usp=sharing"",""เพชรบุรี!S418"")+IMPORTRA"&amp;"NGE(""https://docs.google.com/spreadsheets/d/19KBlQQs7uwvsao6t2n-KvW3Ax8J8uRRfZPq1zPbXgKc/edit?usp=sharing"",""ระยอง!S418"")+IMPORTRANGE(""https://docs.google.com/spreadsheets/d/1jQ6P4QcrGM89YfqcC_PxOHGCMq5ezhucwJd8ci-NHng/edit?usp=sharing"",""ราชบุรี!S41"&amp;"8"")+IMPORTRANGE(""https://docs.google.com/spreadsheets/d/1lufeA2cfFqM-elVq2hznhDzC6Pr7wkJ9ZG_sYNGCMCU/edit?usp=sharing"",""ลพบุรี!S418"")+IMPORTRANGE(""https://docs.google.com/spreadsheets/d/10oOiF7loTyfsTkbd4MpaIm0HQ9SwB7IYHdIUvt-U1Uc/edit?usp=sharing"""&amp;",""สระแก้ว!S418"")+IMPORTRANGE(""https://docs.google.com/spreadsheets/d/1xmPlrr1QbdSIKvl1dWUl9K4PjAfSL9oeMr_37QVzcxc/edit?usp=sharing"",""สระบุรี!S418"")+IMPORTRANGE(""https://docs.google.com/spreadsheets/d/1j51vR6CYVGhABJpv6tkstgok82RLpXieLzW1yOY5rHw/edi"&amp;"t?usp=sharing"",""สิงห์บุรี!S418"")+IMPORTRANGE(""https://docs.google.com/spreadsheets/d/1H1EalTWKUSzO4Z1-1CwzoDUaVffgrThEBe2sl74kKG0/edit?usp=sharing"",""สุพรรณบุรี!S418"")+IMPORTRANGE(""https://docs.google.com/spreadsheets/d/1BmIruG_sIrJLYao_Pdr7zVArWsf"&amp;"oBt2692TMi6x_854/edit?usp=sharing"",""อ่างทอง!S418"")"),5300)</f>
        <v>5300</v>
      </c>
      <c r="T418" s="130">
        <f t="shared" ca="1" si="309"/>
        <v>1.8414926514019665</v>
      </c>
      <c r="U418" s="130">
        <f t="shared" ca="1" si="310"/>
        <v>1.8414926514019665</v>
      </c>
    </row>
    <row r="419" spans="1:21" ht="19.5" x14ac:dyDescent="0.3">
      <c r="A419" s="255"/>
      <c r="B419" s="267"/>
      <c r="C419" s="267"/>
      <c r="D419" s="566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2">
        <f t="shared" ref="L419:N419" ca="1" si="317">L420+L421</f>
        <v>0</v>
      </c>
      <c r="M419" s="72">
        <f t="shared" ca="1" si="317"/>
        <v>0</v>
      </c>
      <c r="N419" s="72">
        <f t="shared" ca="1" si="317"/>
        <v>0</v>
      </c>
      <c r="O419" s="72">
        <f t="shared" ca="1" si="306"/>
        <v>0</v>
      </c>
      <c r="P419" s="72">
        <f t="shared" ca="1" si="307"/>
        <v>0</v>
      </c>
      <c r="Q419" s="129">
        <f t="shared" ref="Q419:S419" ca="1" si="318">Q420+Q421</f>
        <v>0</v>
      </c>
      <c r="R419" s="130">
        <f t="shared" ca="1" si="318"/>
        <v>0</v>
      </c>
      <c r="S419" s="130">
        <f t="shared" ca="1" si="318"/>
        <v>0</v>
      </c>
      <c r="T419" s="130">
        <f t="shared" ca="1" si="309"/>
        <v>0</v>
      </c>
      <c r="U419" s="130">
        <f t="shared" ca="1" si="310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5">
        <f ca="1">IFERROR(__xludf.DUMMYFUNCTION("IMPORTRANGE(""https://docs.google.com/spreadsheets/d/13wPX838HrBrQMCywv1BsuMkt4PEKTChp52zj44s2izQ/edit?usp=sharing"",""กาญจนบุรี!L420"")+IMPORTRANGE(""https://docs.google.com/spreadsheets/d/1ddFKvqj1W1NEiWytbGlB1zMx_ykJDVtmfEQ-6-lIUBA/edit?usp=sharing"","&amp;"""จันทบุรี!L420"")+IMPORTRANGE(""https://docs.google.com/spreadsheets/d/1T1PQvRODqOBZk8BRht_U031fIS1beLA0Ub2CEytj2q0/edit?usp=sharing"",""ฉะเชิงเทรา!L420"")+IMPORTRANGE(""https://docs.google.com/spreadsheets/d/11tr1B-Bhyr79v2bkwVh5h_fR-PStkgjlZtkrZpYurG0/"&amp;"edit?usp=sharing"",""ชลบุรี!L420"")+IMPORTRANGE(""https://docs.google.com/spreadsheets/d/1hh-FVnSX0vozXhGluamEcS54Dw9_zqW0N7qJUWgJ0Sw/edit?usp=sharing"",""ชัยนาท!L420"")+IMPORTRANGE(""https://docs.google.com/spreadsheets/d/1jkqa6GXxSacMcY1eN8AHjMNJ_7dDXMJ"&amp;"VRLDlaFSOdPM/edit?usp=sharing"",""ตราด!L420"")+IMPORTRANGE(""https://docs.google.com/spreadsheets/d/18hSgUJ3VwClqi_qtULmmW3cLr0oe3OKaSYoKzdpTsYQ/edit?usp=sharing"",""นครนายก!L420"")+IMPORTRANGE(""https://docs.google.com/spreadsheets/d/1YTZo6WM2dQ6Ix6FSdnL"&amp;"5P7uVnVKu40sxZu975tgG10E/edit?usp=sharing"",""นครปฐม!L420"")+IMPORTRANGE(""https://docs.google.com/spreadsheets/d/1OYoGg4WDg5RIzwGeB10padOxJF9E_Vljuvvct_M7RDo/edit?usp=sharing"",""ปทุมธานี!L420"")+IMPORTRANGE(""https://docs.google.com/spreadsheets/d/1GbCI"&amp;"E4D4wk9FUozzqk7SxfDMxDVBwVmI5zcaVUSzKAc/edit?usp=sharing"",""ประจวบคีรีขันธ์!L420"")+IMPORTRANGE(""https://docs.google.com/spreadsheets/d/1vVf6wykvW_lAyu7Yo9L4hUTqHqIeP_qcVuxCtosJEbg/edit?usp=sharing"",""ปราจีนบุรี!L420"")+IMPORTRANGE(""https://docs.googl"&amp;"e.com/spreadsheets/d/1BIDqLLg5jk3v59G8NlR8rk5xfQDKne0sAvZHSj7TI6I/edit?usp=sharing"",""พระนครศรีอยุธยา!L420"")+IMPORTRANGE(""https://docs.google.com/spreadsheets/d/1YXvxf8Yu6_rV4hTBrwMqAcAnv6DfhUxh5emyM3CJp_w/edit?usp=sharing"",""เพชรบุรี!L420"")+IMPORTRA"&amp;"NGE(""https://docs.google.com/spreadsheets/d/19KBlQQs7uwvsao6t2n-KvW3Ax8J8uRRfZPq1zPbXgKc/edit?usp=sharing"",""ระยอง!L420"")+IMPORTRANGE(""https://docs.google.com/spreadsheets/d/1jQ6P4QcrGM89YfqcC_PxOHGCMq5ezhucwJd8ci-NHng/edit?usp=sharing"",""ราชบุรี!L42"&amp;"0"")+IMPORTRANGE(""https://docs.google.com/spreadsheets/d/1lufeA2cfFqM-elVq2hznhDzC6Pr7wkJ9ZG_sYNGCMCU/edit?usp=sharing"",""ลพบุรี!L420"")+IMPORTRANGE(""https://docs.google.com/spreadsheets/d/10oOiF7loTyfsTkbd4MpaIm0HQ9SwB7IYHdIUvt-U1Uc/edit?usp=sharing"""&amp;",""สระแก้ว!L420"")+IMPORTRANGE(""https://docs.google.com/spreadsheets/d/1xmPlrr1QbdSIKvl1dWUl9K4PjAfSL9oeMr_37QVzcxc/edit?usp=sharing"",""สระบุรี!L420"")+IMPORTRANGE(""https://docs.google.com/spreadsheets/d/1j51vR6CYVGhABJpv6tkstgok82RLpXieLzW1yOY5rHw/edi"&amp;"t?usp=sharing"",""สิงห์บุรี!L420"")+IMPORTRANGE(""https://docs.google.com/spreadsheets/d/1H1EalTWKUSzO4Z1-1CwzoDUaVffgrThEBe2sl74kKG0/edit?usp=sharing"",""สุพรรณบุรี!L420"")+IMPORTRANGE(""https://docs.google.com/spreadsheets/d/1BmIruG_sIrJLYao_Pdr7zVArWsf"&amp;"oBt2692TMi6x_854/edit?usp=sharing"",""อ่างทอง!L420"")"),0)</f>
        <v>0</v>
      </c>
      <c r="M420" s="75">
        <f ca="1">IFERROR(__xludf.DUMMYFUNCTION("IMPORTRANGE(""https://docs.google.com/spreadsheets/d/13wPX838HrBrQMCywv1BsuMkt4PEKTChp52zj44s2izQ/edit?usp=sharing"",""กาญจนบุรี!M420"")+IMPORTRANGE(""https://docs.google.com/spreadsheets/d/1ddFKvqj1W1NEiWytbGlB1zMx_ykJDVtmfEQ-6-lIUBA/edit?usp=sharing"","&amp;"""จันทบุรี!M420"")+IMPORTRANGE(""https://docs.google.com/spreadsheets/d/1T1PQvRODqOBZk8BRht_U031fIS1beLA0Ub2CEytj2q0/edit?usp=sharing"",""ฉะเชิงเทรา!M420"")+IMPORTRANGE(""https://docs.google.com/spreadsheets/d/11tr1B-Bhyr79v2bkwVh5h_fR-PStkgjlZtkrZpYurG0/"&amp;"edit?usp=sharing"",""ชลบุรี!M420"")+IMPORTRANGE(""https://docs.google.com/spreadsheets/d/1hh-FVnSX0vozXhGluamEcS54Dw9_zqW0N7qJUWgJ0Sw/edit?usp=sharing"",""ชัยนาท!M420"")+IMPORTRANGE(""https://docs.google.com/spreadsheets/d/1jkqa6GXxSacMcY1eN8AHjMNJ_7dDXMJ"&amp;"VRLDlaFSOdPM/edit?usp=sharing"",""ตราด!M420"")+IMPORTRANGE(""https://docs.google.com/spreadsheets/d/18hSgUJ3VwClqi_qtULmmW3cLr0oe3OKaSYoKzdpTsYQ/edit?usp=sharing"",""นครนายก!M420"")+IMPORTRANGE(""https://docs.google.com/spreadsheets/d/1YTZo6WM2dQ6Ix6FSdnL"&amp;"5P7uVnVKu40sxZu975tgG10E/edit?usp=sharing"",""นครปฐม!M420"")+IMPORTRANGE(""https://docs.google.com/spreadsheets/d/1OYoGg4WDg5RIzwGeB10padOxJF9E_Vljuvvct_M7RDo/edit?usp=sharing"",""ปทุมธานี!M420"")+IMPORTRANGE(""https://docs.google.com/spreadsheets/d/1GbCI"&amp;"E4D4wk9FUozzqk7SxfDMxDVBwVmI5zcaVUSzKAc/edit?usp=sharing"",""ประจวบคีรีขันธ์!M420"")+IMPORTRANGE(""https://docs.google.com/spreadsheets/d/1vVf6wykvW_lAyu7Yo9L4hUTqHqIeP_qcVuxCtosJEbg/edit?usp=sharing"",""ปราจีนบุรี!M420"")+IMPORTRANGE(""https://docs.googl"&amp;"e.com/spreadsheets/d/1BIDqLLg5jk3v59G8NlR8rk5xfQDKne0sAvZHSj7TI6I/edit?usp=sharing"",""พระนครศรีอยุธยา!M420"")+IMPORTRANGE(""https://docs.google.com/spreadsheets/d/1YXvxf8Yu6_rV4hTBrwMqAcAnv6DfhUxh5emyM3CJp_w/edit?usp=sharing"",""เพชรบุรี!M420"")+IMPORTRA"&amp;"NGE(""https://docs.google.com/spreadsheets/d/19KBlQQs7uwvsao6t2n-KvW3Ax8J8uRRfZPq1zPbXgKc/edit?usp=sharing"",""ระยอง!M420"")+IMPORTRANGE(""https://docs.google.com/spreadsheets/d/1jQ6P4QcrGM89YfqcC_PxOHGCMq5ezhucwJd8ci-NHng/edit?usp=sharing"",""ราชบุรี!M42"&amp;"0"")+IMPORTRANGE(""https://docs.google.com/spreadsheets/d/1lufeA2cfFqM-elVq2hznhDzC6Pr7wkJ9ZG_sYNGCMCU/edit?usp=sharing"",""ลพบุรี!M420"")+IMPORTRANGE(""https://docs.google.com/spreadsheets/d/10oOiF7loTyfsTkbd4MpaIm0HQ9SwB7IYHdIUvt-U1Uc/edit?usp=sharing"""&amp;",""สระแก้ว!M420"")+IMPORTRANGE(""https://docs.google.com/spreadsheets/d/1xmPlrr1QbdSIKvl1dWUl9K4PjAfSL9oeMr_37QVzcxc/edit?usp=sharing"",""สระบุรี!M420"")+IMPORTRANGE(""https://docs.google.com/spreadsheets/d/1j51vR6CYVGhABJpv6tkstgok82RLpXieLzW1yOY5rHw/edi"&amp;"t?usp=sharing"",""สิงห์บุรี!M420"")+IMPORTRANGE(""https://docs.google.com/spreadsheets/d/1H1EalTWKUSzO4Z1-1CwzoDUaVffgrThEBe2sl74kKG0/edit?usp=sharing"",""สุพรรณบุรี!M420"")+IMPORTRANGE(""https://docs.google.com/spreadsheets/d/1BmIruG_sIrJLYao_Pdr7zVArWsf"&amp;"oBt2692TMi6x_854/edit?usp=sharing"",""อ่างทอง!M420"")"),0)</f>
        <v>0</v>
      </c>
      <c r="N420" s="75">
        <f ca="1">IFERROR(__xludf.DUMMYFUNCTION("IMPORTRANGE(""https://docs.google.com/spreadsheets/d/13wPX838HrBrQMCywv1BsuMkt4PEKTChp52zj44s2izQ/edit?usp=sharing"",""กาญจนบุรี!N420"")+IMPORTRANGE(""https://docs.google.com/spreadsheets/d/1ddFKvqj1W1NEiWytbGlB1zMx_ykJDVtmfEQ-6-lIUBA/edit?usp=sharing"","&amp;"""จันทบุรี!N420"")+IMPORTRANGE(""https://docs.google.com/spreadsheets/d/1T1PQvRODqOBZk8BRht_U031fIS1beLA0Ub2CEytj2q0/edit?usp=sharing"",""ฉะเชิงเทรา!N420"")+IMPORTRANGE(""https://docs.google.com/spreadsheets/d/11tr1B-Bhyr79v2bkwVh5h_fR-PStkgjlZtkrZpYurG0/"&amp;"edit?usp=sharing"",""ชลบุรี!N420"")+IMPORTRANGE(""https://docs.google.com/spreadsheets/d/1hh-FVnSX0vozXhGluamEcS54Dw9_zqW0N7qJUWgJ0Sw/edit?usp=sharing"",""ชัยนาท!N420"")+IMPORTRANGE(""https://docs.google.com/spreadsheets/d/1jkqa6GXxSacMcY1eN8AHjMNJ_7dDXMJ"&amp;"VRLDlaFSOdPM/edit?usp=sharing"",""ตราด!N420"")+IMPORTRANGE(""https://docs.google.com/spreadsheets/d/18hSgUJ3VwClqi_qtULmmW3cLr0oe3OKaSYoKzdpTsYQ/edit?usp=sharing"",""นครนายก!N420"")+IMPORTRANGE(""https://docs.google.com/spreadsheets/d/1YTZo6WM2dQ6Ix6FSdnL"&amp;"5P7uVnVKu40sxZu975tgG10E/edit?usp=sharing"",""นครปฐม!N420"")+IMPORTRANGE(""https://docs.google.com/spreadsheets/d/1OYoGg4WDg5RIzwGeB10padOxJF9E_Vljuvvct_M7RDo/edit?usp=sharing"",""ปทุมธานี!N420"")+IMPORTRANGE(""https://docs.google.com/spreadsheets/d/1GbCI"&amp;"E4D4wk9FUozzqk7SxfDMxDVBwVmI5zcaVUSzKAc/edit?usp=sharing"",""ประจวบคีรีขันธ์!N420"")+IMPORTRANGE(""https://docs.google.com/spreadsheets/d/1vVf6wykvW_lAyu7Yo9L4hUTqHqIeP_qcVuxCtosJEbg/edit?usp=sharing"",""ปราจีนบุรี!N420"")+IMPORTRANGE(""https://docs.googl"&amp;"e.com/spreadsheets/d/1BIDqLLg5jk3v59G8NlR8rk5xfQDKne0sAvZHSj7TI6I/edit?usp=sharing"",""พระนครศรีอยุธยา!N420"")+IMPORTRANGE(""https://docs.google.com/spreadsheets/d/1YXvxf8Yu6_rV4hTBrwMqAcAnv6DfhUxh5emyM3CJp_w/edit?usp=sharing"",""เพชรบุรี!N420"")+IMPORTRA"&amp;"NGE(""https://docs.google.com/spreadsheets/d/19KBlQQs7uwvsao6t2n-KvW3Ax8J8uRRfZPq1zPbXgKc/edit?usp=sharing"",""ระยอง!N420"")+IMPORTRANGE(""https://docs.google.com/spreadsheets/d/1jQ6P4QcrGM89YfqcC_PxOHGCMq5ezhucwJd8ci-NHng/edit?usp=sharing"",""ราชบุรี!N42"&amp;"0"")+IMPORTRANGE(""https://docs.google.com/spreadsheets/d/1lufeA2cfFqM-elVq2hznhDzC6Pr7wkJ9ZG_sYNGCMCU/edit?usp=sharing"",""ลพบุรี!N420"")+IMPORTRANGE(""https://docs.google.com/spreadsheets/d/10oOiF7loTyfsTkbd4MpaIm0HQ9SwB7IYHdIUvt-U1Uc/edit?usp=sharing"""&amp;",""สระแก้ว!N420"")+IMPORTRANGE(""https://docs.google.com/spreadsheets/d/1xmPlrr1QbdSIKvl1dWUl9K4PjAfSL9oeMr_37QVzcxc/edit?usp=sharing"",""สระบุรี!N420"")+IMPORTRANGE(""https://docs.google.com/spreadsheets/d/1j51vR6CYVGhABJpv6tkstgok82RLpXieLzW1yOY5rHw/edi"&amp;"t?usp=sharing"",""สิงห์บุรี!N420"")+IMPORTRANGE(""https://docs.google.com/spreadsheets/d/1H1EalTWKUSzO4Z1-1CwzoDUaVffgrThEBe2sl74kKG0/edit?usp=sharing"",""สุพรรณบุรี!N420"")+IMPORTRANGE(""https://docs.google.com/spreadsheets/d/1BmIruG_sIrJLYao_Pdr7zVArWsf"&amp;"oBt2692TMi6x_854/edit?usp=sharing"",""อ่างทอง!N420"")"),0)</f>
        <v>0</v>
      </c>
      <c r="O420" s="75">
        <f t="shared" ca="1" si="306"/>
        <v>0</v>
      </c>
      <c r="P420" s="75">
        <f t="shared" ca="1" si="307"/>
        <v>0</v>
      </c>
      <c r="Q420" s="74">
        <f ca="1">IFERROR(__xludf.DUMMYFUNCTION("IMPORTRANGE(""https://docs.google.com/spreadsheets/d/13wPX838HrBrQMCywv1BsuMkt4PEKTChp52zj44s2izQ/edit?usp=sharing"",""กาญจนบุรี!Q420"")+IMPORTRANGE(""https://docs.google.com/spreadsheets/d/1ddFKvqj1W1NEiWytbGlB1zMx_ykJDVtmfEQ-6-lIUBA/edit?usp=sharing"","&amp;"""จันทบุรี!Q420"")+IMPORTRANGE(""https://docs.google.com/spreadsheets/d/1T1PQvRODqOBZk8BRht_U031fIS1beLA0Ub2CEytj2q0/edit?usp=sharing"",""ฉะเชิงเทรา!Q420"")+IMPORTRANGE(""https://docs.google.com/spreadsheets/d/11tr1B-Bhyr79v2bkwVh5h_fR-PStkgjlZtkrZpYurG0/"&amp;"edit?usp=sharing"",""ชลบุรี!Q420"")+IMPORTRANGE(""https://docs.google.com/spreadsheets/d/1hh-FVnSX0vozXhGluamEcS54Dw9_zqW0N7qJUWgJ0Sw/edit?usp=sharing"",""ชัยนาท!Q420"")+IMPORTRANGE(""https://docs.google.com/spreadsheets/d/1jkqa6GXxSacMcY1eN8AHjMNJ_7dDXMJ"&amp;"VRLDlaFSOdPM/edit?usp=sharing"",""ตราด!Q420"")+IMPORTRANGE(""https://docs.google.com/spreadsheets/d/18hSgUJ3VwClqi_qtULmmW3cLr0oe3OKaSYoKzdpTsYQ/edit?usp=sharing"",""นครนายก!Q420"")+IMPORTRANGE(""https://docs.google.com/spreadsheets/d/1YTZo6WM2dQ6Ix6FSdnL"&amp;"5P7uVnVKu40sxZu975tgG10E/edit?usp=sharing"",""นครปฐม!Q420"")+IMPORTRANGE(""https://docs.google.com/spreadsheets/d/1OYoGg4WDg5RIzwGeB10padOxJF9E_Vljuvvct_M7RDo/edit?usp=sharing"",""ปทุมธานี!Q420"")+IMPORTRANGE(""https://docs.google.com/spreadsheets/d/1GbCI"&amp;"E4D4wk9FUozzqk7SxfDMxDVBwVmI5zcaVUSzKAc/edit?usp=sharing"",""ประจวบคีรีขันธ์!Q420"")+IMPORTRANGE(""https://docs.google.com/spreadsheets/d/1vVf6wykvW_lAyu7Yo9L4hUTqHqIeP_qcVuxCtosJEbg/edit?usp=sharing"",""ปราจีนบุรี!Q420"")+IMPORTRANGE(""https://docs.googl"&amp;"e.com/spreadsheets/d/1BIDqLLg5jk3v59G8NlR8rk5xfQDKne0sAvZHSj7TI6I/edit?usp=sharing"",""พระนครศรีอยุธยา!Q420"")+IMPORTRANGE(""https://docs.google.com/spreadsheets/d/1YXvxf8Yu6_rV4hTBrwMqAcAnv6DfhUxh5emyM3CJp_w/edit?usp=sharing"",""เพชรบุรี!Q420"")+IMPORTRA"&amp;"NGE(""https://docs.google.com/spreadsheets/d/19KBlQQs7uwvsao6t2n-KvW3Ax8J8uRRfZPq1zPbXgKc/edit?usp=sharing"",""ระยอง!Q420"")+IMPORTRANGE(""https://docs.google.com/spreadsheets/d/1jQ6P4QcrGM89YfqcC_PxOHGCMq5ezhucwJd8ci-NHng/edit?usp=sharing"",""ราชบุรี!Q42"&amp;"0"")+IMPORTRANGE(""https://docs.google.com/spreadsheets/d/1lufeA2cfFqM-elVq2hznhDzC6Pr7wkJ9ZG_sYNGCMCU/edit?usp=sharing"",""ลพบุรี!Q420"")+IMPORTRANGE(""https://docs.google.com/spreadsheets/d/10oOiF7loTyfsTkbd4MpaIm0HQ9SwB7IYHdIUvt-U1Uc/edit?usp=sharing"""&amp;",""สระแก้ว!Q420"")+IMPORTRANGE(""https://docs.google.com/spreadsheets/d/1xmPlrr1QbdSIKvl1dWUl9K4PjAfSL9oeMr_37QVzcxc/edit?usp=sharing"",""สระบุรี!Q420"")+IMPORTRANGE(""https://docs.google.com/spreadsheets/d/1j51vR6CYVGhABJpv6tkstgok82RLpXieLzW1yOY5rHw/edi"&amp;"t?usp=sharing"",""สิงห์บุรี!Q420"")+IMPORTRANGE(""https://docs.google.com/spreadsheets/d/1H1EalTWKUSzO4Z1-1CwzoDUaVffgrThEBe2sl74kKG0/edit?usp=sharing"",""สุพรรณบุรี!Q420"")+IMPORTRANGE(""https://docs.google.com/spreadsheets/d/1BmIruG_sIrJLYao_Pdr7zVArWsf"&amp;"oBt2692TMi6x_854/edit?usp=sharing"",""อ่างทอง!Q420"")"),0)</f>
        <v>0</v>
      </c>
      <c r="R420" s="75">
        <f ca="1">IFERROR(__xludf.DUMMYFUNCTION("IMPORTRANGE(""https://docs.google.com/spreadsheets/d/13wPX838HrBrQMCywv1BsuMkt4PEKTChp52zj44s2izQ/edit?usp=sharing"",""กาญจนบุรี!R420"")+IMPORTRANGE(""https://docs.google.com/spreadsheets/d/1ddFKvqj1W1NEiWytbGlB1zMx_ykJDVtmfEQ-6-lIUBA/edit?usp=sharing"","&amp;"""จันทบุรี!R420"")+IMPORTRANGE(""https://docs.google.com/spreadsheets/d/1T1PQvRODqOBZk8BRht_U031fIS1beLA0Ub2CEytj2q0/edit?usp=sharing"",""ฉะเชิงเทรา!R420"")+IMPORTRANGE(""https://docs.google.com/spreadsheets/d/11tr1B-Bhyr79v2bkwVh5h_fR-PStkgjlZtkrZpYurG0/"&amp;"edit?usp=sharing"",""ชลบุรี!R420"")+IMPORTRANGE(""https://docs.google.com/spreadsheets/d/1hh-FVnSX0vozXhGluamEcS54Dw9_zqW0N7qJUWgJ0Sw/edit?usp=sharing"",""ชัยนาท!R420"")+IMPORTRANGE(""https://docs.google.com/spreadsheets/d/1jkqa6GXxSacMcY1eN8AHjMNJ_7dDXMJ"&amp;"VRLDlaFSOdPM/edit?usp=sharing"",""ตราด!R420"")+IMPORTRANGE(""https://docs.google.com/spreadsheets/d/18hSgUJ3VwClqi_qtULmmW3cLr0oe3OKaSYoKzdpTsYQ/edit?usp=sharing"",""นครนายก!R420"")+IMPORTRANGE(""https://docs.google.com/spreadsheets/d/1YTZo6WM2dQ6Ix6FSdnL"&amp;"5P7uVnVKu40sxZu975tgG10E/edit?usp=sharing"",""นครปฐม!R420"")+IMPORTRANGE(""https://docs.google.com/spreadsheets/d/1OYoGg4WDg5RIzwGeB10padOxJF9E_Vljuvvct_M7RDo/edit?usp=sharing"",""ปทุมธานี!R420"")+IMPORTRANGE(""https://docs.google.com/spreadsheets/d/1GbCI"&amp;"E4D4wk9FUozzqk7SxfDMxDVBwVmI5zcaVUSzKAc/edit?usp=sharing"",""ประจวบคีรีขันธ์!R420"")+IMPORTRANGE(""https://docs.google.com/spreadsheets/d/1vVf6wykvW_lAyu7Yo9L4hUTqHqIeP_qcVuxCtosJEbg/edit?usp=sharing"",""ปราจีนบุรี!R420"")+IMPORTRANGE(""https://docs.googl"&amp;"e.com/spreadsheets/d/1BIDqLLg5jk3v59G8NlR8rk5xfQDKne0sAvZHSj7TI6I/edit?usp=sharing"",""พระนครศรีอยุธยา!R420"")+IMPORTRANGE(""https://docs.google.com/spreadsheets/d/1YXvxf8Yu6_rV4hTBrwMqAcAnv6DfhUxh5emyM3CJp_w/edit?usp=sharing"",""เพชรบุรี!R420"")+IMPORTRA"&amp;"NGE(""https://docs.google.com/spreadsheets/d/19KBlQQs7uwvsao6t2n-KvW3Ax8J8uRRfZPq1zPbXgKc/edit?usp=sharing"",""ระยอง!R420"")+IMPORTRANGE(""https://docs.google.com/spreadsheets/d/1jQ6P4QcrGM89YfqcC_PxOHGCMq5ezhucwJd8ci-NHng/edit?usp=sharing"",""ราชบุรี!R42"&amp;"0"")+IMPORTRANGE(""https://docs.google.com/spreadsheets/d/1lufeA2cfFqM-elVq2hznhDzC6Pr7wkJ9ZG_sYNGCMCU/edit?usp=sharing"",""ลพบุรี!R420"")+IMPORTRANGE(""https://docs.google.com/spreadsheets/d/10oOiF7loTyfsTkbd4MpaIm0HQ9SwB7IYHdIUvt-U1Uc/edit?usp=sharing"""&amp;",""สระแก้ว!R420"")+IMPORTRANGE(""https://docs.google.com/spreadsheets/d/1xmPlrr1QbdSIKvl1dWUl9K4PjAfSL9oeMr_37QVzcxc/edit?usp=sharing"",""สระบุรี!R420"")+IMPORTRANGE(""https://docs.google.com/spreadsheets/d/1j51vR6CYVGhABJpv6tkstgok82RLpXieLzW1yOY5rHw/edi"&amp;"t?usp=sharing"",""สิงห์บุรี!R420"")+IMPORTRANGE(""https://docs.google.com/spreadsheets/d/1H1EalTWKUSzO4Z1-1CwzoDUaVffgrThEBe2sl74kKG0/edit?usp=sharing"",""สุพรรณบุรี!R420"")+IMPORTRANGE(""https://docs.google.com/spreadsheets/d/1BmIruG_sIrJLYao_Pdr7zVArWsf"&amp;"oBt2692TMi6x_854/edit?usp=sharing"",""อ่างทอง!R420"")"),0)</f>
        <v>0</v>
      </c>
      <c r="S420" s="75">
        <f ca="1">IFERROR(__xludf.DUMMYFUNCTION("IMPORTRANGE(""https://docs.google.com/spreadsheets/d/13wPX838HrBrQMCywv1BsuMkt4PEKTChp52zj44s2izQ/edit?usp=sharing"",""กาญจนบุรี!S420"")+IMPORTRANGE(""https://docs.google.com/spreadsheets/d/1ddFKvqj1W1NEiWytbGlB1zMx_ykJDVtmfEQ-6-lIUBA/edit?usp=sharing"","&amp;"""จันทบุรี!S420"")+IMPORTRANGE(""https://docs.google.com/spreadsheets/d/1T1PQvRODqOBZk8BRht_U031fIS1beLA0Ub2CEytj2q0/edit?usp=sharing"",""ฉะเชิงเทรา!S420"")+IMPORTRANGE(""https://docs.google.com/spreadsheets/d/11tr1B-Bhyr79v2bkwVh5h_fR-PStkgjlZtkrZpYurG0/"&amp;"edit?usp=sharing"",""ชลบุรี!S420"")+IMPORTRANGE(""https://docs.google.com/spreadsheets/d/1hh-FVnSX0vozXhGluamEcS54Dw9_zqW0N7qJUWgJ0Sw/edit?usp=sharing"",""ชัยนาท!S420"")+IMPORTRANGE(""https://docs.google.com/spreadsheets/d/1jkqa6GXxSacMcY1eN8AHjMNJ_7dDXMJ"&amp;"VRLDlaFSOdPM/edit?usp=sharing"",""ตราด!S420"")+IMPORTRANGE(""https://docs.google.com/spreadsheets/d/18hSgUJ3VwClqi_qtULmmW3cLr0oe3OKaSYoKzdpTsYQ/edit?usp=sharing"",""นครนายก!S420"")+IMPORTRANGE(""https://docs.google.com/spreadsheets/d/1YTZo6WM2dQ6Ix6FSdnL"&amp;"5P7uVnVKu40sxZu975tgG10E/edit?usp=sharing"",""นครปฐม!S420"")+IMPORTRANGE(""https://docs.google.com/spreadsheets/d/1OYoGg4WDg5RIzwGeB10padOxJF9E_Vljuvvct_M7RDo/edit?usp=sharing"",""ปทุมธานี!S420"")+IMPORTRANGE(""https://docs.google.com/spreadsheets/d/1GbCI"&amp;"E4D4wk9FUozzqk7SxfDMxDVBwVmI5zcaVUSzKAc/edit?usp=sharing"",""ประจวบคีรีขันธ์!S420"")+IMPORTRANGE(""https://docs.google.com/spreadsheets/d/1vVf6wykvW_lAyu7Yo9L4hUTqHqIeP_qcVuxCtosJEbg/edit?usp=sharing"",""ปราจีนบุรี!S420"")+IMPORTRANGE(""https://docs.googl"&amp;"e.com/spreadsheets/d/1BIDqLLg5jk3v59G8NlR8rk5xfQDKne0sAvZHSj7TI6I/edit?usp=sharing"",""พระนครศรีอยุธยา!S420"")+IMPORTRANGE(""https://docs.google.com/spreadsheets/d/1YXvxf8Yu6_rV4hTBrwMqAcAnv6DfhUxh5emyM3CJp_w/edit?usp=sharing"",""เพชรบุรี!S420"")+IMPORTRA"&amp;"NGE(""https://docs.google.com/spreadsheets/d/19KBlQQs7uwvsao6t2n-KvW3Ax8J8uRRfZPq1zPbXgKc/edit?usp=sharing"",""ระยอง!S420"")+IMPORTRANGE(""https://docs.google.com/spreadsheets/d/1jQ6P4QcrGM89YfqcC_PxOHGCMq5ezhucwJd8ci-NHng/edit?usp=sharing"",""ราชบุรี!S42"&amp;"0"")+IMPORTRANGE(""https://docs.google.com/spreadsheets/d/1lufeA2cfFqM-elVq2hznhDzC6Pr7wkJ9ZG_sYNGCMCU/edit?usp=sharing"",""ลพบุรี!S420"")+IMPORTRANGE(""https://docs.google.com/spreadsheets/d/10oOiF7loTyfsTkbd4MpaIm0HQ9SwB7IYHdIUvt-U1Uc/edit?usp=sharing"""&amp;",""สระแก้ว!S420"")+IMPORTRANGE(""https://docs.google.com/spreadsheets/d/1xmPlrr1QbdSIKvl1dWUl9K4PjAfSL9oeMr_37QVzcxc/edit?usp=sharing"",""สระบุรี!S420"")+IMPORTRANGE(""https://docs.google.com/spreadsheets/d/1j51vR6CYVGhABJpv6tkstgok82RLpXieLzW1yOY5rHw/edi"&amp;"t?usp=sharing"",""สิงห์บุรี!S420"")+IMPORTRANGE(""https://docs.google.com/spreadsheets/d/1H1EalTWKUSzO4Z1-1CwzoDUaVffgrThEBe2sl74kKG0/edit?usp=sharing"",""สุพรรณบุรี!S420"")+IMPORTRANGE(""https://docs.google.com/spreadsheets/d/1BmIruG_sIrJLYao_Pdr7zVArWsf"&amp;"oBt2692TMi6x_854/edit?usp=sharing"",""อ่างทอง!S420"")"),0)</f>
        <v>0</v>
      </c>
      <c r="T420" s="131">
        <f t="shared" ca="1" si="309"/>
        <v>0</v>
      </c>
      <c r="U420" s="131">
        <f t="shared" ca="1" si="310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13wPX838HrBrQMCywv1BsuMkt4PEKTChp52zj44s2izQ/edit?usp=sharing"",""กาญจนบุรี!L421"")+IMPORTRANGE(""https://docs.google.com/spreadsheets/d/1ddFKvqj1W1NEiWytbGlB1zMx_ykJDVtmfEQ-6-lIUBA/edit?usp=sharing"","&amp;"""จันทบุรี!L421"")+IMPORTRANGE(""https://docs.google.com/spreadsheets/d/1T1PQvRODqOBZk8BRht_U031fIS1beLA0Ub2CEytj2q0/edit?usp=sharing"",""ฉะเชิงเทรา!L421"")+IMPORTRANGE(""https://docs.google.com/spreadsheets/d/11tr1B-Bhyr79v2bkwVh5h_fR-PStkgjlZtkrZpYurG0/"&amp;"edit?usp=sharing"",""ชลบุรี!L421"")+IMPORTRANGE(""https://docs.google.com/spreadsheets/d/1hh-FVnSX0vozXhGluamEcS54Dw9_zqW0N7qJUWgJ0Sw/edit?usp=sharing"",""ชัยนาท!L421"")+IMPORTRANGE(""https://docs.google.com/spreadsheets/d/1jkqa6GXxSacMcY1eN8AHjMNJ_7dDXMJ"&amp;"VRLDlaFSOdPM/edit?usp=sharing"",""ตราด!L421"")+IMPORTRANGE(""https://docs.google.com/spreadsheets/d/18hSgUJ3VwClqi_qtULmmW3cLr0oe3OKaSYoKzdpTsYQ/edit?usp=sharing"",""นครนายก!L421"")+IMPORTRANGE(""https://docs.google.com/spreadsheets/d/1YTZo6WM2dQ6Ix6FSdnL"&amp;"5P7uVnVKu40sxZu975tgG10E/edit?usp=sharing"",""นครปฐม!L421"")+IMPORTRANGE(""https://docs.google.com/spreadsheets/d/1OYoGg4WDg5RIzwGeB10padOxJF9E_Vljuvvct_M7RDo/edit?usp=sharing"",""ปทุมธานี!L421"")+IMPORTRANGE(""https://docs.google.com/spreadsheets/d/1GbCI"&amp;"E4D4wk9FUozzqk7SxfDMxDVBwVmI5zcaVUSzKAc/edit?usp=sharing"",""ประจวบคีรีขันธ์!L421"")+IMPORTRANGE(""https://docs.google.com/spreadsheets/d/1vVf6wykvW_lAyu7Yo9L4hUTqHqIeP_qcVuxCtosJEbg/edit?usp=sharing"",""ปราจีนบุรี!L421"")+IMPORTRANGE(""https://docs.googl"&amp;"e.com/spreadsheets/d/1BIDqLLg5jk3v59G8NlR8rk5xfQDKne0sAvZHSj7TI6I/edit?usp=sharing"",""พระนครศรีอยุธยา!L421"")+IMPORTRANGE(""https://docs.google.com/spreadsheets/d/1YXvxf8Yu6_rV4hTBrwMqAcAnv6DfhUxh5emyM3CJp_w/edit?usp=sharing"",""เพชรบุรี!L421"")+IMPORTRA"&amp;"NGE(""https://docs.google.com/spreadsheets/d/19KBlQQs7uwvsao6t2n-KvW3Ax8J8uRRfZPq1zPbXgKc/edit?usp=sharing"",""ระยอง!L421"")+IMPORTRANGE(""https://docs.google.com/spreadsheets/d/1jQ6P4QcrGM89YfqcC_PxOHGCMq5ezhucwJd8ci-NHng/edit?usp=sharing"",""ราชบุรี!L42"&amp;"1"")+IMPORTRANGE(""https://docs.google.com/spreadsheets/d/1lufeA2cfFqM-elVq2hznhDzC6Pr7wkJ9ZG_sYNGCMCU/edit?usp=sharing"",""ลพบุรี!L421"")+IMPORTRANGE(""https://docs.google.com/spreadsheets/d/10oOiF7loTyfsTkbd4MpaIm0HQ9SwB7IYHdIUvt-U1Uc/edit?usp=sharing"""&amp;",""สระแก้ว!L421"")+IMPORTRANGE(""https://docs.google.com/spreadsheets/d/1xmPlrr1QbdSIKvl1dWUl9K4PjAfSL9oeMr_37QVzcxc/edit?usp=sharing"",""สระบุรี!L421"")+IMPORTRANGE(""https://docs.google.com/spreadsheets/d/1j51vR6CYVGhABJpv6tkstgok82RLpXieLzW1yOY5rHw/edi"&amp;"t?usp=sharing"",""สิงห์บุรี!L421"")+IMPORTRANGE(""https://docs.google.com/spreadsheets/d/1H1EalTWKUSzO4Z1-1CwzoDUaVffgrThEBe2sl74kKG0/edit?usp=sharing"",""สุพรรณบุรี!L421"")+IMPORTRANGE(""https://docs.google.com/spreadsheets/d/1BmIruG_sIrJLYao_Pdr7zVArWsf"&amp;"oBt2692TMi6x_854/edit?usp=sharing"",""อ่างทอง!L421"")"),0)</f>
        <v>0</v>
      </c>
      <c r="M421" s="72">
        <f ca="1">IFERROR(__xludf.DUMMYFUNCTION("IMPORTRANGE(""https://docs.google.com/spreadsheets/d/13wPX838HrBrQMCywv1BsuMkt4PEKTChp52zj44s2izQ/edit?usp=sharing"",""กาญจนบุรี!M421"")+IMPORTRANGE(""https://docs.google.com/spreadsheets/d/1ddFKvqj1W1NEiWytbGlB1zMx_ykJDVtmfEQ-6-lIUBA/edit?usp=sharing"","&amp;"""จันทบุรี!M421"")+IMPORTRANGE(""https://docs.google.com/spreadsheets/d/1T1PQvRODqOBZk8BRht_U031fIS1beLA0Ub2CEytj2q0/edit?usp=sharing"",""ฉะเชิงเทรา!M421"")+IMPORTRANGE(""https://docs.google.com/spreadsheets/d/11tr1B-Bhyr79v2bkwVh5h_fR-PStkgjlZtkrZpYurG0/"&amp;"edit?usp=sharing"",""ชลบุรี!M421"")+IMPORTRANGE(""https://docs.google.com/spreadsheets/d/1hh-FVnSX0vozXhGluamEcS54Dw9_zqW0N7qJUWgJ0Sw/edit?usp=sharing"",""ชัยนาท!M421"")+IMPORTRANGE(""https://docs.google.com/spreadsheets/d/1jkqa6GXxSacMcY1eN8AHjMNJ_7dDXMJ"&amp;"VRLDlaFSOdPM/edit?usp=sharing"",""ตราด!M421"")+IMPORTRANGE(""https://docs.google.com/spreadsheets/d/18hSgUJ3VwClqi_qtULmmW3cLr0oe3OKaSYoKzdpTsYQ/edit?usp=sharing"",""นครนายก!M421"")+IMPORTRANGE(""https://docs.google.com/spreadsheets/d/1YTZo6WM2dQ6Ix6FSdnL"&amp;"5P7uVnVKu40sxZu975tgG10E/edit?usp=sharing"",""นครปฐม!M421"")+IMPORTRANGE(""https://docs.google.com/spreadsheets/d/1OYoGg4WDg5RIzwGeB10padOxJF9E_Vljuvvct_M7RDo/edit?usp=sharing"",""ปทุมธานี!M421"")+IMPORTRANGE(""https://docs.google.com/spreadsheets/d/1GbCI"&amp;"E4D4wk9FUozzqk7SxfDMxDVBwVmI5zcaVUSzKAc/edit?usp=sharing"",""ประจวบคีรีขันธ์!M421"")+IMPORTRANGE(""https://docs.google.com/spreadsheets/d/1vVf6wykvW_lAyu7Yo9L4hUTqHqIeP_qcVuxCtosJEbg/edit?usp=sharing"",""ปราจีนบุรี!M421"")+IMPORTRANGE(""https://docs.googl"&amp;"e.com/spreadsheets/d/1BIDqLLg5jk3v59G8NlR8rk5xfQDKne0sAvZHSj7TI6I/edit?usp=sharing"",""พระนครศรีอยุธยา!M421"")+IMPORTRANGE(""https://docs.google.com/spreadsheets/d/1YXvxf8Yu6_rV4hTBrwMqAcAnv6DfhUxh5emyM3CJp_w/edit?usp=sharing"",""เพชรบุรี!M421"")+IMPORTRA"&amp;"NGE(""https://docs.google.com/spreadsheets/d/19KBlQQs7uwvsao6t2n-KvW3Ax8J8uRRfZPq1zPbXgKc/edit?usp=sharing"",""ระยอง!M421"")+IMPORTRANGE(""https://docs.google.com/spreadsheets/d/1jQ6P4QcrGM89YfqcC_PxOHGCMq5ezhucwJd8ci-NHng/edit?usp=sharing"",""ราชบุรี!M42"&amp;"1"")+IMPORTRANGE(""https://docs.google.com/spreadsheets/d/1lufeA2cfFqM-elVq2hznhDzC6Pr7wkJ9ZG_sYNGCMCU/edit?usp=sharing"",""ลพบุรี!M421"")+IMPORTRANGE(""https://docs.google.com/spreadsheets/d/10oOiF7loTyfsTkbd4MpaIm0HQ9SwB7IYHdIUvt-U1Uc/edit?usp=sharing"""&amp;",""สระแก้ว!M421"")+IMPORTRANGE(""https://docs.google.com/spreadsheets/d/1xmPlrr1QbdSIKvl1dWUl9K4PjAfSL9oeMr_37QVzcxc/edit?usp=sharing"",""สระบุรี!M421"")+IMPORTRANGE(""https://docs.google.com/spreadsheets/d/1j51vR6CYVGhABJpv6tkstgok82RLpXieLzW1yOY5rHw/edi"&amp;"t?usp=sharing"",""สิงห์บุรี!M421"")+IMPORTRANGE(""https://docs.google.com/spreadsheets/d/1H1EalTWKUSzO4Z1-1CwzoDUaVffgrThEBe2sl74kKG0/edit?usp=sharing"",""สุพรรณบุรี!M421"")+IMPORTRANGE(""https://docs.google.com/spreadsheets/d/1BmIruG_sIrJLYao_Pdr7zVArWsf"&amp;"oBt2692TMi6x_854/edit?usp=sharing"",""อ่างทอง!M421"")"),0)</f>
        <v>0</v>
      </c>
      <c r="N421" s="72">
        <f ca="1">IFERROR(__xludf.DUMMYFUNCTION("IMPORTRANGE(""https://docs.google.com/spreadsheets/d/13wPX838HrBrQMCywv1BsuMkt4PEKTChp52zj44s2izQ/edit?usp=sharing"",""กาญจนบุรี!N421"")+IMPORTRANGE(""https://docs.google.com/spreadsheets/d/1ddFKvqj1W1NEiWytbGlB1zMx_ykJDVtmfEQ-6-lIUBA/edit?usp=sharing"","&amp;"""จันทบุรี!N421"")+IMPORTRANGE(""https://docs.google.com/spreadsheets/d/1T1PQvRODqOBZk8BRht_U031fIS1beLA0Ub2CEytj2q0/edit?usp=sharing"",""ฉะเชิงเทรา!N421"")+IMPORTRANGE(""https://docs.google.com/spreadsheets/d/11tr1B-Bhyr79v2bkwVh5h_fR-PStkgjlZtkrZpYurG0/"&amp;"edit?usp=sharing"",""ชลบุรี!N421"")+IMPORTRANGE(""https://docs.google.com/spreadsheets/d/1hh-FVnSX0vozXhGluamEcS54Dw9_zqW0N7qJUWgJ0Sw/edit?usp=sharing"",""ชัยนาท!N421"")+IMPORTRANGE(""https://docs.google.com/spreadsheets/d/1jkqa6GXxSacMcY1eN8AHjMNJ_7dDXMJ"&amp;"VRLDlaFSOdPM/edit?usp=sharing"",""ตราด!N421"")+IMPORTRANGE(""https://docs.google.com/spreadsheets/d/18hSgUJ3VwClqi_qtULmmW3cLr0oe3OKaSYoKzdpTsYQ/edit?usp=sharing"",""นครนายก!N421"")+IMPORTRANGE(""https://docs.google.com/spreadsheets/d/1YTZo6WM2dQ6Ix6FSdnL"&amp;"5P7uVnVKu40sxZu975tgG10E/edit?usp=sharing"",""นครปฐม!N421"")+IMPORTRANGE(""https://docs.google.com/spreadsheets/d/1OYoGg4WDg5RIzwGeB10padOxJF9E_Vljuvvct_M7RDo/edit?usp=sharing"",""ปทุมธานี!N421"")+IMPORTRANGE(""https://docs.google.com/spreadsheets/d/1GbCI"&amp;"E4D4wk9FUozzqk7SxfDMxDVBwVmI5zcaVUSzKAc/edit?usp=sharing"",""ประจวบคีรีขันธ์!N421"")+IMPORTRANGE(""https://docs.google.com/spreadsheets/d/1vVf6wykvW_lAyu7Yo9L4hUTqHqIeP_qcVuxCtosJEbg/edit?usp=sharing"",""ปราจีนบุรี!N421"")+IMPORTRANGE(""https://docs.googl"&amp;"e.com/spreadsheets/d/1BIDqLLg5jk3v59G8NlR8rk5xfQDKne0sAvZHSj7TI6I/edit?usp=sharing"",""พระนครศรีอยุธยา!N421"")+IMPORTRANGE(""https://docs.google.com/spreadsheets/d/1YXvxf8Yu6_rV4hTBrwMqAcAnv6DfhUxh5emyM3CJp_w/edit?usp=sharing"",""เพชรบุรี!N421"")+IMPORTRA"&amp;"NGE(""https://docs.google.com/spreadsheets/d/19KBlQQs7uwvsao6t2n-KvW3Ax8J8uRRfZPq1zPbXgKc/edit?usp=sharing"",""ระยอง!N421"")+IMPORTRANGE(""https://docs.google.com/spreadsheets/d/1jQ6P4QcrGM89YfqcC_PxOHGCMq5ezhucwJd8ci-NHng/edit?usp=sharing"",""ราชบุรี!N42"&amp;"1"")+IMPORTRANGE(""https://docs.google.com/spreadsheets/d/1lufeA2cfFqM-elVq2hznhDzC6Pr7wkJ9ZG_sYNGCMCU/edit?usp=sharing"",""ลพบุรี!N421"")+IMPORTRANGE(""https://docs.google.com/spreadsheets/d/10oOiF7loTyfsTkbd4MpaIm0HQ9SwB7IYHdIUvt-U1Uc/edit?usp=sharing"""&amp;",""สระแก้ว!N421"")+IMPORTRANGE(""https://docs.google.com/spreadsheets/d/1xmPlrr1QbdSIKvl1dWUl9K4PjAfSL9oeMr_37QVzcxc/edit?usp=sharing"",""สระบุรี!N421"")+IMPORTRANGE(""https://docs.google.com/spreadsheets/d/1j51vR6CYVGhABJpv6tkstgok82RLpXieLzW1yOY5rHw/edi"&amp;"t?usp=sharing"",""สิงห์บุรี!N421"")+IMPORTRANGE(""https://docs.google.com/spreadsheets/d/1H1EalTWKUSzO4Z1-1CwzoDUaVffgrThEBe2sl74kKG0/edit?usp=sharing"",""สุพรรณบุรี!N421"")+IMPORTRANGE(""https://docs.google.com/spreadsheets/d/1BmIruG_sIrJLYao_Pdr7zVArWsf"&amp;"oBt2692TMi6x_854/edit?usp=sharing"",""อ่างทอง!N421"")"),0)</f>
        <v>0</v>
      </c>
      <c r="O421" s="72">
        <f t="shared" ca="1" si="306"/>
        <v>0</v>
      </c>
      <c r="P421" s="72">
        <f t="shared" ca="1" si="307"/>
        <v>0</v>
      </c>
      <c r="Q421" s="71">
        <f ca="1">IFERROR(__xludf.DUMMYFUNCTION("IMPORTRANGE(""https://docs.google.com/spreadsheets/d/13wPX838HrBrQMCywv1BsuMkt4PEKTChp52zj44s2izQ/edit?usp=sharing"",""กาญจนบุรี!Q421"")+IMPORTRANGE(""https://docs.google.com/spreadsheets/d/1ddFKvqj1W1NEiWytbGlB1zMx_ykJDVtmfEQ-6-lIUBA/edit?usp=sharing"","&amp;"""จันทบุรี!Q421"")+IMPORTRANGE(""https://docs.google.com/spreadsheets/d/1T1PQvRODqOBZk8BRht_U031fIS1beLA0Ub2CEytj2q0/edit?usp=sharing"",""ฉะเชิงเทรา!Q421"")+IMPORTRANGE(""https://docs.google.com/spreadsheets/d/11tr1B-Bhyr79v2bkwVh5h_fR-PStkgjlZtkrZpYurG0/"&amp;"edit?usp=sharing"",""ชลบุรี!Q421"")+IMPORTRANGE(""https://docs.google.com/spreadsheets/d/1hh-FVnSX0vozXhGluamEcS54Dw9_zqW0N7qJUWgJ0Sw/edit?usp=sharing"",""ชัยนาท!Q421"")+IMPORTRANGE(""https://docs.google.com/spreadsheets/d/1jkqa6GXxSacMcY1eN8AHjMNJ_7dDXMJ"&amp;"VRLDlaFSOdPM/edit?usp=sharing"",""ตราด!Q421"")+IMPORTRANGE(""https://docs.google.com/spreadsheets/d/18hSgUJ3VwClqi_qtULmmW3cLr0oe3OKaSYoKzdpTsYQ/edit?usp=sharing"",""นครนายก!Q421"")+IMPORTRANGE(""https://docs.google.com/spreadsheets/d/1YTZo6WM2dQ6Ix6FSdnL"&amp;"5P7uVnVKu40sxZu975tgG10E/edit?usp=sharing"",""นครปฐม!Q421"")+IMPORTRANGE(""https://docs.google.com/spreadsheets/d/1OYoGg4WDg5RIzwGeB10padOxJF9E_Vljuvvct_M7RDo/edit?usp=sharing"",""ปทุมธานี!Q421"")+IMPORTRANGE(""https://docs.google.com/spreadsheets/d/1GbCI"&amp;"E4D4wk9FUozzqk7SxfDMxDVBwVmI5zcaVUSzKAc/edit?usp=sharing"",""ประจวบคีรีขันธ์!Q421"")+IMPORTRANGE(""https://docs.google.com/spreadsheets/d/1vVf6wykvW_lAyu7Yo9L4hUTqHqIeP_qcVuxCtosJEbg/edit?usp=sharing"",""ปราจีนบุรี!Q421"")+IMPORTRANGE(""https://docs.googl"&amp;"e.com/spreadsheets/d/1BIDqLLg5jk3v59G8NlR8rk5xfQDKne0sAvZHSj7TI6I/edit?usp=sharing"",""พระนครศรีอยุธยา!Q421"")+IMPORTRANGE(""https://docs.google.com/spreadsheets/d/1YXvxf8Yu6_rV4hTBrwMqAcAnv6DfhUxh5emyM3CJp_w/edit?usp=sharing"",""เพชรบุรี!Q421"")+IMPORTRA"&amp;"NGE(""https://docs.google.com/spreadsheets/d/19KBlQQs7uwvsao6t2n-KvW3Ax8J8uRRfZPq1zPbXgKc/edit?usp=sharing"",""ระยอง!Q421"")+IMPORTRANGE(""https://docs.google.com/spreadsheets/d/1jQ6P4QcrGM89YfqcC_PxOHGCMq5ezhucwJd8ci-NHng/edit?usp=sharing"",""ราชบุรี!Q42"&amp;"1"")+IMPORTRANGE(""https://docs.google.com/spreadsheets/d/1lufeA2cfFqM-elVq2hznhDzC6Pr7wkJ9ZG_sYNGCMCU/edit?usp=sharing"",""ลพบุรี!Q421"")+IMPORTRANGE(""https://docs.google.com/spreadsheets/d/10oOiF7loTyfsTkbd4MpaIm0HQ9SwB7IYHdIUvt-U1Uc/edit?usp=sharing"""&amp;",""สระแก้ว!Q421"")+IMPORTRANGE(""https://docs.google.com/spreadsheets/d/1xmPlrr1QbdSIKvl1dWUl9K4PjAfSL9oeMr_37QVzcxc/edit?usp=sharing"",""สระบุรี!Q421"")+IMPORTRANGE(""https://docs.google.com/spreadsheets/d/1j51vR6CYVGhABJpv6tkstgok82RLpXieLzW1yOY5rHw/edi"&amp;"t?usp=sharing"",""สิงห์บุรี!Q421"")+IMPORTRANGE(""https://docs.google.com/spreadsheets/d/1H1EalTWKUSzO4Z1-1CwzoDUaVffgrThEBe2sl74kKG0/edit?usp=sharing"",""สุพรรณบุรี!Q421"")+IMPORTRANGE(""https://docs.google.com/spreadsheets/d/1BmIruG_sIrJLYao_Pdr7zVArWsf"&amp;"oBt2692TMi6x_854/edit?usp=sharing"",""อ่างทอง!Q421"")"),0)</f>
        <v>0</v>
      </c>
      <c r="R421" s="72">
        <f ca="1">IFERROR(__xludf.DUMMYFUNCTION("IMPORTRANGE(""https://docs.google.com/spreadsheets/d/13wPX838HrBrQMCywv1BsuMkt4PEKTChp52zj44s2izQ/edit?usp=sharing"",""กาญจนบุรี!R421"")+IMPORTRANGE(""https://docs.google.com/spreadsheets/d/1ddFKvqj1W1NEiWytbGlB1zMx_ykJDVtmfEQ-6-lIUBA/edit?usp=sharing"","&amp;"""จันทบุรี!R421"")+IMPORTRANGE(""https://docs.google.com/spreadsheets/d/1T1PQvRODqOBZk8BRht_U031fIS1beLA0Ub2CEytj2q0/edit?usp=sharing"",""ฉะเชิงเทรา!R421"")+IMPORTRANGE(""https://docs.google.com/spreadsheets/d/11tr1B-Bhyr79v2bkwVh5h_fR-PStkgjlZtkrZpYurG0/"&amp;"edit?usp=sharing"",""ชลบุรี!R421"")+IMPORTRANGE(""https://docs.google.com/spreadsheets/d/1hh-FVnSX0vozXhGluamEcS54Dw9_zqW0N7qJUWgJ0Sw/edit?usp=sharing"",""ชัยนาท!R421"")+IMPORTRANGE(""https://docs.google.com/spreadsheets/d/1jkqa6GXxSacMcY1eN8AHjMNJ_7dDXMJ"&amp;"VRLDlaFSOdPM/edit?usp=sharing"",""ตราด!R421"")+IMPORTRANGE(""https://docs.google.com/spreadsheets/d/18hSgUJ3VwClqi_qtULmmW3cLr0oe3OKaSYoKzdpTsYQ/edit?usp=sharing"",""นครนายก!R421"")+IMPORTRANGE(""https://docs.google.com/spreadsheets/d/1YTZo6WM2dQ6Ix6FSdnL"&amp;"5P7uVnVKu40sxZu975tgG10E/edit?usp=sharing"",""นครปฐม!R421"")+IMPORTRANGE(""https://docs.google.com/spreadsheets/d/1OYoGg4WDg5RIzwGeB10padOxJF9E_Vljuvvct_M7RDo/edit?usp=sharing"",""ปทุมธานี!R421"")+IMPORTRANGE(""https://docs.google.com/spreadsheets/d/1GbCI"&amp;"E4D4wk9FUozzqk7SxfDMxDVBwVmI5zcaVUSzKAc/edit?usp=sharing"",""ประจวบคีรีขันธ์!R421"")+IMPORTRANGE(""https://docs.google.com/spreadsheets/d/1vVf6wykvW_lAyu7Yo9L4hUTqHqIeP_qcVuxCtosJEbg/edit?usp=sharing"",""ปราจีนบุรี!R421"")+IMPORTRANGE(""https://docs.googl"&amp;"e.com/spreadsheets/d/1BIDqLLg5jk3v59G8NlR8rk5xfQDKne0sAvZHSj7TI6I/edit?usp=sharing"",""พระนครศรีอยุธยา!R421"")+IMPORTRANGE(""https://docs.google.com/spreadsheets/d/1YXvxf8Yu6_rV4hTBrwMqAcAnv6DfhUxh5emyM3CJp_w/edit?usp=sharing"",""เพชรบุรี!R421"")+IMPORTRA"&amp;"NGE(""https://docs.google.com/spreadsheets/d/19KBlQQs7uwvsao6t2n-KvW3Ax8J8uRRfZPq1zPbXgKc/edit?usp=sharing"",""ระยอง!R421"")+IMPORTRANGE(""https://docs.google.com/spreadsheets/d/1jQ6P4QcrGM89YfqcC_PxOHGCMq5ezhucwJd8ci-NHng/edit?usp=sharing"",""ราชบุรี!R42"&amp;"1"")+IMPORTRANGE(""https://docs.google.com/spreadsheets/d/1lufeA2cfFqM-elVq2hznhDzC6Pr7wkJ9ZG_sYNGCMCU/edit?usp=sharing"",""ลพบุรี!R421"")+IMPORTRANGE(""https://docs.google.com/spreadsheets/d/10oOiF7loTyfsTkbd4MpaIm0HQ9SwB7IYHdIUvt-U1Uc/edit?usp=sharing"""&amp;",""สระแก้ว!R421"")+IMPORTRANGE(""https://docs.google.com/spreadsheets/d/1xmPlrr1QbdSIKvl1dWUl9K4PjAfSL9oeMr_37QVzcxc/edit?usp=sharing"",""สระบุรี!R421"")+IMPORTRANGE(""https://docs.google.com/spreadsheets/d/1j51vR6CYVGhABJpv6tkstgok82RLpXieLzW1yOY5rHw/edi"&amp;"t?usp=sharing"",""สิงห์บุรี!R421"")+IMPORTRANGE(""https://docs.google.com/spreadsheets/d/1H1EalTWKUSzO4Z1-1CwzoDUaVffgrThEBe2sl74kKG0/edit?usp=sharing"",""สุพรรณบุรี!R421"")+IMPORTRANGE(""https://docs.google.com/spreadsheets/d/1BmIruG_sIrJLYao_Pdr7zVArWsf"&amp;"oBt2692TMi6x_854/edit?usp=sharing"",""อ่างทอง!R421"")"),0)</f>
        <v>0</v>
      </c>
      <c r="S421" s="72">
        <f ca="1">IFERROR(__xludf.DUMMYFUNCTION("IMPORTRANGE(""https://docs.google.com/spreadsheets/d/13wPX838HrBrQMCywv1BsuMkt4PEKTChp52zj44s2izQ/edit?usp=sharing"",""กาญจนบุรี!S421"")+IMPORTRANGE(""https://docs.google.com/spreadsheets/d/1ddFKvqj1W1NEiWytbGlB1zMx_ykJDVtmfEQ-6-lIUBA/edit?usp=sharing"","&amp;"""จันทบุรี!S421"")+IMPORTRANGE(""https://docs.google.com/spreadsheets/d/1T1PQvRODqOBZk8BRht_U031fIS1beLA0Ub2CEytj2q0/edit?usp=sharing"",""ฉะเชิงเทรา!S421"")+IMPORTRANGE(""https://docs.google.com/spreadsheets/d/11tr1B-Bhyr79v2bkwVh5h_fR-PStkgjlZtkrZpYurG0/"&amp;"edit?usp=sharing"",""ชลบุรี!S421"")+IMPORTRANGE(""https://docs.google.com/spreadsheets/d/1hh-FVnSX0vozXhGluamEcS54Dw9_zqW0N7qJUWgJ0Sw/edit?usp=sharing"",""ชัยนาท!S421"")+IMPORTRANGE(""https://docs.google.com/spreadsheets/d/1jkqa6GXxSacMcY1eN8AHjMNJ_7dDXMJ"&amp;"VRLDlaFSOdPM/edit?usp=sharing"",""ตราด!S421"")+IMPORTRANGE(""https://docs.google.com/spreadsheets/d/18hSgUJ3VwClqi_qtULmmW3cLr0oe3OKaSYoKzdpTsYQ/edit?usp=sharing"",""นครนายก!S421"")+IMPORTRANGE(""https://docs.google.com/spreadsheets/d/1YTZo6WM2dQ6Ix6FSdnL"&amp;"5P7uVnVKu40sxZu975tgG10E/edit?usp=sharing"",""นครปฐม!S421"")+IMPORTRANGE(""https://docs.google.com/spreadsheets/d/1OYoGg4WDg5RIzwGeB10padOxJF9E_Vljuvvct_M7RDo/edit?usp=sharing"",""ปทุมธานี!S421"")+IMPORTRANGE(""https://docs.google.com/spreadsheets/d/1GbCI"&amp;"E4D4wk9FUozzqk7SxfDMxDVBwVmI5zcaVUSzKAc/edit?usp=sharing"",""ประจวบคีรีขันธ์!S421"")+IMPORTRANGE(""https://docs.google.com/spreadsheets/d/1vVf6wykvW_lAyu7Yo9L4hUTqHqIeP_qcVuxCtosJEbg/edit?usp=sharing"",""ปราจีนบุรี!S421"")+IMPORTRANGE(""https://docs.googl"&amp;"e.com/spreadsheets/d/1BIDqLLg5jk3v59G8NlR8rk5xfQDKne0sAvZHSj7TI6I/edit?usp=sharing"",""พระนครศรีอยุธยา!S421"")+IMPORTRANGE(""https://docs.google.com/spreadsheets/d/1YXvxf8Yu6_rV4hTBrwMqAcAnv6DfhUxh5emyM3CJp_w/edit?usp=sharing"",""เพชรบุรี!S421"")+IMPORTRA"&amp;"NGE(""https://docs.google.com/spreadsheets/d/19KBlQQs7uwvsao6t2n-KvW3Ax8J8uRRfZPq1zPbXgKc/edit?usp=sharing"",""ระยอง!S421"")+IMPORTRANGE(""https://docs.google.com/spreadsheets/d/1jQ6P4QcrGM89YfqcC_PxOHGCMq5ezhucwJd8ci-NHng/edit?usp=sharing"",""ราชบุรี!S42"&amp;"1"")+IMPORTRANGE(""https://docs.google.com/spreadsheets/d/1lufeA2cfFqM-elVq2hznhDzC6Pr7wkJ9ZG_sYNGCMCU/edit?usp=sharing"",""ลพบุรี!S421"")+IMPORTRANGE(""https://docs.google.com/spreadsheets/d/10oOiF7loTyfsTkbd4MpaIm0HQ9SwB7IYHdIUvt-U1Uc/edit?usp=sharing"""&amp;",""สระแก้ว!S421"")+IMPORTRANGE(""https://docs.google.com/spreadsheets/d/1xmPlrr1QbdSIKvl1dWUl9K4PjAfSL9oeMr_37QVzcxc/edit?usp=sharing"",""สระบุรี!S421"")+IMPORTRANGE(""https://docs.google.com/spreadsheets/d/1j51vR6CYVGhABJpv6tkstgok82RLpXieLzW1yOY5rHw/edi"&amp;"t?usp=sharing"",""สิงห์บุรี!S421"")+IMPORTRANGE(""https://docs.google.com/spreadsheets/d/1H1EalTWKUSzO4Z1-1CwzoDUaVffgrThEBe2sl74kKG0/edit?usp=sharing"",""สุพรรณบุรี!S421"")+IMPORTRANGE(""https://docs.google.com/spreadsheets/d/1BmIruG_sIrJLYao_Pdr7zVArWsf"&amp;"oBt2692TMi6x_854/edit?usp=sharing"",""อ่างทอง!S421"")"),0)</f>
        <v>0</v>
      </c>
      <c r="T421" s="130">
        <f t="shared" ca="1" si="309"/>
        <v>0</v>
      </c>
      <c r="U421" s="130">
        <f t="shared" ca="1" si="310"/>
        <v>0</v>
      </c>
    </row>
    <row r="422" spans="1:21" ht="19.5" x14ac:dyDescent="0.3">
      <c r="A422" s="529"/>
      <c r="B422" s="267"/>
      <c r="C422" s="596" t="s">
        <v>18</v>
      </c>
      <c r="D422" s="600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x14ac:dyDescent="0.3">
      <c r="A423" s="529"/>
      <c r="B423" s="276" t="s">
        <v>161</v>
      </c>
      <c r="C423" s="267"/>
      <c r="D423" s="267"/>
      <c r="E423" s="267"/>
      <c r="F423" s="267"/>
      <c r="G423" s="307"/>
      <c r="H423" s="597" t="s">
        <v>46</v>
      </c>
      <c r="I423" s="601">
        <f t="shared" ref="I423:J423" ca="1" si="319">I440</f>
        <v>100559</v>
      </c>
      <c r="J423" s="601">
        <f t="shared" ca="1" si="319"/>
        <v>0</v>
      </c>
      <c r="K423" s="262">
        <f t="shared" ref="K423:K425" ca="1" si="320">IF(I423&gt;0,J423*100/I423,0)</f>
        <v>0</v>
      </c>
      <c r="L423" s="85"/>
      <c r="M423" s="85"/>
      <c r="N423" s="85"/>
      <c r="O423" s="85"/>
      <c r="P423" s="85"/>
      <c r="Q423" s="84"/>
      <c r="R423" s="85"/>
      <c r="S423" s="85"/>
      <c r="T423" s="85"/>
      <c r="U423" s="85"/>
    </row>
    <row r="424" spans="1:21" ht="19.5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13wPX838HrBrQMCywv1BsuMkt4PEKTChp52zj44s2izQ/edit?usp=sharing"",""กาญจนบุรี!I424"")+IMPORTRANGE(""https://docs.google.com/spreadsheets/d/1ddFKvqj1W1NEiWytbGlB1zMx_ykJDVtmfEQ-6-lIUBA/edit?usp=sharing"","&amp;"""จันทบุรี!I424"")+IMPORTRANGE(""https://docs.google.com/spreadsheets/d/1T1PQvRODqOBZk8BRht_U031fIS1beLA0Ub2CEytj2q0/edit?usp=sharing"",""ฉะเชิงเทรา!I424"")+IMPORTRANGE(""https://docs.google.com/spreadsheets/d/11tr1B-Bhyr79v2bkwVh5h_fR-PStkgjlZtkrZpYurG0/"&amp;"edit?usp=sharing"",""ชลบุรี!I424"")+IMPORTRANGE(""https://docs.google.com/spreadsheets/d/1hh-FVnSX0vozXhGluamEcS54Dw9_zqW0N7qJUWgJ0Sw/edit?usp=sharing"",""ชัยนาท!I424"")+IMPORTRANGE(""https://docs.google.com/spreadsheets/d/1jkqa6GXxSacMcY1eN8AHjMNJ_7dDXMJ"&amp;"VRLDlaFSOdPM/edit?usp=sharing"",""ตราด!I424"")+IMPORTRANGE(""https://docs.google.com/spreadsheets/d/18hSgUJ3VwClqi_qtULmmW3cLr0oe3OKaSYoKzdpTsYQ/edit?usp=sharing"",""นครนายก!I424"")+IMPORTRANGE(""https://docs.google.com/spreadsheets/d/1YTZo6WM2dQ6Ix6FSdnL"&amp;"5P7uVnVKu40sxZu975tgG10E/edit?usp=sharing"",""นครปฐม!I424"")+IMPORTRANGE(""https://docs.google.com/spreadsheets/d/1OYoGg4WDg5RIzwGeB10padOxJF9E_Vljuvvct_M7RDo/edit?usp=sharing"",""ปทุมธานี!I424"")+IMPORTRANGE(""https://docs.google.com/spreadsheets/d/1GbCI"&amp;"E4D4wk9FUozzqk7SxfDMxDVBwVmI5zcaVUSzKAc/edit?usp=sharing"",""ประจวบคีรีขันธ์!I424"")+IMPORTRANGE(""https://docs.google.com/spreadsheets/d/1vVf6wykvW_lAyu7Yo9L4hUTqHqIeP_qcVuxCtosJEbg/edit?usp=sharing"",""ปราจีนบุรี!I424"")+IMPORTRANGE(""https://docs.googl"&amp;"e.com/spreadsheets/d/1BIDqLLg5jk3v59G8NlR8rk5xfQDKne0sAvZHSj7TI6I/edit?usp=sharing"",""พระนครศรีอยุธยา!I424"")+IMPORTRANGE(""https://docs.google.com/spreadsheets/d/1YXvxf8Yu6_rV4hTBrwMqAcAnv6DfhUxh5emyM3CJp_w/edit?usp=sharing"",""เพชรบุรี!I424"")+IMPORTRA"&amp;"NGE(""https://docs.google.com/spreadsheets/d/19KBlQQs7uwvsao6t2n-KvW3Ax8J8uRRfZPq1zPbXgKc/edit?usp=sharing"",""ระยอง!I424"")+IMPORTRANGE(""https://docs.google.com/spreadsheets/d/1jQ6P4QcrGM89YfqcC_PxOHGCMq5ezhucwJd8ci-NHng/edit?usp=sharing"",""ราชบุรี!I42"&amp;"4"")+IMPORTRANGE(""https://docs.google.com/spreadsheets/d/1lufeA2cfFqM-elVq2hznhDzC6Pr7wkJ9ZG_sYNGCMCU/edit?usp=sharing"",""ลพบุรี!I424"")+IMPORTRANGE(""https://docs.google.com/spreadsheets/d/10oOiF7loTyfsTkbd4MpaIm0HQ9SwB7IYHdIUvt-U1Uc/edit?usp=sharing"""&amp;",""สระแก้ว!I424"")+IMPORTRANGE(""https://docs.google.com/spreadsheets/d/1xmPlrr1QbdSIKvl1dWUl9K4PjAfSL9oeMr_37QVzcxc/edit?usp=sharing"",""สระบุรี!I424"")+IMPORTRANGE(""https://docs.google.com/spreadsheets/d/1j51vR6CYVGhABJpv6tkstgok82RLpXieLzW1yOY5rHw/edi"&amp;"t?usp=sharing"",""สิงห์บุรี!I424"")+IMPORTRANGE(""https://docs.google.com/spreadsheets/d/1H1EalTWKUSzO4Z1-1CwzoDUaVffgrThEBe2sl74kKG0/edit?usp=sharing"",""สุพรรณบุรี!I424"")+IMPORTRANGE(""https://docs.google.com/spreadsheets/d/1BmIruG_sIrJLYao_Pdr7zVArWsf"&amp;"oBt2692TMi6x_854/edit?usp=sharing"",""อ่างทอง!I424"")"),100559)</f>
        <v>100559</v>
      </c>
      <c r="J424" s="601">
        <f t="shared" ref="J424:J425" ca="1" si="321">J426+J428+J430</f>
        <v>0</v>
      </c>
      <c r="K424" s="262">
        <f t="shared" ca="1" si="320"/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13wPX838HrBrQMCywv1BsuMkt4PEKTChp52zj44s2izQ/edit?usp=sharing"",""กาญจนบุรี!I425"")+IMPORTRANGE(""https://docs.google.com/spreadsheets/d/1ddFKvqj1W1NEiWytbGlB1zMx_ykJDVtmfEQ-6-lIUBA/edit?usp=sharing"","&amp;"""จันทบุรี!I425"")+IMPORTRANGE(""https://docs.google.com/spreadsheets/d/1T1PQvRODqOBZk8BRht_U031fIS1beLA0Ub2CEytj2q0/edit?usp=sharing"",""ฉะเชิงเทรา!I425"")+IMPORTRANGE(""https://docs.google.com/spreadsheets/d/11tr1B-Bhyr79v2bkwVh5h_fR-PStkgjlZtkrZpYurG0/"&amp;"edit?usp=sharing"",""ชลบุรี!I425"")+IMPORTRANGE(""https://docs.google.com/spreadsheets/d/1hh-FVnSX0vozXhGluamEcS54Dw9_zqW0N7qJUWgJ0Sw/edit?usp=sharing"",""ชัยนาท!I425"")+IMPORTRANGE(""https://docs.google.com/spreadsheets/d/1jkqa6GXxSacMcY1eN8AHjMNJ_7dDXMJ"&amp;"VRLDlaFSOdPM/edit?usp=sharing"",""ตราด!I425"")+IMPORTRANGE(""https://docs.google.com/spreadsheets/d/18hSgUJ3VwClqi_qtULmmW3cLr0oe3OKaSYoKzdpTsYQ/edit?usp=sharing"",""นครนายก!I425"")+IMPORTRANGE(""https://docs.google.com/spreadsheets/d/1YTZo6WM2dQ6Ix6FSdnL"&amp;"5P7uVnVKu40sxZu975tgG10E/edit?usp=sharing"",""นครปฐม!I425"")+IMPORTRANGE(""https://docs.google.com/spreadsheets/d/1OYoGg4WDg5RIzwGeB10padOxJF9E_Vljuvvct_M7RDo/edit?usp=sharing"",""ปทุมธานี!I425"")+IMPORTRANGE(""https://docs.google.com/spreadsheets/d/1GbCI"&amp;"E4D4wk9FUozzqk7SxfDMxDVBwVmI5zcaVUSzKAc/edit?usp=sharing"",""ประจวบคีรีขันธ์!I425"")+IMPORTRANGE(""https://docs.google.com/spreadsheets/d/1vVf6wykvW_lAyu7Yo9L4hUTqHqIeP_qcVuxCtosJEbg/edit?usp=sharing"",""ปราจีนบุรี!I425"")+IMPORTRANGE(""https://docs.googl"&amp;"e.com/spreadsheets/d/1BIDqLLg5jk3v59G8NlR8rk5xfQDKne0sAvZHSj7TI6I/edit?usp=sharing"",""พระนครศรีอยุธยา!I425"")+IMPORTRANGE(""https://docs.google.com/spreadsheets/d/1YXvxf8Yu6_rV4hTBrwMqAcAnv6DfhUxh5emyM3CJp_w/edit?usp=sharing"",""เพชรบุรี!I425"")+IMPORTRA"&amp;"NGE(""https://docs.google.com/spreadsheets/d/19KBlQQs7uwvsao6t2n-KvW3Ax8J8uRRfZPq1zPbXgKc/edit?usp=sharing"",""ระยอง!I425"")+IMPORTRANGE(""https://docs.google.com/spreadsheets/d/1jQ6P4QcrGM89YfqcC_PxOHGCMq5ezhucwJd8ci-NHng/edit?usp=sharing"",""ราชบุรี!I42"&amp;"5"")+IMPORTRANGE(""https://docs.google.com/spreadsheets/d/1lufeA2cfFqM-elVq2hznhDzC6Pr7wkJ9ZG_sYNGCMCU/edit?usp=sharing"",""ลพบุรี!I425"")+IMPORTRANGE(""https://docs.google.com/spreadsheets/d/10oOiF7loTyfsTkbd4MpaIm0HQ9SwB7IYHdIUvt-U1Uc/edit?usp=sharing"""&amp;",""สระแก้ว!I425"")+IMPORTRANGE(""https://docs.google.com/spreadsheets/d/1xmPlrr1QbdSIKvl1dWUl9K4PjAfSL9oeMr_37QVzcxc/edit?usp=sharing"",""สระบุรี!I425"")+IMPORTRANGE(""https://docs.google.com/spreadsheets/d/1j51vR6CYVGhABJpv6tkstgok82RLpXieLzW1yOY5rHw/edi"&amp;"t?usp=sharing"",""สิงห์บุรี!I425"")+IMPORTRANGE(""https://docs.google.com/spreadsheets/d/1H1EalTWKUSzO4Z1-1CwzoDUaVffgrThEBe2sl74kKG0/edit?usp=sharing"",""สุพรรณบุรี!I425"")+IMPORTRANGE(""https://docs.google.com/spreadsheets/d/1BmIruG_sIrJLYao_Pdr7zVArWsf"&amp;"oBt2692TMi6x_854/edit?usp=sharing"",""อ่างทอง!I425"")"),6874)</f>
        <v>6874</v>
      </c>
      <c r="J425" s="601">
        <f t="shared" ca="1" si="321"/>
        <v>0</v>
      </c>
      <c r="K425" s="262">
        <f t="shared" ca="1" si="320"/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602">
        <f ca="1">IFERROR(__xludf.DUMMYFUNCTION("IMPORTRANGE(""https://docs.google.com/spreadsheets/d/13wPX838HrBrQMCywv1BsuMkt4PEKTChp52zj44s2izQ/edit?usp=sharing"",""กาญจนบุรี!J426"")+IMPORTRANGE(""https://docs.google.com/spreadsheets/d/1ddFKvqj1W1NEiWytbGlB1zMx_ykJDVtmfEQ-6-lIUBA/edit?usp=sharing"","&amp;"""จันทบุรี!J426"")+IMPORTRANGE(""https://docs.google.com/spreadsheets/d/1T1PQvRODqOBZk8BRht_U031fIS1beLA0Ub2CEytj2q0/edit?usp=sharing"",""ฉะเชิงเทรา!J426"")+IMPORTRANGE(""https://docs.google.com/spreadsheets/d/11tr1B-Bhyr79v2bkwVh5h_fR-PStkgjlZtkrZpYurG0/"&amp;"edit?usp=sharing"",""ชลบุรี!J426"")+IMPORTRANGE(""https://docs.google.com/spreadsheets/d/1hh-FVnSX0vozXhGluamEcS54Dw9_zqW0N7qJUWgJ0Sw/edit?usp=sharing"",""ชัยนาท!J426"")+IMPORTRANGE(""https://docs.google.com/spreadsheets/d/1jkqa6GXxSacMcY1eN8AHjMNJ_7dDXMJ"&amp;"VRLDlaFSOdPM/edit?usp=sharing"",""ตราด!J426"")+IMPORTRANGE(""https://docs.google.com/spreadsheets/d/18hSgUJ3VwClqi_qtULmmW3cLr0oe3OKaSYoKzdpTsYQ/edit?usp=sharing"",""นครนายก!J426"")+IMPORTRANGE(""https://docs.google.com/spreadsheets/d/1YTZo6WM2dQ6Ix6FSdnL"&amp;"5P7uVnVKu40sxZu975tgG10E/edit?usp=sharing"",""นครปฐม!J426"")+IMPORTRANGE(""https://docs.google.com/spreadsheets/d/1OYoGg4WDg5RIzwGeB10padOxJF9E_Vljuvvct_M7RDo/edit?usp=sharing"",""ปทุมธานี!J426"")+IMPORTRANGE(""https://docs.google.com/spreadsheets/d/1GbCI"&amp;"E4D4wk9FUozzqk7SxfDMxDVBwVmI5zcaVUSzKAc/edit?usp=sharing"",""ประจวบคีรีขันธ์!J426"")+IMPORTRANGE(""https://docs.google.com/spreadsheets/d/1vVf6wykvW_lAyu7Yo9L4hUTqHqIeP_qcVuxCtosJEbg/edit?usp=sharing"",""ปราจีนบุรี!J426"")+IMPORTRANGE(""https://docs.googl"&amp;"e.com/spreadsheets/d/1BIDqLLg5jk3v59G8NlR8rk5xfQDKne0sAvZHSj7TI6I/edit?usp=sharing"",""พระนครศรีอยุธยา!J426"")+IMPORTRANGE(""https://docs.google.com/spreadsheets/d/1YXvxf8Yu6_rV4hTBrwMqAcAnv6DfhUxh5emyM3CJp_w/edit?usp=sharing"",""เพชรบุรี!J426"")+IMPORTRA"&amp;"NGE(""https://docs.google.com/spreadsheets/d/19KBlQQs7uwvsao6t2n-KvW3Ax8J8uRRfZPq1zPbXgKc/edit?usp=sharing"",""ระยอง!J426"")+IMPORTRANGE(""https://docs.google.com/spreadsheets/d/1jQ6P4QcrGM89YfqcC_PxOHGCMq5ezhucwJd8ci-NHng/edit?usp=sharing"",""ราชบุรี!J42"&amp;"6"")+IMPORTRANGE(""https://docs.google.com/spreadsheets/d/1lufeA2cfFqM-elVq2hznhDzC6Pr7wkJ9ZG_sYNGCMCU/edit?usp=sharing"",""ลพบุรี!J426"")+IMPORTRANGE(""https://docs.google.com/spreadsheets/d/10oOiF7loTyfsTkbd4MpaIm0HQ9SwB7IYHdIUvt-U1Uc/edit?usp=sharing"""&amp;",""สระแก้ว!J426"")+IMPORTRANGE(""https://docs.google.com/spreadsheets/d/1xmPlrr1QbdSIKvl1dWUl9K4PjAfSL9oeMr_37QVzcxc/edit?usp=sharing"",""สระบุรี!J426"")+IMPORTRANGE(""https://docs.google.com/spreadsheets/d/1j51vR6CYVGhABJpv6tkstgok82RLpXieLzW1yOY5rHw/edi"&amp;"t?usp=sharing"",""สิงห์บุรี!J426"")+IMPORTRANGE(""https://docs.google.com/spreadsheets/d/1H1EalTWKUSzO4Z1-1CwzoDUaVffgrThEBe2sl74kKG0/edit?usp=sharing"",""สุพรรณบุรี!J426"")+IMPORTRANGE(""https://docs.google.com/spreadsheets/d/1BmIruG_sIrJLYao_Pdr7zVArWsf"&amp;"oBt2692TMi6x_854/edit?usp=sharing"",""อ่างทอง!J426"")"),0)</f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602">
        <f ca="1">IFERROR(__xludf.DUMMYFUNCTION("IMPORTRANGE(""https://docs.google.com/spreadsheets/d/13wPX838HrBrQMCywv1BsuMkt4PEKTChp52zj44s2izQ/edit?usp=sharing"",""กาญจนบุรี!J427"")+IMPORTRANGE(""https://docs.google.com/spreadsheets/d/1ddFKvqj1W1NEiWytbGlB1zMx_ykJDVtmfEQ-6-lIUBA/edit?usp=sharing"","&amp;"""จันทบุรี!J427"")+IMPORTRANGE(""https://docs.google.com/spreadsheets/d/1T1PQvRODqOBZk8BRht_U031fIS1beLA0Ub2CEytj2q0/edit?usp=sharing"",""ฉะเชิงเทรา!J427"")+IMPORTRANGE(""https://docs.google.com/spreadsheets/d/11tr1B-Bhyr79v2bkwVh5h_fR-PStkgjlZtkrZpYurG0/"&amp;"edit?usp=sharing"",""ชลบุรี!J427"")+IMPORTRANGE(""https://docs.google.com/spreadsheets/d/1hh-FVnSX0vozXhGluamEcS54Dw9_zqW0N7qJUWgJ0Sw/edit?usp=sharing"",""ชัยนาท!J427"")+IMPORTRANGE(""https://docs.google.com/spreadsheets/d/1jkqa6GXxSacMcY1eN8AHjMNJ_7dDXMJ"&amp;"VRLDlaFSOdPM/edit?usp=sharing"",""ตราด!J427"")+IMPORTRANGE(""https://docs.google.com/spreadsheets/d/18hSgUJ3VwClqi_qtULmmW3cLr0oe3OKaSYoKzdpTsYQ/edit?usp=sharing"",""นครนายก!J427"")+IMPORTRANGE(""https://docs.google.com/spreadsheets/d/1YTZo6WM2dQ6Ix6FSdnL"&amp;"5P7uVnVKu40sxZu975tgG10E/edit?usp=sharing"",""นครปฐม!J427"")+IMPORTRANGE(""https://docs.google.com/spreadsheets/d/1OYoGg4WDg5RIzwGeB10padOxJF9E_Vljuvvct_M7RDo/edit?usp=sharing"",""ปทุมธานี!J427"")+IMPORTRANGE(""https://docs.google.com/spreadsheets/d/1GbCI"&amp;"E4D4wk9FUozzqk7SxfDMxDVBwVmI5zcaVUSzKAc/edit?usp=sharing"",""ประจวบคีรีขันธ์!J427"")+IMPORTRANGE(""https://docs.google.com/spreadsheets/d/1vVf6wykvW_lAyu7Yo9L4hUTqHqIeP_qcVuxCtosJEbg/edit?usp=sharing"",""ปราจีนบุรี!J427"")+IMPORTRANGE(""https://docs.googl"&amp;"e.com/spreadsheets/d/1BIDqLLg5jk3v59G8NlR8rk5xfQDKne0sAvZHSj7TI6I/edit?usp=sharing"",""พระนครศรีอยุธยา!J427"")+IMPORTRANGE(""https://docs.google.com/spreadsheets/d/1YXvxf8Yu6_rV4hTBrwMqAcAnv6DfhUxh5emyM3CJp_w/edit?usp=sharing"",""เพชรบุรี!J427"")+IMPORTRA"&amp;"NGE(""https://docs.google.com/spreadsheets/d/19KBlQQs7uwvsao6t2n-KvW3Ax8J8uRRfZPq1zPbXgKc/edit?usp=sharing"",""ระยอง!J427"")+IMPORTRANGE(""https://docs.google.com/spreadsheets/d/1jQ6P4QcrGM89YfqcC_PxOHGCMq5ezhucwJd8ci-NHng/edit?usp=sharing"",""ราชบุรี!J42"&amp;"7"")+IMPORTRANGE(""https://docs.google.com/spreadsheets/d/1lufeA2cfFqM-elVq2hznhDzC6Pr7wkJ9ZG_sYNGCMCU/edit?usp=sharing"",""ลพบุรี!J427"")+IMPORTRANGE(""https://docs.google.com/spreadsheets/d/10oOiF7loTyfsTkbd4MpaIm0HQ9SwB7IYHdIUvt-U1Uc/edit?usp=sharing"""&amp;",""สระแก้ว!J427"")+IMPORTRANGE(""https://docs.google.com/spreadsheets/d/1xmPlrr1QbdSIKvl1dWUl9K4PjAfSL9oeMr_37QVzcxc/edit?usp=sharing"",""สระบุรี!J427"")+IMPORTRANGE(""https://docs.google.com/spreadsheets/d/1j51vR6CYVGhABJpv6tkstgok82RLpXieLzW1yOY5rHw/edi"&amp;"t?usp=sharing"",""สิงห์บุรี!J427"")+IMPORTRANGE(""https://docs.google.com/spreadsheets/d/1H1EalTWKUSzO4Z1-1CwzoDUaVffgrThEBe2sl74kKG0/edit?usp=sharing"",""สุพรรณบุรี!J427"")+IMPORTRANGE(""https://docs.google.com/spreadsheets/d/1BmIruG_sIrJLYao_Pdr7zVArWsf"&amp;"oBt2692TMi6x_854/edit?usp=sharing"",""อ่างทอง!J427"")"),0)</f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602">
        <f ca="1">IFERROR(__xludf.DUMMYFUNCTION("IMPORTRANGE(""https://docs.google.com/spreadsheets/d/13wPX838HrBrQMCywv1BsuMkt4PEKTChp52zj44s2izQ/edit?usp=sharing"",""กาญจนบุรี!J428"")+IMPORTRANGE(""https://docs.google.com/spreadsheets/d/1ddFKvqj1W1NEiWytbGlB1zMx_ykJDVtmfEQ-6-lIUBA/edit?usp=sharing"","&amp;"""จันทบุรี!J428"")+IMPORTRANGE(""https://docs.google.com/spreadsheets/d/1T1PQvRODqOBZk8BRht_U031fIS1beLA0Ub2CEytj2q0/edit?usp=sharing"",""ฉะเชิงเทรา!J428"")+IMPORTRANGE(""https://docs.google.com/spreadsheets/d/11tr1B-Bhyr79v2bkwVh5h_fR-PStkgjlZtkrZpYurG0/"&amp;"edit?usp=sharing"",""ชลบุรี!J428"")+IMPORTRANGE(""https://docs.google.com/spreadsheets/d/1hh-FVnSX0vozXhGluamEcS54Dw9_zqW0N7qJUWgJ0Sw/edit?usp=sharing"",""ชัยนาท!J428"")+IMPORTRANGE(""https://docs.google.com/spreadsheets/d/1jkqa6GXxSacMcY1eN8AHjMNJ_7dDXMJ"&amp;"VRLDlaFSOdPM/edit?usp=sharing"",""ตราด!J428"")+IMPORTRANGE(""https://docs.google.com/spreadsheets/d/18hSgUJ3VwClqi_qtULmmW3cLr0oe3OKaSYoKzdpTsYQ/edit?usp=sharing"",""นครนายก!J428"")+IMPORTRANGE(""https://docs.google.com/spreadsheets/d/1YTZo6WM2dQ6Ix6FSdnL"&amp;"5P7uVnVKu40sxZu975tgG10E/edit?usp=sharing"",""นครปฐม!J428"")+IMPORTRANGE(""https://docs.google.com/spreadsheets/d/1OYoGg4WDg5RIzwGeB10padOxJF9E_Vljuvvct_M7RDo/edit?usp=sharing"",""ปทุมธานี!J428"")+IMPORTRANGE(""https://docs.google.com/spreadsheets/d/1GbCI"&amp;"E4D4wk9FUozzqk7SxfDMxDVBwVmI5zcaVUSzKAc/edit?usp=sharing"",""ประจวบคีรีขันธ์!J428"")+IMPORTRANGE(""https://docs.google.com/spreadsheets/d/1vVf6wykvW_lAyu7Yo9L4hUTqHqIeP_qcVuxCtosJEbg/edit?usp=sharing"",""ปราจีนบุรี!J428"")+IMPORTRANGE(""https://docs.googl"&amp;"e.com/spreadsheets/d/1BIDqLLg5jk3v59G8NlR8rk5xfQDKne0sAvZHSj7TI6I/edit?usp=sharing"",""พระนครศรีอยุธยา!J428"")+IMPORTRANGE(""https://docs.google.com/spreadsheets/d/1YXvxf8Yu6_rV4hTBrwMqAcAnv6DfhUxh5emyM3CJp_w/edit?usp=sharing"",""เพชรบุรี!J428"")+IMPORTRA"&amp;"NGE(""https://docs.google.com/spreadsheets/d/19KBlQQs7uwvsao6t2n-KvW3Ax8J8uRRfZPq1zPbXgKc/edit?usp=sharing"",""ระยอง!J428"")+IMPORTRANGE(""https://docs.google.com/spreadsheets/d/1jQ6P4QcrGM89YfqcC_PxOHGCMq5ezhucwJd8ci-NHng/edit?usp=sharing"",""ราชบุรี!J42"&amp;"8"")+IMPORTRANGE(""https://docs.google.com/spreadsheets/d/1lufeA2cfFqM-elVq2hznhDzC6Pr7wkJ9ZG_sYNGCMCU/edit?usp=sharing"",""ลพบุรี!J428"")+IMPORTRANGE(""https://docs.google.com/spreadsheets/d/10oOiF7loTyfsTkbd4MpaIm0HQ9SwB7IYHdIUvt-U1Uc/edit?usp=sharing"""&amp;",""สระแก้ว!J428"")+IMPORTRANGE(""https://docs.google.com/spreadsheets/d/1xmPlrr1QbdSIKvl1dWUl9K4PjAfSL9oeMr_37QVzcxc/edit?usp=sharing"",""สระบุรี!J428"")+IMPORTRANGE(""https://docs.google.com/spreadsheets/d/1j51vR6CYVGhABJpv6tkstgok82RLpXieLzW1yOY5rHw/edi"&amp;"t?usp=sharing"",""สิงห์บุรี!J428"")+IMPORTRANGE(""https://docs.google.com/spreadsheets/d/1H1EalTWKUSzO4Z1-1CwzoDUaVffgrThEBe2sl74kKG0/edit?usp=sharing"",""สุพรรณบุรี!J428"")+IMPORTRANGE(""https://docs.google.com/spreadsheets/d/1BmIruG_sIrJLYao_Pdr7zVArWsf"&amp;"oBt2692TMi6x_854/edit?usp=sharing"",""อ่างทอง!J428"")"),0)</f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602">
        <f ca="1">IFERROR(__xludf.DUMMYFUNCTION("IMPORTRANGE(""https://docs.google.com/spreadsheets/d/13wPX838HrBrQMCywv1BsuMkt4PEKTChp52zj44s2izQ/edit?usp=sharing"",""กาญจนบุรี!J429"")+IMPORTRANGE(""https://docs.google.com/spreadsheets/d/1ddFKvqj1W1NEiWytbGlB1zMx_ykJDVtmfEQ-6-lIUBA/edit?usp=sharing"","&amp;"""จันทบุรี!J429"")+IMPORTRANGE(""https://docs.google.com/spreadsheets/d/1T1PQvRODqOBZk8BRht_U031fIS1beLA0Ub2CEytj2q0/edit?usp=sharing"",""ฉะเชิงเทรา!J429"")+IMPORTRANGE(""https://docs.google.com/spreadsheets/d/11tr1B-Bhyr79v2bkwVh5h_fR-PStkgjlZtkrZpYurG0/"&amp;"edit?usp=sharing"",""ชลบุรี!J429"")+IMPORTRANGE(""https://docs.google.com/spreadsheets/d/1hh-FVnSX0vozXhGluamEcS54Dw9_zqW0N7qJUWgJ0Sw/edit?usp=sharing"",""ชัยนาท!J429"")+IMPORTRANGE(""https://docs.google.com/spreadsheets/d/1jkqa6GXxSacMcY1eN8AHjMNJ_7dDXMJ"&amp;"VRLDlaFSOdPM/edit?usp=sharing"",""ตราด!J429"")+IMPORTRANGE(""https://docs.google.com/spreadsheets/d/18hSgUJ3VwClqi_qtULmmW3cLr0oe3OKaSYoKzdpTsYQ/edit?usp=sharing"",""นครนายก!J429"")+IMPORTRANGE(""https://docs.google.com/spreadsheets/d/1YTZo6WM2dQ6Ix6FSdnL"&amp;"5P7uVnVKu40sxZu975tgG10E/edit?usp=sharing"",""นครปฐม!J429"")+IMPORTRANGE(""https://docs.google.com/spreadsheets/d/1OYoGg4WDg5RIzwGeB10padOxJF9E_Vljuvvct_M7RDo/edit?usp=sharing"",""ปทุมธานี!J429"")+IMPORTRANGE(""https://docs.google.com/spreadsheets/d/1GbCI"&amp;"E4D4wk9FUozzqk7SxfDMxDVBwVmI5zcaVUSzKAc/edit?usp=sharing"",""ประจวบคีรีขันธ์!J429"")+IMPORTRANGE(""https://docs.google.com/spreadsheets/d/1vVf6wykvW_lAyu7Yo9L4hUTqHqIeP_qcVuxCtosJEbg/edit?usp=sharing"",""ปราจีนบุรี!J429"")+IMPORTRANGE(""https://docs.googl"&amp;"e.com/spreadsheets/d/1BIDqLLg5jk3v59G8NlR8rk5xfQDKne0sAvZHSj7TI6I/edit?usp=sharing"",""พระนครศรีอยุธยา!J429"")+IMPORTRANGE(""https://docs.google.com/spreadsheets/d/1YXvxf8Yu6_rV4hTBrwMqAcAnv6DfhUxh5emyM3CJp_w/edit?usp=sharing"",""เพชรบุรี!J429"")+IMPORTRA"&amp;"NGE(""https://docs.google.com/spreadsheets/d/19KBlQQs7uwvsao6t2n-KvW3Ax8J8uRRfZPq1zPbXgKc/edit?usp=sharing"",""ระยอง!J429"")+IMPORTRANGE(""https://docs.google.com/spreadsheets/d/1jQ6P4QcrGM89YfqcC_PxOHGCMq5ezhucwJd8ci-NHng/edit?usp=sharing"",""ราชบุรี!J42"&amp;"9"")+IMPORTRANGE(""https://docs.google.com/spreadsheets/d/1lufeA2cfFqM-elVq2hznhDzC6Pr7wkJ9ZG_sYNGCMCU/edit?usp=sharing"",""ลพบุรี!J429"")+IMPORTRANGE(""https://docs.google.com/spreadsheets/d/10oOiF7loTyfsTkbd4MpaIm0HQ9SwB7IYHdIUvt-U1Uc/edit?usp=sharing"""&amp;",""สระแก้ว!J429"")+IMPORTRANGE(""https://docs.google.com/spreadsheets/d/1xmPlrr1QbdSIKvl1dWUl9K4PjAfSL9oeMr_37QVzcxc/edit?usp=sharing"",""สระบุรี!J429"")+IMPORTRANGE(""https://docs.google.com/spreadsheets/d/1j51vR6CYVGhABJpv6tkstgok82RLpXieLzW1yOY5rHw/edi"&amp;"t?usp=sharing"",""สิงห์บุรี!J429"")+IMPORTRANGE(""https://docs.google.com/spreadsheets/d/1H1EalTWKUSzO4Z1-1CwzoDUaVffgrThEBe2sl74kKG0/edit?usp=sharing"",""สุพรรณบุรี!J429"")+IMPORTRANGE(""https://docs.google.com/spreadsheets/d/1BmIruG_sIrJLYao_Pdr7zVArWsf"&amp;"oBt2692TMi6x_854/edit?usp=sharing"",""อ่างทอง!J429"")"),0)</f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602">
        <f ca="1">IFERROR(__xludf.DUMMYFUNCTION("IMPORTRANGE(""https://docs.google.com/spreadsheets/d/13wPX838HrBrQMCywv1BsuMkt4PEKTChp52zj44s2izQ/edit?usp=sharing"",""กาญจนบุรี!J430"")+IMPORTRANGE(""https://docs.google.com/spreadsheets/d/1ddFKvqj1W1NEiWytbGlB1zMx_ykJDVtmfEQ-6-lIUBA/edit?usp=sharing"","&amp;"""จันทบุรี!J430"")+IMPORTRANGE(""https://docs.google.com/spreadsheets/d/1T1PQvRODqOBZk8BRht_U031fIS1beLA0Ub2CEytj2q0/edit?usp=sharing"",""ฉะเชิงเทรา!J430"")+IMPORTRANGE(""https://docs.google.com/spreadsheets/d/11tr1B-Bhyr79v2bkwVh5h_fR-PStkgjlZtkrZpYurG0/"&amp;"edit?usp=sharing"",""ชลบุรี!J430"")+IMPORTRANGE(""https://docs.google.com/spreadsheets/d/1hh-FVnSX0vozXhGluamEcS54Dw9_zqW0N7qJUWgJ0Sw/edit?usp=sharing"",""ชัยนาท!J430"")+IMPORTRANGE(""https://docs.google.com/spreadsheets/d/1jkqa6GXxSacMcY1eN8AHjMNJ_7dDXMJ"&amp;"VRLDlaFSOdPM/edit?usp=sharing"",""ตราด!J430"")+IMPORTRANGE(""https://docs.google.com/spreadsheets/d/18hSgUJ3VwClqi_qtULmmW3cLr0oe3OKaSYoKzdpTsYQ/edit?usp=sharing"",""นครนายก!J430"")+IMPORTRANGE(""https://docs.google.com/spreadsheets/d/1YTZo6WM2dQ6Ix6FSdnL"&amp;"5P7uVnVKu40sxZu975tgG10E/edit?usp=sharing"",""นครปฐม!J430"")+IMPORTRANGE(""https://docs.google.com/spreadsheets/d/1OYoGg4WDg5RIzwGeB10padOxJF9E_Vljuvvct_M7RDo/edit?usp=sharing"",""ปทุมธานี!J430"")+IMPORTRANGE(""https://docs.google.com/spreadsheets/d/1GbCI"&amp;"E4D4wk9FUozzqk7SxfDMxDVBwVmI5zcaVUSzKAc/edit?usp=sharing"",""ประจวบคีรีขันธ์!J430"")+IMPORTRANGE(""https://docs.google.com/spreadsheets/d/1vVf6wykvW_lAyu7Yo9L4hUTqHqIeP_qcVuxCtosJEbg/edit?usp=sharing"",""ปราจีนบุรี!J430"")+IMPORTRANGE(""https://docs.googl"&amp;"e.com/spreadsheets/d/1BIDqLLg5jk3v59G8NlR8rk5xfQDKne0sAvZHSj7TI6I/edit?usp=sharing"",""พระนครศรีอยุธยา!J430"")+IMPORTRANGE(""https://docs.google.com/spreadsheets/d/1YXvxf8Yu6_rV4hTBrwMqAcAnv6DfhUxh5emyM3CJp_w/edit?usp=sharing"",""เพชรบุรี!J430"")+IMPORTRA"&amp;"NGE(""https://docs.google.com/spreadsheets/d/19KBlQQs7uwvsao6t2n-KvW3Ax8J8uRRfZPq1zPbXgKc/edit?usp=sharing"",""ระยอง!J430"")+IMPORTRANGE(""https://docs.google.com/spreadsheets/d/1jQ6P4QcrGM89YfqcC_PxOHGCMq5ezhucwJd8ci-NHng/edit?usp=sharing"",""ราชบุรี!J43"&amp;"0"")+IMPORTRANGE(""https://docs.google.com/spreadsheets/d/1lufeA2cfFqM-elVq2hznhDzC6Pr7wkJ9ZG_sYNGCMCU/edit?usp=sharing"",""ลพบุรี!J430"")+IMPORTRANGE(""https://docs.google.com/spreadsheets/d/10oOiF7loTyfsTkbd4MpaIm0HQ9SwB7IYHdIUvt-U1Uc/edit?usp=sharing"""&amp;",""สระแก้ว!J430"")+IMPORTRANGE(""https://docs.google.com/spreadsheets/d/1xmPlrr1QbdSIKvl1dWUl9K4PjAfSL9oeMr_37QVzcxc/edit?usp=sharing"",""สระบุรี!J430"")+IMPORTRANGE(""https://docs.google.com/spreadsheets/d/1j51vR6CYVGhABJpv6tkstgok82RLpXieLzW1yOY5rHw/edi"&amp;"t?usp=sharing"",""สิงห์บุรี!J430"")+IMPORTRANGE(""https://docs.google.com/spreadsheets/d/1H1EalTWKUSzO4Z1-1CwzoDUaVffgrThEBe2sl74kKG0/edit?usp=sharing"",""สุพรรณบุรี!J430"")+IMPORTRANGE(""https://docs.google.com/spreadsheets/d/1BmIruG_sIrJLYao_Pdr7zVArWsf"&amp;"oBt2692TMi6x_854/edit?usp=sharing"",""อ่างทอง!J430"")"),0)</f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602">
        <f ca="1">IFERROR(__xludf.DUMMYFUNCTION("IMPORTRANGE(""https://docs.google.com/spreadsheets/d/13wPX838HrBrQMCywv1BsuMkt4PEKTChp52zj44s2izQ/edit?usp=sharing"",""กาญจนบุรี!J431"")+IMPORTRANGE(""https://docs.google.com/spreadsheets/d/1ddFKvqj1W1NEiWytbGlB1zMx_ykJDVtmfEQ-6-lIUBA/edit?usp=sharing"","&amp;"""จันทบุรี!J431"")+IMPORTRANGE(""https://docs.google.com/spreadsheets/d/1T1PQvRODqOBZk8BRht_U031fIS1beLA0Ub2CEytj2q0/edit?usp=sharing"",""ฉะเชิงเทรา!J431"")+IMPORTRANGE(""https://docs.google.com/spreadsheets/d/11tr1B-Bhyr79v2bkwVh5h_fR-PStkgjlZtkrZpYurG0/"&amp;"edit?usp=sharing"",""ชลบุรี!J431"")+IMPORTRANGE(""https://docs.google.com/spreadsheets/d/1hh-FVnSX0vozXhGluamEcS54Dw9_zqW0N7qJUWgJ0Sw/edit?usp=sharing"",""ชัยนาท!J431"")+IMPORTRANGE(""https://docs.google.com/spreadsheets/d/1jkqa6GXxSacMcY1eN8AHjMNJ_7dDXMJ"&amp;"VRLDlaFSOdPM/edit?usp=sharing"",""ตราด!J431"")+IMPORTRANGE(""https://docs.google.com/spreadsheets/d/18hSgUJ3VwClqi_qtULmmW3cLr0oe3OKaSYoKzdpTsYQ/edit?usp=sharing"",""นครนายก!J431"")+IMPORTRANGE(""https://docs.google.com/spreadsheets/d/1YTZo6WM2dQ6Ix6FSdnL"&amp;"5P7uVnVKu40sxZu975tgG10E/edit?usp=sharing"",""นครปฐม!J431"")+IMPORTRANGE(""https://docs.google.com/spreadsheets/d/1OYoGg4WDg5RIzwGeB10padOxJF9E_Vljuvvct_M7RDo/edit?usp=sharing"",""ปทุมธานี!J431"")+IMPORTRANGE(""https://docs.google.com/spreadsheets/d/1GbCI"&amp;"E4D4wk9FUozzqk7SxfDMxDVBwVmI5zcaVUSzKAc/edit?usp=sharing"",""ประจวบคีรีขันธ์!J431"")+IMPORTRANGE(""https://docs.google.com/spreadsheets/d/1vVf6wykvW_lAyu7Yo9L4hUTqHqIeP_qcVuxCtosJEbg/edit?usp=sharing"",""ปราจีนบุรี!J431"")+IMPORTRANGE(""https://docs.googl"&amp;"e.com/spreadsheets/d/1BIDqLLg5jk3v59G8NlR8rk5xfQDKne0sAvZHSj7TI6I/edit?usp=sharing"",""พระนครศรีอยุธยา!J431"")+IMPORTRANGE(""https://docs.google.com/spreadsheets/d/1YXvxf8Yu6_rV4hTBrwMqAcAnv6DfhUxh5emyM3CJp_w/edit?usp=sharing"",""เพชรบุรี!J431"")+IMPORTRA"&amp;"NGE(""https://docs.google.com/spreadsheets/d/19KBlQQs7uwvsao6t2n-KvW3Ax8J8uRRfZPq1zPbXgKc/edit?usp=sharing"",""ระยอง!J431"")+IMPORTRANGE(""https://docs.google.com/spreadsheets/d/1jQ6P4QcrGM89YfqcC_PxOHGCMq5ezhucwJd8ci-NHng/edit?usp=sharing"",""ราชบุรี!J43"&amp;"1"")+IMPORTRANGE(""https://docs.google.com/spreadsheets/d/1lufeA2cfFqM-elVq2hznhDzC6Pr7wkJ9ZG_sYNGCMCU/edit?usp=sharing"",""ลพบุรี!J431"")+IMPORTRANGE(""https://docs.google.com/spreadsheets/d/10oOiF7loTyfsTkbd4MpaIm0HQ9SwB7IYHdIUvt-U1Uc/edit?usp=sharing"""&amp;",""สระแก้ว!J431"")+IMPORTRANGE(""https://docs.google.com/spreadsheets/d/1xmPlrr1QbdSIKvl1dWUl9K4PjAfSL9oeMr_37QVzcxc/edit?usp=sharing"",""สระบุรี!J431"")+IMPORTRANGE(""https://docs.google.com/spreadsheets/d/1j51vR6CYVGhABJpv6tkstgok82RLpXieLzW1yOY5rHw/edi"&amp;"t?usp=sharing"",""สิงห์บุรี!J431"")+IMPORTRANGE(""https://docs.google.com/spreadsheets/d/1H1EalTWKUSzO4Z1-1CwzoDUaVffgrThEBe2sl74kKG0/edit?usp=sharing"",""สุพรรณบุรี!J431"")+IMPORTRANGE(""https://docs.google.com/spreadsheets/d/1BmIruG_sIrJLYao_Pdr7zVArWsf"&amp;"oBt2692TMi6x_854/edit?usp=sharing"",""อ่างทอง!J431"")"),0)</f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13wPX838HrBrQMCywv1BsuMkt4PEKTChp52zj44s2izQ/edit?usp=sharing"",""กาญจนบุรี!I432"")+IMPORTRANGE(""https://docs.google.com/spreadsheets/d/1ddFKvqj1W1NEiWytbGlB1zMx_ykJDVtmfEQ-6-lIUBA/edit?usp=sharing"","&amp;"""จันทบุรี!I432"")+IMPORTRANGE(""https://docs.google.com/spreadsheets/d/1T1PQvRODqOBZk8BRht_U031fIS1beLA0Ub2CEytj2q0/edit?usp=sharing"",""ฉะเชิงเทรา!I432"")+IMPORTRANGE(""https://docs.google.com/spreadsheets/d/11tr1B-Bhyr79v2bkwVh5h_fR-PStkgjlZtkrZpYurG0/"&amp;"edit?usp=sharing"",""ชลบุรี!I432"")+IMPORTRANGE(""https://docs.google.com/spreadsheets/d/1hh-FVnSX0vozXhGluamEcS54Dw9_zqW0N7qJUWgJ0Sw/edit?usp=sharing"",""ชัยนาท!I432"")+IMPORTRANGE(""https://docs.google.com/spreadsheets/d/1jkqa6GXxSacMcY1eN8AHjMNJ_7dDXMJ"&amp;"VRLDlaFSOdPM/edit?usp=sharing"",""ตราด!I432"")+IMPORTRANGE(""https://docs.google.com/spreadsheets/d/18hSgUJ3VwClqi_qtULmmW3cLr0oe3OKaSYoKzdpTsYQ/edit?usp=sharing"",""นครนายก!I432"")+IMPORTRANGE(""https://docs.google.com/spreadsheets/d/1YTZo6WM2dQ6Ix6FSdnL"&amp;"5P7uVnVKu40sxZu975tgG10E/edit?usp=sharing"",""นครปฐม!I432"")+IMPORTRANGE(""https://docs.google.com/spreadsheets/d/1OYoGg4WDg5RIzwGeB10padOxJF9E_Vljuvvct_M7RDo/edit?usp=sharing"",""ปทุมธานี!I432"")+IMPORTRANGE(""https://docs.google.com/spreadsheets/d/1GbCI"&amp;"E4D4wk9FUozzqk7SxfDMxDVBwVmI5zcaVUSzKAc/edit?usp=sharing"",""ประจวบคีรีขันธ์!I432"")+IMPORTRANGE(""https://docs.google.com/spreadsheets/d/1vVf6wykvW_lAyu7Yo9L4hUTqHqIeP_qcVuxCtosJEbg/edit?usp=sharing"",""ปราจีนบุรี!I432"")+IMPORTRANGE(""https://docs.googl"&amp;"e.com/spreadsheets/d/1BIDqLLg5jk3v59G8NlR8rk5xfQDKne0sAvZHSj7TI6I/edit?usp=sharing"",""พระนครศรีอยุธยา!I432"")+IMPORTRANGE(""https://docs.google.com/spreadsheets/d/1YXvxf8Yu6_rV4hTBrwMqAcAnv6DfhUxh5emyM3CJp_w/edit?usp=sharing"",""เพชรบุรี!I432"")+IMPORTRA"&amp;"NGE(""https://docs.google.com/spreadsheets/d/19KBlQQs7uwvsao6t2n-KvW3Ax8J8uRRfZPq1zPbXgKc/edit?usp=sharing"",""ระยอง!I432"")+IMPORTRANGE(""https://docs.google.com/spreadsheets/d/1jQ6P4QcrGM89YfqcC_PxOHGCMq5ezhucwJd8ci-NHng/edit?usp=sharing"",""ราชบุรี!I43"&amp;"2"")+IMPORTRANGE(""https://docs.google.com/spreadsheets/d/1lufeA2cfFqM-elVq2hznhDzC6Pr7wkJ9ZG_sYNGCMCU/edit?usp=sharing"",""ลพบุรี!I432"")+IMPORTRANGE(""https://docs.google.com/spreadsheets/d/10oOiF7loTyfsTkbd4MpaIm0HQ9SwB7IYHdIUvt-U1Uc/edit?usp=sharing"""&amp;",""สระแก้ว!I432"")+IMPORTRANGE(""https://docs.google.com/spreadsheets/d/1xmPlrr1QbdSIKvl1dWUl9K4PjAfSL9oeMr_37QVzcxc/edit?usp=sharing"",""สระบุรี!I432"")+IMPORTRANGE(""https://docs.google.com/spreadsheets/d/1j51vR6CYVGhABJpv6tkstgok82RLpXieLzW1yOY5rHw/edi"&amp;"t?usp=sharing"",""สิงห์บุรี!I432"")+IMPORTRANGE(""https://docs.google.com/spreadsheets/d/1H1EalTWKUSzO4Z1-1CwzoDUaVffgrThEBe2sl74kKG0/edit?usp=sharing"",""สุพรรณบุรี!I432"")+IMPORTRANGE(""https://docs.google.com/spreadsheets/d/1BmIruG_sIrJLYao_Pdr7zVArWsf"&amp;"oBt2692TMi6x_854/edit?usp=sharing"",""อ่างทอง!I432"")"),100559)</f>
        <v>100559</v>
      </c>
      <c r="J432" s="601">
        <f t="shared" ref="J432:J433" ca="1" si="322">J434+J436+J438</f>
        <v>0</v>
      </c>
      <c r="K432" s="262">
        <f t="shared" ref="K432:K433" ca="1" si="323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13wPX838HrBrQMCywv1BsuMkt4PEKTChp52zj44s2izQ/edit?usp=sharing"",""กาญจนบุรี!I433"")+IMPORTRANGE(""https://docs.google.com/spreadsheets/d/1ddFKvqj1W1NEiWytbGlB1zMx_ykJDVtmfEQ-6-lIUBA/edit?usp=sharing"","&amp;"""จันทบุรี!I433"")+IMPORTRANGE(""https://docs.google.com/spreadsheets/d/1T1PQvRODqOBZk8BRht_U031fIS1beLA0Ub2CEytj2q0/edit?usp=sharing"",""ฉะเชิงเทรา!I433"")+IMPORTRANGE(""https://docs.google.com/spreadsheets/d/11tr1B-Bhyr79v2bkwVh5h_fR-PStkgjlZtkrZpYurG0/"&amp;"edit?usp=sharing"",""ชลบุรี!I433"")+IMPORTRANGE(""https://docs.google.com/spreadsheets/d/1hh-FVnSX0vozXhGluamEcS54Dw9_zqW0N7qJUWgJ0Sw/edit?usp=sharing"",""ชัยนาท!I433"")+IMPORTRANGE(""https://docs.google.com/spreadsheets/d/1jkqa6GXxSacMcY1eN8AHjMNJ_7dDXMJ"&amp;"VRLDlaFSOdPM/edit?usp=sharing"",""ตราด!I433"")+IMPORTRANGE(""https://docs.google.com/spreadsheets/d/18hSgUJ3VwClqi_qtULmmW3cLr0oe3OKaSYoKzdpTsYQ/edit?usp=sharing"",""นครนายก!I433"")+IMPORTRANGE(""https://docs.google.com/spreadsheets/d/1YTZo6WM2dQ6Ix6FSdnL"&amp;"5P7uVnVKu40sxZu975tgG10E/edit?usp=sharing"",""นครปฐม!I433"")+IMPORTRANGE(""https://docs.google.com/spreadsheets/d/1OYoGg4WDg5RIzwGeB10padOxJF9E_Vljuvvct_M7RDo/edit?usp=sharing"",""ปทุมธานี!I433"")+IMPORTRANGE(""https://docs.google.com/spreadsheets/d/1GbCI"&amp;"E4D4wk9FUozzqk7SxfDMxDVBwVmI5zcaVUSzKAc/edit?usp=sharing"",""ประจวบคีรีขันธ์!I433"")+IMPORTRANGE(""https://docs.google.com/spreadsheets/d/1vVf6wykvW_lAyu7Yo9L4hUTqHqIeP_qcVuxCtosJEbg/edit?usp=sharing"",""ปราจีนบุรี!I433"")+IMPORTRANGE(""https://docs.googl"&amp;"e.com/spreadsheets/d/1BIDqLLg5jk3v59G8NlR8rk5xfQDKne0sAvZHSj7TI6I/edit?usp=sharing"",""พระนครศรีอยุธยา!I433"")+IMPORTRANGE(""https://docs.google.com/spreadsheets/d/1YXvxf8Yu6_rV4hTBrwMqAcAnv6DfhUxh5emyM3CJp_w/edit?usp=sharing"",""เพชรบุรี!I433"")+IMPORTRA"&amp;"NGE(""https://docs.google.com/spreadsheets/d/19KBlQQs7uwvsao6t2n-KvW3Ax8J8uRRfZPq1zPbXgKc/edit?usp=sharing"",""ระยอง!I433"")+IMPORTRANGE(""https://docs.google.com/spreadsheets/d/1jQ6P4QcrGM89YfqcC_PxOHGCMq5ezhucwJd8ci-NHng/edit?usp=sharing"",""ราชบุรี!I43"&amp;"3"")+IMPORTRANGE(""https://docs.google.com/spreadsheets/d/1lufeA2cfFqM-elVq2hznhDzC6Pr7wkJ9ZG_sYNGCMCU/edit?usp=sharing"",""ลพบุรี!I433"")+IMPORTRANGE(""https://docs.google.com/spreadsheets/d/10oOiF7loTyfsTkbd4MpaIm0HQ9SwB7IYHdIUvt-U1Uc/edit?usp=sharing"""&amp;",""สระแก้ว!I433"")+IMPORTRANGE(""https://docs.google.com/spreadsheets/d/1xmPlrr1QbdSIKvl1dWUl9K4PjAfSL9oeMr_37QVzcxc/edit?usp=sharing"",""สระบุรี!I433"")+IMPORTRANGE(""https://docs.google.com/spreadsheets/d/1j51vR6CYVGhABJpv6tkstgok82RLpXieLzW1yOY5rHw/edi"&amp;"t?usp=sharing"",""สิงห์บุรี!I433"")+IMPORTRANGE(""https://docs.google.com/spreadsheets/d/1H1EalTWKUSzO4Z1-1CwzoDUaVffgrThEBe2sl74kKG0/edit?usp=sharing"",""สุพรรณบุรี!I433"")+IMPORTRANGE(""https://docs.google.com/spreadsheets/d/1BmIruG_sIrJLYao_Pdr7zVArWsf"&amp;"oBt2692TMi6x_854/edit?usp=sharing"",""อ่างทอง!I433"")"),6874)</f>
        <v>6874</v>
      </c>
      <c r="J433" s="601">
        <f t="shared" ca="1" si="322"/>
        <v>0</v>
      </c>
      <c r="K433" s="262">
        <f t="shared" ca="1" si="323"/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602">
        <f ca="1">IFERROR(__xludf.DUMMYFUNCTION("IMPORTRANGE(""https://docs.google.com/spreadsheets/d/13wPX838HrBrQMCywv1BsuMkt4PEKTChp52zj44s2izQ/edit?usp=sharing"",""กาญจนบุรี!J434"")+IMPORTRANGE(""https://docs.google.com/spreadsheets/d/1ddFKvqj1W1NEiWytbGlB1zMx_ykJDVtmfEQ-6-lIUBA/edit?usp=sharing"","&amp;"""จันทบุรี!J434"")+IMPORTRANGE(""https://docs.google.com/spreadsheets/d/1T1PQvRODqOBZk8BRht_U031fIS1beLA0Ub2CEytj2q0/edit?usp=sharing"",""ฉะเชิงเทรา!J434"")+IMPORTRANGE(""https://docs.google.com/spreadsheets/d/11tr1B-Bhyr79v2bkwVh5h_fR-PStkgjlZtkrZpYurG0/"&amp;"edit?usp=sharing"",""ชลบุรี!J434"")+IMPORTRANGE(""https://docs.google.com/spreadsheets/d/1hh-FVnSX0vozXhGluamEcS54Dw9_zqW0N7qJUWgJ0Sw/edit?usp=sharing"",""ชัยนาท!J434"")+IMPORTRANGE(""https://docs.google.com/spreadsheets/d/1jkqa6GXxSacMcY1eN8AHjMNJ_7dDXMJ"&amp;"VRLDlaFSOdPM/edit?usp=sharing"",""ตราด!J434"")+IMPORTRANGE(""https://docs.google.com/spreadsheets/d/18hSgUJ3VwClqi_qtULmmW3cLr0oe3OKaSYoKzdpTsYQ/edit?usp=sharing"",""นครนายก!J434"")+IMPORTRANGE(""https://docs.google.com/spreadsheets/d/1YTZo6WM2dQ6Ix6FSdnL"&amp;"5P7uVnVKu40sxZu975tgG10E/edit?usp=sharing"",""นครปฐม!J434"")+IMPORTRANGE(""https://docs.google.com/spreadsheets/d/1OYoGg4WDg5RIzwGeB10padOxJF9E_Vljuvvct_M7RDo/edit?usp=sharing"",""ปทุมธานี!J434"")+IMPORTRANGE(""https://docs.google.com/spreadsheets/d/1GbCI"&amp;"E4D4wk9FUozzqk7SxfDMxDVBwVmI5zcaVUSzKAc/edit?usp=sharing"",""ประจวบคีรีขันธ์!J434"")+IMPORTRANGE(""https://docs.google.com/spreadsheets/d/1vVf6wykvW_lAyu7Yo9L4hUTqHqIeP_qcVuxCtosJEbg/edit?usp=sharing"",""ปราจีนบุรี!J434"")+IMPORTRANGE(""https://docs.googl"&amp;"e.com/spreadsheets/d/1BIDqLLg5jk3v59G8NlR8rk5xfQDKne0sAvZHSj7TI6I/edit?usp=sharing"",""พระนครศรีอยุธยา!J434"")+IMPORTRANGE(""https://docs.google.com/spreadsheets/d/1YXvxf8Yu6_rV4hTBrwMqAcAnv6DfhUxh5emyM3CJp_w/edit?usp=sharing"",""เพชรบุรี!J434"")+IMPORTRA"&amp;"NGE(""https://docs.google.com/spreadsheets/d/19KBlQQs7uwvsao6t2n-KvW3Ax8J8uRRfZPq1zPbXgKc/edit?usp=sharing"",""ระยอง!J434"")+IMPORTRANGE(""https://docs.google.com/spreadsheets/d/1jQ6P4QcrGM89YfqcC_PxOHGCMq5ezhucwJd8ci-NHng/edit?usp=sharing"",""ราชบุรี!J43"&amp;"4"")+IMPORTRANGE(""https://docs.google.com/spreadsheets/d/1lufeA2cfFqM-elVq2hznhDzC6Pr7wkJ9ZG_sYNGCMCU/edit?usp=sharing"",""ลพบุรี!J434"")+IMPORTRANGE(""https://docs.google.com/spreadsheets/d/10oOiF7loTyfsTkbd4MpaIm0HQ9SwB7IYHdIUvt-U1Uc/edit?usp=sharing"""&amp;",""สระแก้ว!J434"")+IMPORTRANGE(""https://docs.google.com/spreadsheets/d/1xmPlrr1QbdSIKvl1dWUl9K4PjAfSL9oeMr_37QVzcxc/edit?usp=sharing"",""สระบุรี!J434"")+IMPORTRANGE(""https://docs.google.com/spreadsheets/d/1j51vR6CYVGhABJpv6tkstgok82RLpXieLzW1yOY5rHw/edi"&amp;"t?usp=sharing"",""สิงห์บุรี!J434"")+IMPORTRANGE(""https://docs.google.com/spreadsheets/d/1H1EalTWKUSzO4Z1-1CwzoDUaVffgrThEBe2sl74kKG0/edit?usp=sharing"",""สุพรรณบุรี!J434"")+IMPORTRANGE(""https://docs.google.com/spreadsheets/d/1BmIruG_sIrJLYao_Pdr7zVArWsf"&amp;"oBt2692TMi6x_854/edit?usp=sharing"",""อ่างทอง!J434"")"),0)</f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602">
        <f ca="1">IFERROR(__xludf.DUMMYFUNCTION("IMPORTRANGE(""https://docs.google.com/spreadsheets/d/13wPX838HrBrQMCywv1BsuMkt4PEKTChp52zj44s2izQ/edit?usp=sharing"",""กาญจนบุรี!J435"")+IMPORTRANGE(""https://docs.google.com/spreadsheets/d/1ddFKvqj1W1NEiWytbGlB1zMx_ykJDVtmfEQ-6-lIUBA/edit?usp=sharing"","&amp;"""จันทบุรี!J435"")+IMPORTRANGE(""https://docs.google.com/spreadsheets/d/1T1PQvRODqOBZk8BRht_U031fIS1beLA0Ub2CEytj2q0/edit?usp=sharing"",""ฉะเชิงเทรา!J435"")+IMPORTRANGE(""https://docs.google.com/spreadsheets/d/11tr1B-Bhyr79v2bkwVh5h_fR-PStkgjlZtkrZpYurG0/"&amp;"edit?usp=sharing"",""ชลบุรี!J435"")+IMPORTRANGE(""https://docs.google.com/spreadsheets/d/1hh-FVnSX0vozXhGluamEcS54Dw9_zqW0N7qJUWgJ0Sw/edit?usp=sharing"",""ชัยนาท!J435"")+IMPORTRANGE(""https://docs.google.com/spreadsheets/d/1jkqa6GXxSacMcY1eN8AHjMNJ_7dDXMJ"&amp;"VRLDlaFSOdPM/edit?usp=sharing"",""ตราด!J435"")+IMPORTRANGE(""https://docs.google.com/spreadsheets/d/18hSgUJ3VwClqi_qtULmmW3cLr0oe3OKaSYoKzdpTsYQ/edit?usp=sharing"",""นครนายก!J435"")+IMPORTRANGE(""https://docs.google.com/spreadsheets/d/1YTZo6WM2dQ6Ix6FSdnL"&amp;"5P7uVnVKu40sxZu975tgG10E/edit?usp=sharing"",""นครปฐม!J435"")+IMPORTRANGE(""https://docs.google.com/spreadsheets/d/1OYoGg4WDg5RIzwGeB10padOxJF9E_Vljuvvct_M7RDo/edit?usp=sharing"",""ปทุมธานี!J435"")+IMPORTRANGE(""https://docs.google.com/spreadsheets/d/1GbCI"&amp;"E4D4wk9FUozzqk7SxfDMxDVBwVmI5zcaVUSzKAc/edit?usp=sharing"",""ประจวบคีรีขันธ์!J435"")+IMPORTRANGE(""https://docs.google.com/spreadsheets/d/1vVf6wykvW_lAyu7Yo9L4hUTqHqIeP_qcVuxCtosJEbg/edit?usp=sharing"",""ปราจีนบุรี!J435"")+IMPORTRANGE(""https://docs.googl"&amp;"e.com/spreadsheets/d/1BIDqLLg5jk3v59G8NlR8rk5xfQDKne0sAvZHSj7TI6I/edit?usp=sharing"",""พระนครศรีอยุธยา!J435"")+IMPORTRANGE(""https://docs.google.com/spreadsheets/d/1YXvxf8Yu6_rV4hTBrwMqAcAnv6DfhUxh5emyM3CJp_w/edit?usp=sharing"",""เพชรบุรี!J435"")+IMPORTRA"&amp;"NGE(""https://docs.google.com/spreadsheets/d/19KBlQQs7uwvsao6t2n-KvW3Ax8J8uRRfZPq1zPbXgKc/edit?usp=sharing"",""ระยอง!J435"")+IMPORTRANGE(""https://docs.google.com/spreadsheets/d/1jQ6P4QcrGM89YfqcC_PxOHGCMq5ezhucwJd8ci-NHng/edit?usp=sharing"",""ราชบุรี!J43"&amp;"5"")+IMPORTRANGE(""https://docs.google.com/spreadsheets/d/1lufeA2cfFqM-elVq2hznhDzC6Pr7wkJ9ZG_sYNGCMCU/edit?usp=sharing"",""ลพบุรี!J435"")+IMPORTRANGE(""https://docs.google.com/spreadsheets/d/10oOiF7loTyfsTkbd4MpaIm0HQ9SwB7IYHdIUvt-U1Uc/edit?usp=sharing"""&amp;",""สระแก้ว!J435"")+IMPORTRANGE(""https://docs.google.com/spreadsheets/d/1xmPlrr1QbdSIKvl1dWUl9K4PjAfSL9oeMr_37QVzcxc/edit?usp=sharing"",""สระบุรี!J435"")+IMPORTRANGE(""https://docs.google.com/spreadsheets/d/1j51vR6CYVGhABJpv6tkstgok82RLpXieLzW1yOY5rHw/edi"&amp;"t?usp=sharing"",""สิงห์บุรี!J435"")+IMPORTRANGE(""https://docs.google.com/spreadsheets/d/1H1EalTWKUSzO4Z1-1CwzoDUaVffgrThEBe2sl74kKG0/edit?usp=sharing"",""สุพรรณบุรี!J435"")+IMPORTRANGE(""https://docs.google.com/spreadsheets/d/1BmIruG_sIrJLYao_Pdr7zVArWsf"&amp;"oBt2692TMi6x_854/edit?usp=sharing"",""อ่างทอง!J435"")"),0)</f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602">
        <f ca="1">IFERROR(__xludf.DUMMYFUNCTION("IMPORTRANGE(""https://docs.google.com/spreadsheets/d/13wPX838HrBrQMCywv1BsuMkt4PEKTChp52zj44s2izQ/edit?usp=sharing"",""กาญจนบุรี!J436"")+IMPORTRANGE(""https://docs.google.com/spreadsheets/d/1ddFKvqj1W1NEiWytbGlB1zMx_ykJDVtmfEQ-6-lIUBA/edit?usp=sharing"","&amp;"""จันทบุรี!J436"")+IMPORTRANGE(""https://docs.google.com/spreadsheets/d/1T1PQvRODqOBZk8BRht_U031fIS1beLA0Ub2CEytj2q0/edit?usp=sharing"",""ฉะเชิงเทรา!J436"")+IMPORTRANGE(""https://docs.google.com/spreadsheets/d/11tr1B-Bhyr79v2bkwVh5h_fR-PStkgjlZtkrZpYurG0/"&amp;"edit?usp=sharing"",""ชลบุรี!J436"")+IMPORTRANGE(""https://docs.google.com/spreadsheets/d/1hh-FVnSX0vozXhGluamEcS54Dw9_zqW0N7qJUWgJ0Sw/edit?usp=sharing"",""ชัยนาท!J436"")+IMPORTRANGE(""https://docs.google.com/spreadsheets/d/1jkqa6GXxSacMcY1eN8AHjMNJ_7dDXMJ"&amp;"VRLDlaFSOdPM/edit?usp=sharing"",""ตราด!J436"")+IMPORTRANGE(""https://docs.google.com/spreadsheets/d/18hSgUJ3VwClqi_qtULmmW3cLr0oe3OKaSYoKzdpTsYQ/edit?usp=sharing"",""นครนายก!J436"")+IMPORTRANGE(""https://docs.google.com/spreadsheets/d/1YTZo6WM2dQ6Ix6FSdnL"&amp;"5P7uVnVKu40sxZu975tgG10E/edit?usp=sharing"",""นครปฐม!J436"")+IMPORTRANGE(""https://docs.google.com/spreadsheets/d/1OYoGg4WDg5RIzwGeB10padOxJF9E_Vljuvvct_M7RDo/edit?usp=sharing"",""ปทุมธานี!J436"")+IMPORTRANGE(""https://docs.google.com/spreadsheets/d/1GbCI"&amp;"E4D4wk9FUozzqk7SxfDMxDVBwVmI5zcaVUSzKAc/edit?usp=sharing"",""ประจวบคีรีขันธ์!J436"")+IMPORTRANGE(""https://docs.google.com/spreadsheets/d/1vVf6wykvW_lAyu7Yo9L4hUTqHqIeP_qcVuxCtosJEbg/edit?usp=sharing"",""ปราจีนบุรี!J436"")+IMPORTRANGE(""https://docs.googl"&amp;"e.com/spreadsheets/d/1BIDqLLg5jk3v59G8NlR8rk5xfQDKne0sAvZHSj7TI6I/edit?usp=sharing"",""พระนครศรีอยุธยา!J436"")+IMPORTRANGE(""https://docs.google.com/spreadsheets/d/1YXvxf8Yu6_rV4hTBrwMqAcAnv6DfhUxh5emyM3CJp_w/edit?usp=sharing"",""เพชรบุรี!J436"")+IMPORTRA"&amp;"NGE(""https://docs.google.com/spreadsheets/d/19KBlQQs7uwvsao6t2n-KvW3Ax8J8uRRfZPq1zPbXgKc/edit?usp=sharing"",""ระยอง!J436"")+IMPORTRANGE(""https://docs.google.com/spreadsheets/d/1jQ6P4QcrGM89YfqcC_PxOHGCMq5ezhucwJd8ci-NHng/edit?usp=sharing"",""ราชบุรี!J43"&amp;"6"")+IMPORTRANGE(""https://docs.google.com/spreadsheets/d/1lufeA2cfFqM-elVq2hznhDzC6Pr7wkJ9ZG_sYNGCMCU/edit?usp=sharing"",""ลพบุรี!J436"")+IMPORTRANGE(""https://docs.google.com/spreadsheets/d/10oOiF7loTyfsTkbd4MpaIm0HQ9SwB7IYHdIUvt-U1Uc/edit?usp=sharing"""&amp;",""สระแก้ว!J436"")+IMPORTRANGE(""https://docs.google.com/spreadsheets/d/1xmPlrr1QbdSIKvl1dWUl9K4PjAfSL9oeMr_37QVzcxc/edit?usp=sharing"",""สระบุรี!J436"")+IMPORTRANGE(""https://docs.google.com/spreadsheets/d/1j51vR6CYVGhABJpv6tkstgok82RLpXieLzW1yOY5rHw/edi"&amp;"t?usp=sharing"",""สิงห์บุรี!J436"")+IMPORTRANGE(""https://docs.google.com/spreadsheets/d/1H1EalTWKUSzO4Z1-1CwzoDUaVffgrThEBe2sl74kKG0/edit?usp=sharing"",""สุพรรณบุรี!J436"")+IMPORTRANGE(""https://docs.google.com/spreadsheets/d/1BmIruG_sIrJLYao_Pdr7zVArWsf"&amp;"oBt2692TMi6x_854/edit?usp=sharing"",""อ่างทอง!J436"")"),0)</f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602">
        <f ca="1">IFERROR(__xludf.DUMMYFUNCTION("IMPORTRANGE(""https://docs.google.com/spreadsheets/d/13wPX838HrBrQMCywv1BsuMkt4PEKTChp52zj44s2izQ/edit?usp=sharing"",""กาญจนบุรี!J437"")+IMPORTRANGE(""https://docs.google.com/spreadsheets/d/1ddFKvqj1W1NEiWytbGlB1zMx_ykJDVtmfEQ-6-lIUBA/edit?usp=sharing"","&amp;"""จันทบุรี!J437"")+IMPORTRANGE(""https://docs.google.com/spreadsheets/d/1T1PQvRODqOBZk8BRht_U031fIS1beLA0Ub2CEytj2q0/edit?usp=sharing"",""ฉะเชิงเทรา!J437"")+IMPORTRANGE(""https://docs.google.com/spreadsheets/d/11tr1B-Bhyr79v2bkwVh5h_fR-PStkgjlZtkrZpYurG0/"&amp;"edit?usp=sharing"",""ชลบุรี!J437"")+IMPORTRANGE(""https://docs.google.com/spreadsheets/d/1hh-FVnSX0vozXhGluamEcS54Dw9_zqW0N7qJUWgJ0Sw/edit?usp=sharing"",""ชัยนาท!J437"")+IMPORTRANGE(""https://docs.google.com/spreadsheets/d/1jkqa6GXxSacMcY1eN8AHjMNJ_7dDXMJ"&amp;"VRLDlaFSOdPM/edit?usp=sharing"",""ตราด!J437"")+IMPORTRANGE(""https://docs.google.com/spreadsheets/d/18hSgUJ3VwClqi_qtULmmW3cLr0oe3OKaSYoKzdpTsYQ/edit?usp=sharing"",""นครนายก!J437"")+IMPORTRANGE(""https://docs.google.com/spreadsheets/d/1YTZo6WM2dQ6Ix6FSdnL"&amp;"5P7uVnVKu40sxZu975tgG10E/edit?usp=sharing"",""นครปฐม!J437"")+IMPORTRANGE(""https://docs.google.com/spreadsheets/d/1OYoGg4WDg5RIzwGeB10padOxJF9E_Vljuvvct_M7RDo/edit?usp=sharing"",""ปทุมธานี!J437"")+IMPORTRANGE(""https://docs.google.com/spreadsheets/d/1GbCI"&amp;"E4D4wk9FUozzqk7SxfDMxDVBwVmI5zcaVUSzKAc/edit?usp=sharing"",""ประจวบคีรีขันธ์!J437"")+IMPORTRANGE(""https://docs.google.com/spreadsheets/d/1vVf6wykvW_lAyu7Yo9L4hUTqHqIeP_qcVuxCtosJEbg/edit?usp=sharing"",""ปราจีนบุรี!J437"")+IMPORTRANGE(""https://docs.googl"&amp;"e.com/spreadsheets/d/1BIDqLLg5jk3v59G8NlR8rk5xfQDKne0sAvZHSj7TI6I/edit?usp=sharing"",""พระนครศรีอยุธยา!J437"")+IMPORTRANGE(""https://docs.google.com/spreadsheets/d/1YXvxf8Yu6_rV4hTBrwMqAcAnv6DfhUxh5emyM3CJp_w/edit?usp=sharing"",""เพชรบุรี!J437"")+IMPORTRA"&amp;"NGE(""https://docs.google.com/spreadsheets/d/19KBlQQs7uwvsao6t2n-KvW3Ax8J8uRRfZPq1zPbXgKc/edit?usp=sharing"",""ระยอง!J437"")+IMPORTRANGE(""https://docs.google.com/spreadsheets/d/1jQ6P4QcrGM89YfqcC_PxOHGCMq5ezhucwJd8ci-NHng/edit?usp=sharing"",""ราชบุรี!J43"&amp;"7"")+IMPORTRANGE(""https://docs.google.com/spreadsheets/d/1lufeA2cfFqM-elVq2hznhDzC6Pr7wkJ9ZG_sYNGCMCU/edit?usp=sharing"",""ลพบุรี!J437"")+IMPORTRANGE(""https://docs.google.com/spreadsheets/d/10oOiF7loTyfsTkbd4MpaIm0HQ9SwB7IYHdIUvt-U1Uc/edit?usp=sharing"""&amp;",""สระแก้ว!J437"")+IMPORTRANGE(""https://docs.google.com/spreadsheets/d/1xmPlrr1QbdSIKvl1dWUl9K4PjAfSL9oeMr_37QVzcxc/edit?usp=sharing"",""สระบุรี!J437"")+IMPORTRANGE(""https://docs.google.com/spreadsheets/d/1j51vR6CYVGhABJpv6tkstgok82RLpXieLzW1yOY5rHw/edi"&amp;"t?usp=sharing"",""สิงห์บุรี!J437"")+IMPORTRANGE(""https://docs.google.com/spreadsheets/d/1H1EalTWKUSzO4Z1-1CwzoDUaVffgrThEBe2sl74kKG0/edit?usp=sharing"",""สุพรรณบุรี!J437"")+IMPORTRANGE(""https://docs.google.com/spreadsheets/d/1BmIruG_sIrJLYao_Pdr7zVArWsf"&amp;"oBt2692TMi6x_854/edit?usp=sharing"",""อ่างทอง!J437"")"),0)</f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602">
        <f ca="1">IFERROR(__xludf.DUMMYFUNCTION("IMPORTRANGE(""https://docs.google.com/spreadsheets/d/13wPX838HrBrQMCywv1BsuMkt4PEKTChp52zj44s2izQ/edit?usp=sharing"",""กาญจนบุรี!J438"")+IMPORTRANGE(""https://docs.google.com/spreadsheets/d/1ddFKvqj1W1NEiWytbGlB1zMx_ykJDVtmfEQ-6-lIUBA/edit?usp=sharing"","&amp;"""จันทบุรี!J438"")+IMPORTRANGE(""https://docs.google.com/spreadsheets/d/1T1PQvRODqOBZk8BRht_U031fIS1beLA0Ub2CEytj2q0/edit?usp=sharing"",""ฉะเชิงเทรา!J438"")+IMPORTRANGE(""https://docs.google.com/spreadsheets/d/11tr1B-Bhyr79v2bkwVh5h_fR-PStkgjlZtkrZpYurG0/"&amp;"edit?usp=sharing"",""ชลบุรี!J438"")+IMPORTRANGE(""https://docs.google.com/spreadsheets/d/1hh-FVnSX0vozXhGluamEcS54Dw9_zqW0N7qJUWgJ0Sw/edit?usp=sharing"",""ชัยนาท!J438"")+IMPORTRANGE(""https://docs.google.com/spreadsheets/d/1jkqa6GXxSacMcY1eN8AHjMNJ_7dDXMJ"&amp;"VRLDlaFSOdPM/edit?usp=sharing"",""ตราด!J438"")+IMPORTRANGE(""https://docs.google.com/spreadsheets/d/18hSgUJ3VwClqi_qtULmmW3cLr0oe3OKaSYoKzdpTsYQ/edit?usp=sharing"",""นครนายก!J438"")+IMPORTRANGE(""https://docs.google.com/spreadsheets/d/1YTZo6WM2dQ6Ix6FSdnL"&amp;"5P7uVnVKu40sxZu975tgG10E/edit?usp=sharing"",""นครปฐม!J438"")+IMPORTRANGE(""https://docs.google.com/spreadsheets/d/1OYoGg4WDg5RIzwGeB10padOxJF9E_Vljuvvct_M7RDo/edit?usp=sharing"",""ปทุมธานี!J438"")+IMPORTRANGE(""https://docs.google.com/spreadsheets/d/1GbCI"&amp;"E4D4wk9FUozzqk7SxfDMxDVBwVmI5zcaVUSzKAc/edit?usp=sharing"",""ประจวบคีรีขันธ์!J438"")+IMPORTRANGE(""https://docs.google.com/spreadsheets/d/1vVf6wykvW_lAyu7Yo9L4hUTqHqIeP_qcVuxCtosJEbg/edit?usp=sharing"",""ปราจีนบุรี!J438"")+IMPORTRANGE(""https://docs.googl"&amp;"e.com/spreadsheets/d/1BIDqLLg5jk3v59G8NlR8rk5xfQDKne0sAvZHSj7TI6I/edit?usp=sharing"",""พระนครศรีอยุธยา!J438"")+IMPORTRANGE(""https://docs.google.com/spreadsheets/d/1YXvxf8Yu6_rV4hTBrwMqAcAnv6DfhUxh5emyM3CJp_w/edit?usp=sharing"",""เพชรบุรี!J438"")+IMPORTRA"&amp;"NGE(""https://docs.google.com/spreadsheets/d/19KBlQQs7uwvsao6t2n-KvW3Ax8J8uRRfZPq1zPbXgKc/edit?usp=sharing"",""ระยอง!J438"")+IMPORTRANGE(""https://docs.google.com/spreadsheets/d/1jQ6P4QcrGM89YfqcC_PxOHGCMq5ezhucwJd8ci-NHng/edit?usp=sharing"",""ราชบุรี!J43"&amp;"8"")+IMPORTRANGE(""https://docs.google.com/spreadsheets/d/1lufeA2cfFqM-elVq2hznhDzC6Pr7wkJ9ZG_sYNGCMCU/edit?usp=sharing"",""ลพบุรี!J438"")+IMPORTRANGE(""https://docs.google.com/spreadsheets/d/10oOiF7loTyfsTkbd4MpaIm0HQ9SwB7IYHdIUvt-U1Uc/edit?usp=sharing"""&amp;",""สระแก้ว!J438"")+IMPORTRANGE(""https://docs.google.com/spreadsheets/d/1xmPlrr1QbdSIKvl1dWUl9K4PjAfSL9oeMr_37QVzcxc/edit?usp=sharing"",""สระบุรี!J438"")+IMPORTRANGE(""https://docs.google.com/spreadsheets/d/1j51vR6CYVGhABJpv6tkstgok82RLpXieLzW1yOY5rHw/edi"&amp;"t?usp=sharing"",""สิงห์บุรี!J438"")+IMPORTRANGE(""https://docs.google.com/spreadsheets/d/1H1EalTWKUSzO4Z1-1CwzoDUaVffgrThEBe2sl74kKG0/edit?usp=sharing"",""สุพรรณบุรี!J438"")+IMPORTRANGE(""https://docs.google.com/spreadsheets/d/1BmIruG_sIrJLYao_Pdr7zVArWsf"&amp;"oBt2692TMi6x_854/edit?usp=sharing"",""อ่างทอง!J438"")"),0)</f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602">
        <f ca="1">IFERROR(__xludf.DUMMYFUNCTION("IMPORTRANGE(""https://docs.google.com/spreadsheets/d/13wPX838HrBrQMCywv1BsuMkt4PEKTChp52zj44s2izQ/edit?usp=sharing"",""กาญจนบุรี!J439"")+IMPORTRANGE(""https://docs.google.com/spreadsheets/d/1ddFKvqj1W1NEiWytbGlB1zMx_ykJDVtmfEQ-6-lIUBA/edit?usp=sharing"","&amp;"""จันทบุรี!J439"")+IMPORTRANGE(""https://docs.google.com/spreadsheets/d/1T1PQvRODqOBZk8BRht_U031fIS1beLA0Ub2CEytj2q0/edit?usp=sharing"",""ฉะเชิงเทรา!J439"")+IMPORTRANGE(""https://docs.google.com/spreadsheets/d/11tr1B-Bhyr79v2bkwVh5h_fR-PStkgjlZtkrZpYurG0/"&amp;"edit?usp=sharing"",""ชลบุรี!J439"")+IMPORTRANGE(""https://docs.google.com/spreadsheets/d/1hh-FVnSX0vozXhGluamEcS54Dw9_zqW0N7qJUWgJ0Sw/edit?usp=sharing"",""ชัยนาท!J439"")+IMPORTRANGE(""https://docs.google.com/spreadsheets/d/1jkqa6GXxSacMcY1eN8AHjMNJ_7dDXMJ"&amp;"VRLDlaFSOdPM/edit?usp=sharing"",""ตราด!J439"")+IMPORTRANGE(""https://docs.google.com/spreadsheets/d/18hSgUJ3VwClqi_qtULmmW3cLr0oe3OKaSYoKzdpTsYQ/edit?usp=sharing"",""นครนายก!J439"")+IMPORTRANGE(""https://docs.google.com/spreadsheets/d/1YTZo6WM2dQ6Ix6FSdnL"&amp;"5P7uVnVKu40sxZu975tgG10E/edit?usp=sharing"",""นครปฐม!J439"")+IMPORTRANGE(""https://docs.google.com/spreadsheets/d/1OYoGg4WDg5RIzwGeB10padOxJF9E_Vljuvvct_M7RDo/edit?usp=sharing"",""ปทุมธานี!J439"")+IMPORTRANGE(""https://docs.google.com/spreadsheets/d/1GbCI"&amp;"E4D4wk9FUozzqk7SxfDMxDVBwVmI5zcaVUSzKAc/edit?usp=sharing"",""ประจวบคีรีขันธ์!J439"")+IMPORTRANGE(""https://docs.google.com/spreadsheets/d/1vVf6wykvW_lAyu7Yo9L4hUTqHqIeP_qcVuxCtosJEbg/edit?usp=sharing"",""ปราจีนบุรี!J439"")+IMPORTRANGE(""https://docs.googl"&amp;"e.com/spreadsheets/d/1BIDqLLg5jk3v59G8NlR8rk5xfQDKne0sAvZHSj7TI6I/edit?usp=sharing"",""พระนครศรีอยุธยา!J439"")+IMPORTRANGE(""https://docs.google.com/spreadsheets/d/1YXvxf8Yu6_rV4hTBrwMqAcAnv6DfhUxh5emyM3CJp_w/edit?usp=sharing"",""เพชรบุรี!J439"")+IMPORTRA"&amp;"NGE(""https://docs.google.com/spreadsheets/d/19KBlQQs7uwvsao6t2n-KvW3Ax8J8uRRfZPq1zPbXgKc/edit?usp=sharing"",""ระยอง!J439"")+IMPORTRANGE(""https://docs.google.com/spreadsheets/d/1jQ6P4QcrGM89YfqcC_PxOHGCMq5ezhucwJd8ci-NHng/edit?usp=sharing"",""ราชบุรี!J43"&amp;"9"")+IMPORTRANGE(""https://docs.google.com/spreadsheets/d/1lufeA2cfFqM-elVq2hznhDzC6Pr7wkJ9ZG_sYNGCMCU/edit?usp=sharing"",""ลพบุรี!J439"")+IMPORTRANGE(""https://docs.google.com/spreadsheets/d/10oOiF7loTyfsTkbd4MpaIm0HQ9SwB7IYHdIUvt-U1Uc/edit?usp=sharing"""&amp;",""สระแก้ว!J439"")+IMPORTRANGE(""https://docs.google.com/spreadsheets/d/1xmPlrr1QbdSIKvl1dWUl9K4PjAfSL9oeMr_37QVzcxc/edit?usp=sharing"",""สระบุรี!J439"")+IMPORTRANGE(""https://docs.google.com/spreadsheets/d/1j51vR6CYVGhABJpv6tkstgok82RLpXieLzW1yOY5rHw/edi"&amp;"t?usp=sharing"",""สิงห์บุรี!J439"")+IMPORTRANGE(""https://docs.google.com/spreadsheets/d/1H1EalTWKUSzO4Z1-1CwzoDUaVffgrThEBe2sl74kKG0/edit?usp=sharing"",""สุพรรณบุรี!J439"")+IMPORTRANGE(""https://docs.google.com/spreadsheets/d/1BmIruG_sIrJLYao_Pdr7zVArWsf"&amp;"oBt2692TMi6x_854/edit?usp=sharing"",""อ่างทอง!J439"")"),0)</f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13wPX838HrBrQMCywv1BsuMkt4PEKTChp52zj44s2izQ/edit?usp=sharing"",""กาญจนบุรี!I440"")+IMPORTRANGE(""https://docs.google.com/spreadsheets/d/1ddFKvqj1W1NEiWytbGlB1zMx_ykJDVtmfEQ-6-lIUBA/edit?usp=sharing"","&amp;"""จันทบุรี!I440"")+IMPORTRANGE(""https://docs.google.com/spreadsheets/d/1T1PQvRODqOBZk8BRht_U031fIS1beLA0Ub2CEytj2q0/edit?usp=sharing"",""ฉะเชิงเทรา!I440"")+IMPORTRANGE(""https://docs.google.com/spreadsheets/d/11tr1B-Bhyr79v2bkwVh5h_fR-PStkgjlZtkrZpYurG0/"&amp;"edit?usp=sharing"",""ชลบุรี!I440"")+IMPORTRANGE(""https://docs.google.com/spreadsheets/d/1hh-FVnSX0vozXhGluamEcS54Dw9_zqW0N7qJUWgJ0Sw/edit?usp=sharing"",""ชัยนาท!I440"")+IMPORTRANGE(""https://docs.google.com/spreadsheets/d/1jkqa6GXxSacMcY1eN8AHjMNJ_7dDXMJ"&amp;"VRLDlaFSOdPM/edit?usp=sharing"",""ตราด!I440"")+IMPORTRANGE(""https://docs.google.com/spreadsheets/d/18hSgUJ3VwClqi_qtULmmW3cLr0oe3OKaSYoKzdpTsYQ/edit?usp=sharing"",""นครนายก!I440"")+IMPORTRANGE(""https://docs.google.com/spreadsheets/d/1YTZo6WM2dQ6Ix6FSdnL"&amp;"5P7uVnVKu40sxZu975tgG10E/edit?usp=sharing"",""นครปฐม!I440"")+IMPORTRANGE(""https://docs.google.com/spreadsheets/d/1OYoGg4WDg5RIzwGeB10padOxJF9E_Vljuvvct_M7RDo/edit?usp=sharing"",""ปทุมธานี!I440"")+IMPORTRANGE(""https://docs.google.com/spreadsheets/d/1GbCI"&amp;"E4D4wk9FUozzqk7SxfDMxDVBwVmI5zcaVUSzKAc/edit?usp=sharing"",""ประจวบคีรีขันธ์!I440"")+IMPORTRANGE(""https://docs.google.com/spreadsheets/d/1vVf6wykvW_lAyu7Yo9L4hUTqHqIeP_qcVuxCtosJEbg/edit?usp=sharing"",""ปราจีนบุรี!I440"")+IMPORTRANGE(""https://docs.googl"&amp;"e.com/spreadsheets/d/1BIDqLLg5jk3v59G8NlR8rk5xfQDKne0sAvZHSj7TI6I/edit?usp=sharing"",""พระนครศรีอยุธยา!I440"")+IMPORTRANGE(""https://docs.google.com/spreadsheets/d/1YXvxf8Yu6_rV4hTBrwMqAcAnv6DfhUxh5emyM3CJp_w/edit?usp=sharing"",""เพชรบุรี!I440"")+IMPORTRA"&amp;"NGE(""https://docs.google.com/spreadsheets/d/19KBlQQs7uwvsao6t2n-KvW3Ax8J8uRRfZPq1zPbXgKc/edit?usp=sharing"",""ระยอง!I440"")+IMPORTRANGE(""https://docs.google.com/spreadsheets/d/1jQ6P4QcrGM89YfqcC_PxOHGCMq5ezhucwJd8ci-NHng/edit?usp=sharing"",""ราชบุรี!I44"&amp;"0"")+IMPORTRANGE(""https://docs.google.com/spreadsheets/d/1lufeA2cfFqM-elVq2hznhDzC6Pr7wkJ9ZG_sYNGCMCU/edit?usp=sharing"",""ลพบุรี!I440"")+IMPORTRANGE(""https://docs.google.com/spreadsheets/d/10oOiF7loTyfsTkbd4MpaIm0HQ9SwB7IYHdIUvt-U1Uc/edit?usp=sharing"""&amp;",""สระแก้ว!I440"")+IMPORTRANGE(""https://docs.google.com/spreadsheets/d/1xmPlrr1QbdSIKvl1dWUl9K4PjAfSL9oeMr_37QVzcxc/edit?usp=sharing"",""สระบุรี!I440"")+IMPORTRANGE(""https://docs.google.com/spreadsheets/d/1j51vR6CYVGhABJpv6tkstgok82RLpXieLzW1yOY5rHw/edi"&amp;"t?usp=sharing"",""สิงห์บุรี!I440"")+IMPORTRANGE(""https://docs.google.com/spreadsheets/d/1H1EalTWKUSzO4Z1-1CwzoDUaVffgrThEBe2sl74kKG0/edit?usp=sharing"",""สุพรรณบุรี!I440"")+IMPORTRANGE(""https://docs.google.com/spreadsheets/d/1BmIruG_sIrJLYao_Pdr7zVArWsf"&amp;"oBt2692TMi6x_854/edit?usp=sharing"",""อ่างทอง!I440"")"),100559)</f>
        <v>100559</v>
      </c>
      <c r="J440" s="601">
        <f t="shared" ref="J440:J441" ca="1" si="324">J442+J444+J446+J452+J454</f>
        <v>0</v>
      </c>
      <c r="K440" s="262">
        <f t="shared" ref="K440:K441" ca="1" si="325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13wPX838HrBrQMCywv1BsuMkt4PEKTChp52zj44s2izQ/edit?usp=sharing"",""กาญจนบุรี!I441"")+IMPORTRANGE(""https://docs.google.com/spreadsheets/d/1ddFKvqj1W1NEiWytbGlB1zMx_ykJDVtmfEQ-6-lIUBA/edit?usp=sharing"","&amp;"""จันทบุรี!I441"")+IMPORTRANGE(""https://docs.google.com/spreadsheets/d/1T1PQvRODqOBZk8BRht_U031fIS1beLA0Ub2CEytj2q0/edit?usp=sharing"",""ฉะเชิงเทรา!I441"")+IMPORTRANGE(""https://docs.google.com/spreadsheets/d/11tr1B-Bhyr79v2bkwVh5h_fR-PStkgjlZtkrZpYurG0/"&amp;"edit?usp=sharing"",""ชลบุรี!I441"")+IMPORTRANGE(""https://docs.google.com/spreadsheets/d/1hh-FVnSX0vozXhGluamEcS54Dw9_zqW0N7qJUWgJ0Sw/edit?usp=sharing"",""ชัยนาท!I441"")+IMPORTRANGE(""https://docs.google.com/spreadsheets/d/1jkqa6GXxSacMcY1eN8AHjMNJ_7dDXMJ"&amp;"VRLDlaFSOdPM/edit?usp=sharing"",""ตราด!I441"")+IMPORTRANGE(""https://docs.google.com/spreadsheets/d/18hSgUJ3VwClqi_qtULmmW3cLr0oe3OKaSYoKzdpTsYQ/edit?usp=sharing"",""นครนายก!I441"")+IMPORTRANGE(""https://docs.google.com/spreadsheets/d/1YTZo6WM2dQ6Ix6FSdnL"&amp;"5P7uVnVKu40sxZu975tgG10E/edit?usp=sharing"",""นครปฐม!I441"")+IMPORTRANGE(""https://docs.google.com/spreadsheets/d/1OYoGg4WDg5RIzwGeB10padOxJF9E_Vljuvvct_M7RDo/edit?usp=sharing"",""ปทุมธานี!I441"")+IMPORTRANGE(""https://docs.google.com/spreadsheets/d/1GbCI"&amp;"E4D4wk9FUozzqk7SxfDMxDVBwVmI5zcaVUSzKAc/edit?usp=sharing"",""ประจวบคีรีขันธ์!I441"")+IMPORTRANGE(""https://docs.google.com/spreadsheets/d/1vVf6wykvW_lAyu7Yo9L4hUTqHqIeP_qcVuxCtosJEbg/edit?usp=sharing"",""ปราจีนบุรี!I441"")+IMPORTRANGE(""https://docs.googl"&amp;"e.com/spreadsheets/d/1BIDqLLg5jk3v59G8NlR8rk5xfQDKne0sAvZHSj7TI6I/edit?usp=sharing"",""พระนครศรีอยุธยา!I441"")+IMPORTRANGE(""https://docs.google.com/spreadsheets/d/1YXvxf8Yu6_rV4hTBrwMqAcAnv6DfhUxh5emyM3CJp_w/edit?usp=sharing"",""เพชรบุรี!I441"")+IMPORTRA"&amp;"NGE(""https://docs.google.com/spreadsheets/d/19KBlQQs7uwvsao6t2n-KvW3Ax8J8uRRfZPq1zPbXgKc/edit?usp=sharing"",""ระยอง!I441"")+IMPORTRANGE(""https://docs.google.com/spreadsheets/d/1jQ6P4QcrGM89YfqcC_PxOHGCMq5ezhucwJd8ci-NHng/edit?usp=sharing"",""ราชบุรี!I44"&amp;"1"")+IMPORTRANGE(""https://docs.google.com/spreadsheets/d/1lufeA2cfFqM-elVq2hznhDzC6Pr7wkJ9ZG_sYNGCMCU/edit?usp=sharing"",""ลพบุรี!I441"")+IMPORTRANGE(""https://docs.google.com/spreadsheets/d/10oOiF7loTyfsTkbd4MpaIm0HQ9SwB7IYHdIUvt-U1Uc/edit?usp=sharing"""&amp;",""สระแก้ว!I441"")+IMPORTRANGE(""https://docs.google.com/spreadsheets/d/1xmPlrr1QbdSIKvl1dWUl9K4PjAfSL9oeMr_37QVzcxc/edit?usp=sharing"",""สระบุรี!I441"")+IMPORTRANGE(""https://docs.google.com/spreadsheets/d/1j51vR6CYVGhABJpv6tkstgok82RLpXieLzW1yOY5rHw/edi"&amp;"t?usp=sharing"",""สิงห์บุรี!I441"")+IMPORTRANGE(""https://docs.google.com/spreadsheets/d/1H1EalTWKUSzO4Z1-1CwzoDUaVffgrThEBe2sl74kKG0/edit?usp=sharing"",""สุพรรณบุรี!I441"")+IMPORTRANGE(""https://docs.google.com/spreadsheets/d/1BmIruG_sIrJLYao_Pdr7zVArWsf"&amp;"oBt2692TMi6x_854/edit?usp=sharing"",""อ่างทอง!I441"")"),6874)</f>
        <v>6874</v>
      </c>
      <c r="J441" s="601">
        <f t="shared" ca="1" si="324"/>
        <v>0</v>
      </c>
      <c r="K441" s="262">
        <f t="shared" ca="1" si="325"/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602">
        <f ca="1">IFERROR(__xludf.DUMMYFUNCTION("IMPORTRANGE(""https://docs.google.com/spreadsheets/d/13wPX838HrBrQMCywv1BsuMkt4PEKTChp52zj44s2izQ/edit?usp=sharing"",""กาญจนบุรี!J442"")+IMPORTRANGE(""https://docs.google.com/spreadsheets/d/1ddFKvqj1W1NEiWytbGlB1zMx_ykJDVtmfEQ-6-lIUBA/edit?usp=sharing"","&amp;"""จันทบุรี!J442"")+IMPORTRANGE(""https://docs.google.com/spreadsheets/d/1T1PQvRODqOBZk8BRht_U031fIS1beLA0Ub2CEytj2q0/edit?usp=sharing"",""ฉะเชิงเทรา!J442"")+IMPORTRANGE(""https://docs.google.com/spreadsheets/d/11tr1B-Bhyr79v2bkwVh5h_fR-PStkgjlZtkrZpYurG0/"&amp;"edit?usp=sharing"",""ชลบุรี!J442"")+IMPORTRANGE(""https://docs.google.com/spreadsheets/d/1hh-FVnSX0vozXhGluamEcS54Dw9_zqW0N7qJUWgJ0Sw/edit?usp=sharing"",""ชัยนาท!J442"")+IMPORTRANGE(""https://docs.google.com/spreadsheets/d/1jkqa6GXxSacMcY1eN8AHjMNJ_7dDXMJ"&amp;"VRLDlaFSOdPM/edit?usp=sharing"",""ตราด!J442"")+IMPORTRANGE(""https://docs.google.com/spreadsheets/d/18hSgUJ3VwClqi_qtULmmW3cLr0oe3OKaSYoKzdpTsYQ/edit?usp=sharing"",""นครนายก!J442"")+IMPORTRANGE(""https://docs.google.com/spreadsheets/d/1YTZo6WM2dQ6Ix6FSdnL"&amp;"5P7uVnVKu40sxZu975tgG10E/edit?usp=sharing"",""นครปฐม!J442"")+IMPORTRANGE(""https://docs.google.com/spreadsheets/d/1OYoGg4WDg5RIzwGeB10padOxJF9E_Vljuvvct_M7RDo/edit?usp=sharing"",""ปทุมธานี!J442"")+IMPORTRANGE(""https://docs.google.com/spreadsheets/d/1GbCI"&amp;"E4D4wk9FUozzqk7SxfDMxDVBwVmI5zcaVUSzKAc/edit?usp=sharing"",""ประจวบคีรีขันธ์!J442"")+IMPORTRANGE(""https://docs.google.com/spreadsheets/d/1vVf6wykvW_lAyu7Yo9L4hUTqHqIeP_qcVuxCtosJEbg/edit?usp=sharing"",""ปราจีนบุรี!J442"")+IMPORTRANGE(""https://docs.googl"&amp;"e.com/spreadsheets/d/1BIDqLLg5jk3v59G8NlR8rk5xfQDKne0sAvZHSj7TI6I/edit?usp=sharing"",""พระนครศรีอยุธยา!J442"")+IMPORTRANGE(""https://docs.google.com/spreadsheets/d/1YXvxf8Yu6_rV4hTBrwMqAcAnv6DfhUxh5emyM3CJp_w/edit?usp=sharing"",""เพชรบุรี!J442"")+IMPORTRA"&amp;"NGE(""https://docs.google.com/spreadsheets/d/19KBlQQs7uwvsao6t2n-KvW3Ax8J8uRRfZPq1zPbXgKc/edit?usp=sharing"",""ระยอง!J442"")+IMPORTRANGE(""https://docs.google.com/spreadsheets/d/1jQ6P4QcrGM89YfqcC_PxOHGCMq5ezhucwJd8ci-NHng/edit?usp=sharing"",""ราชบุรี!J44"&amp;"2"")+IMPORTRANGE(""https://docs.google.com/spreadsheets/d/1lufeA2cfFqM-elVq2hznhDzC6Pr7wkJ9ZG_sYNGCMCU/edit?usp=sharing"",""ลพบุรี!J442"")+IMPORTRANGE(""https://docs.google.com/spreadsheets/d/10oOiF7loTyfsTkbd4MpaIm0HQ9SwB7IYHdIUvt-U1Uc/edit?usp=sharing"""&amp;",""สระแก้ว!J442"")+IMPORTRANGE(""https://docs.google.com/spreadsheets/d/1xmPlrr1QbdSIKvl1dWUl9K4PjAfSL9oeMr_37QVzcxc/edit?usp=sharing"",""สระบุรี!J442"")+IMPORTRANGE(""https://docs.google.com/spreadsheets/d/1j51vR6CYVGhABJpv6tkstgok82RLpXieLzW1yOY5rHw/edi"&amp;"t?usp=sharing"",""สิงห์บุรี!J442"")+IMPORTRANGE(""https://docs.google.com/spreadsheets/d/1H1EalTWKUSzO4Z1-1CwzoDUaVffgrThEBe2sl74kKG0/edit?usp=sharing"",""สุพรรณบุรี!J442"")+IMPORTRANGE(""https://docs.google.com/spreadsheets/d/1BmIruG_sIrJLYao_Pdr7zVArWsf"&amp;"oBt2692TMi6x_854/edit?usp=sharing"",""อ่างทอง!J442"")"),0)</f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602">
        <f ca="1">IFERROR(__xludf.DUMMYFUNCTION("IMPORTRANGE(""https://docs.google.com/spreadsheets/d/13wPX838HrBrQMCywv1BsuMkt4PEKTChp52zj44s2izQ/edit?usp=sharing"",""กาญจนบุรี!J443"")+IMPORTRANGE(""https://docs.google.com/spreadsheets/d/1ddFKvqj1W1NEiWytbGlB1zMx_ykJDVtmfEQ-6-lIUBA/edit?usp=sharing"","&amp;"""จันทบุรี!J443"")+IMPORTRANGE(""https://docs.google.com/spreadsheets/d/1T1PQvRODqOBZk8BRht_U031fIS1beLA0Ub2CEytj2q0/edit?usp=sharing"",""ฉะเชิงเทรา!J443"")+IMPORTRANGE(""https://docs.google.com/spreadsheets/d/11tr1B-Bhyr79v2bkwVh5h_fR-PStkgjlZtkrZpYurG0/"&amp;"edit?usp=sharing"",""ชลบุรี!J443"")+IMPORTRANGE(""https://docs.google.com/spreadsheets/d/1hh-FVnSX0vozXhGluamEcS54Dw9_zqW0N7qJUWgJ0Sw/edit?usp=sharing"",""ชัยนาท!J443"")+IMPORTRANGE(""https://docs.google.com/spreadsheets/d/1jkqa6GXxSacMcY1eN8AHjMNJ_7dDXMJ"&amp;"VRLDlaFSOdPM/edit?usp=sharing"",""ตราด!J443"")+IMPORTRANGE(""https://docs.google.com/spreadsheets/d/18hSgUJ3VwClqi_qtULmmW3cLr0oe3OKaSYoKzdpTsYQ/edit?usp=sharing"",""นครนายก!J443"")+IMPORTRANGE(""https://docs.google.com/spreadsheets/d/1YTZo6WM2dQ6Ix6FSdnL"&amp;"5P7uVnVKu40sxZu975tgG10E/edit?usp=sharing"",""นครปฐม!J443"")+IMPORTRANGE(""https://docs.google.com/spreadsheets/d/1OYoGg4WDg5RIzwGeB10padOxJF9E_Vljuvvct_M7RDo/edit?usp=sharing"",""ปทุมธานี!J443"")+IMPORTRANGE(""https://docs.google.com/spreadsheets/d/1GbCI"&amp;"E4D4wk9FUozzqk7SxfDMxDVBwVmI5zcaVUSzKAc/edit?usp=sharing"",""ประจวบคีรีขันธ์!J443"")+IMPORTRANGE(""https://docs.google.com/spreadsheets/d/1vVf6wykvW_lAyu7Yo9L4hUTqHqIeP_qcVuxCtosJEbg/edit?usp=sharing"",""ปราจีนบุรี!J443"")+IMPORTRANGE(""https://docs.googl"&amp;"e.com/spreadsheets/d/1BIDqLLg5jk3v59G8NlR8rk5xfQDKne0sAvZHSj7TI6I/edit?usp=sharing"",""พระนครศรีอยุธยา!J443"")+IMPORTRANGE(""https://docs.google.com/spreadsheets/d/1YXvxf8Yu6_rV4hTBrwMqAcAnv6DfhUxh5emyM3CJp_w/edit?usp=sharing"",""เพชรบุรี!J443"")+IMPORTRA"&amp;"NGE(""https://docs.google.com/spreadsheets/d/19KBlQQs7uwvsao6t2n-KvW3Ax8J8uRRfZPq1zPbXgKc/edit?usp=sharing"",""ระยอง!J443"")+IMPORTRANGE(""https://docs.google.com/spreadsheets/d/1jQ6P4QcrGM89YfqcC_PxOHGCMq5ezhucwJd8ci-NHng/edit?usp=sharing"",""ราชบุรี!J44"&amp;"3"")+IMPORTRANGE(""https://docs.google.com/spreadsheets/d/1lufeA2cfFqM-elVq2hznhDzC6Pr7wkJ9ZG_sYNGCMCU/edit?usp=sharing"",""ลพบุรี!J443"")+IMPORTRANGE(""https://docs.google.com/spreadsheets/d/10oOiF7loTyfsTkbd4MpaIm0HQ9SwB7IYHdIUvt-U1Uc/edit?usp=sharing"""&amp;",""สระแก้ว!J443"")+IMPORTRANGE(""https://docs.google.com/spreadsheets/d/1xmPlrr1QbdSIKvl1dWUl9K4PjAfSL9oeMr_37QVzcxc/edit?usp=sharing"",""สระบุรี!J443"")+IMPORTRANGE(""https://docs.google.com/spreadsheets/d/1j51vR6CYVGhABJpv6tkstgok82RLpXieLzW1yOY5rHw/edi"&amp;"t?usp=sharing"",""สิงห์บุรี!J443"")+IMPORTRANGE(""https://docs.google.com/spreadsheets/d/1H1EalTWKUSzO4Z1-1CwzoDUaVffgrThEBe2sl74kKG0/edit?usp=sharing"",""สุพรรณบุรี!J443"")+IMPORTRANGE(""https://docs.google.com/spreadsheets/d/1BmIruG_sIrJLYao_Pdr7zVArWsf"&amp;"oBt2692TMi6x_854/edit?usp=sharing"",""อ่างทอง!J443"")"),0)</f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602">
        <f ca="1">IFERROR(__xludf.DUMMYFUNCTION("IMPORTRANGE(""https://docs.google.com/spreadsheets/d/13wPX838HrBrQMCywv1BsuMkt4PEKTChp52zj44s2izQ/edit?usp=sharing"",""กาญจนบุรี!J444"")+IMPORTRANGE(""https://docs.google.com/spreadsheets/d/1ddFKvqj1W1NEiWytbGlB1zMx_ykJDVtmfEQ-6-lIUBA/edit?usp=sharing"","&amp;"""จันทบุรี!J444"")+IMPORTRANGE(""https://docs.google.com/spreadsheets/d/1T1PQvRODqOBZk8BRht_U031fIS1beLA0Ub2CEytj2q0/edit?usp=sharing"",""ฉะเชิงเทรา!J444"")+IMPORTRANGE(""https://docs.google.com/spreadsheets/d/11tr1B-Bhyr79v2bkwVh5h_fR-PStkgjlZtkrZpYurG0/"&amp;"edit?usp=sharing"",""ชลบุรี!J444"")+IMPORTRANGE(""https://docs.google.com/spreadsheets/d/1hh-FVnSX0vozXhGluamEcS54Dw9_zqW0N7qJUWgJ0Sw/edit?usp=sharing"",""ชัยนาท!J444"")+IMPORTRANGE(""https://docs.google.com/spreadsheets/d/1jkqa6GXxSacMcY1eN8AHjMNJ_7dDXMJ"&amp;"VRLDlaFSOdPM/edit?usp=sharing"",""ตราด!J444"")+IMPORTRANGE(""https://docs.google.com/spreadsheets/d/18hSgUJ3VwClqi_qtULmmW3cLr0oe3OKaSYoKzdpTsYQ/edit?usp=sharing"",""นครนายก!J444"")+IMPORTRANGE(""https://docs.google.com/spreadsheets/d/1YTZo6WM2dQ6Ix6FSdnL"&amp;"5P7uVnVKu40sxZu975tgG10E/edit?usp=sharing"",""นครปฐม!J444"")+IMPORTRANGE(""https://docs.google.com/spreadsheets/d/1OYoGg4WDg5RIzwGeB10padOxJF9E_Vljuvvct_M7RDo/edit?usp=sharing"",""ปทุมธานี!J444"")+IMPORTRANGE(""https://docs.google.com/spreadsheets/d/1GbCI"&amp;"E4D4wk9FUozzqk7SxfDMxDVBwVmI5zcaVUSzKAc/edit?usp=sharing"",""ประจวบคีรีขันธ์!J444"")+IMPORTRANGE(""https://docs.google.com/spreadsheets/d/1vVf6wykvW_lAyu7Yo9L4hUTqHqIeP_qcVuxCtosJEbg/edit?usp=sharing"",""ปราจีนบุรี!J444"")+IMPORTRANGE(""https://docs.googl"&amp;"e.com/spreadsheets/d/1BIDqLLg5jk3v59G8NlR8rk5xfQDKne0sAvZHSj7TI6I/edit?usp=sharing"",""พระนครศรีอยุธยา!J444"")+IMPORTRANGE(""https://docs.google.com/spreadsheets/d/1YXvxf8Yu6_rV4hTBrwMqAcAnv6DfhUxh5emyM3CJp_w/edit?usp=sharing"",""เพชรบุรี!J444"")+IMPORTRA"&amp;"NGE(""https://docs.google.com/spreadsheets/d/19KBlQQs7uwvsao6t2n-KvW3Ax8J8uRRfZPq1zPbXgKc/edit?usp=sharing"",""ระยอง!J444"")+IMPORTRANGE(""https://docs.google.com/spreadsheets/d/1jQ6P4QcrGM89YfqcC_PxOHGCMq5ezhucwJd8ci-NHng/edit?usp=sharing"",""ราชบุรี!J44"&amp;"4"")+IMPORTRANGE(""https://docs.google.com/spreadsheets/d/1lufeA2cfFqM-elVq2hznhDzC6Pr7wkJ9ZG_sYNGCMCU/edit?usp=sharing"",""ลพบุรี!J444"")+IMPORTRANGE(""https://docs.google.com/spreadsheets/d/10oOiF7loTyfsTkbd4MpaIm0HQ9SwB7IYHdIUvt-U1Uc/edit?usp=sharing"""&amp;",""สระแก้ว!J444"")+IMPORTRANGE(""https://docs.google.com/spreadsheets/d/1xmPlrr1QbdSIKvl1dWUl9K4PjAfSL9oeMr_37QVzcxc/edit?usp=sharing"",""สระบุรี!J444"")+IMPORTRANGE(""https://docs.google.com/spreadsheets/d/1j51vR6CYVGhABJpv6tkstgok82RLpXieLzW1yOY5rHw/edi"&amp;"t?usp=sharing"",""สิงห์บุรี!J444"")+IMPORTRANGE(""https://docs.google.com/spreadsheets/d/1H1EalTWKUSzO4Z1-1CwzoDUaVffgrThEBe2sl74kKG0/edit?usp=sharing"",""สุพรรณบุรี!J444"")+IMPORTRANGE(""https://docs.google.com/spreadsheets/d/1BmIruG_sIrJLYao_Pdr7zVArWsf"&amp;"oBt2692TMi6x_854/edit?usp=sharing"",""อ่างทอง!J444"")"),0)</f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602">
        <f ca="1">IFERROR(__xludf.DUMMYFUNCTION("IMPORTRANGE(""https://docs.google.com/spreadsheets/d/13wPX838HrBrQMCywv1BsuMkt4PEKTChp52zj44s2izQ/edit?usp=sharing"",""กาญจนบุรี!J445"")+IMPORTRANGE(""https://docs.google.com/spreadsheets/d/1ddFKvqj1W1NEiWytbGlB1zMx_ykJDVtmfEQ-6-lIUBA/edit?usp=sharing"","&amp;"""จันทบุรี!J445"")+IMPORTRANGE(""https://docs.google.com/spreadsheets/d/1T1PQvRODqOBZk8BRht_U031fIS1beLA0Ub2CEytj2q0/edit?usp=sharing"",""ฉะเชิงเทรา!J445"")+IMPORTRANGE(""https://docs.google.com/spreadsheets/d/11tr1B-Bhyr79v2bkwVh5h_fR-PStkgjlZtkrZpYurG0/"&amp;"edit?usp=sharing"",""ชลบุรี!J445"")+IMPORTRANGE(""https://docs.google.com/spreadsheets/d/1hh-FVnSX0vozXhGluamEcS54Dw9_zqW0N7qJUWgJ0Sw/edit?usp=sharing"",""ชัยนาท!J445"")+IMPORTRANGE(""https://docs.google.com/spreadsheets/d/1jkqa6GXxSacMcY1eN8AHjMNJ_7dDXMJ"&amp;"VRLDlaFSOdPM/edit?usp=sharing"",""ตราด!J445"")+IMPORTRANGE(""https://docs.google.com/spreadsheets/d/18hSgUJ3VwClqi_qtULmmW3cLr0oe3OKaSYoKzdpTsYQ/edit?usp=sharing"",""นครนายก!J445"")+IMPORTRANGE(""https://docs.google.com/spreadsheets/d/1YTZo6WM2dQ6Ix6FSdnL"&amp;"5P7uVnVKu40sxZu975tgG10E/edit?usp=sharing"",""นครปฐม!J445"")+IMPORTRANGE(""https://docs.google.com/spreadsheets/d/1OYoGg4WDg5RIzwGeB10padOxJF9E_Vljuvvct_M7RDo/edit?usp=sharing"",""ปทุมธานี!J445"")+IMPORTRANGE(""https://docs.google.com/spreadsheets/d/1GbCI"&amp;"E4D4wk9FUozzqk7SxfDMxDVBwVmI5zcaVUSzKAc/edit?usp=sharing"",""ประจวบคีรีขันธ์!J445"")+IMPORTRANGE(""https://docs.google.com/spreadsheets/d/1vVf6wykvW_lAyu7Yo9L4hUTqHqIeP_qcVuxCtosJEbg/edit?usp=sharing"",""ปราจีนบุรี!J445"")+IMPORTRANGE(""https://docs.googl"&amp;"e.com/spreadsheets/d/1BIDqLLg5jk3v59G8NlR8rk5xfQDKne0sAvZHSj7TI6I/edit?usp=sharing"",""พระนครศรีอยุธยา!J445"")+IMPORTRANGE(""https://docs.google.com/spreadsheets/d/1YXvxf8Yu6_rV4hTBrwMqAcAnv6DfhUxh5emyM3CJp_w/edit?usp=sharing"",""เพชรบุรี!J445"")+IMPORTRA"&amp;"NGE(""https://docs.google.com/spreadsheets/d/19KBlQQs7uwvsao6t2n-KvW3Ax8J8uRRfZPq1zPbXgKc/edit?usp=sharing"",""ระยอง!J445"")+IMPORTRANGE(""https://docs.google.com/spreadsheets/d/1jQ6P4QcrGM89YfqcC_PxOHGCMq5ezhucwJd8ci-NHng/edit?usp=sharing"",""ราชบุรี!J44"&amp;"5"")+IMPORTRANGE(""https://docs.google.com/spreadsheets/d/1lufeA2cfFqM-elVq2hznhDzC6Pr7wkJ9ZG_sYNGCMCU/edit?usp=sharing"",""ลพบุรี!J445"")+IMPORTRANGE(""https://docs.google.com/spreadsheets/d/10oOiF7loTyfsTkbd4MpaIm0HQ9SwB7IYHdIUvt-U1Uc/edit?usp=sharing"""&amp;",""สระแก้ว!J445"")+IMPORTRANGE(""https://docs.google.com/spreadsheets/d/1xmPlrr1QbdSIKvl1dWUl9K4PjAfSL9oeMr_37QVzcxc/edit?usp=sharing"",""สระบุรี!J445"")+IMPORTRANGE(""https://docs.google.com/spreadsheets/d/1j51vR6CYVGhABJpv6tkstgok82RLpXieLzW1yOY5rHw/edi"&amp;"t?usp=sharing"",""สิงห์บุรี!J445"")+IMPORTRANGE(""https://docs.google.com/spreadsheets/d/1H1EalTWKUSzO4Z1-1CwzoDUaVffgrThEBe2sl74kKG0/edit?usp=sharing"",""สุพรรณบุรี!J445"")+IMPORTRANGE(""https://docs.google.com/spreadsheets/d/1BmIruG_sIrJLYao_Pdr7zVArWsf"&amp;"oBt2692TMi6x_854/edit?usp=sharing"",""อ่างทอง!J445"")"),0)</f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601">
        <f t="shared" ref="J446:J447" ca="1" si="326"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601">
        <f t="shared" ca="1" si="326"/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602">
        <f ca="1">IFERROR(__xludf.DUMMYFUNCTION("IMPORTRANGE(""https://docs.google.com/spreadsheets/d/13wPX838HrBrQMCywv1BsuMkt4PEKTChp52zj44s2izQ/edit?usp=sharing"",""กาญจนบุรี!J448"")+IMPORTRANGE(""https://docs.google.com/spreadsheets/d/1ddFKvqj1W1NEiWytbGlB1zMx_ykJDVtmfEQ-6-lIUBA/edit?usp=sharing"","&amp;"""จันทบุรี!J448"")+IMPORTRANGE(""https://docs.google.com/spreadsheets/d/1T1PQvRODqOBZk8BRht_U031fIS1beLA0Ub2CEytj2q0/edit?usp=sharing"",""ฉะเชิงเทรา!J448"")+IMPORTRANGE(""https://docs.google.com/spreadsheets/d/11tr1B-Bhyr79v2bkwVh5h_fR-PStkgjlZtkrZpYurG0/"&amp;"edit?usp=sharing"",""ชลบุรี!J448"")+IMPORTRANGE(""https://docs.google.com/spreadsheets/d/1hh-FVnSX0vozXhGluamEcS54Dw9_zqW0N7qJUWgJ0Sw/edit?usp=sharing"",""ชัยนาท!J448"")+IMPORTRANGE(""https://docs.google.com/spreadsheets/d/1jkqa6GXxSacMcY1eN8AHjMNJ_7dDXMJ"&amp;"VRLDlaFSOdPM/edit?usp=sharing"",""ตราด!J448"")+IMPORTRANGE(""https://docs.google.com/spreadsheets/d/18hSgUJ3VwClqi_qtULmmW3cLr0oe3OKaSYoKzdpTsYQ/edit?usp=sharing"",""นครนายก!J448"")+IMPORTRANGE(""https://docs.google.com/spreadsheets/d/1YTZo6WM2dQ6Ix6FSdnL"&amp;"5P7uVnVKu40sxZu975tgG10E/edit?usp=sharing"",""นครปฐม!J448"")+IMPORTRANGE(""https://docs.google.com/spreadsheets/d/1OYoGg4WDg5RIzwGeB10padOxJF9E_Vljuvvct_M7RDo/edit?usp=sharing"",""ปทุมธานี!J448"")+IMPORTRANGE(""https://docs.google.com/spreadsheets/d/1GbCI"&amp;"E4D4wk9FUozzqk7SxfDMxDVBwVmI5zcaVUSzKAc/edit?usp=sharing"",""ประจวบคีรีขันธ์!J448"")+IMPORTRANGE(""https://docs.google.com/spreadsheets/d/1vVf6wykvW_lAyu7Yo9L4hUTqHqIeP_qcVuxCtosJEbg/edit?usp=sharing"",""ปราจีนบุรี!J448"")+IMPORTRANGE(""https://docs.googl"&amp;"e.com/spreadsheets/d/1BIDqLLg5jk3v59G8NlR8rk5xfQDKne0sAvZHSj7TI6I/edit?usp=sharing"",""พระนครศรีอยุธยา!J448"")+IMPORTRANGE(""https://docs.google.com/spreadsheets/d/1YXvxf8Yu6_rV4hTBrwMqAcAnv6DfhUxh5emyM3CJp_w/edit?usp=sharing"",""เพชรบุรี!J448"")+IMPORTRA"&amp;"NGE(""https://docs.google.com/spreadsheets/d/19KBlQQs7uwvsao6t2n-KvW3Ax8J8uRRfZPq1zPbXgKc/edit?usp=sharing"",""ระยอง!J448"")+IMPORTRANGE(""https://docs.google.com/spreadsheets/d/1jQ6P4QcrGM89YfqcC_PxOHGCMq5ezhucwJd8ci-NHng/edit?usp=sharing"",""ราชบุรี!J44"&amp;"8"")+IMPORTRANGE(""https://docs.google.com/spreadsheets/d/1lufeA2cfFqM-elVq2hznhDzC6Pr7wkJ9ZG_sYNGCMCU/edit?usp=sharing"",""ลพบุรี!J448"")+IMPORTRANGE(""https://docs.google.com/spreadsheets/d/10oOiF7loTyfsTkbd4MpaIm0HQ9SwB7IYHdIUvt-U1Uc/edit?usp=sharing"""&amp;",""สระแก้ว!J448"")+IMPORTRANGE(""https://docs.google.com/spreadsheets/d/1xmPlrr1QbdSIKvl1dWUl9K4PjAfSL9oeMr_37QVzcxc/edit?usp=sharing"",""สระบุรี!J448"")+IMPORTRANGE(""https://docs.google.com/spreadsheets/d/1j51vR6CYVGhABJpv6tkstgok82RLpXieLzW1yOY5rHw/edi"&amp;"t?usp=sharing"",""สิงห์บุรี!J448"")+IMPORTRANGE(""https://docs.google.com/spreadsheets/d/1H1EalTWKUSzO4Z1-1CwzoDUaVffgrThEBe2sl74kKG0/edit?usp=sharing"",""สุพรรณบุรี!J448"")+IMPORTRANGE(""https://docs.google.com/spreadsheets/d/1BmIruG_sIrJLYao_Pdr7zVArWsf"&amp;"oBt2692TMi6x_854/edit?usp=sharing"",""อ่างทอง!J448"")"),0)</f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602">
        <f ca="1">IFERROR(__xludf.DUMMYFUNCTION("IMPORTRANGE(""https://docs.google.com/spreadsheets/d/13wPX838HrBrQMCywv1BsuMkt4PEKTChp52zj44s2izQ/edit?usp=sharing"",""กาญจนบุรี!J449"")+IMPORTRANGE(""https://docs.google.com/spreadsheets/d/1ddFKvqj1W1NEiWytbGlB1zMx_ykJDVtmfEQ-6-lIUBA/edit?usp=sharing"","&amp;"""จันทบุรี!J449"")+IMPORTRANGE(""https://docs.google.com/spreadsheets/d/1T1PQvRODqOBZk8BRht_U031fIS1beLA0Ub2CEytj2q0/edit?usp=sharing"",""ฉะเชิงเทรา!J449"")+IMPORTRANGE(""https://docs.google.com/spreadsheets/d/11tr1B-Bhyr79v2bkwVh5h_fR-PStkgjlZtkrZpYurG0/"&amp;"edit?usp=sharing"",""ชลบุรี!J449"")+IMPORTRANGE(""https://docs.google.com/spreadsheets/d/1hh-FVnSX0vozXhGluamEcS54Dw9_zqW0N7qJUWgJ0Sw/edit?usp=sharing"",""ชัยนาท!J449"")+IMPORTRANGE(""https://docs.google.com/spreadsheets/d/1jkqa6GXxSacMcY1eN8AHjMNJ_7dDXMJ"&amp;"VRLDlaFSOdPM/edit?usp=sharing"",""ตราด!J449"")+IMPORTRANGE(""https://docs.google.com/spreadsheets/d/18hSgUJ3VwClqi_qtULmmW3cLr0oe3OKaSYoKzdpTsYQ/edit?usp=sharing"",""นครนายก!J449"")+IMPORTRANGE(""https://docs.google.com/spreadsheets/d/1YTZo6WM2dQ6Ix6FSdnL"&amp;"5P7uVnVKu40sxZu975tgG10E/edit?usp=sharing"",""นครปฐม!J449"")+IMPORTRANGE(""https://docs.google.com/spreadsheets/d/1OYoGg4WDg5RIzwGeB10padOxJF9E_Vljuvvct_M7RDo/edit?usp=sharing"",""ปทุมธานี!J449"")+IMPORTRANGE(""https://docs.google.com/spreadsheets/d/1GbCI"&amp;"E4D4wk9FUozzqk7SxfDMxDVBwVmI5zcaVUSzKAc/edit?usp=sharing"",""ประจวบคีรีขันธ์!J449"")+IMPORTRANGE(""https://docs.google.com/spreadsheets/d/1vVf6wykvW_lAyu7Yo9L4hUTqHqIeP_qcVuxCtosJEbg/edit?usp=sharing"",""ปราจีนบุรี!J449"")+IMPORTRANGE(""https://docs.googl"&amp;"e.com/spreadsheets/d/1BIDqLLg5jk3v59G8NlR8rk5xfQDKne0sAvZHSj7TI6I/edit?usp=sharing"",""พระนครศรีอยุธยา!J449"")+IMPORTRANGE(""https://docs.google.com/spreadsheets/d/1YXvxf8Yu6_rV4hTBrwMqAcAnv6DfhUxh5emyM3CJp_w/edit?usp=sharing"",""เพชรบุรี!J449"")+IMPORTRA"&amp;"NGE(""https://docs.google.com/spreadsheets/d/19KBlQQs7uwvsao6t2n-KvW3Ax8J8uRRfZPq1zPbXgKc/edit?usp=sharing"",""ระยอง!J449"")+IMPORTRANGE(""https://docs.google.com/spreadsheets/d/1jQ6P4QcrGM89YfqcC_PxOHGCMq5ezhucwJd8ci-NHng/edit?usp=sharing"",""ราชบุรี!J44"&amp;"9"")+IMPORTRANGE(""https://docs.google.com/spreadsheets/d/1lufeA2cfFqM-elVq2hznhDzC6Pr7wkJ9ZG_sYNGCMCU/edit?usp=sharing"",""ลพบุรี!J449"")+IMPORTRANGE(""https://docs.google.com/spreadsheets/d/10oOiF7loTyfsTkbd4MpaIm0HQ9SwB7IYHdIUvt-U1Uc/edit?usp=sharing"""&amp;",""สระแก้ว!J449"")+IMPORTRANGE(""https://docs.google.com/spreadsheets/d/1xmPlrr1QbdSIKvl1dWUl9K4PjAfSL9oeMr_37QVzcxc/edit?usp=sharing"",""สระบุรี!J449"")+IMPORTRANGE(""https://docs.google.com/spreadsheets/d/1j51vR6CYVGhABJpv6tkstgok82RLpXieLzW1yOY5rHw/edi"&amp;"t?usp=sharing"",""สิงห์บุรี!J449"")+IMPORTRANGE(""https://docs.google.com/spreadsheets/d/1H1EalTWKUSzO4Z1-1CwzoDUaVffgrThEBe2sl74kKG0/edit?usp=sharing"",""สุพรรณบุรี!J449"")+IMPORTRANGE(""https://docs.google.com/spreadsheets/d/1BmIruG_sIrJLYao_Pdr7zVArWsf"&amp;"oBt2692TMi6x_854/edit?usp=sharing"",""อ่างทอง!J449"")"),0)</f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602">
        <f ca="1">IFERROR(__xludf.DUMMYFUNCTION("IMPORTRANGE(""https://docs.google.com/spreadsheets/d/13wPX838HrBrQMCywv1BsuMkt4PEKTChp52zj44s2izQ/edit?usp=sharing"",""กาญจนบุรี!J450"")+IMPORTRANGE(""https://docs.google.com/spreadsheets/d/1ddFKvqj1W1NEiWytbGlB1zMx_ykJDVtmfEQ-6-lIUBA/edit?usp=sharing"","&amp;"""จันทบุรี!J450"")+IMPORTRANGE(""https://docs.google.com/spreadsheets/d/1T1PQvRODqOBZk8BRht_U031fIS1beLA0Ub2CEytj2q0/edit?usp=sharing"",""ฉะเชิงเทรา!J450"")+IMPORTRANGE(""https://docs.google.com/spreadsheets/d/11tr1B-Bhyr79v2bkwVh5h_fR-PStkgjlZtkrZpYurG0/"&amp;"edit?usp=sharing"",""ชลบุรี!J450"")+IMPORTRANGE(""https://docs.google.com/spreadsheets/d/1hh-FVnSX0vozXhGluamEcS54Dw9_zqW0N7qJUWgJ0Sw/edit?usp=sharing"",""ชัยนาท!J450"")+IMPORTRANGE(""https://docs.google.com/spreadsheets/d/1jkqa6GXxSacMcY1eN8AHjMNJ_7dDXMJ"&amp;"VRLDlaFSOdPM/edit?usp=sharing"",""ตราด!J450"")+IMPORTRANGE(""https://docs.google.com/spreadsheets/d/18hSgUJ3VwClqi_qtULmmW3cLr0oe3OKaSYoKzdpTsYQ/edit?usp=sharing"",""นครนายก!J450"")+IMPORTRANGE(""https://docs.google.com/spreadsheets/d/1YTZo6WM2dQ6Ix6FSdnL"&amp;"5P7uVnVKu40sxZu975tgG10E/edit?usp=sharing"",""นครปฐม!J450"")+IMPORTRANGE(""https://docs.google.com/spreadsheets/d/1OYoGg4WDg5RIzwGeB10padOxJF9E_Vljuvvct_M7RDo/edit?usp=sharing"",""ปทุมธานี!J450"")+IMPORTRANGE(""https://docs.google.com/spreadsheets/d/1GbCI"&amp;"E4D4wk9FUozzqk7SxfDMxDVBwVmI5zcaVUSzKAc/edit?usp=sharing"",""ประจวบคีรีขันธ์!J450"")+IMPORTRANGE(""https://docs.google.com/spreadsheets/d/1vVf6wykvW_lAyu7Yo9L4hUTqHqIeP_qcVuxCtosJEbg/edit?usp=sharing"",""ปราจีนบุรี!J450"")+IMPORTRANGE(""https://docs.googl"&amp;"e.com/spreadsheets/d/1BIDqLLg5jk3v59G8NlR8rk5xfQDKne0sAvZHSj7TI6I/edit?usp=sharing"",""พระนครศรีอยุธยา!J450"")+IMPORTRANGE(""https://docs.google.com/spreadsheets/d/1YXvxf8Yu6_rV4hTBrwMqAcAnv6DfhUxh5emyM3CJp_w/edit?usp=sharing"",""เพชรบุรี!J450"")+IMPORTRA"&amp;"NGE(""https://docs.google.com/spreadsheets/d/19KBlQQs7uwvsao6t2n-KvW3Ax8J8uRRfZPq1zPbXgKc/edit?usp=sharing"",""ระยอง!J450"")+IMPORTRANGE(""https://docs.google.com/spreadsheets/d/1jQ6P4QcrGM89YfqcC_PxOHGCMq5ezhucwJd8ci-NHng/edit?usp=sharing"",""ราชบุรี!J45"&amp;"0"")+IMPORTRANGE(""https://docs.google.com/spreadsheets/d/1lufeA2cfFqM-elVq2hznhDzC6Pr7wkJ9ZG_sYNGCMCU/edit?usp=sharing"",""ลพบุรี!J450"")+IMPORTRANGE(""https://docs.google.com/spreadsheets/d/10oOiF7loTyfsTkbd4MpaIm0HQ9SwB7IYHdIUvt-U1Uc/edit?usp=sharing"""&amp;",""สระแก้ว!J450"")+IMPORTRANGE(""https://docs.google.com/spreadsheets/d/1xmPlrr1QbdSIKvl1dWUl9K4PjAfSL9oeMr_37QVzcxc/edit?usp=sharing"",""สระบุรี!J450"")+IMPORTRANGE(""https://docs.google.com/spreadsheets/d/1j51vR6CYVGhABJpv6tkstgok82RLpXieLzW1yOY5rHw/edi"&amp;"t?usp=sharing"",""สิงห์บุรี!J450"")+IMPORTRANGE(""https://docs.google.com/spreadsheets/d/1H1EalTWKUSzO4Z1-1CwzoDUaVffgrThEBe2sl74kKG0/edit?usp=sharing"",""สุพรรณบุรี!J450"")+IMPORTRANGE(""https://docs.google.com/spreadsheets/d/1BmIruG_sIrJLYao_Pdr7zVArWsf"&amp;"oBt2692TMi6x_854/edit?usp=sharing"",""อ่างทอง!J450"")"),0)</f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602">
        <f ca="1">IFERROR(__xludf.DUMMYFUNCTION("IMPORTRANGE(""https://docs.google.com/spreadsheets/d/13wPX838HrBrQMCywv1BsuMkt4PEKTChp52zj44s2izQ/edit?usp=sharing"",""กาญจนบุรี!J451"")+IMPORTRANGE(""https://docs.google.com/spreadsheets/d/1ddFKvqj1W1NEiWytbGlB1zMx_ykJDVtmfEQ-6-lIUBA/edit?usp=sharing"","&amp;"""จันทบุรี!J451"")+IMPORTRANGE(""https://docs.google.com/spreadsheets/d/1T1PQvRODqOBZk8BRht_U031fIS1beLA0Ub2CEytj2q0/edit?usp=sharing"",""ฉะเชิงเทรา!J451"")+IMPORTRANGE(""https://docs.google.com/spreadsheets/d/11tr1B-Bhyr79v2bkwVh5h_fR-PStkgjlZtkrZpYurG0/"&amp;"edit?usp=sharing"",""ชลบุรี!J451"")+IMPORTRANGE(""https://docs.google.com/spreadsheets/d/1hh-FVnSX0vozXhGluamEcS54Dw9_zqW0N7qJUWgJ0Sw/edit?usp=sharing"",""ชัยนาท!J451"")+IMPORTRANGE(""https://docs.google.com/spreadsheets/d/1jkqa6GXxSacMcY1eN8AHjMNJ_7dDXMJ"&amp;"VRLDlaFSOdPM/edit?usp=sharing"",""ตราด!J451"")+IMPORTRANGE(""https://docs.google.com/spreadsheets/d/18hSgUJ3VwClqi_qtULmmW3cLr0oe3OKaSYoKzdpTsYQ/edit?usp=sharing"",""นครนายก!J451"")+IMPORTRANGE(""https://docs.google.com/spreadsheets/d/1YTZo6WM2dQ6Ix6FSdnL"&amp;"5P7uVnVKu40sxZu975tgG10E/edit?usp=sharing"",""นครปฐม!J451"")+IMPORTRANGE(""https://docs.google.com/spreadsheets/d/1OYoGg4WDg5RIzwGeB10padOxJF9E_Vljuvvct_M7RDo/edit?usp=sharing"",""ปทุมธานี!J451"")+IMPORTRANGE(""https://docs.google.com/spreadsheets/d/1GbCI"&amp;"E4D4wk9FUozzqk7SxfDMxDVBwVmI5zcaVUSzKAc/edit?usp=sharing"",""ประจวบคีรีขันธ์!J451"")+IMPORTRANGE(""https://docs.google.com/spreadsheets/d/1vVf6wykvW_lAyu7Yo9L4hUTqHqIeP_qcVuxCtosJEbg/edit?usp=sharing"",""ปราจีนบุรี!J451"")+IMPORTRANGE(""https://docs.googl"&amp;"e.com/spreadsheets/d/1BIDqLLg5jk3v59G8NlR8rk5xfQDKne0sAvZHSj7TI6I/edit?usp=sharing"",""พระนครศรีอยุธยา!J451"")+IMPORTRANGE(""https://docs.google.com/spreadsheets/d/1YXvxf8Yu6_rV4hTBrwMqAcAnv6DfhUxh5emyM3CJp_w/edit?usp=sharing"",""เพชรบุรี!J451"")+IMPORTRA"&amp;"NGE(""https://docs.google.com/spreadsheets/d/19KBlQQs7uwvsao6t2n-KvW3Ax8J8uRRfZPq1zPbXgKc/edit?usp=sharing"",""ระยอง!J451"")+IMPORTRANGE(""https://docs.google.com/spreadsheets/d/1jQ6P4QcrGM89YfqcC_PxOHGCMq5ezhucwJd8ci-NHng/edit?usp=sharing"",""ราชบุรี!J45"&amp;"1"")+IMPORTRANGE(""https://docs.google.com/spreadsheets/d/1lufeA2cfFqM-elVq2hznhDzC6Pr7wkJ9ZG_sYNGCMCU/edit?usp=sharing"",""ลพบุรี!J451"")+IMPORTRANGE(""https://docs.google.com/spreadsheets/d/10oOiF7loTyfsTkbd4MpaIm0HQ9SwB7IYHdIUvt-U1Uc/edit?usp=sharing"""&amp;",""สระแก้ว!J451"")+IMPORTRANGE(""https://docs.google.com/spreadsheets/d/1xmPlrr1QbdSIKvl1dWUl9K4PjAfSL9oeMr_37QVzcxc/edit?usp=sharing"",""สระบุรี!J451"")+IMPORTRANGE(""https://docs.google.com/spreadsheets/d/1j51vR6CYVGhABJpv6tkstgok82RLpXieLzW1yOY5rHw/edi"&amp;"t?usp=sharing"",""สิงห์บุรี!J451"")+IMPORTRANGE(""https://docs.google.com/spreadsheets/d/1H1EalTWKUSzO4Z1-1CwzoDUaVffgrThEBe2sl74kKG0/edit?usp=sharing"",""สุพรรณบุรี!J451"")+IMPORTRANGE(""https://docs.google.com/spreadsheets/d/1BmIruG_sIrJLYao_Pdr7zVArWsf"&amp;"oBt2692TMi6x_854/edit?usp=sharing"",""อ่างทอง!J451"")"),0)</f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602">
        <f ca="1">IFERROR(__xludf.DUMMYFUNCTION("IMPORTRANGE(""https://docs.google.com/spreadsheets/d/13wPX838HrBrQMCywv1BsuMkt4PEKTChp52zj44s2izQ/edit?usp=sharing"",""กาญจนบุรี!J452"")+IMPORTRANGE(""https://docs.google.com/spreadsheets/d/1ddFKvqj1W1NEiWytbGlB1zMx_ykJDVtmfEQ-6-lIUBA/edit?usp=sharing"","&amp;"""จันทบุรี!J452"")+IMPORTRANGE(""https://docs.google.com/spreadsheets/d/1T1PQvRODqOBZk8BRht_U031fIS1beLA0Ub2CEytj2q0/edit?usp=sharing"",""ฉะเชิงเทรา!J452"")+IMPORTRANGE(""https://docs.google.com/spreadsheets/d/11tr1B-Bhyr79v2bkwVh5h_fR-PStkgjlZtkrZpYurG0/"&amp;"edit?usp=sharing"",""ชลบุรี!J452"")+IMPORTRANGE(""https://docs.google.com/spreadsheets/d/1hh-FVnSX0vozXhGluamEcS54Dw9_zqW0N7qJUWgJ0Sw/edit?usp=sharing"",""ชัยนาท!J452"")+IMPORTRANGE(""https://docs.google.com/spreadsheets/d/1jkqa6GXxSacMcY1eN8AHjMNJ_7dDXMJ"&amp;"VRLDlaFSOdPM/edit?usp=sharing"",""ตราด!J452"")+IMPORTRANGE(""https://docs.google.com/spreadsheets/d/18hSgUJ3VwClqi_qtULmmW3cLr0oe3OKaSYoKzdpTsYQ/edit?usp=sharing"",""นครนายก!J452"")+IMPORTRANGE(""https://docs.google.com/spreadsheets/d/1YTZo6WM2dQ6Ix6FSdnL"&amp;"5P7uVnVKu40sxZu975tgG10E/edit?usp=sharing"",""นครปฐม!J452"")+IMPORTRANGE(""https://docs.google.com/spreadsheets/d/1OYoGg4WDg5RIzwGeB10padOxJF9E_Vljuvvct_M7RDo/edit?usp=sharing"",""ปทุมธานี!J452"")+IMPORTRANGE(""https://docs.google.com/spreadsheets/d/1GbCI"&amp;"E4D4wk9FUozzqk7SxfDMxDVBwVmI5zcaVUSzKAc/edit?usp=sharing"",""ประจวบคีรีขันธ์!J452"")+IMPORTRANGE(""https://docs.google.com/spreadsheets/d/1vVf6wykvW_lAyu7Yo9L4hUTqHqIeP_qcVuxCtosJEbg/edit?usp=sharing"",""ปราจีนบุรี!J452"")+IMPORTRANGE(""https://docs.googl"&amp;"e.com/spreadsheets/d/1BIDqLLg5jk3v59G8NlR8rk5xfQDKne0sAvZHSj7TI6I/edit?usp=sharing"",""พระนครศรีอยุธยา!J452"")+IMPORTRANGE(""https://docs.google.com/spreadsheets/d/1YXvxf8Yu6_rV4hTBrwMqAcAnv6DfhUxh5emyM3CJp_w/edit?usp=sharing"",""เพชรบุรี!J452"")+IMPORTRA"&amp;"NGE(""https://docs.google.com/spreadsheets/d/19KBlQQs7uwvsao6t2n-KvW3Ax8J8uRRfZPq1zPbXgKc/edit?usp=sharing"",""ระยอง!J452"")+IMPORTRANGE(""https://docs.google.com/spreadsheets/d/1jQ6P4QcrGM89YfqcC_PxOHGCMq5ezhucwJd8ci-NHng/edit?usp=sharing"",""ราชบุรี!J45"&amp;"2"")+IMPORTRANGE(""https://docs.google.com/spreadsheets/d/1lufeA2cfFqM-elVq2hznhDzC6Pr7wkJ9ZG_sYNGCMCU/edit?usp=sharing"",""ลพบุรี!J452"")+IMPORTRANGE(""https://docs.google.com/spreadsheets/d/10oOiF7loTyfsTkbd4MpaIm0HQ9SwB7IYHdIUvt-U1Uc/edit?usp=sharing"""&amp;",""สระแก้ว!J452"")+IMPORTRANGE(""https://docs.google.com/spreadsheets/d/1xmPlrr1QbdSIKvl1dWUl9K4PjAfSL9oeMr_37QVzcxc/edit?usp=sharing"",""สระบุรี!J452"")+IMPORTRANGE(""https://docs.google.com/spreadsheets/d/1j51vR6CYVGhABJpv6tkstgok82RLpXieLzW1yOY5rHw/edi"&amp;"t?usp=sharing"",""สิงห์บุรี!J452"")+IMPORTRANGE(""https://docs.google.com/spreadsheets/d/1H1EalTWKUSzO4Z1-1CwzoDUaVffgrThEBe2sl74kKG0/edit?usp=sharing"",""สุพรรณบุรี!J452"")+IMPORTRANGE(""https://docs.google.com/spreadsheets/d/1BmIruG_sIrJLYao_Pdr7zVArWsf"&amp;"oBt2692TMi6x_854/edit?usp=sharing"",""อ่างทอง!J452"")"),0)</f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602">
        <f ca="1">IFERROR(__xludf.DUMMYFUNCTION("IMPORTRANGE(""https://docs.google.com/spreadsheets/d/13wPX838HrBrQMCywv1BsuMkt4PEKTChp52zj44s2izQ/edit?usp=sharing"",""กาญจนบุรี!J453"")+IMPORTRANGE(""https://docs.google.com/spreadsheets/d/1ddFKvqj1W1NEiWytbGlB1zMx_ykJDVtmfEQ-6-lIUBA/edit?usp=sharing"","&amp;"""จันทบุรี!J453"")+IMPORTRANGE(""https://docs.google.com/spreadsheets/d/1T1PQvRODqOBZk8BRht_U031fIS1beLA0Ub2CEytj2q0/edit?usp=sharing"",""ฉะเชิงเทรา!J453"")+IMPORTRANGE(""https://docs.google.com/spreadsheets/d/11tr1B-Bhyr79v2bkwVh5h_fR-PStkgjlZtkrZpYurG0/"&amp;"edit?usp=sharing"",""ชลบุรี!J453"")+IMPORTRANGE(""https://docs.google.com/spreadsheets/d/1hh-FVnSX0vozXhGluamEcS54Dw9_zqW0N7qJUWgJ0Sw/edit?usp=sharing"",""ชัยนาท!J453"")+IMPORTRANGE(""https://docs.google.com/spreadsheets/d/1jkqa6GXxSacMcY1eN8AHjMNJ_7dDXMJ"&amp;"VRLDlaFSOdPM/edit?usp=sharing"",""ตราด!J453"")+IMPORTRANGE(""https://docs.google.com/spreadsheets/d/18hSgUJ3VwClqi_qtULmmW3cLr0oe3OKaSYoKzdpTsYQ/edit?usp=sharing"",""นครนายก!J453"")+IMPORTRANGE(""https://docs.google.com/spreadsheets/d/1YTZo6WM2dQ6Ix6FSdnL"&amp;"5P7uVnVKu40sxZu975tgG10E/edit?usp=sharing"",""นครปฐม!J453"")+IMPORTRANGE(""https://docs.google.com/spreadsheets/d/1OYoGg4WDg5RIzwGeB10padOxJF9E_Vljuvvct_M7RDo/edit?usp=sharing"",""ปทุมธานี!J453"")+IMPORTRANGE(""https://docs.google.com/spreadsheets/d/1GbCI"&amp;"E4D4wk9FUozzqk7SxfDMxDVBwVmI5zcaVUSzKAc/edit?usp=sharing"",""ประจวบคีรีขันธ์!J453"")+IMPORTRANGE(""https://docs.google.com/spreadsheets/d/1vVf6wykvW_lAyu7Yo9L4hUTqHqIeP_qcVuxCtosJEbg/edit?usp=sharing"",""ปราจีนบุรี!J453"")+IMPORTRANGE(""https://docs.googl"&amp;"e.com/spreadsheets/d/1BIDqLLg5jk3v59G8NlR8rk5xfQDKne0sAvZHSj7TI6I/edit?usp=sharing"",""พระนครศรีอยุธยา!J453"")+IMPORTRANGE(""https://docs.google.com/spreadsheets/d/1YXvxf8Yu6_rV4hTBrwMqAcAnv6DfhUxh5emyM3CJp_w/edit?usp=sharing"",""เพชรบุรี!J453"")+IMPORTRA"&amp;"NGE(""https://docs.google.com/spreadsheets/d/19KBlQQs7uwvsao6t2n-KvW3Ax8J8uRRfZPq1zPbXgKc/edit?usp=sharing"",""ระยอง!J453"")+IMPORTRANGE(""https://docs.google.com/spreadsheets/d/1jQ6P4QcrGM89YfqcC_PxOHGCMq5ezhucwJd8ci-NHng/edit?usp=sharing"",""ราชบุรี!J45"&amp;"3"")+IMPORTRANGE(""https://docs.google.com/spreadsheets/d/1lufeA2cfFqM-elVq2hznhDzC6Pr7wkJ9ZG_sYNGCMCU/edit?usp=sharing"",""ลพบุรี!J453"")+IMPORTRANGE(""https://docs.google.com/spreadsheets/d/10oOiF7loTyfsTkbd4MpaIm0HQ9SwB7IYHdIUvt-U1Uc/edit?usp=sharing"""&amp;",""สระแก้ว!J453"")+IMPORTRANGE(""https://docs.google.com/spreadsheets/d/1xmPlrr1QbdSIKvl1dWUl9K4PjAfSL9oeMr_37QVzcxc/edit?usp=sharing"",""สระบุรี!J453"")+IMPORTRANGE(""https://docs.google.com/spreadsheets/d/1j51vR6CYVGhABJpv6tkstgok82RLpXieLzW1yOY5rHw/edi"&amp;"t?usp=sharing"",""สิงห์บุรี!J453"")+IMPORTRANGE(""https://docs.google.com/spreadsheets/d/1H1EalTWKUSzO4Z1-1CwzoDUaVffgrThEBe2sl74kKG0/edit?usp=sharing"",""สุพรรณบุรี!J453"")+IMPORTRANGE(""https://docs.google.com/spreadsheets/d/1BmIruG_sIrJLYao_Pdr7zVArWsf"&amp;"oBt2692TMi6x_854/edit?usp=sharing"",""อ่างทอง!J453"")"),0)</f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603">
        <f ca="1">IFERROR(__xludf.DUMMYFUNCTION("IMPORTRANGE(""https://docs.google.com/spreadsheets/d/13wPX838HrBrQMCywv1BsuMkt4PEKTChp52zj44s2izQ/edit?usp=sharing"",""กาญจนบุรี!J454"")+IMPORTRANGE(""https://docs.google.com/spreadsheets/d/1ddFKvqj1W1NEiWytbGlB1zMx_ykJDVtmfEQ-6-lIUBA/edit?usp=sharing"","&amp;"""จันทบุรี!J454"")+IMPORTRANGE(""https://docs.google.com/spreadsheets/d/1T1PQvRODqOBZk8BRht_U031fIS1beLA0Ub2CEytj2q0/edit?usp=sharing"",""ฉะเชิงเทรา!J454"")+IMPORTRANGE(""https://docs.google.com/spreadsheets/d/11tr1B-Bhyr79v2bkwVh5h_fR-PStkgjlZtkrZpYurG0/"&amp;"edit?usp=sharing"",""ชลบุรี!J454"")+IMPORTRANGE(""https://docs.google.com/spreadsheets/d/1hh-FVnSX0vozXhGluamEcS54Dw9_zqW0N7qJUWgJ0Sw/edit?usp=sharing"",""ชัยนาท!J454"")+IMPORTRANGE(""https://docs.google.com/spreadsheets/d/1jkqa6GXxSacMcY1eN8AHjMNJ_7dDXMJ"&amp;"VRLDlaFSOdPM/edit?usp=sharing"",""ตราด!J454"")+IMPORTRANGE(""https://docs.google.com/spreadsheets/d/18hSgUJ3VwClqi_qtULmmW3cLr0oe3OKaSYoKzdpTsYQ/edit?usp=sharing"",""นครนายก!J454"")+IMPORTRANGE(""https://docs.google.com/spreadsheets/d/1YTZo6WM2dQ6Ix6FSdnL"&amp;"5P7uVnVKu40sxZu975tgG10E/edit?usp=sharing"",""นครปฐม!J454"")+IMPORTRANGE(""https://docs.google.com/spreadsheets/d/1OYoGg4WDg5RIzwGeB10padOxJF9E_Vljuvvct_M7RDo/edit?usp=sharing"",""ปทุมธานี!J454"")+IMPORTRANGE(""https://docs.google.com/spreadsheets/d/1GbCI"&amp;"E4D4wk9FUozzqk7SxfDMxDVBwVmI5zcaVUSzKAc/edit?usp=sharing"",""ประจวบคีรีขันธ์!J454"")+IMPORTRANGE(""https://docs.google.com/spreadsheets/d/1vVf6wykvW_lAyu7Yo9L4hUTqHqIeP_qcVuxCtosJEbg/edit?usp=sharing"",""ปราจีนบุรี!J454"")+IMPORTRANGE(""https://docs.googl"&amp;"e.com/spreadsheets/d/1BIDqLLg5jk3v59G8NlR8rk5xfQDKne0sAvZHSj7TI6I/edit?usp=sharing"",""พระนครศรีอยุธยา!J454"")+IMPORTRANGE(""https://docs.google.com/spreadsheets/d/1YXvxf8Yu6_rV4hTBrwMqAcAnv6DfhUxh5emyM3CJp_w/edit?usp=sharing"",""เพชรบุรี!J454"")+IMPORTRA"&amp;"NGE(""https://docs.google.com/spreadsheets/d/19KBlQQs7uwvsao6t2n-KvW3Ax8J8uRRfZPq1zPbXgKc/edit?usp=sharing"",""ระยอง!J454"")+IMPORTRANGE(""https://docs.google.com/spreadsheets/d/1jQ6P4QcrGM89YfqcC_PxOHGCMq5ezhucwJd8ci-NHng/edit?usp=sharing"",""ราชบุรี!J45"&amp;"4"")+IMPORTRANGE(""https://docs.google.com/spreadsheets/d/1lufeA2cfFqM-elVq2hznhDzC6Pr7wkJ9ZG_sYNGCMCU/edit?usp=sharing"",""ลพบุรี!J454"")+IMPORTRANGE(""https://docs.google.com/spreadsheets/d/10oOiF7loTyfsTkbd4MpaIm0HQ9SwB7IYHdIUvt-U1Uc/edit?usp=sharing"""&amp;",""สระแก้ว!J454"")+IMPORTRANGE(""https://docs.google.com/spreadsheets/d/1xmPlrr1QbdSIKvl1dWUl9K4PjAfSL9oeMr_37QVzcxc/edit?usp=sharing"",""สระบุรี!J454"")+IMPORTRANGE(""https://docs.google.com/spreadsheets/d/1j51vR6CYVGhABJpv6tkstgok82RLpXieLzW1yOY5rHw/edi"&amp;"t?usp=sharing"",""สิงห์บุรี!J454"")+IMPORTRANGE(""https://docs.google.com/spreadsheets/d/1H1EalTWKUSzO4Z1-1CwzoDUaVffgrThEBe2sl74kKG0/edit?usp=sharing"",""สุพรรณบุรี!J454"")+IMPORTRANGE(""https://docs.google.com/spreadsheets/d/1BmIruG_sIrJLYao_Pdr7zVArWsf"&amp;"oBt2692TMi6x_854/edit?usp=sharing"",""อ่างทอง!J454"")"),0)</f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602">
        <f ca="1">IFERROR(__xludf.DUMMYFUNCTION("IMPORTRANGE(""https://docs.google.com/spreadsheets/d/13wPX838HrBrQMCywv1BsuMkt4PEKTChp52zj44s2izQ/edit?usp=sharing"",""กาญจนบุรี!J455"")+IMPORTRANGE(""https://docs.google.com/spreadsheets/d/1ddFKvqj1W1NEiWytbGlB1zMx_ykJDVtmfEQ-6-lIUBA/edit?usp=sharing"","&amp;"""จันทบุรี!J455"")+IMPORTRANGE(""https://docs.google.com/spreadsheets/d/1T1PQvRODqOBZk8BRht_U031fIS1beLA0Ub2CEytj2q0/edit?usp=sharing"",""ฉะเชิงเทรา!J455"")+IMPORTRANGE(""https://docs.google.com/spreadsheets/d/11tr1B-Bhyr79v2bkwVh5h_fR-PStkgjlZtkrZpYurG0/"&amp;"edit?usp=sharing"",""ชลบุรี!J455"")+IMPORTRANGE(""https://docs.google.com/spreadsheets/d/1hh-FVnSX0vozXhGluamEcS54Dw9_zqW0N7qJUWgJ0Sw/edit?usp=sharing"",""ชัยนาท!J455"")+IMPORTRANGE(""https://docs.google.com/spreadsheets/d/1jkqa6GXxSacMcY1eN8AHjMNJ_7dDXMJ"&amp;"VRLDlaFSOdPM/edit?usp=sharing"",""ตราด!J455"")+IMPORTRANGE(""https://docs.google.com/spreadsheets/d/18hSgUJ3VwClqi_qtULmmW3cLr0oe3OKaSYoKzdpTsYQ/edit?usp=sharing"",""นครนายก!J455"")+IMPORTRANGE(""https://docs.google.com/spreadsheets/d/1YTZo6WM2dQ6Ix6FSdnL"&amp;"5P7uVnVKu40sxZu975tgG10E/edit?usp=sharing"",""นครปฐม!J455"")+IMPORTRANGE(""https://docs.google.com/spreadsheets/d/1OYoGg4WDg5RIzwGeB10padOxJF9E_Vljuvvct_M7RDo/edit?usp=sharing"",""ปทุมธานี!J455"")+IMPORTRANGE(""https://docs.google.com/spreadsheets/d/1GbCI"&amp;"E4D4wk9FUozzqk7SxfDMxDVBwVmI5zcaVUSzKAc/edit?usp=sharing"",""ประจวบคีรีขันธ์!J455"")+IMPORTRANGE(""https://docs.google.com/spreadsheets/d/1vVf6wykvW_lAyu7Yo9L4hUTqHqIeP_qcVuxCtosJEbg/edit?usp=sharing"",""ปราจีนบุรี!J455"")+IMPORTRANGE(""https://docs.googl"&amp;"e.com/spreadsheets/d/1BIDqLLg5jk3v59G8NlR8rk5xfQDKne0sAvZHSj7TI6I/edit?usp=sharing"",""พระนครศรีอยุธยา!J455"")+IMPORTRANGE(""https://docs.google.com/spreadsheets/d/1YXvxf8Yu6_rV4hTBrwMqAcAnv6DfhUxh5emyM3CJp_w/edit?usp=sharing"",""เพชรบุรี!J455"")+IMPORTRA"&amp;"NGE(""https://docs.google.com/spreadsheets/d/19KBlQQs7uwvsao6t2n-KvW3Ax8J8uRRfZPq1zPbXgKc/edit?usp=sharing"",""ระยอง!J455"")+IMPORTRANGE(""https://docs.google.com/spreadsheets/d/1jQ6P4QcrGM89YfqcC_PxOHGCMq5ezhucwJd8ci-NHng/edit?usp=sharing"",""ราชบุรี!J45"&amp;"5"")+IMPORTRANGE(""https://docs.google.com/spreadsheets/d/1lufeA2cfFqM-elVq2hznhDzC6Pr7wkJ9ZG_sYNGCMCU/edit?usp=sharing"",""ลพบุรี!J455"")+IMPORTRANGE(""https://docs.google.com/spreadsheets/d/10oOiF7loTyfsTkbd4MpaIm0HQ9SwB7IYHdIUvt-U1Uc/edit?usp=sharing"""&amp;",""สระแก้ว!J455"")+IMPORTRANGE(""https://docs.google.com/spreadsheets/d/1xmPlrr1QbdSIKvl1dWUl9K4PjAfSL9oeMr_37QVzcxc/edit?usp=sharing"",""สระบุรี!J455"")+IMPORTRANGE(""https://docs.google.com/spreadsheets/d/1j51vR6CYVGhABJpv6tkstgok82RLpXieLzW1yOY5rHw/edi"&amp;"t?usp=sharing"",""สิงห์บุรี!J455"")+IMPORTRANGE(""https://docs.google.com/spreadsheets/d/1H1EalTWKUSzO4Z1-1CwzoDUaVffgrThEBe2sl74kKG0/edit?usp=sharing"",""สุพรรณบุรี!J455"")+IMPORTRANGE(""https://docs.google.com/spreadsheets/d/1BmIruG_sIrJLYao_Pdr7zVArWsf"&amp;"oBt2692TMi6x_854/edit?usp=sharing"",""อ่างทอง!J455"")"),0)</f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529"/>
      <c r="B456" s="276" t="s">
        <v>178</v>
      </c>
      <c r="C456" s="267"/>
      <c r="D456" s="267"/>
      <c r="E456" s="267"/>
      <c r="F456" s="267"/>
      <c r="G456" s="307"/>
      <c r="H456" s="597" t="s">
        <v>46</v>
      </c>
      <c r="I456" s="601">
        <f t="shared" ref="I456:J456" ca="1" si="327">I457</f>
        <v>3128</v>
      </c>
      <c r="J456" s="601">
        <f t="shared" ca="1" si="327"/>
        <v>4172.58</v>
      </c>
      <c r="K456" s="262">
        <f t="shared" ref="K456:K458" ca="1" si="328">IF(I456&gt;0,J456*100/I456,0)</f>
        <v>133.39450127877237</v>
      </c>
      <c r="L456" s="85"/>
      <c r="M456" s="85"/>
      <c r="N456" s="85"/>
      <c r="O456" s="85"/>
      <c r="P456" s="85"/>
      <c r="Q456" s="84"/>
      <c r="R456" s="85"/>
      <c r="S456" s="85"/>
      <c r="T456" s="85"/>
      <c r="U456" s="85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13wPX838HrBrQMCywv1BsuMkt4PEKTChp52zj44s2izQ/edit?usp=sharing"",""กาญจนบุรี!I457"")+IMPORTRANGE(""https://docs.google.com/spreadsheets/d/1ddFKvqj1W1NEiWytbGlB1zMx_ykJDVtmfEQ-6-lIUBA/edit?usp=sharing"","&amp;"""จันทบุรี!I457"")+IMPORTRANGE(""https://docs.google.com/spreadsheets/d/1T1PQvRODqOBZk8BRht_U031fIS1beLA0Ub2CEytj2q0/edit?usp=sharing"",""ฉะเชิงเทรา!I457"")+IMPORTRANGE(""https://docs.google.com/spreadsheets/d/11tr1B-Bhyr79v2bkwVh5h_fR-PStkgjlZtkrZpYurG0/"&amp;"edit?usp=sharing"",""ชลบุรี!I457"")+IMPORTRANGE(""https://docs.google.com/spreadsheets/d/1hh-FVnSX0vozXhGluamEcS54Dw9_zqW0N7qJUWgJ0Sw/edit?usp=sharing"",""ชัยนาท!I457"")+IMPORTRANGE(""https://docs.google.com/spreadsheets/d/1jkqa6GXxSacMcY1eN8AHjMNJ_7dDXMJ"&amp;"VRLDlaFSOdPM/edit?usp=sharing"",""ตราด!I457"")+IMPORTRANGE(""https://docs.google.com/spreadsheets/d/18hSgUJ3VwClqi_qtULmmW3cLr0oe3OKaSYoKzdpTsYQ/edit?usp=sharing"",""นครนายก!I457"")+IMPORTRANGE(""https://docs.google.com/spreadsheets/d/1YTZo6WM2dQ6Ix6FSdnL"&amp;"5P7uVnVKu40sxZu975tgG10E/edit?usp=sharing"",""นครปฐม!I457"")+IMPORTRANGE(""https://docs.google.com/spreadsheets/d/1OYoGg4WDg5RIzwGeB10padOxJF9E_Vljuvvct_M7RDo/edit?usp=sharing"",""ปทุมธานี!I457"")+IMPORTRANGE(""https://docs.google.com/spreadsheets/d/1GbCI"&amp;"E4D4wk9FUozzqk7SxfDMxDVBwVmI5zcaVUSzKAc/edit?usp=sharing"",""ประจวบคีรีขันธ์!I457"")+IMPORTRANGE(""https://docs.google.com/spreadsheets/d/1vVf6wykvW_lAyu7Yo9L4hUTqHqIeP_qcVuxCtosJEbg/edit?usp=sharing"",""ปราจีนบุรี!I457"")+IMPORTRANGE(""https://docs.googl"&amp;"e.com/spreadsheets/d/1BIDqLLg5jk3v59G8NlR8rk5xfQDKne0sAvZHSj7TI6I/edit?usp=sharing"",""พระนครศรีอยุธยา!I457"")+IMPORTRANGE(""https://docs.google.com/spreadsheets/d/1YXvxf8Yu6_rV4hTBrwMqAcAnv6DfhUxh5emyM3CJp_w/edit?usp=sharing"",""เพชรบุรี!I457"")+IMPORTRA"&amp;"NGE(""https://docs.google.com/spreadsheets/d/19KBlQQs7uwvsao6t2n-KvW3Ax8J8uRRfZPq1zPbXgKc/edit?usp=sharing"",""ระยอง!I457"")+IMPORTRANGE(""https://docs.google.com/spreadsheets/d/1jQ6P4QcrGM89YfqcC_PxOHGCMq5ezhucwJd8ci-NHng/edit?usp=sharing"",""ราชบุรี!I45"&amp;"7"")+IMPORTRANGE(""https://docs.google.com/spreadsheets/d/1lufeA2cfFqM-elVq2hznhDzC6Pr7wkJ9ZG_sYNGCMCU/edit?usp=sharing"",""ลพบุรี!I457"")+IMPORTRANGE(""https://docs.google.com/spreadsheets/d/10oOiF7loTyfsTkbd4MpaIm0HQ9SwB7IYHdIUvt-U1Uc/edit?usp=sharing"""&amp;",""สระแก้ว!I457"")+IMPORTRANGE(""https://docs.google.com/spreadsheets/d/1xmPlrr1QbdSIKvl1dWUl9K4PjAfSL9oeMr_37QVzcxc/edit?usp=sharing"",""สระบุรี!I457"")+IMPORTRANGE(""https://docs.google.com/spreadsheets/d/1j51vR6CYVGhABJpv6tkstgok82RLpXieLzW1yOY5rHw/edi"&amp;"t?usp=sharing"",""สิงห์บุรี!I457"")+IMPORTRANGE(""https://docs.google.com/spreadsheets/d/1H1EalTWKUSzO4Z1-1CwzoDUaVffgrThEBe2sl74kKG0/edit?usp=sharing"",""สุพรรณบุรี!I457"")+IMPORTRANGE(""https://docs.google.com/spreadsheets/d/1BmIruG_sIrJLYao_Pdr7zVArWsf"&amp;"oBt2692TMi6x_854/edit?usp=sharing"",""อ่างทอง!I457"")"),3128)</f>
        <v>3128</v>
      </c>
      <c r="J457" s="601">
        <f t="shared" ref="J457:J458" ca="1" si="329">J459+J467+J473</f>
        <v>4172.58</v>
      </c>
      <c r="K457" s="262">
        <f t="shared" ca="1" si="328"/>
        <v>133.39450127877237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13wPX838HrBrQMCywv1BsuMkt4PEKTChp52zj44s2izQ/edit?usp=sharing"",""กาญจนบุรี!I458"")+IMPORTRANGE(""https://docs.google.com/spreadsheets/d/1ddFKvqj1W1NEiWytbGlB1zMx_ykJDVtmfEQ-6-lIUBA/edit?usp=sharing"","&amp;"""จันทบุรี!I458"")+IMPORTRANGE(""https://docs.google.com/spreadsheets/d/1T1PQvRODqOBZk8BRht_U031fIS1beLA0Ub2CEytj2q0/edit?usp=sharing"",""ฉะเชิงเทรา!I458"")+IMPORTRANGE(""https://docs.google.com/spreadsheets/d/11tr1B-Bhyr79v2bkwVh5h_fR-PStkgjlZtkrZpYurG0/"&amp;"edit?usp=sharing"",""ชลบุรี!I458"")+IMPORTRANGE(""https://docs.google.com/spreadsheets/d/1hh-FVnSX0vozXhGluamEcS54Dw9_zqW0N7qJUWgJ0Sw/edit?usp=sharing"",""ชัยนาท!I458"")+IMPORTRANGE(""https://docs.google.com/spreadsheets/d/1jkqa6GXxSacMcY1eN8AHjMNJ_7dDXMJ"&amp;"VRLDlaFSOdPM/edit?usp=sharing"",""ตราด!I458"")+IMPORTRANGE(""https://docs.google.com/spreadsheets/d/18hSgUJ3VwClqi_qtULmmW3cLr0oe3OKaSYoKzdpTsYQ/edit?usp=sharing"",""นครนายก!I458"")+IMPORTRANGE(""https://docs.google.com/spreadsheets/d/1YTZo6WM2dQ6Ix6FSdnL"&amp;"5P7uVnVKu40sxZu975tgG10E/edit?usp=sharing"",""นครปฐม!I458"")+IMPORTRANGE(""https://docs.google.com/spreadsheets/d/1OYoGg4WDg5RIzwGeB10padOxJF9E_Vljuvvct_M7RDo/edit?usp=sharing"",""ปทุมธานี!I458"")+IMPORTRANGE(""https://docs.google.com/spreadsheets/d/1GbCI"&amp;"E4D4wk9FUozzqk7SxfDMxDVBwVmI5zcaVUSzKAc/edit?usp=sharing"",""ประจวบคีรีขันธ์!I458"")+IMPORTRANGE(""https://docs.google.com/spreadsheets/d/1vVf6wykvW_lAyu7Yo9L4hUTqHqIeP_qcVuxCtosJEbg/edit?usp=sharing"",""ปราจีนบุรี!I458"")+IMPORTRANGE(""https://docs.googl"&amp;"e.com/spreadsheets/d/1BIDqLLg5jk3v59G8NlR8rk5xfQDKne0sAvZHSj7TI6I/edit?usp=sharing"",""พระนครศรีอยุธยา!I458"")+IMPORTRANGE(""https://docs.google.com/spreadsheets/d/1YXvxf8Yu6_rV4hTBrwMqAcAnv6DfhUxh5emyM3CJp_w/edit?usp=sharing"",""เพชรบุรี!I458"")+IMPORTRA"&amp;"NGE(""https://docs.google.com/spreadsheets/d/19KBlQQs7uwvsao6t2n-KvW3Ax8J8uRRfZPq1zPbXgKc/edit?usp=sharing"",""ระยอง!I458"")+IMPORTRANGE(""https://docs.google.com/spreadsheets/d/1jQ6P4QcrGM89YfqcC_PxOHGCMq5ezhucwJd8ci-NHng/edit?usp=sharing"",""ราชบุรี!I45"&amp;"8"")+IMPORTRANGE(""https://docs.google.com/spreadsheets/d/1lufeA2cfFqM-elVq2hznhDzC6Pr7wkJ9ZG_sYNGCMCU/edit?usp=sharing"",""ลพบุรี!I458"")+IMPORTRANGE(""https://docs.google.com/spreadsheets/d/10oOiF7loTyfsTkbd4MpaIm0HQ9SwB7IYHdIUvt-U1Uc/edit?usp=sharing"""&amp;",""สระแก้ว!I458"")+IMPORTRANGE(""https://docs.google.com/spreadsheets/d/1xmPlrr1QbdSIKvl1dWUl9K4PjAfSL9oeMr_37QVzcxc/edit?usp=sharing"",""สระบุรี!I458"")+IMPORTRANGE(""https://docs.google.com/spreadsheets/d/1j51vR6CYVGhABJpv6tkstgok82RLpXieLzW1yOY5rHw/edi"&amp;"t?usp=sharing"",""สิงห์บุรี!I458"")+IMPORTRANGE(""https://docs.google.com/spreadsheets/d/1H1EalTWKUSzO4Z1-1CwzoDUaVffgrThEBe2sl74kKG0/edit?usp=sharing"",""สุพรรณบุรี!I458"")+IMPORTRANGE(""https://docs.google.com/spreadsheets/d/1BmIruG_sIrJLYao_Pdr7zVArWsf"&amp;"oBt2692TMi6x_854/edit?usp=sharing"",""อ่างทอง!I458"")"),0)</f>
        <v>0</v>
      </c>
      <c r="J458" s="601">
        <f t="shared" ca="1" si="329"/>
        <v>262</v>
      </c>
      <c r="K458" s="262">
        <f t="shared" ca="1" si="328"/>
        <v>0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291">
        <f t="shared" ref="J459:J460" ca="1" si="330">J461+J463</f>
        <v>4146.79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291">
        <f t="shared" ca="1" si="330"/>
        <v>258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602">
        <f ca="1">IFERROR(__xludf.DUMMYFUNCTION("IMPORTRANGE(""https://docs.google.com/spreadsheets/d/13wPX838HrBrQMCywv1BsuMkt4PEKTChp52zj44s2izQ/edit?usp=sharing"",""กาญจนบุรี!J461"")+IMPORTRANGE(""https://docs.google.com/spreadsheets/d/1ddFKvqj1W1NEiWytbGlB1zMx_ykJDVtmfEQ-6-lIUBA/edit?usp=sharing"","&amp;"""จันทบุรี!J461"")+IMPORTRANGE(""https://docs.google.com/spreadsheets/d/1T1PQvRODqOBZk8BRht_U031fIS1beLA0Ub2CEytj2q0/edit?usp=sharing"",""ฉะเชิงเทรา!J461"")+IMPORTRANGE(""https://docs.google.com/spreadsheets/d/11tr1B-Bhyr79v2bkwVh5h_fR-PStkgjlZtkrZpYurG0/"&amp;"edit?usp=sharing"",""ชลบุรี!J461"")+IMPORTRANGE(""https://docs.google.com/spreadsheets/d/1hh-FVnSX0vozXhGluamEcS54Dw9_zqW0N7qJUWgJ0Sw/edit?usp=sharing"",""ชัยนาท!J461"")+IMPORTRANGE(""https://docs.google.com/spreadsheets/d/1jkqa6GXxSacMcY1eN8AHjMNJ_7dDXMJ"&amp;"VRLDlaFSOdPM/edit?usp=sharing"",""ตราด!J461"")+IMPORTRANGE(""https://docs.google.com/spreadsheets/d/18hSgUJ3VwClqi_qtULmmW3cLr0oe3OKaSYoKzdpTsYQ/edit?usp=sharing"",""นครนายก!J461"")+IMPORTRANGE(""https://docs.google.com/spreadsheets/d/1YTZo6WM2dQ6Ix6FSdnL"&amp;"5P7uVnVKu40sxZu975tgG10E/edit?usp=sharing"",""นครปฐม!J461"")+IMPORTRANGE(""https://docs.google.com/spreadsheets/d/1OYoGg4WDg5RIzwGeB10padOxJF9E_Vljuvvct_M7RDo/edit?usp=sharing"",""ปทุมธานี!J461"")+IMPORTRANGE(""https://docs.google.com/spreadsheets/d/1GbCI"&amp;"E4D4wk9FUozzqk7SxfDMxDVBwVmI5zcaVUSzKAc/edit?usp=sharing"",""ประจวบคีรีขันธ์!J461"")+IMPORTRANGE(""https://docs.google.com/spreadsheets/d/1vVf6wykvW_lAyu7Yo9L4hUTqHqIeP_qcVuxCtosJEbg/edit?usp=sharing"",""ปราจีนบุรี!J461"")+IMPORTRANGE(""https://docs.googl"&amp;"e.com/spreadsheets/d/1BIDqLLg5jk3v59G8NlR8rk5xfQDKne0sAvZHSj7TI6I/edit?usp=sharing"",""พระนครศรีอยุธยา!J461"")+IMPORTRANGE(""https://docs.google.com/spreadsheets/d/1YXvxf8Yu6_rV4hTBrwMqAcAnv6DfhUxh5emyM3CJp_w/edit?usp=sharing"",""เพชรบุรี!J461"")+IMPORTRA"&amp;"NGE(""https://docs.google.com/spreadsheets/d/19KBlQQs7uwvsao6t2n-KvW3Ax8J8uRRfZPq1zPbXgKc/edit?usp=sharing"",""ระยอง!J461"")+IMPORTRANGE(""https://docs.google.com/spreadsheets/d/1jQ6P4QcrGM89YfqcC_PxOHGCMq5ezhucwJd8ci-NHng/edit?usp=sharing"",""ราชบุรี!J46"&amp;"1"")+IMPORTRANGE(""https://docs.google.com/spreadsheets/d/1lufeA2cfFqM-elVq2hznhDzC6Pr7wkJ9ZG_sYNGCMCU/edit?usp=sharing"",""ลพบุรี!J461"")+IMPORTRANGE(""https://docs.google.com/spreadsheets/d/10oOiF7loTyfsTkbd4MpaIm0HQ9SwB7IYHdIUvt-U1Uc/edit?usp=sharing"""&amp;",""สระแก้ว!J461"")+IMPORTRANGE(""https://docs.google.com/spreadsheets/d/1xmPlrr1QbdSIKvl1dWUl9K4PjAfSL9oeMr_37QVzcxc/edit?usp=sharing"",""สระบุรี!J461"")+IMPORTRANGE(""https://docs.google.com/spreadsheets/d/1j51vR6CYVGhABJpv6tkstgok82RLpXieLzW1yOY5rHw/edi"&amp;"t?usp=sharing"",""สิงห์บุรี!J461"")+IMPORTRANGE(""https://docs.google.com/spreadsheets/d/1H1EalTWKUSzO4Z1-1CwzoDUaVffgrThEBe2sl74kKG0/edit?usp=sharing"",""สุพรรณบุรี!J461"")+IMPORTRANGE(""https://docs.google.com/spreadsheets/d/1BmIruG_sIrJLYao_Pdr7zVArWsf"&amp;"oBt2692TMi6x_854/edit?usp=sharing"",""อ่างทอง!J461"")"),4012)</f>
        <v>4012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602">
        <f ca="1">IFERROR(__xludf.DUMMYFUNCTION("IMPORTRANGE(""https://docs.google.com/spreadsheets/d/13wPX838HrBrQMCywv1BsuMkt4PEKTChp52zj44s2izQ/edit?usp=sharing"",""กาญจนบุรี!J462"")+IMPORTRANGE(""https://docs.google.com/spreadsheets/d/1ddFKvqj1W1NEiWytbGlB1zMx_ykJDVtmfEQ-6-lIUBA/edit?usp=sharing"","&amp;"""จันทบุรี!J462"")+IMPORTRANGE(""https://docs.google.com/spreadsheets/d/1T1PQvRODqOBZk8BRht_U031fIS1beLA0Ub2CEytj2q0/edit?usp=sharing"",""ฉะเชิงเทรา!J462"")+IMPORTRANGE(""https://docs.google.com/spreadsheets/d/11tr1B-Bhyr79v2bkwVh5h_fR-PStkgjlZtkrZpYurG0/"&amp;"edit?usp=sharing"",""ชลบุรี!J462"")+IMPORTRANGE(""https://docs.google.com/spreadsheets/d/1hh-FVnSX0vozXhGluamEcS54Dw9_zqW0N7qJUWgJ0Sw/edit?usp=sharing"",""ชัยนาท!J462"")+IMPORTRANGE(""https://docs.google.com/spreadsheets/d/1jkqa6GXxSacMcY1eN8AHjMNJ_7dDXMJ"&amp;"VRLDlaFSOdPM/edit?usp=sharing"",""ตราด!J462"")+IMPORTRANGE(""https://docs.google.com/spreadsheets/d/18hSgUJ3VwClqi_qtULmmW3cLr0oe3OKaSYoKzdpTsYQ/edit?usp=sharing"",""นครนายก!J462"")+IMPORTRANGE(""https://docs.google.com/spreadsheets/d/1YTZo6WM2dQ6Ix6FSdnL"&amp;"5P7uVnVKu40sxZu975tgG10E/edit?usp=sharing"",""นครปฐม!J462"")+IMPORTRANGE(""https://docs.google.com/spreadsheets/d/1OYoGg4WDg5RIzwGeB10padOxJF9E_Vljuvvct_M7RDo/edit?usp=sharing"",""ปทุมธานี!J462"")+IMPORTRANGE(""https://docs.google.com/spreadsheets/d/1GbCI"&amp;"E4D4wk9FUozzqk7SxfDMxDVBwVmI5zcaVUSzKAc/edit?usp=sharing"",""ประจวบคีรีขันธ์!J462"")+IMPORTRANGE(""https://docs.google.com/spreadsheets/d/1vVf6wykvW_lAyu7Yo9L4hUTqHqIeP_qcVuxCtosJEbg/edit?usp=sharing"",""ปราจีนบุรี!J462"")+IMPORTRANGE(""https://docs.googl"&amp;"e.com/spreadsheets/d/1BIDqLLg5jk3v59G8NlR8rk5xfQDKne0sAvZHSj7TI6I/edit?usp=sharing"",""พระนครศรีอยุธยา!J462"")+IMPORTRANGE(""https://docs.google.com/spreadsheets/d/1YXvxf8Yu6_rV4hTBrwMqAcAnv6DfhUxh5emyM3CJp_w/edit?usp=sharing"",""เพชรบุรี!J462"")+IMPORTRA"&amp;"NGE(""https://docs.google.com/spreadsheets/d/19KBlQQs7uwvsao6t2n-KvW3Ax8J8uRRfZPq1zPbXgKc/edit?usp=sharing"",""ระยอง!J462"")+IMPORTRANGE(""https://docs.google.com/spreadsheets/d/1jQ6P4QcrGM89YfqcC_PxOHGCMq5ezhucwJd8ci-NHng/edit?usp=sharing"",""ราชบุรี!J46"&amp;"2"")+IMPORTRANGE(""https://docs.google.com/spreadsheets/d/1lufeA2cfFqM-elVq2hznhDzC6Pr7wkJ9ZG_sYNGCMCU/edit?usp=sharing"",""ลพบุรี!J462"")+IMPORTRANGE(""https://docs.google.com/spreadsheets/d/10oOiF7loTyfsTkbd4MpaIm0HQ9SwB7IYHdIUvt-U1Uc/edit?usp=sharing"""&amp;",""สระแก้ว!J462"")+IMPORTRANGE(""https://docs.google.com/spreadsheets/d/1xmPlrr1QbdSIKvl1dWUl9K4PjAfSL9oeMr_37QVzcxc/edit?usp=sharing"",""สระบุรี!J462"")+IMPORTRANGE(""https://docs.google.com/spreadsheets/d/1j51vR6CYVGhABJpv6tkstgok82RLpXieLzW1yOY5rHw/edi"&amp;"t?usp=sharing"",""สิงห์บุรี!J462"")+IMPORTRANGE(""https://docs.google.com/spreadsheets/d/1H1EalTWKUSzO4Z1-1CwzoDUaVffgrThEBe2sl74kKG0/edit?usp=sharing"",""สุพรรณบุรี!J462"")+IMPORTRANGE(""https://docs.google.com/spreadsheets/d/1BmIruG_sIrJLYao_Pdr7zVArWsf"&amp;"oBt2692TMi6x_854/edit?usp=sharing"",""อ่างทอง!J462"")"),245)</f>
        <v>245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602">
        <f ca="1">IFERROR(__xludf.DUMMYFUNCTION("IMPORTRANGE(""https://docs.google.com/spreadsheets/d/13wPX838HrBrQMCywv1BsuMkt4PEKTChp52zj44s2izQ/edit?usp=sharing"",""กาญจนบุรี!J463"")+IMPORTRANGE(""https://docs.google.com/spreadsheets/d/1ddFKvqj1W1NEiWytbGlB1zMx_ykJDVtmfEQ-6-lIUBA/edit?usp=sharing"","&amp;"""จันทบุรี!J463"")+IMPORTRANGE(""https://docs.google.com/spreadsheets/d/1T1PQvRODqOBZk8BRht_U031fIS1beLA0Ub2CEytj2q0/edit?usp=sharing"",""ฉะเชิงเทรา!J463"")+IMPORTRANGE(""https://docs.google.com/spreadsheets/d/11tr1B-Bhyr79v2bkwVh5h_fR-PStkgjlZtkrZpYurG0/"&amp;"edit?usp=sharing"",""ชลบุรี!J463"")+IMPORTRANGE(""https://docs.google.com/spreadsheets/d/1hh-FVnSX0vozXhGluamEcS54Dw9_zqW0N7qJUWgJ0Sw/edit?usp=sharing"",""ชัยนาท!J463"")+IMPORTRANGE(""https://docs.google.com/spreadsheets/d/1jkqa6GXxSacMcY1eN8AHjMNJ_7dDXMJ"&amp;"VRLDlaFSOdPM/edit?usp=sharing"",""ตราด!J463"")+IMPORTRANGE(""https://docs.google.com/spreadsheets/d/18hSgUJ3VwClqi_qtULmmW3cLr0oe3OKaSYoKzdpTsYQ/edit?usp=sharing"",""นครนายก!J463"")+IMPORTRANGE(""https://docs.google.com/spreadsheets/d/1YTZo6WM2dQ6Ix6FSdnL"&amp;"5P7uVnVKu40sxZu975tgG10E/edit?usp=sharing"",""นครปฐม!J463"")+IMPORTRANGE(""https://docs.google.com/spreadsheets/d/1OYoGg4WDg5RIzwGeB10padOxJF9E_Vljuvvct_M7RDo/edit?usp=sharing"",""ปทุมธานี!J463"")+IMPORTRANGE(""https://docs.google.com/spreadsheets/d/1GbCI"&amp;"E4D4wk9FUozzqk7SxfDMxDVBwVmI5zcaVUSzKAc/edit?usp=sharing"",""ประจวบคีรีขันธ์!J463"")+IMPORTRANGE(""https://docs.google.com/spreadsheets/d/1vVf6wykvW_lAyu7Yo9L4hUTqHqIeP_qcVuxCtosJEbg/edit?usp=sharing"",""ปราจีนบุรี!J463"")+IMPORTRANGE(""https://docs.googl"&amp;"e.com/spreadsheets/d/1BIDqLLg5jk3v59G8NlR8rk5xfQDKne0sAvZHSj7TI6I/edit?usp=sharing"",""พระนครศรีอยุธยา!J463"")+IMPORTRANGE(""https://docs.google.com/spreadsheets/d/1YXvxf8Yu6_rV4hTBrwMqAcAnv6DfhUxh5emyM3CJp_w/edit?usp=sharing"",""เพชรบุรี!J463"")+IMPORTRA"&amp;"NGE(""https://docs.google.com/spreadsheets/d/19KBlQQs7uwvsao6t2n-KvW3Ax8J8uRRfZPq1zPbXgKc/edit?usp=sharing"",""ระยอง!J463"")+IMPORTRANGE(""https://docs.google.com/spreadsheets/d/1jQ6P4QcrGM89YfqcC_PxOHGCMq5ezhucwJd8ci-NHng/edit?usp=sharing"",""ราชบุรี!J46"&amp;"3"")+IMPORTRANGE(""https://docs.google.com/spreadsheets/d/1lufeA2cfFqM-elVq2hznhDzC6Pr7wkJ9ZG_sYNGCMCU/edit?usp=sharing"",""ลพบุรี!J463"")+IMPORTRANGE(""https://docs.google.com/spreadsheets/d/10oOiF7loTyfsTkbd4MpaIm0HQ9SwB7IYHdIUvt-U1Uc/edit?usp=sharing"""&amp;",""สระแก้ว!J463"")+IMPORTRANGE(""https://docs.google.com/spreadsheets/d/1xmPlrr1QbdSIKvl1dWUl9K4PjAfSL9oeMr_37QVzcxc/edit?usp=sharing"",""สระบุรี!J463"")+IMPORTRANGE(""https://docs.google.com/spreadsheets/d/1j51vR6CYVGhABJpv6tkstgok82RLpXieLzW1yOY5rHw/edi"&amp;"t?usp=sharing"",""สิงห์บุรี!J463"")+IMPORTRANGE(""https://docs.google.com/spreadsheets/d/1H1EalTWKUSzO4Z1-1CwzoDUaVffgrThEBe2sl74kKG0/edit?usp=sharing"",""สุพรรณบุรี!J463"")+IMPORTRANGE(""https://docs.google.com/spreadsheets/d/1BmIruG_sIrJLYao_Pdr7zVArWsf"&amp;"oBt2692TMi6x_854/edit?usp=sharing"",""อ่างทอง!J463"")"),134.79)</f>
        <v>134.79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602">
        <f ca="1">IFERROR(__xludf.DUMMYFUNCTION("IMPORTRANGE(""https://docs.google.com/spreadsheets/d/13wPX838HrBrQMCywv1BsuMkt4PEKTChp52zj44s2izQ/edit?usp=sharing"",""กาญจนบุรี!J464"")+IMPORTRANGE(""https://docs.google.com/spreadsheets/d/1ddFKvqj1W1NEiWytbGlB1zMx_ykJDVtmfEQ-6-lIUBA/edit?usp=sharing"","&amp;"""จันทบุรี!J464"")+IMPORTRANGE(""https://docs.google.com/spreadsheets/d/1T1PQvRODqOBZk8BRht_U031fIS1beLA0Ub2CEytj2q0/edit?usp=sharing"",""ฉะเชิงเทรา!J464"")+IMPORTRANGE(""https://docs.google.com/spreadsheets/d/11tr1B-Bhyr79v2bkwVh5h_fR-PStkgjlZtkrZpYurG0/"&amp;"edit?usp=sharing"",""ชลบุรี!J464"")+IMPORTRANGE(""https://docs.google.com/spreadsheets/d/1hh-FVnSX0vozXhGluamEcS54Dw9_zqW0N7qJUWgJ0Sw/edit?usp=sharing"",""ชัยนาท!J464"")+IMPORTRANGE(""https://docs.google.com/spreadsheets/d/1jkqa6GXxSacMcY1eN8AHjMNJ_7dDXMJ"&amp;"VRLDlaFSOdPM/edit?usp=sharing"",""ตราด!J464"")+IMPORTRANGE(""https://docs.google.com/spreadsheets/d/18hSgUJ3VwClqi_qtULmmW3cLr0oe3OKaSYoKzdpTsYQ/edit?usp=sharing"",""นครนายก!J464"")+IMPORTRANGE(""https://docs.google.com/spreadsheets/d/1YTZo6WM2dQ6Ix6FSdnL"&amp;"5P7uVnVKu40sxZu975tgG10E/edit?usp=sharing"",""นครปฐม!J464"")+IMPORTRANGE(""https://docs.google.com/spreadsheets/d/1OYoGg4WDg5RIzwGeB10padOxJF9E_Vljuvvct_M7RDo/edit?usp=sharing"",""ปทุมธานี!J464"")+IMPORTRANGE(""https://docs.google.com/spreadsheets/d/1GbCI"&amp;"E4D4wk9FUozzqk7SxfDMxDVBwVmI5zcaVUSzKAc/edit?usp=sharing"",""ประจวบคีรีขันธ์!J464"")+IMPORTRANGE(""https://docs.google.com/spreadsheets/d/1vVf6wykvW_lAyu7Yo9L4hUTqHqIeP_qcVuxCtosJEbg/edit?usp=sharing"",""ปราจีนบุรี!J464"")+IMPORTRANGE(""https://docs.googl"&amp;"e.com/spreadsheets/d/1BIDqLLg5jk3v59G8NlR8rk5xfQDKne0sAvZHSj7TI6I/edit?usp=sharing"",""พระนครศรีอยุธยา!J464"")+IMPORTRANGE(""https://docs.google.com/spreadsheets/d/1YXvxf8Yu6_rV4hTBrwMqAcAnv6DfhUxh5emyM3CJp_w/edit?usp=sharing"",""เพชรบุรี!J464"")+IMPORTRA"&amp;"NGE(""https://docs.google.com/spreadsheets/d/19KBlQQs7uwvsao6t2n-KvW3Ax8J8uRRfZPq1zPbXgKc/edit?usp=sharing"",""ระยอง!J464"")+IMPORTRANGE(""https://docs.google.com/spreadsheets/d/1jQ6P4QcrGM89YfqcC_PxOHGCMq5ezhucwJd8ci-NHng/edit?usp=sharing"",""ราชบุรี!J46"&amp;"4"")+IMPORTRANGE(""https://docs.google.com/spreadsheets/d/1lufeA2cfFqM-elVq2hznhDzC6Pr7wkJ9ZG_sYNGCMCU/edit?usp=sharing"",""ลพบุรี!J464"")+IMPORTRANGE(""https://docs.google.com/spreadsheets/d/10oOiF7loTyfsTkbd4MpaIm0HQ9SwB7IYHdIUvt-U1Uc/edit?usp=sharing"""&amp;",""สระแก้ว!J464"")+IMPORTRANGE(""https://docs.google.com/spreadsheets/d/1xmPlrr1QbdSIKvl1dWUl9K4PjAfSL9oeMr_37QVzcxc/edit?usp=sharing"",""สระบุรี!J464"")+IMPORTRANGE(""https://docs.google.com/spreadsheets/d/1j51vR6CYVGhABJpv6tkstgok82RLpXieLzW1yOY5rHw/edi"&amp;"t?usp=sharing"",""สิงห์บุรี!J464"")+IMPORTRANGE(""https://docs.google.com/spreadsheets/d/1H1EalTWKUSzO4Z1-1CwzoDUaVffgrThEBe2sl74kKG0/edit?usp=sharing"",""สุพรรณบุรี!J464"")+IMPORTRANGE(""https://docs.google.com/spreadsheets/d/1BmIruG_sIrJLYao_Pdr7zVArWsf"&amp;"oBt2692TMi6x_854/edit?usp=sharing"",""อ่างทอง!J464"")"),13)</f>
        <v>13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602">
        <f ca="1">IFERROR(__xludf.DUMMYFUNCTION("IMPORTRANGE(""https://docs.google.com/spreadsheets/d/13wPX838HrBrQMCywv1BsuMkt4PEKTChp52zj44s2izQ/edit?usp=sharing"",""กาญจนบุรี!J465"")+IMPORTRANGE(""https://docs.google.com/spreadsheets/d/1ddFKvqj1W1NEiWytbGlB1zMx_ykJDVtmfEQ-6-lIUBA/edit?usp=sharing"","&amp;"""จันทบุรี!J465"")+IMPORTRANGE(""https://docs.google.com/spreadsheets/d/1T1PQvRODqOBZk8BRht_U031fIS1beLA0Ub2CEytj2q0/edit?usp=sharing"",""ฉะเชิงเทรา!J465"")+IMPORTRANGE(""https://docs.google.com/spreadsheets/d/11tr1B-Bhyr79v2bkwVh5h_fR-PStkgjlZtkrZpYurG0/"&amp;"edit?usp=sharing"",""ชลบุรี!J465"")+IMPORTRANGE(""https://docs.google.com/spreadsheets/d/1hh-FVnSX0vozXhGluamEcS54Dw9_zqW0N7qJUWgJ0Sw/edit?usp=sharing"",""ชัยนาท!J465"")+IMPORTRANGE(""https://docs.google.com/spreadsheets/d/1jkqa6GXxSacMcY1eN8AHjMNJ_7dDXMJ"&amp;"VRLDlaFSOdPM/edit?usp=sharing"",""ตราด!J465"")+IMPORTRANGE(""https://docs.google.com/spreadsheets/d/18hSgUJ3VwClqi_qtULmmW3cLr0oe3OKaSYoKzdpTsYQ/edit?usp=sharing"",""นครนายก!J465"")+IMPORTRANGE(""https://docs.google.com/spreadsheets/d/1YTZo6WM2dQ6Ix6FSdnL"&amp;"5P7uVnVKu40sxZu975tgG10E/edit?usp=sharing"",""นครปฐม!J465"")+IMPORTRANGE(""https://docs.google.com/spreadsheets/d/1OYoGg4WDg5RIzwGeB10padOxJF9E_Vljuvvct_M7RDo/edit?usp=sharing"",""ปทุมธานี!J465"")+IMPORTRANGE(""https://docs.google.com/spreadsheets/d/1GbCI"&amp;"E4D4wk9FUozzqk7SxfDMxDVBwVmI5zcaVUSzKAc/edit?usp=sharing"",""ประจวบคีรีขันธ์!J465"")+IMPORTRANGE(""https://docs.google.com/spreadsheets/d/1vVf6wykvW_lAyu7Yo9L4hUTqHqIeP_qcVuxCtosJEbg/edit?usp=sharing"",""ปราจีนบุรี!J465"")+IMPORTRANGE(""https://docs.googl"&amp;"e.com/spreadsheets/d/1BIDqLLg5jk3v59G8NlR8rk5xfQDKne0sAvZHSj7TI6I/edit?usp=sharing"",""พระนครศรีอยุธยา!J465"")+IMPORTRANGE(""https://docs.google.com/spreadsheets/d/1YXvxf8Yu6_rV4hTBrwMqAcAnv6DfhUxh5emyM3CJp_w/edit?usp=sharing"",""เพชรบุรี!J465"")+IMPORTRA"&amp;"NGE(""https://docs.google.com/spreadsheets/d/19KBlQQs7uwvsao6t2n-KvW3Ax8J8uRRfZPq1zPbXgKc/edit?usp=sharing"",""ระยอง!J465"")+IMPORTRANGE(""https://docs.google.com/spreadsheets/d/1jQ6P4QcrGM89YfqcC_PxOHGCMq5ezhucwJd8ci-NHng/edit?usp=sharing"",""ราชบุรี!J46"&amp;"5"")+IMPORTRANGE(""https://docs.google.com/spreadsheets/d/1lufeA2cfFqM-elVq2hznhDzC6Pr7wkJ9ZG_sYNGCMCU/edit?usp=sharing"",""ลพบุรี!J465"")+IMPORTRANGE(""https://docs.google.com/spreadsheets/d/10oOiF7loTyfsTkbd4MpaIm0HQ9SwB7IYHdIUvt-U1Uc/edit?usp=sharing"""&amp;",""สระแก้ว!J465"")+IMPORTRANGE(""https://docs.google.com/spreadsheets/d/1xmPlrr1QbdSIKvl1dWUl9K4PjAfSL9oeMr_37QVzcxc/edit?usp=sharing"",""สระบุรี!J465"")+IMPORTRANGE(""https://docs.google.com/spreadsheets/d/1j51vR6CYVGhABJpv6tkstgok82RLpXieLzW1yOY5rHw/edi"&amp;"t?usp=sharing"",""สิงห์บุรี!J465"")+IMPORTRANGE(""https://docs.google.com/spreadsheets/d/1H1EalTWKUSzO4Z1-1CwzoDUaVffgrThEBe2sl74kKG0/edit?usp=sharing"",""สุพรรณบุรี!J465"")+IMPORTRANGE(""https://docs.google.com/spreadsheets/d/1BmIruG_sIrJLYao_Pdr7zVArWsf"&amp;"oBt2692TMi6x_854/edit?usp=sharing"",""อ่างทอง!J465"")"),0)</f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602">
        <f ca="1">IFERROR(__xludf.DUMMYFUNCTION("IMPORTRANGE(""https://docs.google.com/spreadsheets/d/13wPX838HrBrQMCywv1BsuMkt4PEKTChp52zj44s2izQ/edit?usp=sharing"",""กาญจนบุรี!J466"")+IMPORTRANGE(""https://docs.google.com/spreadsheets/d/1ddFKvqj1W1NEiWytbGlB1zMx_ykJDVtmfEQ-6-lIUBA/edit?usp=sharing"","&amp;"""จันทบุรี!J466"")+IMPORTRANGE(""https://docs.google.com/spreadsheets/d/1T1PQvRODqOBZk8BRht_U031fIS1beLA0Ub2CEytj2q0/edit?usp=sharing"",""ฉะเชิงเทรา!J466"")+IMPORTRANGE(""https://docs.google.com/spreadsheets/d/11tr1B-Bhyr79v2bkwVh5h_fR-PStkgjlZtkrZpYurG0/"&amp;"edit?usp=sharing"",""ชลบุรี!J466"")+IMPORTRANGE(""https://docs.google.com/spreadsheets/d/1hh-FVnSX0vozXhGluamEcS54Dw9_zqW0N7qJUWgJ0Sw/edit?usp=sharing"",""ชัยนาท!J466"")+IMPORTRANGE(""https://docs.google.com/spreadsheets/d/1jkqa6GXxSacMcY1eN8AHjMNJ_7dDXMJ"&amp;"VRLDlaFSOdPM/edit?usp=sharing"",""ตราด!J466"")+IMPORTRANGE(""https://docs.google.com/spreadsheets/d/18hSgUJ3VwClqi_qtULmmW3cLr0oe3OKaSYoKzdpTsYQ/edit?usp=sharing"",""นครนายก!J466"")+IMPORTRANGE(""https://docs.google.com/spreadsheets/d/1YTZo6WM2dQ6Ix6FSdnL"&amp;"5P7uVnVKu40sxZu975tgG10E/edit?usp=sharing"",""นครปฐม!J466"")+IMPORTRANGE(""https://docs.google.com/spreadsheets/d/1OYoGg4WDg5RIzwGeB10padOxJF9E_Vljuvvct_M7RDo/edit?usp=sharing"",""ปทุมธานี!J466"")+IMPORTRANGE(""https://docs.google.com/spreadsheets/d/1GbCI"&amp;"E4D4wk9FUozzqk7SxfDMxDVBwVmI5zcaVUSzKAc/edit?usp=sharing"",""ประจวบคีรีขันธ์!J466"")+IMPORTRANGE(""https://docs.google.com/spreadsheets/d/1vVf6wykvW_lAyu7Yo9L4hUTqHqIeP_qcVuxCtosJEbg/edit?usp=sharing"",""ปราจีนบุรี!J466"")+IMPORTRANGE(""https://docs.googl"&amp;"e.com/spreadsheets/d/1BIDqLLg5jk3v59G8NlR8rk5xfQDKne0sAvZHSj7TI6I/edit?usp=sharing"",""พระนครศรีอยุธยา!J466"")+IMPORTRANGE(""https://docs.google.com/spreadsheets/d/1YXvxf8Yu6_rV4hTBrwMqAcAnv6DfhUxh5emyM3CJp_w/edit?usp=sharing"",""เพชรบุรี!J466"")+IMPORTRA"&amp;"NGE(""https://docs.google.com/spreadsheets/d/19KBlQQs7uwvsao6t2n-KvW3Ax8J8uRRfZPq1zPbXgKc/edit?usp=sharing"",""ระยอง!J466"")+IMPORTRANGE(""https://docs.google.com/spreadsheets/d/1jQ6P4QcrGM89YfqcC_PxOHGCMq5ezhucwJd8ci-NHng/edit?usp=sharing"",""ราชบุรี!J46"&amp;"6"")+IMPORTRANGE(""https://docs.google.com/spreadsheets/d/1lufeA2cfFqM-elVq2hznhDzC6Pr7wkJ9ZG_sYNGCMCU/edit?usp=sharing"",""ลพบุรี!J466"")+IMPORTRANGE(""https://docs.google.com/spreadsheets/d/10oOiF7loTyfsTkbd4MpaIm0HQ9SwB7IYHdIUvt-U1Uc/edit?usp=sharing"""&amp;",""สระแก้ว!J466"")+IMPORTRANGE(""https://docs.google.com/spreadsheets/d/1xmPlrr1QbdSIKvl1dWUl9K4PjAfSL9oeMr_37QVzcxc/edit?usp=sharing"",""สระบุรี!J466"")+IMPORTRANGE(""https://docs.google.com/spreadsheets/d/1j51vR6CYVGhABJpv6tkstgok82RLpXieLzW1yOY5rHw/edi"&amp;"t?usp=sharing"",""สิงห์บุรี!J466"")+IMPORTRANGE(""https://docs.google.com/spreadsheets/d/1H1EalTWKUSzO4Z1-1CwzoDUaVffgrThEBe2sl74kKG0/edit?usp=sharing"",""สุพรรณบุรี!J466"")+IMPORTRANGE(""https://docs.google.com/spreadsheets/d/1BmIruG_sIrJLYao_Pdr7zVArWsf"&amp;"oBt2692TMi6x_854/edit?usp=sharing"",""อ่างทอง!J466"")"),0)</f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291">
        <f t="shared" ref="J467:J468" ca="1" si="331">J469+J471</f>
        <v>25.79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291">
        <f t="shared" ca="1" si="331"/>
        <v>4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602">
        <f ca="1">IFERROR(__xludf.DUMMYFUNCTION("IMPORTRANGE(""https://docs.google.com/spreadsheets/d/13wPX838HrBrQMCywv1BsuMkt4PEKTChp52zj44s2izQ/edit?usp=sharing"",""กาญจนบุรี!J469"")+IMPORTRANGE(""https://docs.google.com/spreadsheets/d/1ddFKvqj1W1NEiWytbGlB1zMx_ykJDVtmfEQ-6-lIUBA/edit?usp=sharing"","&amp;"""จันทบุรี!J469"")+IMPORTRANGE(""https://docs.google.com/spreadsheets/d/1T1PQvRODqOBZk8BRht_U031fIS1beLA0Ub2CEytj2q0/edit?usp=sharing"",""ฉะเชิงเทรา!J469"")+IMPORTRANGE(""https://docs.google.com/spreadsheets/d/11tr1B-Bhyr79v2bkwVh5h_fR-PStkgjlZtkrZpYurG0/"&amp;"edit?usp=sharing"",""ชลบุรี!J469"")+IMPORTRANGE(""https://docs.google.com/spreadsheets/d/1hh-FVnSX0vozXhGluamEcS54Dw9_zqW0N7qJUWgJ0Sw/edit?usp=sharing"",""ชัยนาท!J469"")+IMPORTRANGE(""https://docs.google.com/spreadsheets/d/1jkqa6GXxSacMcY1eN8AHjMNJ_7dDXMJ"&amp;"VRLDlaFSOdPM/edit?usp=sharing"",""ตราด!J469"")+IMPORTRANGE(""https://docs.google.com/spreadsheets/d/18hSgUJ3VwClqi_qtULmmW3cLr0oe3OKaSYoKzdpTsYQ/edit?usp=sharing"",""นครนายก!J469"")+IMPORTRANGE(""https://docs.google.com/spreadsheets/d/1YTZo6WM2dQ6Ix6FSdnL"&amp;"5P7uVnVKu40sxZu975tgG10E/edit?usp=sharing"",""นครปฐม!J469"")+IMPORTRANGE(""https://docs.google.com/spreadsheets/d/1OYoGg4WDg5RIzwGeB10padOxJF9E_Vljuvvct_M7RDo/edit?usp=sharing"",""ปทุมธานี!J469"")+IMPORTRANGE(""https://docs.google.com/spreadsheets/d/1GbCI"&amp;"E4D4wk9FUozzqk7SxfDMxDVBwVmI5zcaVUSzKAc/edit?usp=sharing"",""ประจวบคีรีขันธ์!J469"")+IMPORTRANGE(""https://docs.google.com/spreadsheets/d/1vVf6wykvW_lAyu7Yo9L4hUTqHqIeP_qcVuxCtosJEbg/edit?usp=sharing"",""ปราจีนบุรี!J469"")+IMPORTRANGE(""https://docs.googl"&amp;"e.com/spreadsheets/d/1BIDqLLg5jk3v59G8NlR8rk5xfQDKne0sAvZHSj7TI6I/edit?usp=sharing"",""พระนครศรีอยุธยา!J469"")+IMPORTRANGE(""https://docs.google.com/spreadsheets/d/1YXvxf8Yu6_rV4hTBrwMqAcAnv6DfhUxh5emyM3CJp_w/edit?usp=sharing"",""เพชรบุรี!J469"")+IMPORTRA"&amp;"NGE(""https://docs.google.com/spreadsheets/d/19KBlQQs7uwvsao6t2n-KvW3Ax8J8uRRfZPq1zPbXgKc/edit?usp=sharing"",""ระยอง!J469"")+IMPORTRANGE(""https://docs.google.com/spreadsheets/d/1jQ6P4QcrGM89YfqcC_PxOHGCMq5ezhucwJd8ci-NHng/edit?usp=sharing"",""ราชบุรี!J46"&amp;"9"")+IMPORTRANGE(""https://docs.google.com/spreadsheets/d/1lufeA2cfFqM-elVq2hznhDzC6Pr7wkJ9ZG_sYNGCMCU/edit?usp=sharing"",""ลพบุรี!J469"")+IMPORTRANGE(""https://docs.google.com/spreadsheets/d/10oOiF7loTyfsTkbd4MpaIm0HQ9SwB7IYHdIUvt-U1Uc/edit?usp=sharing"""&amp;",""สระแก้ว!J469"")+IMPORTRANGE(""https://docs.google.com/spreadsheets/d/1xmPlrr1QbdSIKvl1dWUl9K4PjAfSL9oeMr_37QVzcxc/edit?usp=sharing"",""สระบุรี!J469"")+IMPORTRANGE(""https://docs.google.com/spreadsheets/d/1j51vR6CYVGhABJpv6tkstgok82RLpXieLzW1yOY5rHw/edi"&amp;"t?usp=sharing"",""สิงห์บุรี!J469"")+IMPORTRANGE(""https://docs.google.com/spreadsheets/d/1H1EalTWKUSzO4Z1-1CwzoDUaVffgrThEBe2sl74kKG0/edit?usp=sharing"",""สุพรรณบุรี!J469"")+IMPORTRANGE(""https://docs.google.com/spreadsheets/d/1BmIruG_sIrJLYao_Pdr7zVArWsf"&amp;"oBt2692TMi6x_854/edit?usp=sharing"",""อ่างทอง!J469"")"),8.95)</f>
        <v>8.9499999999999993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602">
        <f ca="1">IFERROR(__xludf.DUMMYFUNCTION("IMPORTRANGE(""https://docs.google.com/spreadsheets/d/13wPX838HrBrQMCywv1BsuMkt4PEKTChp52zj44s2izQ/edit?usp=sharing"",""กาญจนบุรี!J470"")+IMPORTRANGE(""https://docs.google.com/spreadsheets/d/1ddFKvqj1W1NEiWytbGlB1zMx_ykJDVtmfEQ-6-lIUBA/edit?usp=sharing"","&amp;"""จันทบุรี!J470"")+IMPORTRANGE(""https://docs.google.com/spreadsheets/d/1T1PQvRODqOBZk8BRht_U031fIS1beLA0Ub2CEytj2q0/edit?usp=sharing"",""ฉะเชิงเทรา!J470"")+IMPORTRANGE(""https://docs.google.com/spreadsheets/d/11tr1B-Bhyr79v2bkwVh5h_fR-PStkgjlZtkrZpYurG0/"&amp;"edit?usp=sharing"",""ชลบุรี!J470"")+IMPORTRANGE(""https://docs.google.com/spreadsheets/d/1hh-FVnSX0vozXhGluamEcS54Dw9_zqW0N7qJUWgJ0Sw/edit?usp=sharing"",""ชัยนาท!J470"")+IMPORTRANGE(""https://docs.google.com/spreadsheets/d/1jkqa6GXxSacMcY1eN8AHjMNJ_7dDXMJ"&amp;"VRLDlaFSOdPM/edit?usp=sharing"",""ตราด!J470"")+IMPORTRANGE(""https://docs.google.com/spreadsheets/d/18hSgUJ3VwClqi_qtULmmW3cLr0oe3OKaSYoKzdpTsYQ/edit?usp=sharing"",""นครนายก!J470"")+IMPORTRANGE(""https://docs.google.com/spreadsheets/d/1YTZo6WM2dQ6Ix6FSdnL"&amp;"5P7uVnVKu40sxZu975tgG10E/edit?usp=sharing"",""นครปฐม!J470"")+IMPORTRANGE(""https://docs.google.com/spreadsheets/d/1OYoGg4WDg5RIzwGeB10padOxJF9E_Vljuvvct_M7RDo/edit?usp=sharing"",""ปทุมธานี!J470"")+IMPORTRANGE(""https://docs.google.com/spreadsheets/d/1GbCI"&amp;"E4D4wk9FUozzqk7SxfDMxDVBwVmI5zcaVUSzKAc/edit?usp=sharing"",""ประจวบคีรีขันธ์!J470"")+IMPORTRANGE(""https://docs.google.com/spreadsheets/d/1vVf6wykvW_lAyu7Yo9L4hUTqHqIeP_qcVuxCtosJEbg/edit?usp=sharing"",""ปราจีนบุรี!J470"")+IMPORTRANGE(""https://docs.googl"&amp;"e.com/spreadsheets/d/1BIDqLLg5jk3v59G8NlR8rk5xfQDKne0sAvZHSj7TI6I/edit?usp=sharing"",""พระนครศรีอยุธยา!J470"")+IMPORTRANGE(""https://docs.google.com/spreadsheets/d/1YXvxf8Yu6_rV4hTBrwMqAcAnv6DfhUxh5emyM3CJp_w/edit?usp=sharing"",""เพชรบุรี!J470"")+IMPORTRA"&amp;"NGE(""https://docs.google.com/spreadsheets/d/19KBlQQs7uwvsao6t2n-KvW3Ax8J8uRRfZPq1zPbXgKc/edit?usp=sharing"",""ระยอง!J470"")+IMPORTRANGE(""https://docs.google.com/spreadsheets/d/1jQ6P4QcrGM89YfqcC_PxOHGCMq5ezhucwJd8ci-NHng/edit?usp=sharing"",""ราชบุรี!J47"&amp;"0"")+IMPORTRANGE(""https://docs.google.com/spreadsheets/d/1lufeA2cfFqM-elVq2hznhDzC6Pr7wkJ9ZG_sYNGCMCU/edit?usp=sharing"",""ลพบุรี!J470"")+IMPORTRANGE(""https://docs.google.com/spreadsheets/d/10oOiF7loTyfsTkbd4MpaIm0HQ9SwB7IYHdIUvt-U1Uc/edit?usp=sharing"""&amp;",""สระแก้ว!J470"")+IMPORTRANGE(""https://docs.google.com/spreadsheets/d/1xmPlrr1QbdSIKvl1dWUl9K4PjAfSL9oeMr_37QVzcxc/edit?usp=sharing"",""สระบุรี!J470"")+IMPORTRANGE(""https://docs.google.com/spreadsheets/d/1j51vR6CYVGhABJpv6tkstgok82RLpXieLzW1yOY5rHw/edi"&amp;"t?usp=sharing"",""สิงห์บุรี!J470"")+IMPORTRANGE(""https://docs.google.com/spreadsheets/d/1H1EalTWKUSzO4Z1-1CwzoDUaVffgrThEBe2sl74kKG0/edit?usp=sharing"",""สุพรรณบุรี!J470"")+IMPORTRANGE(""https://docs.google.com/spreadsheets/d/1BmIruG_sIrJLYao_Pdr7zVArWsf"&amp;"oBt2692TMi6x_854/edit?usp=sharing"",""อ่างทอง!J470"")"),2)</f>
        <v>2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602">
        <f ca="1">IFERROR(__xludf.DUMMYFUNCTION("IMPORTRANGE(""https://docs.google.com/spreadsheets/d/13wPX838HrBrQMCywv1BsuMkt4PEKTChp52zj44s2izQ/edit?usp=sharing"",""กาญจนบุรี!J471"")+IMPORTRANGE(""https://docs.google.com/spreadsheets/d/1ddFKvqj1W1NEiWytbGlB1zMx_ykJDVtmfEQ-6-lIUBA/edit?usp=sharing"","&amp;"""จันทบุรี!J471"")+IMPORTRANGE(""https://docs.google.com/spreadsheets/d/1T1PQvRODqOBZk8BRht_U031fIS1beLA0Ub2CEytj2q0/edit?usp=sharing"",""ฉะเชิงเทรา!J471"")+IMPORTRANGE(""https://docs.google.com/spreadsheets/d/11tr1B-Bhyr79v2bkwVh5h_fR-PStkgjlZtkrZpYurG0/"&amp;"edit?usp=sharing"",""ชลบุรี!J471"")+IMPORTRANGE(""https://docs.google.com/spreadsheets/d/1hh-FVnSX0vozXhGluamEcS54Dw9_zqW0N7qJUWgJ0Sw/edit?usp=sharing"",""ชัยนาท!J471"")+IMPORTRANGE(""https://docs.google.com/spreadsheets/d/1jkqa6GXxSacMcY1eN8AHjMNJ_7dDXMJ"&amp;"VRLDlaFSOdPM/edit?usp=sharing"",""ตราด!J471"")+IMPORTRANGE(""https://docs.google.com/spreadsheets/d/18hSgUJ3VwClqi_qtULmmW3cLr0oe3OKaSYoKzdpTsYQ/edit?usp=sharing"",""นครนายก!J471"")+IMPORTRANGE(""https://docs.google.com/spreadsheets/d/1YTZo6WM2dQ6Ix6FSdnL"&amp;"5P7uVnVKu40sxZu975tgG10E/edit?usp=sharing"",""นครปฐม!J471"")+IMPORTRANGE(""https://docs.google.com/spreadsheets/d/1OYoGg4WDg5RIzwGeB10padOxJF9E_Vljuvvct_M7RDo/edit?usp=sharing"",""ปทุมธานี!J471"")+IMPORTRANGE(""https://docs.google.com/spreadsheets/d/1GbCI"&amp;"E4D4wk9FUozzqk7SxfDMxDVBwVmI5zcaVUSzKAc/edit?usp=sharing"",""ประจวบคีรีขันธ์!J471"")+IMPORTRANGE(""https://docs.google.com/spreadsheets/d/1vVf6wykvW_lAyu7Yo9L4hUTqHqIeP_qcVuxCtosJEbg/edit?usp=sharing"",""ปราจีนบุรี!J471"")+IMPORTRANGE(""https://docs.googl"&amp;"e.com/spreadsheets/d/1BIDqLLg5jk3v59G8NlR8rk5xfQDKne0sAvZHSj7TI6I/edit?usp=sharing"",""พระนครศรีอยุธยา!J471"")+IMPORTRANGE(""https://docs.google.com/spreadsheets/d/1YXvxf8Yu6_rV4hTBrwMqAcAnv6DfhUxh5emyM3CJp_w/edit?usp=sharing"",""เพชรบุรี!J471"")+IMPORTRA"&amp;"NGE(""https://docs.google.com/spreadsheets/d/19KBlQQs7uwvsao6t2n-KvW3Ax8J8uRRfZPq1zPbXgKc/edit?usp=sharing"",""ระยอง!J471"")+IMPORTRANGE(""https://docs.google.com/spreadsheets/d/1jQ6P4QcrGM89YfqcC_PxOHGCMq5ezhucwJd8ci-NHng/edit?usp=sharing"",""ราชบุรี!J47"&amp;"1"")+IMPORTRANGE(""https://docs.google.com/spreadsheets/d/1lufeA2cfFqM-elVq2hznhDzC6Pr7wkJ9ZG_sYNGCMCU/edit?usp=sharing"",""ลพบุรี!J471"")+IMPORTRANGE(""https://docs.google.com/spreadsheets/d/10oOiF7loTyfsTkbd4MpaIm0HQ9SwB7IYHdIUvt-U1Uc/edit?usp=sharing"""&amp;",""สระแก้ว!J471"")+IMPORTRANGE(""https://docs.google.com/spreadsheets/d/1xmPlrr1QbdSIKvl1dWUl9K4PjAfSL9oeMr_37QVzcxc/edit?usp=sharing"",""สระบุรี!J471"")+IMPORTRANGE(""https://docs.google.com/spreadsheets/d/1j51vR6CYVGhABJpv6tkstgok82RLpXieLzW1yOY5rHw/edi"&amp;"t?usp=sharing"",""สิงห์บุรี!J471"")+IMPORTRANGE(""https://docs.google.com/spreadsheets/d/1H1EalTWKUSzO4Z1-1CwzoDUaVffgrThEBe2sl74kKG0/edit?usp=sharing"",""สุพรรณบุรี!J471"")+IMPORTRANGE(""https://docs.google.com/spreadsheets/d/1BmIruG_sIrJLYao_Pdr7zVArWsf"&amp;"oBt2692TMi6x_854/edit?usp=sharing"",""อ่างทอง!J471"")"),16.84)</f>
        <v>16.84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602">
        <f ca="1">IFERROR(__xludf.DUMMYFUNCTION("IMPORTRANGE(""https://docs.google.com/spreadsheets/d/13wPX838HrBrQMCywv1BsuMkt4PEKTChp52zj44s2izQ/edit?usp=sharing"",""กาญจนบุรี!J472"")+IMPORTRANGE(""https://docs.google.com/spreadsheets/d/1ddFKvqj1W1NEiWytbGlB1zMx_ykJDVtmfEQ-6-lIUBA/edit?usp=sharing"","&amp;"""จันทบุรี!J472"")+IMPORTRANGE(""https://docs.google.com/spreadsheets/d/1T1PQvRODqOBZk8BRht_U031fIS1beLA0Ub2CEytj2q0/edit?usp=sharing"",""ฉะเชิงเทรา!J472"")+IMPORTRANGE(""https://docs.google.com/spreadsheets/d/11tr1B-Bhyr79v2bkwVh5h_fR-PStkgjlZtkrZpYurG0/"&amp;"edit?usp=sharing"",""ชลบุรี!J472"")+IMPORTRANGE(""https://docs.google.com/spreadsheets/d/1hh-FVnSX0vozXhGluamEcS54Dw9_zqW0N7qJUWgJ0Sw/edit?usp=sharing"",""ชัยนาท!J472"")+IMPORTRANGE(""https://docs.google.com/spreadsheets/d/1jkqa6GXxSacMcY1eN8AHjMNJ_7dDXMJ"&amp;"VRLDlaFSOdPM/edit?usp=sharing"",""ตราด!J472"")+IMPORTRANGE(""https://docs.google.com/spreadsheets/d/18hSgUJ3VwClqi_qtULmmW3cLr0oe3OKaSYoKzdpTsYQ/edit?usp=sharing"",""นครนายก!J472"")+IMPORTRANGE(""https://docs.google.com/spreadsheets/d/1YTZo6WM2dQ6Ix6FSdnL"&amp;"5P7uVnVKu40sxZu975tgG10E/edit?usp=sharing"",""นครปฐม!J472"")+IMPORTRANGE(""https://docs.google.com/spreadsheets/d/1OYoGg4WDg5RIzwGeB10padOxJF9E_Vljuvvct_M7RDo/edit?usp=sharing"",""ปทุมธานี!J472"")+IMPORTRANGE(""https://docs.google.com/spreadsheets/d/1GbCI"&amp;"E4D4wk9FUozzqk7SxfDMxDVBwVmI5zcaVUSzKAc/edit?usp=sharing"",""ประจวบคีรีขันธ์!J472"")+IMPORTRANGE(""https://docs.google.com/spreadsheets/d/1vVf6wykvW_lAyu7Yo9L4hUTqHqIeP_qcVuxCtosJEbg/edit?usp=sharing"",""ปราจีนบุรี!J472"")+IMPORTRANGE(""https://docs.googl"&amp;"e.com/spreadsheets/d/1BIDqLLg5jk3v59G8NlR8rk5xfQDKne0sAvZHSj7TI6I/edit?usp=sharing"",""พระนครศรีอยุธยา!J472"")+IMPORTRANGE(""https://docs.google.com/spreadsheets/d/1YXvxf8Yu6_rV4hTBrwMqAcAnv6DfhUxh5emyM3CJp_w/edit?usp=sharing"",""เพชรบุรี!J472"")+IMPORTRA"&amp;"NGE(""https://docs.google.com/spreadsheets/d/19KBlQQs7uwvsao6t2n-KvW3Ax8J8uRRfZPq1zPbXgKc/edit?usp=sharing"",""ระยอง!J472"")+IMPORTRANGE(""https://docs.google.com/spreadsheets/d/1jQ6P4QcrGM89YfqcC_PxOHGCMq5ezhucwJd8ci-NHng/edit?usp=sharing"",""ราชบุรี!J47"&amp;"2"")+IMPORTRANGE(""https://docs.google.com/spreadsheets/d/1lufeA2cfFqM-elVq2hznhDzC6Pr7wkJ9ZG_sYNGCMCU/edit?usp=sharing"",""ลพบุรี!J472"")+IMPORTRANGE(""https://docs.google.com/spreadsheets/d/10oOiF7loTyfsTkbd4MpaIm0HQ9SwB7IYHdIUvt-U1Uc/edit?usp=sharing"""&amp;",""สระแก้ว!J472"")+IMPORTRANGE(""https://docs.google.com/spreadsheets/d/1xmPlrr1QbdSIKvl1dWUl9K4PjAfSL9oeMr_37QVzcxc/edit?usp=sharing"",""สระบุรี!J472"")+IMPORTRANGE(""https://docs.google.com/spreadsheets/d/1j51vR6CYVGhABJpv6tkstgok82RLpXieLzW1yOY5rHw/edi"&amp;"t?usp=sharing"",""สิงห์บุรี!J472"")+IMPORTRANGE(""https://docs.google.com/spreadsheets/d/1H1EalTWKUSzO4Z1-1CwzoDUaVffgrThEBe2sl74kKG0/edit?usp=sharing"",""สุพรรณบุรี!J472"")+IMPORTRANGE(""https://docs.google.com/spreadsheets/d/1BmIruG_sIrJLYao_Pdr7zVArWsf"&amp;"oBt2692TMi6x_854/edit?usp=sharing"",""อ่างทอง!J472"")"),2)</f>
        <v>2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602">
        <f ca="1">IFERROR(__xludf.DUMMYFUNCTION("IMPORTRANGE(""https://docs.google.com/spreadsheets/d/13wPX838HrBrQMCywv1BsuMkt4PEKTChp52zj44s2izQ/edit?usp=sharing"",""กาญจนบุรี!J473"")+IMPORTRANGE(""https://docs.google.com/spreadsheets/d/1ddFKvqj1W1NEiWytbGlB1zMx_ykJDVtmfEQ-6-lIUBA/edit?usp=sharing"","&amp;"""จันทบุรี!J473"")+IMPORTRANGE(""https://docs.google.com/spreadsheets/d/1T1PQvRODqOBZk8BRht_U031fIS1beLA0Ub2CEytj2q0/edit?usp=sharing"",""ฉะเชิงเทรา!J473"")+IMPORTRANGE(""https://docs.google.com/spreadsheets/d/11tr1B-Bhyr79v2bkwVh5h_fR-PStkgjlZtkrZpYurG0/"&amp;"edit?usp=sharing"",""ชลบุรี!J473"")+IMPORTRANGE(""https://docs.google.com/spreadsheets/d/1hh-FVnSX0vozXhGluamEcS54Dw9_zqW0N7qJUWgJ0Sw/edit?usp=sharing"",""ชัยนาท!J473"")+IMPORTRANGE(""https://docs.google.com/spreadsheets/d/1jkqa6GXxSacMcY1eN8AHjMNJ_7dDXMJ"&amp;"VRLDlaFSOdPM/edit?usp=sharing"",""ตราด!J473"")+IMPORTRANGE(""https://docs.google.com/spreadsheets/d/18hSgUJ3VwClqi_qtULmmW3cLr0oe3OKaSYoKzdpTsYQ/edit?usp=sharing"",""นครนายก!J473"")+IMPORTRANGE(""https://docs.google.com/spreadsheets/d/1YTZo6WM2dQ6Ix6FSdnL"&amp;"5P7uVnVKu40sxZu975tgG10E/edit?usp=sharing"",""นครปฐม!J473"")+IMPORTRANGE(""https://docs.google.com/spreadsheets/d/1OYoGg4WDg5RIzwGeB10padOxJF9E_Vljuvvct_M7RDo/edit?usp=sharing"",""ปทุมธานี!J473"")+IMPORTRANGE(""https://docs.google.com/spreadsheets/d/1GbCI"&amp;"E4D4wk9FUozzqk7SxfDMxDVBwVmI5zcaVUSzKAc/edit?usp=sharing"",""ประจวบคีรีขันธ์!J473"")+IMPORTRANGE(""https://docs.google.com/spreadsheets/d/1vVf6wykvW_lAyu7Yo9L4hUTqHqIeP_qcVuxCtosJEbg/edit?usp=sharing"",""ปราจีนบุรี!J473"")+IMPORTRANGE(""https://docs.googl"&amp;"e.com/spreadsheets/d/1BIDqLLg5jk3v59G8NlR8rk5xfQDKne0sAvZHSj7TI6I/edit?usp=sharing"",""พระนครศรีอยุธยา!J473"")+IMPORTRANGE(""https://docs.google.com/spreadsheets/d/1YXvxf8Yu6_rV4hTBrwMqAcAnv6DfhUxh5emyM3CJp_w/edit?usp=sharing"",""เพชรบุรี!J473"")+IMPORTRA"&amp;"NGE(""https://docs.google.com/spreadsheets/d/19KBlQQs7uwvsao6t2n-KvW3Ax8J8uRRfZPq1zPbXgKc/edit?usp=sharing"",""ระยอง!J473"")+IMPORTRANGE(""https://docs.google.com/spreadsheets/d/1jQ6P4QcrGM89YfqcC_PxOHGCMq5ezhucwJd8ci-NHng/edit?usp=sharing"",""ราชบุรี!J47"&amp;"3"")+IMPORTRANGE(""https://docs.google.com/spreadsheets/d/1lufeA2cfFqM-elVq2hznhDzC6Pr7wkJ9ZG_sYNGCMCU/edit?usp=sharing"",""ลพบุรี!J473"")+IMPORTRANGE(""https://docs.google.com/spreadsheets/d/10oOiF7loTyfsTkbd4MpaIm0HQ9SwB7IYHdIUvt-U1Uc/edit?usp=sharing"""&amp;",""สระแก้ว!J473"")+IMPORTRANGE(""https://docs.google.com/spreadsheets/d/1xmPlrr1QbdSIKvl1dWUl9K4PjAfSL9oeMr_37QVzcxc/edit?usp=sharing"",""สระบุรี!J473"")+IMPORTRANGE(""https://docs.google.com/spreadsheets/d/1j51vR6CYVGhABJpv6tkstgok82RLpXieLzW1yOY5rHw/edi"&amp;"t?usp=sharing"",""สิงห์บุรี!J473"")+IMPORTRANGE(""https://docs.google.com/spreadsheets/d/1H1EalTWKUSzO4Z1-1CwzoDUaVffgrThEBe2sl74kKG0/edit?usp=sharing"",""สุพรรณบุรี!J473"")+IMPORTRANGE(""https://docs.google.com/spreadsheets/d/1BmIruG_sIrJLYao_Pdr7zVArWsf"&amp;"oBt2692TMi6x_854/edit?usp=sharing"",""อ่างทอง!J473"")"),0)</f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602">
        <f ca="1">IFERROR(__xludf.DUMMYFUNCTION("IMPORTRANGE(""https://docs.google.com/spreadsheets/d/13wPX838HrBrQMCywv1BsuMkt4PEKTChp52zj44s2izQ/edit?usp=sharing"",""กาญจนบุรี!J474"")+IMPORTRANGE(""https://docs.google.com/spreadsheets/d/1ddFKvqj1W1NEiWytbGlB1zMx_ykJDVtmfEQ-6-lIUBA/edit?usp=sharing"","&amp;"""จันทบุรี!J474"")+IMPORTRANGE(""https://docs.google.com/spreadsheets/d/1T1PQvRODqOBZk8BRht_U031fIS1beLA0Ub2CEytj2q0/edit?usp=sharing"",""ฉะเชิงเทรา!J474"")+IMPORTRANGE(""https://docs.google.com/spreadsheets/d/11tr1B-Bhyr79v2bkwVh5h_fR-PStkgjlZtkrZpYurG0/"&amp;"edit?usp=sharing"",""ชลบุรี!J474"")+IMPORTRANGE(""https://docs.google.com/spreadsheets/d/1hh-FVnSX0vozXhGluamEcS54Dw9_zqW0N7qJUWgJ0Sw/edit?usp=sharing"",""ชัยนาท!J474"")+IMPORTRANGE(""https://docs.google.com/spreadsheets/d/1jkqa6GXxSacMcY1eN8AHjMNJ_7dDXMJ"&amp;"VRLDlaFSOdPM/edit?usp=sharing"",""ตราด!J474"")+IMPORTRANGE(""https://docs.google.com/spreadsheets/d/18hSgUJ3VwClqi_qtULmmW3cLr0oe3OKaSYoKzdpTsYQ/edit?usp=sharing"",""นครนายก!J474"")+IMPORTRANGE(""https://docs.google.com/spreadsheets/d/1YTZo6WM2dQ6Ix6FSdnL"&amp;"5P7uVnVKu40sxZu975tgG10E/edit?usp=sharing"",""นครปฐม!J474"")+IMPORTRANGE(""https://docs.google.com/spreadsheets/d/1OYoGg4WDg5RIzwGeB10padOxJF9E_Vljuvvct_M7RDo/edit?usp=sharing"",""ปทุมธานี!J474"")+IMPORTRANGE(""https://docs.google.com/spreadsheets/d/1GbCI"&amp;"E4D4wk9FUozzqk7SxfDMxDVBwVmI5zcaVUSzKAc/edit?usp=sharing"",""ประจวบคีรีขันธ์!J474"")+IMPORTRANGE(""https://docs.google.com/spreadsheets/d/1vVf6wykvW_lAyu7Yo9L4hUTqHqIeP_qcVuxCtosJEbg/edit?usp=sharing"",""ปราจีนบุรี!J474"")+IMPORTRANGE(""https://docs.googl"&amp;"e.com/spreadsheets/d/1BIDqLLg5jk3v59G8NlR8rk5xfQDKne0sAvZHSj7TI6I/edit?usp=sharing"",""พระนครศรีอยุธยา!J474"")+IMPORTRANGE(""https://docs.google.com/spreadsheets/d/1YXvxf8Yu6_rV4hTBrwMqAcAnv6DfhUxh5emyM3CJp_w/edit?usp=sharing"",""เพชรบุรี!J474"")+IMPORTRA"&amp;"NGE(""https://docs.google.com/spreadsheets/d/19KBlQQs7uwvsao6t2n-KvW3Ax8J8uRRfZPq1zPbXgKc/edit?usp=sharing"",""ระยอง!J474"")+IMPORTRANGE(""https://docs.google.com/spreadsheets/d/1jQ6P4QcrGM89YfqcC_PxOHGCMq5ezhucwJd8ci-NHng/edit?usp=sharing"",""ราชบุรี!J47"&amp;"4"")+IMPORTRANGE(""https://docs.google.com/spreadsheets/d/1lufeA2cfFqM-elVq2hznhDzC6Pr7wkJ9ZG_sYNGCMCU/edit?usp=sharing"",""ลพบุรี!J474"")+IMPORTRANGE(""https://docs.google.com/spreadsheets/d/10oOiF7loTyfsTkbd4MpaIm0HQ9SwB7IYHdIUvt-U1Uc/edit?usp=sharing"""&amp;",""สระแก้ว!J474"")+IMPORTRANGE(""https://docs.google.com/spreadsheets/d/1xmPlrr1QbdSIKvl1dWUl9K4PjAfSL9oeMr_37QVzcxc/edit?usp=sharing"",""สระบุรี!J474"")+IMPORTRANGE(""https://docs.google.com/spreadsheets/d/1j51vR6CYVGhABJpv6tkstgok82RLpXieLzW1yOY5rHw/edi"&amp;"t?usp=sharing"",""สิงห์บุรี!J474"")+IMPORTRANGE(""https://docs.google.com/spreadsheets/d/1H1EalTWKUSzO4Z1-1CwzoDUaVffgrThEBe2sl74kKG0/edit?usp=sharing"",""สุพรรณบุรี!J474"")+IMPORTRANGE(""https://docs.google.com/spreadsheets/d/1BmIruG_sIrJLYao_Pdr7zVArWsf"&amp;"oBt2692TMi6x_854/edit?usp=sharing"",""อ่างทอง!J474"")"),0)</f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x14ac:dyDescent="0.3">
      <c r="A475" s="529"/>
      <c r="B475" s="605" t="s">
        <v>188</v>
      </c>
      <c r="C475" s="267"/>
      <c r="D475" s="267"/>
      <c r="E475" s="267"/>
      <c r="F475" s="267"/>
      <c r="G475" s="307"/>
      <c r="H475" s="260" t="s">
        <v>46</v>
      </c>
      <c r="I475" s="601">
        <f t="shared" ref="I475:J475" ca="1" si="332">I484</f>
        <v>2409</v>
      </c>
      <c r="J475" s="601">
        <f t="shared" ca="1" si="332"/>
        <v>0</v>
      </c>
      <c r="K475" s="262">
        <f t="shared" ref="K475:K477" ca="1" si="333">IF(I475&gt;0,J475*100/I475,0)</f>
        <v>0</v>
      </c>
      <c r="L475" s="85"/>
      <c r="M475" s="85"/>
      <c r="N475" s="85"/>
      <c r="O475" s="85"/>
      <c r="P475" s="85"/>
      <c r="Q475" s="84"/>
      <c r="R475" s="85"/>
      <c r="S475" s="85"/>
      <c r="T475" s="85"/>
      <c r="U475" s="85"/>
    </row>
    <row r="476" spans="1:21" ht="19.5" hidden="1" x14ac:dyDescent="0.3">
      <c r="A476" s="529"/>
      <c r="B476" s="267"/>
      <c r="C476" s="276" t="s">
        <v>189</v>
      </c>
      <c r="D476" s="267"/>
      <c r="E476" s="267"/>
      <c r="F476" s="267"/>
      <c r="G476" s="307"/>
      <c r="H476" s="260" t="s">
        <v>46</v>
      </c>
      <c r="I476" s="601">
        <v>0</v>
      </c>
      <c r="J476" s="601">
        <f t="shared" ref="J476:J477" ca="1" si="334">J478+J480</f>
        <v>0</v>
      </c>
      <c r="K476" s="262">
        <f t="shared" si="333"/>
        <v>0</v>
      </c>
      <c r="L476" s="85"/>
      <c r="M476" s="85"/>
      <c r="N476" s="85"/>
      <c r="O476" s="85"/>
      <c r="P476" s="85"/>
      <c r="Q476" s="84"/>
      <c r="R476" s="85"/>
      <c r="S476" s="85"/>
      <c r="T476" s="85"/>
      <c r="U476" s="85"/>
    </row>
    <row r="477" spans="1:21" ht="19.5" hidden="1" x14ac:dyDescent="0.3">
      <c r="A477" s="529"/>
      <c r="B477" s="267"/>
      <c r="C477" s="567" t="s">
        <v>190</v>
      </c>
      <c r="D477" s="267"/>
      <c r="E477" s="267"/>
      <c r="F477" s="267"/>
      <c r="G477" s="307"/>
      <c r="H477" s="260" t="s">
        <v>34</v>
      </c>
      <c r="I477" s="601">
        <v>0</v>
      </c>
      <c r="J477" s="601">
        <f t="shared" ca="1" si="334"/>
        <v>0</v>
      </c>
      <c r="K477" s="262">
        <f t="shared" si="333"/>
        <v>0</v>
      </c>
      <c r="L477" s="85"/>
      <c r="M477" s="85"/>
      <c r="N477" s="85"/>
      <c r="O477" s="85"/>
      <c r="P477" s="85"/>
      <c r="Q477" s="84"/>
      <c r="R477" s="85"/>
      <c r="S477" s="85"/>
      <c r="T477" s="85"/>
      <c r="U477" s="8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602">
        <f ca="1">IFERROR(__xludf.DUMMYFUNCTION("IMPORTRANGE(""https://docs.google.com/spreadsheets/d/13wPX838HrBrQMCywv1BsuMkt4PEKTChp52zj44s2izQ/edit?usp=sharing"",""กาญจนบุรี!J478"")+IMPORTRANGE(""https://docs.google.com/spreadsheets/d/1ddFKvqj1W1NEiWytbGlB1zMx_ykJDVtmfEQ-6-lIUBA/edit?usp=sharing"","&amp;"""จันทบุรี!J478"")+IMPORTRANGE(""https://docs.google.com/spreadsheets/d/1T1PQvRODqOBZk8BRht_U031fIS1beLA0Ub2CEytj2q0/edit?usp=sharing"",""ฉะเชิงเทรา!J478"")+IMPORTRANGE(""https://docs.google.com/spreadsheets/d/11tr1B-Bhyr79v2bkwVh5h_fR-PStkgjlZtkrZpYurG0/"&amp;"edit?usp=sharing"",""ชลบุรี!J478"")+IMPORTRANGE(""https://docs.google.com/spreadsheets/d/1hh-FVnSX0vozXhGluamEcS54Dw9_zqW0N7qJUWgJ0Sw/edit?usp=sharing"",""ชัยนาท!J478"")+IMPORTRANGE(""https://docs.google.com/spreadsheets/d/1jkqa6GXxSacMcY1eN8AHjMNJ_7dDXMJ"&amp;"VRLDlaFSOdPM/edit?usp=sharing"",""ตราด!J478"")+IMPORTRANGE(""https://docs.google.com/spreadsheets/d/18hSgUJ3VwClqi_qtULmmW3cLr0oe3OKaSYoKzdpTsYQ/edit?usp=sharing"",""นครนายก!J478"")+IMPORTRANGE(""https://docs.google.com/spreadsheets/d/1YTZo6WM2dQ6Ix6FSdnL"&amp;"5P7uVnVKu40sxZu975tgG10E/edit?usp=sharing"",""นครปฐม!J478"")+IMPORTRANGE(""https://docs.google.com/spreadsheets/d/1OYoGg4WDg5RIzwGeB10padOxJF9E_Vljuvvct_M7RDo/edit?usp=sharing"",""ปทุมธานี!J478"")+IMPORTRANGE(""https://docs.google.com/spreadsheets/d/1GbCI"&amp;"E4D4wk9FUozzqk7SxfDMxDVBwVmI5zcaVUSzKAc/edit?usp=sharing"",""ประจวบคีรีขันธ์!J478"")+IMPORTRANGE(""https://docs.google.com/spreadsheets/d/1vVf6wykvW_lAyu7Yo9L4hUTqHqIeP_qcVuxCtosJEbg/edit?usp=sharing"",""ปราจีนบุรี!J478"")+IMPORTRANGE(""https://docs.googl"&amp;"e.com/spreadsheets/d/1BIDqLLg5jk3v59G8NlR8rk5xfQDKne0sAvZHSj7TI6I/edit?usp=sharing"",""พระนครศรีอยุธยา!J478"")+IMPORTRANGE(""https://docs.google.com/spreadsheets/d/1YXvxf8Yu6_rV4hTBrwMqAcAnv6DfhUxh5emyM3CJp_w/edit?usp=sharing"",""เพชรบุรี!J478"")+IMPORTRA"&amp;"NGE(""https://docs.google.com/spreadsheets/d/19KBlQQs7uwvsao6t2n-KvW3Ax8J8uRRfZPq1zPbXgKc/edit?usp=sharing"",""ระยอง!J478"")+IMPORTRANGE(""https://docs.google.com/spreadsheets/d/1jQ6P4QcrGM89YfqcC_PxOHGCMq5ezhucwJd8ci-NHng/edit?usp=sharing"",""ราชบุรี!J47"&amp;"8"")+IMPORTRANGE(""https://docs.google.com/spreadsheets/d/1lufeA2cfFqM-elVq2hznhDzC6Pr7wkJ9ZG_sYNGCMCU/edit?usp=sharing"",""ลพบุรี!J478"")+IMPORTRANGE(""https://docs.google.com/spreadsheets/d/10oOiF7loTyfsTkbd4MpaIm0HQ9SwB7IYHdIUvt-U1Uc/edit?usp=sharing"""&amp;",""สระแก้ว!J478"")+IMPORTRANGE(""https://docs.google.com/spreadsheets/d/1xmPlrr1QbdSIKvl1dWUl9K4PjAfSL9oeMr_37QVzcxc/edit?usp=sharing"",""สระบุรี!J478"")+IMPORTRANGE(""https://docs.google.com/spreadsheets/d/1j51vR6CYVGhABJpv6tkstgok82RLpXieLzW1yOY5rHw/edi"&amp;"t?usp=sharing"",""สิงห์บุรี!J478"")+IMPORTRANGE(""https://docs.google.com/spreadsheets/d/1H1EalTWKUSzO4Z1-1CwzoDUaVffgrThEBe2sl74kKG0/edit?usp=sharing"",""สุพรรณบุรี!J478"")+IMPORTRANGE(""https://docs.google.com/spreadsheets/d/1BmIruG_sIrJLYao_Pdr7zVArWsf"&amp;"oBt2692TMi6x_854/edit?usp=sharing"",""อ่างทอง!J478"")"),0)</f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602">
        <f ca="1">IFERROR(__xludf.DUMMYFUNCTION("IMPORTRANGE(""https://docs.google.com/spreadsheets/d/13wPX838HrBrQMCywv1BsuMkt4PEKTChp52zj44s2izQ/edit?usp=sharing"",""กาญจนบุรี!J479"")+IMPORTRANGE(""https://docs.google.com/spreadsheets/d/1ddFKvqj1W1NEiWytbGlB1zMx_ykJDVtmfEQ-6-lIUBA/edit?usp=sharing"","&amp;"""จันทบุรี!J479"")+IMPORTRANGE(""https://docs.google.com/spreadsheets/d/1T1PQvRODqOBZk8BRht_U031fIS1beLA0Ub2CEytj2q0/edit?usp=sharing"",""ฉะเชิงเทรา!J479"")+IMPORTRANGE(""https://docs.google.com/spreadsheets/d/11tr1B-Bhyr79v2bkwVh5h_fR-PStkgjlZtkrZpYurG0/"&amp;"edit?usp=sharing"",""ชลบุรี!J479"")+IMPORTRANGE(""https://docs.google.com/spreadsheets/d/1hh-FVnSX0vozXhGluamEcS54Dw9_zqW0N7qJUWgJ0Sw/edit?usp=sharing"",""ชัยนาท!J479"")+IMPORTRANGE(""https://docs.google.com/spreadsheets/d/1jkqa6GXxSacMcY1eN8AHjMNJ_7dDXMJ"&amp;"VRLDlaFSOdPM/edit?usp=sharing"",""ตราด!J479"")+IMPORTRANGE(""https://docs.google.com/spreadsheets/d/18hSgUJ3VwClqi_qtULmmW3cLr0oe3OKaSYoKzdpTsYQ/edit?usp=sharing"",""นครนายก!J479"")+IMPORTRANGE(""https://docs.google.com/spreadsheets/d/1YTZo6WM2dQ6Ix6FSdnL"&amp;"5P7uVnVKu40sxZu975tgG10E/edit?usp=sharing"",""นครปฐม!J479"")+IMPORTRANGE(""https://docs.google.com/spreadsheets/d/1OYoGg4WDg5RIzwGeB10padOxJF9E_Vljuvvct_M7RDo/edit?usp=sharing"",""ปทุมธานี!J479"")+IMPORTRANGE(""https://docs.google.com/spreadsheets/d/1GbCI"&amp;"E4D4wk9FUozzqk7SxfDMxDVBwVmI5zcaVUSzKAc/edit?usp=sharing"",""ประจวบคีรีขันธ์!J479"")+IMPORTRANGE(""https://docs.google.com/spreadsheets/d/1vVf6wykvW_lAyu7Yo9L4hUTqHqIeP_qcVuxCtosJEbg/edit?usp=sharing"",""ปราจีนบุรี!J479"")+IMPORTRANGE(""https://docs.googl"&amp;"e.com/spreadsheets/d/1BIDqLLg5jk3v59G8NlR8rk5xfQDKne0sAvZHSj7TI6I/edit?usp=sharing"",""พระนครศรีอยุธยา!J479"")+IMPORTRANGE(""https://docs.google.com/spreadsheets/d/1YXvxf8Yu6_rV4hTBrwMqAcAnv6DfhUxh5emyM3CJp_w/edit?usp=sharing"",""เพชรบุรี!J479"")+IMPORTRA"&amp;"NGE(""https://docs.google.com/spreadsheets/d/19KBlQQs7uwvsao6t2n-KvW3Ax8J8uRRfZPq1zPbXgKc/edit?usp=sharing"",""ระยอง!J479"")+IMPORTRANGE(""https://docs.google.com/spreadsheets/d/1jQ6P4QcrGM89YfqcC_PxOHGCMq5ezhucwJd8ci-NHng/edit?usp=sharing"",""ราชบุรี!J47"&amp;"9"")+IMPORTRANGE(""https://docs.google.com/spreadsheets/d/1lufeA2cfFqM-elVq2hznhDzC6Pr7wkJ9ZG_sYNGCMCU/edit?usp=sharing"",""ลพบุรี!J479"")+IMPORTRANGE(""https://docs.google.com/spreadsheets/d/10oOiF7loTyfsTkbd4MpaIm0HQ9SwB7IYHdIUvt-U1Uc/edit?usp=sharing"""&amp;",""สระแก้ว!J479"")+IMPORTRANGE(""https://docs.google.com/spreadsheets/d/1xmPlrr1QbdSIKvl1dWUl9K4PjAfSL9oeMr_37QVzcxc/edit?usp=sharing"",""สระบุรี!J479"")+IMPORTRANGE(""https://docs.google.com/spreadsheets/d/1j51vR6CYVGhABJpv6tkstgok82RLpXieLzW1yOY5rHw/edi"&amp;"t?usp=sharing"",""สิงห์บุรี!J479"")+IMPORTRANGE(""https://docs.google.com/spreadsheets/d/1H1EalTWKUSzO4Z1-1CwzoDUaVffgrThEBe2sl74kKG0/edit?usp=sharing"",""สุพรรณบุรี!J479"")+IMPORTRANGE(""https://docs.google.com/spreadsheets/d/1BmIruG_sIrJLYao_Pdr7zVArWsf"&amp;"oBt2692TMi6x_854/edit?usp=sharing"",""อ่างทอง!J479"")"),0)</f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602">
        <f ca="1">IFERROR(__xludf.DUMMYFUNCTION("IMPORTRANGE(""https://docs.google.com/spreadsheets/d/13wPX838HrBrQMCywv1BsuMkt4PEKTChp52zj44s2izQ/edit?usp=sharing"",""กาญจนบุรี!J480"")+IMPORTRANGE(""https://docs.google.com/spreadsheets/d/1ddFKvqj1W1NEiWytbGlB1zMx_ykJDVtmfEQ-6-lIUBA/edit?usp=sharing"","&amp;"""จันทบุรี!J480"")+IMPORTRANGE(""https://docs.google.com/spreadsheets/d/1T1PQvRODqOBZk8BRht_U031fIS1beLA0Ub2CEytj2q0/edit?usp=sharing"",""ฉะเชิงเทรา!J480"")+IMPORTRANGE(""https://docs.google.com/spreadsheets/d/11tr1B-Bhyr79v2bkwVh5h_fR-PStkgjlZtkrZpYurG0/"&amp;"edit?usp=sharing"",""ชลบุรี!J480"")+IMPORTRANGE(""https://docs.google.com/spreadsheets/d/1hh-FVnSX0vozXhGluamEcS54Dw9_zqW0N7qJUWgJ0Sw/edit?usp=sharing"",""ชัยนาท!J480"")+IMPORTRANGE(""https://docs.google.com/spreadsheets/d/1jkqa6GXxSacMcY1eN8AHjMNJ_7dDXMJ"&amp;"VRLDlaFSOdPM/edit?usp=sharing"",""ตราด!J480"")+IMPORTRANGE(""https://docs.google.com/spreadsheets/d/18hSgUJ3VwClqi_qtULmmW3cLr0oe3OKaSYoKzdpTsYQ/edit?usp=sharing"",""นครนายก!J480"")+IMPORTRANGE(""https://docs.google.com/spreadsheets/d/1YTZo6WM2dQ6Ix6FSdnL"&amp;"5P7uVnVKu40sxZu975tgG10E/edit?usp=sharing"",""นครปฐม!J480"")+IMPORTRANGE(""https://docs.google.com/spreadsheets/d/1OYoGg4WDg5RIzwGeB10padOxJF9E_Vljuvvct_M7RDo/edit?usp=sharing"",""ปทุมธานี!J480"")+IMPORTRANGE(""https://docs.google.com/spreadsheets/d/1GbCI"&amp;"E4D4wk9FUozzqk7SxfDMxDVBwVmI5zcaVUSzKAc/edit?usp=sharing"",""ประจวบคีรีขันธ์!J480"")+IMPORTRANGE(""https://docs.google.com/spreadsheets/d/1vVf6wykvW_lAyu7Yo9L4hUTqHqIeP_qcVuxCtosJEbg/edit?usp=sharing"",""ปราจีนบุรี!J480"")+IMPORTRANGE(""https://docs.googl"&amp;"e.com/spreadsheets/d/1BIDqLLg5jk3v59G8NlR8rk5xfQDKne0sAvZHSj7TI6I/edit?usp=sharing"",""พระนครศรีอยุธยา!J480"")+IMPORTRANGE(""https://docs.google.com/spreadsheets/d/1YXvxf8Yu6_rV4hTBrwMqAcAnv6DfhUxh5emyM3CJp_w/edit?usp=sharing"",""เพชรบุรี!J480"")+IMPORTRA"&amp;"NGE(""https://docs.google.com/spreadsheets/d/19KBlQQs7uwvsao6t2n-KvW3Ax8J8uRRfZPq1zPbXgKc/edit?usp=sharing"",""ระยอง!J480"")+IMPORTRANGE(""https://docs.google.com/spreadsheets/d/1jQ6P4QcrGM89YfqcC_PxOHGCMq5ezhucwJd8ci-NHng/edit?usp=sharing"",""ราชบุรี!J48"&amp;"0"")+IMPORTRANGE(""https://docs.google.com/spreadsheets/d/1lufeA2cfFqM-elVq2hznhDzC6Pr7wkJ9ZG_sYNGCMCU/edit?usp=sharing"",""ลพบุรี!J480"")+IMPORTRANGE(""https://docs.google.com/spreadsheets/d/10oOiF7loTyfsTkbd4MpaIm0HQ9SwB7IYHdIUvt-U1Uc/edit?usp=sharing"""&amp;",""สระแก้ว!J480"")+IMPORTRANGE(""https://docs.google.com/spreadsheets/d/1xmPlrr1QbdSIKvl1dWUl9K4PjAfSL9oeMr_37QVzcxc/edit?usp=sharing"",""สระบุรี!J480"")+IMPORTRANGE(""https://docs.google.com/spreadsheets/d/1j51vR6CYVGhABJpv6tkstgok82RLpXieLzW1yOY5rHw/edi"&amp;"t?usp=sharing"",""สิงห์บุรี!J480"")+IMPORTRANGE(""https://docs.google.com/spreadsheets/d/1H1EalTWKUSzO4Z1-1CwzoDUaVffgrThEBe2sl74kKG0/edit?usp=sharing"",""สุพรรณบุรี!J480"")+IMPORTRANGE(""https://docs.google.com/spreadsheets/d/1BmIruG_sIrJLYao_Pdr7zVArWsf"&amp;"oBt2692TMi6x_854/edit?usp=sharing"",""อ่างทอง!J480"")"),0)</f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602">
        <f ca="1">IFERROR(__xludf.DUMMYFUNCTION("IMPORTRANGE(""https://docs.google.com/spreadsheets/d/13wPX838HrBrQMCywv1BsuMkt4PEKTChp52zj44s2izQ/edit?usp=sharing"",""กาญจนบุรี!J481"")+IMPORTRANGE(""https://docs.google.com/spreadsheets/d/1ddFKvqj1W1NEiWytbGlB1zMx_ykJDVtmfEQ-6-lIUBA/edit?usp=sharing"","&amp;"""จันทบุรี!J481"")+IMPORTRANGE(""https://docs.google.com/spreadsheets/d/1T1PQvRODqOBZk8BRht_U031fIS1beLA0Ub2CEytj2q0/edit?usp=sharing"",""ฉะเชิงเทรา!J481"")+IMPORTRANGE(""https://docs.google.com/spreadsheets/d/11tr1B-Bhyr79v2bkwVh5h_fR-PStkgjlZtkrZpYurG0/"&amp;"edit?usp=sharing"",""ชลบุรี!J481"")+IMPORTRANGE(""https://docs.google.com/spreadsheets/d/1hh-FVnSX0vozXhGluamEcS54Dw9_zqW0N7qJUWgJ0Sw/edit?usp=sharing"",""ชัยนาท!J481"")+IMPORTRANGE(""https://docs.google.com/spreadsheets/d/1jkqa6GXxSacMcY1eN8AHjMNJ_7dDXMJ"&amp;"VRLDlaFSOdPM/edit?usp=sharing"",""ตราด!J481"")+IMPORTRANGE(""https://docs.google.com/spreadsheets/d/18hSgUJ3VwClqi_qtULmmW3cLr0oe3OKaSYoKzdpTsYQ/edit?usp=sharing"",""นครนายก!J481"")+IMPORTRANGE(""https://docs.google.com/spreadsheets/d/1YTZo6WM2dQ6Ix6FSdnL"&amp;"5P7uVnVKu40sxZu975tgG10E/edit?usp=sharing"",""นครปฐม!J481"")+IMPORTRANGE(""https://docs.google.com/spreadsheets/d/1OYoGg4WDg5RIzwGeB10padOxJF9E_Vljuvvct_M7RDo/edit?usp=sharing"",""ปทุมธานี!J481"")+IMPORTRANGE(""https://docs.google.com/spreadsheets/d/1GbCI"&amp;"E4D4wk9FUozzqk7SxfDMxDVBwVmI5zcaVUSzKAc/edit?usp=sharing"",""ประจวบคีรีขันธ์!J481"")+IMPORTRANGE(""https://docs.google.com/spreadsheets/d/1vVf6wykvW_lAyu7Yo9L4hUTqHqIeP_qcVuxCtosJEbg/edit?usp=sharing"",""ปราจีนบุรี!J481"")+IMPORTRANGE(""https://docs.googl"&amp;"e.com/spreadsheets/d/1BIDqLLg5jk3v59G8NlR8rk5xfQDKne0sAvZHSj7TI6I/edit?usp=sharing"",""พระนครศรีอยุธยา!J481"")+IMPORTRANGE(""https://docs.google.com/spreadsheets/d/1YXvxf8Yu6_rV4hTBrwMqAcAnv6DfhUxh5emyM3CJp_w/edit?usp=sharing"",""เพชรบุรี!J481"")+IMPORTRA"&amp;"NGE(""https://docs.google.com/spreadsheets/d/19KBlQQs7uwvsao6t2n-KvW3Ax8J8uRRfZPq1zPbXgKc/edit?usp=sharing"",""ระยอง!J481"")+IMPORTRANGE(""https://docs.google.com/spreadsheets/d/1jQ6P4QcrGM89YfqcC_PxOHGCMq5ezhucwJd8ci-NHng/edit?usp=sharing"",""ราชบุรี!J48"&amp;"1"")+IMPORTRANGE(""https://docs.google.com/spreadsheets/d/1lufeA2cfFqM-elVq2hznhDzC6Pr7wkJ9ZG_sYNGCMCU/edit?usp=sharing"",""ลพบุรี!J481"")+IMPORTRANGE(""https://docs.google.com/spreadsheets/d/10oOiF7loTyfsTkbd4MpaIm0HQ9SwB7IYHdIUvt-U1Uc/edit?usp=sharing"""&amp;",""สระแก้ว!J481"")+IMPORTRANGE(""https://docs.google.com/spreadsheets/d/1xmPlrr1QbdSIKvl1dWUl9K4PjAfSL9oeMr_37QVzcxc/edit?usp=sharing"",""สระบุรี!J481"")+IMPORTRANGE(""https://docs.google.com/spreadsheets/d/1j51vR6CYVGhABJpv6tkstgok82RLpXieLzW1yOY5rHw/edi"&amp;"t?usp=sharing"",""สิงห์บุรี!J481"")+IMPORTRANGE(""https://docs.google.com/spreadsheets/d/1H1EalTWKUSzO4Z1-1CwzoDUaVffgrThEBe2sl74kKG0/edit?usp=sharing"",""สุพรรณบุรี!J481"")+IMPORTRANGE(""https://docs.google.com/spreadsheets/d/1BmIruG_sIrJLYao_Pdr7zVArWsf"&amp;"oBt2692TMi6x_854/edit?usp=sharing"",""อ่างทอง!J481"")"),0)</f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291">
        <v>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291">
        <v>0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x14ac:dyDescent="0.3">
      <c r="A484" s="529"/>
      <c r="B484" s="267"/>
      <c r="C484" s="276" t="s">
        <v>194</v>
      </c>
      <c r="D484" s="267"/>
      <c r="E484" s="267"/>
      <c r="F484" s="267"/>
      <c r="G484" s="307"/>
      <c r="H484" s="260" t="s">
        <v>46</v>
      </c>
      <c r="I484" s="601">
        <f ca="1">IFERROR(__xludf.DUMMYFUNCTION("IMPORTRANGE(""https://docs.google.com/spreadsheets/d/13wPX838HrBrQMCywv1BsuMkt4PEKTChp52zj44s2izQ/edit?usp=sharing"",""กาญจนบุรี!I484"")+IMPORTRANGE(""https://docs.google.com/spreadsheets/d/1ddFKvqj1W1NEiWytbGlB1zMx_ykJDVtmfEQ-6-lIUBA/edit?usp=sharing"","&amp;"""จันทบุรี!I484"")+IMPORTRANGE(""https://docs.google.com/spreadsheets/d/1T1PQvRODqOBZk8BRht_U031fIS1beLA0Ub2CEytj2q0/edit?usp=sharing"",""ฉะเชิงเทรา!I484"")+IMPORTRANGE(""https://docs.google.com/spreadsheets/d/11tr1B-Bhyr79v2bkwVh5h_fR-PStkgjlZtkrZpYurG0/"&amp;"edit?usp=sharing"",""ชลบุรี!I484"")+IMPORTRANGE(""https://docs.google.com/spreadsheets/d/1hh-FVnSX0vozXhGluamEcS54Dw9_zqW0N7qJUWgJ0Sw/edit?usp=sharing"",""ชัยนาท!I484"")+IMPORTRANGE(""https://docs.google.com/spreadsheets/d/1jkqa6GXxSacMcY1eN8AHjMNJ_7dDXMJ"&amp;"VRLDlaFSOdPM/edit?usp=sharing"",""ตราด!I484"")+IMPORTRANGE(""https://docs.google.com/spreadsheets/d/18hSgUJ3VwClqi_qtULmmW3cLr0oe3OKaSYoKzdpTsYQ/edit?usp=sharing"",""นครนายก!I484"")+IMPORTRANGE(""https://docs.google.com/spreadsheets/d/1YTZo6WM2dQ6Ix6FSdnL"&amp;"5P7uVnVKu40sxZu975tgG10E/edit?usp=sharing"",""นครปฐม!I484"")+IMPORTRANGE(""https://docs.google.com/spreadsheets/d/1OYoGg4WDg5RIzwGeB10padOxJF9E_Vljuvvct_M7RDo/edit?usp=sharing"",""ปทุมธานี!I484"")+IMPORTRANGE(""https://docs.google.com/spreadsheets/d/1GbCI"&amp;"E4D4wk9FUozzqk7SxfDMxDVBwVmI5zcaVUSzKAc/edit?usp=sharing"",""ประจวบคีรีขันธ์!I484"")+IMPORTRANGE(""https://docs.google.com/spreadsheets/d/1vVf6wykvW_lAyu7Yo9L4hUTqHqIeP_qcVuxCtosJEbg/edit?usp=sharing"",""ปราจีนบุรี!I484"")+IMPORTRANGE(""https://docs.googl"&amp;"e.com/spreadsheets/d/1BIDqLLg5jk3v59G8NlR8rk5xfQDKne0sAvZHSj7TI6I/edit?usp=sharing"",""พระนครศรีอยุธยา!I484"")+IMPORTRANGE(""https://docs.google.com/spreadsheets/d/1YXvxf8Yu6_rV4hTBrwMqAcAnv6DfhUxh5emyM3CJp_w/edit?usp=sharing"",""เพชรบุรี!I484"")+IMPORTRA"&amp;"NGE(""https://docs.google.com/spreadsheets/d/19KBlQQs7uwvsao6t2n-KvW3Ax8J8uRRfZPq1zPbXgKc/edit?usp=sharing"",""ระยอง!I484"")+IMPORTRANGE(""https://docs.google.com/spreadsheets/d/1jQ6P4QcrGM89YfqcC_PxOHGCMq5ezhucwJd8ci-NHng/edit?usp=sharing"",""ราชบุรี!I48"&amp;"4"")+IMPORTRANGE(""https://docs.google.com/spreadsheets/d/1lufeA2cfFqM-elVq2hznhDzC6Pr7wkJ9ZG_sYNGCMCU/edit?usp=sharing"",""ลพบุรี!I484"")+IMPORTRANGE(""https://docs.google.com/spreadsheets/d/10oOiF7loTyfsTkbd4MpaIm0HQ9SwB7IYHdIUvt-U1Uc/edit?usp=sharing"""&amp;",""สระแก้ว!I484"")+IMPORTRANGE(""https://docs.google.com/spreadsheets/d/1xmPlrr1QbdSIKvl1dWUl9K4PjAfSL9oeMr_37QVzcxc/edit?usp=sharing"",""สระบุรี!I484"")+IMPORTRANGE(""https://docs.google.com/spreadsheets/d/1j51vR6CYVGhABJpv6tkstgok82RLpXieLzW1yOY5rHw/edi"&amp;"t?usp=sharing"",""สิงห์บุรี!I484"")+IMPORTRANGE(""https://docs.google.com/spreadsheets/d/1H1EalTWKUSzO4Z1-1CwzoDUaVffgrThEBe2sl74kKG0/edit?usp=sharing"",""สุพรรณบุรี!I484"")+IMPORTRANGE(""https://docs.google.com/spreadsheets/d/1BmIruG_sIrJLYao_Pdr7zVArWsf"&amp;"oBt2692TMi6x_854/edit?usp=sharing"",""อ่างทอง!I484"")"),2409)</f>
        <v>2409</v>
      </c>
      <c r="J484" s="601">
        <f t="shared" ref="J484:J485" ca="1" si="335">J486+J488+J490</f>
        <v>0</v>
      </c>
      <c r="K484" s="262">
        <f t="shared" ref="K484:K485" ca="1" si="336">IF(I484&gt;0,J484*100/I484,0)</f>
        <v>0</v>
      </c>
      <c r="L484" s="85"/>
      <c r="M484" s="85"/>
      <c r="N484" s="85"/>
      <c r="O484" s="85"/>
      <c r="P484" s="85"/>
      <c r="Q484" s="84"/>
      <c r="R484" s="85"/>
      <c r="S484" s="85"/>
      <c r="T484" s="85"/>
      <c r="U484" s="85"/>
    </row>
    <row r="485" spans="1:21" ht="19.5" x14ac:dyDescent="0.3">
      <c r="A485" s="529"/>
      <c r="B485" s="267"/>
      <c r="C485" s="567" t="s">
        <v>195</v>
      </c>
      <c r="D485" s="267"/>
      <c r="E485" s="267"/>
      <c r="F485" s="267"/>
      <c r="G485" s="307"/>
      <c r="H485" s="260" t="s">
        <v>34</v>
      </c>
      <c r="I485" s="601">
        <f ca="1">IFERROR(__xludf.DUMMYFUNCTION("IMPORTRANGE(""https://docs.google.com/spreadsheets/d/13wPX838HrBrQMCywv1BsuMkt4PEKTChp52zj44s2izQ/edit?usp=sharing"",""กาญจนบุรี!I485"")+IMPORTRANGE(""https://docs.google.com/spreadsheets/d/1ddFKvqj1W1NEiWytbGlB1zMx_ykJDVtmfEQ-6-lIUBA/edit?usp=sharing"","&amp;"""จันทบุรี!I485"")+IMPORTRANGE(""https://docs.google.com/spreadsheets/d/1T1PQvRODqOBZk8BRht_U031fIS1beLA0Ub2CEytj2q0/edit?usp=sharing"",""ฉะเชิงเทรา!I485"")+IMPORTRANGE(""https://docs.google.com/spreadsheets/d/11tr1B-Bhyr79v2bkwVh5h_fR-PStkgjlZtkrZpYurG0/"&amp;"edit?usp=sharing"",""ชลบุรี!I485"")+IMPORTRANGE(""https://docs.google.com/spreadsheets/d/1hh-FVnSX0vozXhGluamEcS54Dw9_zqW0N7qJUWgJ0Sw/edit?usp=sharing"",""ชัยนาท!I485"")+IMPORTRANGE(""https://docs.google.com/spreadsheets/d/1jkqa6GXxSacMcY1eN8AHjMNJ_7dDXMJ"&amp;"VRLDlaFSOdPM/edit?usp=sharing"",""ตราด!I485"")+IMPORTRANGE(""https://docs.google.com/spreadsheets/d/18hSgUJ3VwClqi_qtULmmW3cLr0oe3OKaSYoKzdpTsYQ/edit?usp=sharing"",""นครนายก!I485"")+IMPORTRANGE(""https://docs.google.com/spreadsheets/d/1YTZo6WM2dQ6Ix6FSdnL"&amp;"5P7uVnVKu40sxZu975tgG10E/edit?usp=sharing"",""นครปฐม!I485"")+IMPORTRANGE(""https://docs.google.com/spreadsheets/d/1OYoGg4WDg5RIzwGeB10padOxJF9E_Vljuvvct_M7RDo/edit?usp=sharing"",""ปทุมธานี!I485"")+IMPORTRANGE(""https://docs.google.com/spreadsheets/d/1GbCI"&amp;"E4D4wk9FUozzqk7SxfDMxDVBwVmI5zcaVUSzKAc/edit?usp=sharing"",""ประจวบคีรีขันธ์!I485"")+IMPORTRANGE(""https://docs.google.com/spreadsheets/d/1vVf6wykvW_lAyu7Yo9L4hUTqHqIeP_qcVuxCtosJEbg/edit?usp=sharing"",""ปราจีนบุรี!I485"")+IMPORTRANGE(""https://docs.googl"&amp;"e.com/spreadsheets/d/1BIDqLLg5jk3v59G8NlR8rk5xfQDKne0sAvZHSj7TI6I/edit?usp=sharing"",""พระนครศรีอยุธยา!I485"")+IMPORTRANGE(""https://docs.google.com/spreadsheets/d/1YXvxf8Yu6_rV4hTBrwMqAcAnv6DfhUxh5emyM3CJp_w/edit?usp=sharing"",""เพชรบุรี!I485"")+IMPORTRA"&amp;"NGE(""https://docs.google.com/spreadsheets/d/19KBlQQs7uwvsao6t2n-KvW3Ax8J8uRRfZPq1zPbXgKc/edit?usp=sharing"",""ระยอง!I485"")+IMPORTRANGE(""https://docs.google.com/spreadsheets/d/1jQ6P4QcrGM89YfqcC_PxOHGCMq5ezhucwJd8ci-NHng/edit?usp=sharing"",""ราชบุรี!I48"&amp;"5"")+IMPORTRANGE(""https://docs.google.com/spreadsheets/d/1lufeA2cfFqM-elVq2hznhDzC6Pr7wkJ9ZG_sYNGCMCU/edit?usp=sharing"",""ลพบุรี!I485"")+IMPORTRANGE(""https://docs.google.com/spreadsheets/d/10oOiF7loTyfsTkbd4MpaIm0HQ9SwB7IYHdIUvt-U1Uc/edit?usp=sharing"""&amp;",""สระแก้ว!I485"")+IMPORTRANGE(""https://docs.google.com/spreadsheets/d/1xmPlrr1QbdSIKvl1dWUl9K4PjAfSL9oeMr_37QVzcxc/edit?usp=sharing"",""สระบุรี!I485"")+IMPORTRANGE(""https://docs.google.com/spreadsheets/d/1j51vR6CYVGhABJpv6tkstgok82RLpXieLzW1yOY5rHw/edi"&amp;"t?usp=sharing"",""สิงห์บุรี!I485"")+IMPORTRANGE(""https://docs.google.com/spreadsheets/d/1H1EalTWKUSzO4Z1-1CwzoDUaVffgrThEBe2sl74kKG0/edit?usp=sharing"",""สุพรรณบุรี!I485"")+IMPORTRANGE(""https://docs.google.com/spreadsheets/d/1BmIruG_sIrJLYao_Pdr7zVArWsf"&amp;"oBt2692TMi6x_854/edit?usp=sharing"",""อ่างทอง!I485"")"),100)</f>
        <v>100</v>
      </c>
      <c r="J485" s="601">
        <f t="shared" ca="1" si="335"/>
        <v>0</v>
      </c>
      <c r="K485" s="262">
        <f t="shared" ca="1" si="336"/>
        <v>0</v>
      </c>
      <c r="L485" s="85"/>
      <c r="M485" s="85"/>
      <c r="N485" s="85"/>
      <c r="O485" s="85"/>
      <c r="P485" s="85"/>
      <c r="Q485" s="84"/>
      <c r="R485" s="85"/>
      <c r="S485" s="85"/>
      <c r="T485" s="85"/>
      <c r="U485" s="85"/>
    </row>
    <row r="486" spans="1:21" ht="18.75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602">
        <f ca="1">IFERROR(__xludf.DUMMYFUNCTION("IMPORTRANGE(""https://docs.google.com/spreadsheets/d/13wPX838HrBrQMCywv1BsuMkt4PEKTChp52zj44s2izQ/edit?usp=sharing"",""กาญจนบุรี!J486"")+IMPORTRANGE(""https://docs.google.com/spreadsheets/d/1ddFKvqj1W1NEiWytbGlB1zMx_ykJDVtmfEQ-6-lIUBA/edit?usp=sharing"","&amp;"""จันทบุรี!J486"")+IMPORTRANGE(""https://docs.google.com/spreadsheets/d/1T1PQvRODqOBZk8BRht_U031fIS1beLA0Ub2CEytj2q0/edit?usp=sharing"",""ฉะเชิงเทรา!J486"")+IMPORTRANGE(""https://docs.google.com/spreadsheets/d/11tr1B-Bhyr79v2bkwVh5h_fR-PStkgjlZtkrZpYurG0/"&amp;"edit?usp=sharing"",""ชลบุรี!J486"")+IMPORTRANGE(""https://docs.google.com/spreadsheets/d/1hh-FVnSX0vozXhGluamEcS54Dw9_zqW0N7qJUWgJ0Sw/edit?usp=sharing"",""ชัยนาท!J486"")+IMPORTRANGE(""https://docs.google.com/spreadsheets/d/1jkqa6GXxSacMcY1eN8AHjMNJ_7dDXMJ"&amp;"VRLDlaFSOdPM/edit?usp=sharing"",""ตราด!J486"")+IMPORTRANGE(""https://docs.google.com/spreadsheets/d/18hSgUJ3VwClqi_qtULmmW3cLr0oe3OKaSYoKzdpTsYQ/edit?usp=sharing"",""นครนายก!J486"")+IMPORTRANGE(""https://docs.google.com/spreadsheets/d/1YTZo6WM2dQ6Ix6FSdnL"&amp;"5P7uVnVKu40sxZu975tgG10E/edit?usp=sharing"",""นครปฐม!J486"")+IMPORTRANGE(""https://docs.google.com/spreadsheets/d/1OYoGg4WDg5RIzwGeB10padOxJF9E_Vljuvvct_M7RDo/edit?usp=sharing"",""ปทุมธานี!J486"")+IMPORTRANGE(""https://docs.google.com/spreadsheets/d/1GbCI"&amp;"E4D4wk9FUozzqk7SxfDMxDVBwVmI5zcaVUSzKAc/edit?usp=sharing"",""ประจวบคีรีขันธ์!J486"")+IMPORTRANGE(""https://docs.google.com/spreadsheets/d/1vVf6wykvW_lAyu7Yo9L4hUTqHqIeP_qcVuxCtosJEbg/edit?usp=sharing"",""ปราจีนบุรี!J486"")+IMPORTRANGE(""https://docs.googl"&amp;"e.com/spreadsheets/d/1BIDqLLg5jk3v59G8NlR8rk5xfQDKne0sAvZHSj7TI6I/edit?usp=sharing"",""พระนครศรีอยุธยา!J486"")+IMPORTRANGE(""https://docs.google.com/spreadsheets/d/1YXvxf8Yu6_rV4hTBrwMqAcAnv6DfhUxh5emyM3CJp_w/edit?usp=sharing"",""เพชรบุรี!J486"")+IMPORTRA"&amp;"NGE(""https://docs.google.com/spreadsheets/d/19KBlQQs7uwvsao6t2n-KvW3Ax8J8uRRfZPq1zPbXgKc/edit?usp=sharing"",""ระยอง!J486"")+IMPORTRANGE(""https://docs.google.com/spreadsheets/d/1jQ6P4QcrGM89YfqcC_PxOHGCMq5ezhucwJd8ci-NHng/edit?usp=sharing"",""ราชบุรี!J48"&amp;"6"")+IMPORTRANGE(""https://docs.google.com/spreadsheets/d/1lufeA2cfFqM-elVq2hznhDzC6Pr7wkJ9ZG_sYNGCMCU/edit?usp=sharing"",""ลพบุรี!J486"")+IMPORTRANGE(""https://docs.google.com/spreadsheets/d/10oOiF7loTyfsTkbd4MpaIm0HQ9SwB7IYHdIUvt-U1Uc/edit?usp=sharing"""&amp;",""สระแก้ว!J486"")+IMPORTRANGE(""https://docs.google.com/spreadsheets/d/1xmPlrr1QbdSIKvl1dWUl9K4PjAfSL9oeMr_37QVzcxc/edit?usp=sharing"",""สระบุรี!J486"")+IMPORTRANGE(""https://docs.google.com/spreadsheets/d/1j51vR6CYVGhABJpv6tkstgok82RLpXieLzW1yOY5rHw/edi"&amp;"t?usp=sharing"",""สิงห์บุรี!J486"")+IMPORTRANGE(""https://docs.google.com/spreadsheets/d/1H1EalTWKUSzO4Z1-1CwzoDUaVffgrThEBe2sl74kKG0/edit?usp=sharing"",""สุพรรณบุรี!J486"")+IMPORTRANGE(""https://docs.google.com/spreadsheets/d/1BmIruG_sIrJLYao_Pdr7zVArWsf"&amp;"oBt2692TMi6x_854/edit?usp=sharing"",""อ่างทอง!J486"")"),0)</f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602">
        <f ca="1">IFERROR(__xludf.DUMMYFUNCTION("IMPORTRANGE(""https://docs.google.com/spreadsheets/d/13wPX838HrBrQMCywv1BsuMkt4PEKTChp52zj44s2izQ/edit?usp=sharing"",""กาญจนบุรี!J487"")+IMPORTRANGE(""https://docs.google.com/spreadsheets/d/1ddFKvqj1W1NEiWytbGlB1zMx_ykJDVtmfEQ-6-lIUBA/edit?usp=sharing"","&amp;"""จันทบุรี!J487"")+IMPORTRANGE(""https://docs.google.com/spreadsheets/d/1T1PQvRODqOBZk8BRht_U031fIS1beLA0Ub2CEytj2q0/edit?usp=sharing"",""ฉะเชิงเทรา!J487"")+IMPORTRANGE(""https://docs.google.com/spreadsheets/d/11tr1B-Bhyr79v2bkwVh5h_fR-PStkgjlZtkrZpYurG0/"&amp;"edit?usp=sharing"",""ชลบุรี!J487"")+IMPORTRANGE(""https://docs.google.com/spreadsheets/d/1hh-FVnSX0vozXhGluamEcS54Dw9_zqW0N7qJUWgJ0Sw/edit?usp=sharing"",""ชัยนาท!J487"")+IMPORTRANGE(""https://docs.google.com/spreadsheets/d/1jkqa6GXxSacMcY1eN8AHjMNJ_7dDXMJ"&amp;"VRLDlaFSOdPM/edit?usp=sharing"",""ตราด!J487"")+IMPORTRANGE(""https://docs.google.com/spreadsheets/d/18hSgUJ3VwClqi_qtULmmW3cLr0oe3OKaSYoKzdpTsYQ/edit?usp=sharing"",""นครนายก!J487"")+IMPORTRANGE(""https://docs.google.com/spreadsheets/d/1YTZo6WM2dQ6Ix6FSdnL"&amp;"5P7uVnVKu40sxZu975tgG10E/edit?usp=sharing"",""นครปฐม!J487"")+IMPORTRANGE(""https://docs.google.com/spreadsheets/d/1OYoGg4WDg5RIzwGeB10padOxJF9E_Vljuvvct_M7RDo/edit?usp=sharing"",""ปทุมธานี!J487"")+IMPORTRANGE(""https://docs.google.com/spreadsheets/d/1GbCI"&amp;"E4D4wk9FUozzqk7SxfDMxDVBwVmI5zcaVUSzKAc/edit?usp=sharing"",""ประจวบคีรีขันธ์!J487"")+IMPORTRANGE(""https://docs.google.com/spreadsheets/d/1vVf6wykvW_lAyu7Yo9L4hUTqHqIeP_qcVuxCtosJEbg/edit?usp=sharing"",""ปราจีนบุรี!J487"")+IMPORTRANGE(""https://docs.googl"&amp;"e.com/spreadsheets/d/1BIDqLLg5jk3v59G8NlR8rk5xfQDKne0sAvZHSj7TI6I/edit?usp=sharing"",""พระนครศรีอยุธยา!J487"")+IMPORTRANGE(""https://docs.google.com/spreadsheets/d/1YXvxf8Yu6_rV4hTBrwMqAcAnv6DfhUxh5emyM3CJp_w/edit?usp=sharing"",""เพชรบุรี!J487"")+IMPORTRA"&amp;"NGE(""https://docs.google.com/spreadsheets/d/19KBlQQs7uwvsao6t2n-KvW3Ax8J8uRRfZPq1zPbXgKc/edit?usp=sharing"",""ระยอง!J487"")+IMPORTRANGE(""https://docs.google.com/spreadsheets/d/1jQ6P4QcrGM89YfqcC_PxOHGCMq5ezhucwJd8ci-NHng/edit?usp=sharing"",""ราชบุรี!J48"&amp;"7"")+IMPORTRANGE(""https://docs.google.com/spreadsheets/d/1lufeA2cfFqM-elVq2hznhDzC6Pr7wkJ9ZG_sYNGCMCU/edit?usp=sharing"",""ลพบุรี!J487"")+IMPORTRANGE(""https://docs.google.com/spreadsheets/d/10oOiF7loTyfsTkbd4MpaIm0HQ9SwB7IYHdIUvt-U1Uc/edit?usp=sharing"""&amp;",""สระแก้ว!J487"")+IMPORTRANGE(""https://docs.google.com/spreadsheets/d/1xmPlrr1QbdSIKvl1dWUl9K4PjAfSL9oeMr_37QVzcxc/edit?usp=sharing"",""สระบุรี!J487"")+IMPORTRANGE(""https://docs.google.com/spreadsheets/d/1j51vR6CYVGhABJpv6tkstgok82RLpXieLzW1yOY5rHw/edi"&amp;"t?usp=sharing"",""สิงห์บุรี!J487"")+IMPORTRANGE(""https://docs.google.com/spreadsheets/d/1H1EalTWKUSzO4Z1-1CwzoDUaVffgrThEBe2sl74kKG0/edit?usp=sharing"",""สุพรรณบุรี!J487"")+IMPORTRANGE(""https://docs.google.com/spreadsheets/d/1BmIruG_sIrJLYao_Pdr7zVArWsf"&amp;"oBt2692TMi6x_854/edit?usp=sharing"",""อ่างทอง!J487"")"),0)</f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602">
        <f ca="1">IFERROR(__xludf.DUMMYFUNCTION("IMPORTRANGE(""https://docs.google.com/spreadsheets/d/13wPX838HrBrQMCywv1BsuMkt4PEKTChp52zj44s2izQ/edit?usp=sharing"",""กาญจนบุรี!J488"")+IMPORTRANGE(""https://docs.google.com/spreadsheets/d/1ddFKvqj1W1NEiWytbGlB1zMx_ykJDVtmfEQ-6-lIUBA/edit?usp=sharing"","&amp;"""จันทบุรี!J488"")+IMPORTRANGE(""https://docs.google.com/spreadsheets/d/1T1PQvRODqOBZk8BRht_U031fIS1beLA0Ub2CEytj2q0/edit?usp=sharing"",""ฉะเชิงเทรา!J488"")+IMPORTRANGE(""https://docs.google.com/spreadsheets/d/11tr1B-Bhyr79v2bkwVh5h_fR-PStkgjlZtkrZpYurG0/"&amp;"edit?usp=sharing"",""ชลบุรี!J488"")+IMPORTRANGE(""https://docs.google.com/spreadsheets/d/1hh-FVnSX0vozXhGluamEcS54Dw9_zqW0N7qJUWgJ0Sw/edit?usp=sharing"",""ชัยนาท!J488"")+IMPORTRANGE(""https://docs.google.com/spreadsheets/d/1jkqa6GXxSacMcY1eN8AHjMNJ_7dDXMJ"&amp;"VRLDlaFSOdPM/edit?usp=sharing"",""ตราด!J488"")+IMPORTRANGE(""https://docs.google.com/spreadsheets/d/18hSgUJ3VwClqi_qtULmmW3cLr0oe3OKaSYoKzdpTsYQ/edit?usp=sharing"",""นครนายก!J488"")+IMPORTRANGE(""https://docs.google.com/spreadsheets/d/1YTZo6WM2dQ6Ix6FSdnL"&amp;"5P7uVnVKu40sxZu975tgG10E/edit?usp=sharing"",""นครปฐม!J488"")+IMPORTRANGE(""https://docs.google.com/spreadsheets/d/1OYoGg4WDg5RIzwGeB10padOxJF9E_Vljuvvct_M7RDo/edit?usp=sharing"",""ปทุมธานี!J488"")+IMPORTRANGE(""https://docs.google.com/spreadsheets/d/1GbCI"&amp;"E4D4wk9FUozzqk7SxfDMxDVBwVmI5zcaVUSzKAc/edit?usp=sharing"",""ประจวบคีรีขันธ์!J488"")+IMPORTRANGE(""https://docs.google.com/spreadsheets/d/1vVf6wykvW_lAyu7Yo9L4hUTqHqIeP_qcVuxCtosJEbg/edit?usp=sharing"",""ปราจีนบุรี!J488"")+IMPORTRANGE(""https://docs.googl"&amp;"e.com/spreadsheets/d/1BIDqLLg5jk3v59G8NlR8rk5xfQDKne0sAvZHSj7TI6I/edit?usp=sharing"",""พระนครศรีอยุธยา!J488"")+IMPORTRANGE(""https://docs.google.com/spreadsheets/d/1YXvxf8Yu6_rV4hTBrwMqAcAnv6DfhUxh5emyM3CJp_w/edit?usp=sharing"",""เพชรบุรี!J488"")+IMPORTRA"&amp;"NGE(""https://docs.google.com/spreadsheets/d/19KBlQQs7uwvsao6t2n-KvW3Ax8J8uRRfZPq1zPbXgKc/edit?usp=sharing"",""ระยอง!J488"")+IMPORTRANGE(""https://docs.google.com/spreadsheets/d/1jQ6P4QcrGM89YfqcC_PxOHGCMq5ezhucwJd8ci-NHng/edit?usp=sharing"",""ราชบุรี!J48"&amp;"8"")+IMPORTRANGE(""https://docs.google.com/spreadsheets/d/1lufeA2cfFqM-elVq2hznhDzC6Pr7wkJ9ZG_sYNGCMCU/edit?usp=sharing"",""ลพบุรี!J488"")+IMPORTRANGE(""https://docs.google.com/spreadsheets/d/10oOiF7loTyfsTkbd4MpaIm0HQ9SwB7IYHdIUvt-U1Uc/edit?usp=sharing"""&amp;",""สระแก้ว!J488"")+IMPORTRANGE(""https://docs.google.com/spreadsheets/d/1xmPlrr1QbdSIKvl1dWUl9K4PjAfSL9oeMr_37QVzcxc/edit?usp=sharing"",""สระบุรี!J488"")+IMPORTRANGE(""https://docs.google.com/spreadsheets/d/1j51vR6CYVGhABJpv6tkstgok82RLpXieLzW1yOY5rHw/edi"&amp;"t?usp=sharing"",""สิงห์บุรี!J488"")+IMPORTRANGE(""https://docs.google.com/spreadsheets/d/1H1EalTWKUSzO4Z1-1CwzoDUaVffgrThEBe2sl74kKG0/edit?usp=sharing"",""สุพรรณบุรี!J488"")+IMPORTRANGE(""https://docs.google.com/spreadsheets/d/1BmIruG_sIrJLYao_Pdr7zVArWsf"&amp;"oBt2692TMi6x_854/edit?usp=sharing"",""อ่างทอง!J488"")"),0)</f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602">
        <f ca="1">IFERROR(__xludf.DUMMYFUNCTION("IMPORTRANGE(""https://docs.google.com/spreadsheets/d/13wPX838HrBrQMCywv1BsuMkt4PEKTChp52zj44s2izQ/edit?usp=sharing"",""กาญจนบุรี!J489"")+IMPORTRANGE(""https://docs.google.com/spreadsheets/d/1ddFKvqj1W1NEiWytbGlB1zMx_ykJDVtmfEQ-6-lIUBA/edit?usp=sharing"","&amp;"""จันทบุรี!J489"")+IMPORTRANGE(""https://docs.google.com/spreadsheets/d/1T1PQvRODqOBZk8BRht_U031fIS1beLA0Ub2CEytj2q0/edit?usp=sharing"",""ฉะเชิงเทรา!J489"")+IMPORTRANGE(""https://docs.google.com/spreadsheets/d/11tr1B-Bhyr79v2bkwVh5h_fR-PStkgjlZtkrZpYurG0/"&amp;"edit?usp=sharing"",""ชลบุรี!J489"")+IMPORTRANGE(""https://docs.google.com/spreadsheets/d/1hh-FVnSX0vozXhGluamEcS54Dw9_zqW0N7qJUWgJ0Sw/edit?usp=sharing"",""ชัยนาท!J489"")+IMPORTRANGE(""https://docs.google.com/spreadsheets/d/1jkqa6GXxSacMcY1eN8AHjMNJ_7dDXMJ"&amp;"VRLDlaFSOdPM/edit?usp=sharing"",""ตราด!J489"")+IMPORTRANGE(""https://docs.google.com/spreadsheets/d/18hSgUJ3VwClqi_qtULmmW3cLr0oe3OKaSYoKzdpTsYQ/edit?usp=sharing"",""นครนายก!J489"")+IMPORTRANGE(""https://docs.google.com/spreadsheets/d/1YTZo6WM2dQ6Ix6FSdnL"&amp;"5P7uVnVKu40sxZu975tgG10E/edit?usp=sharing"",""นครปฐม!J489"")+IMPORTRANGE(""https://docs.google.com/spreadsheets/d/1OYoGg4WDg5RIzwGeB10padOxJF9E_Vljuvvct_M7RDo/edit?usp=sharing"",""ปทุมธานี!J489"")+IMPORTRANGE(""https://docs.google.com/spreadsheets/d/1GbCI"&amp;"E4D4wk9FUozzqk7SxfDMxDVBwVmI5zcaVUSzKAc/edit?usp=sharing"",""ประจวบคีรีขันธ์!J489"")+IMPORTRANGE(""https://docs.google.com/spreadsheets/d/1vVf6wykvW_lAyu7Yo9L4hUTqHqIeP_qcVuxCtosJEbg/edit?usp=sharing"",""ปราจีนบุรี!J489"")+IMPORTRANGE(""https://docs.googl"&amp;"e.com/spreadsheets/d/1BIDqLLg5jk3v59G8NlR8rk5xfQDKne0sAvZHSj7TI6I/edit?usp=sharing"",""พระนครศรีอยุธยา!J489"")+IMPORTRANGE(""https://docs.google.com/spreadsheets/d/1YXvxf8Yu6_rV4hTBrwMqAcAnv6DfhUxh5emyM3CJp_w/edit?usp=sharing"",""เพชรบุรี!J489"")+IMPORTRA"&amp;"NGE(""https://docs.google.com/spreadsheets/d/19KBlQQs7uwvsao6t2n-KvW3Ax8J8uRRfZPq1zPbXgKc/edit?usp=sharing"",""ระยอง!J489"")+IMPORTRANGE(""https://docs.google.com/spreadsheets/d/1jQ6P4QcrGM89YfqcC_PxOHGCMq5ezhucwJd8ci-NHng/edit?usp=sharing"",""ราชบุรี!J48"&amp;"9"")+IMPORTRANGE(""https://docs.google.com/spreadsheets/d/1lufeA2cfFqM-elVq2hznhDzC6Pr7wkJ9ZG_sYNGCMCU/edit?usp=sharing"",""ลพบุรี!J489"")+IMPORTRANGE(""https://docs.google.com/spreadsheets/d/10oOiF7loTyfsTkbd4MpaIm0HQ9SwB7IYHdIUvt-U1Uc/edit?usp=sharing"""&amp;",""สระแก้ว!J489"")+IMPORTRANGE(""https://docs.google.com/spreadsheets/d/1xmPlrr1QbdSIKvl1dWUl9K4PjAfSL9oeMr_37QVzcxc/edit?usp=sharing"",""สระบุรี!J489"")+IMPORTRANGE(""https://docs.google.com/spreadsheets/d/1j51vR6CYVGhABJpv6tkstgok82RLpXieLzW1yOY5rHw/edi"&amp;"t?usp=sharing"",""สิงห์บุรี!J489"")+IMPORTRANGE(""https://docs.google.com/spreadsheets/d/1H1EalTWKUSzO4Z1-1CwzoDUaVffgrThEBe2sl74kKG0/edit?usp=sharing"",""สุพรรณบุรี!J489"")+IMPORTRANGE(""https://docs.google.com/spreadsheets/d/1BmIruG_sIrJLYao_Pdr7zVArWsf"&amp;"oBt2692TMi6x_854/edit?usp=sharing"",""อ่างทอง!J489"")"),0)</f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602">
        <f ca="1">IFERROR(__xludf.DUMMYFUNCTION("IMPORTRANGE(""https://docs.google.com/spreadsheets/d/13wPX838HrBrQMCywv1BsuMkt4PEKTChp52zj44s2izQ/edit?usp=sharing"",""กาญจนบุรี!J490"")+IMPORTRANGE(""https://docs.google.com/spreadsheets/d/1ddFKvqj1W1NEiWytbGlB1zMx_ykJDVtmfEQ-6-lIUBA/edit?usp=sharing"","&amp;"""จันทบุรี!J490"")+IMPORTRANGE(""https://docs.google.com/spreadsheets/d/1T1PQvRODqOBZk8BRht_U031fIS1beLA0Ub2CEytj2q0/edit?usp=sharing"",""ฉะเชิงเทรา!J490"")+IMPORTRANGE(""https://docs.google.com/spreadsheets/d/11tr1B-Bhyr79v2bkwVh5h_fR-PStkgjlZtkrZpYurG0/"&amp;"edit?usp=sharing"",""ชลบุรี!J490"")+IMPORTRANGE(""https://docs.google.com/spreadsheets/d/1hh-FVnSX0vozXhGluamEcS54Dw9_zqW0N7qJUWgJ0Sw/edit?usp=sharing"",""ชัยนาท!J490"")+IMPORTRANGE(""https://docs.google.com/spreadsheets/d/1jkqa6GXxSacMcY1eN8AHjMNJ_7dDXMJ"&amp;"VRLDlaFSOdPM/edit?usp=sharing"",""ตราด!J490"")+IMPORTRANGE(""https://docs.google.com/spreadsheets/d/18hSgUJ3VwClqi_qtULmmW3cLr0oe3OKaSYoKzdpTsYQ/edit?usp=sharing"",""นครนายก!J490"")+IMPORTRANGE(""https://docs.google.com/spreadsheets/d/1YTZo6WM2dQ6Ix6FSdnL"&amp;"5P7uVnVKu40sxZu975tgG10E/edit?usp=sharing"",""นครปฐม!J490"")+IMPORTRANGE(""https://docs.google.com/spreadsheets/d/1OYoGg4WDg5RIzwGeB10padOxJF9E_Vljuvvct_M7RDo/edit?usp=sharing"",""ปทุมธานี!J490"")+IMPORTRANGE(""https://docs.google.com/spreadsheets/d/1GbCI"&amp;"E4D4wk9FUozzqk7SxfDMxDVBwVmI5zcaVUSzKAc/edit?usp=sharing"",""ประจวบคีรีขันธ์!J490"")+IMPORTRANGE(""https://docs.google.com/spreadsheets/d/1vVf6wykvW_lAyu7Yo9L4hUTqHqIeP_qcVuxCtosJEbg/edit?usp=sharing"",""ปราจีนบุรี!J490"")+IMPORTRANGE(""https://docs.googl"&amp;"e.com/spreadsheets/d/1BIDqLLg5jk3v59G8NlR8rk5xfQDKne0sAvZHSj7TI6I/edit?usp=sharing"",""พระนครศรีอยุธยา!J490"")+IMPORTRANGE(""https://docs.google.com/spreadsheets/d/1YXvxf8Yu6_rV4hTBrwMqAcAnv6DfhUxh5emyM3CJp_w/edit?usp=sharing"",""เพชรบุรี!J490"")+IMPORTRA"&amp;"NGE(""https://docs.google.com/spreadsheets/d/19KBlQQs7uwvsao6t2n-KvW3Ax8J8uRRfZPq1zPbXgKc/edit?usp=sharing"",""ระยอง!J490"")+IMPORTRANGE(""https://docs.google.com/spreadsheets/d/1jQ6P4QcrGM89YfqcC_PxOHGCMq5ezhucwJd8ci-NHng/edit?usp=sharing"",""ราชบุรี!J49"&amp;"0"")+IMPORTRANGE(""https://docs.google.com/spreadsheets/d/1lufeA2cfFqM-elVq2hznhDzC6Pr7wkJ9ZG_sYNGCMCU/edit?usp=sharing"",""ลพบุรี!J490"")+IMPORTRANGE(""https://docs.google.com/spreadsheets/d/10oOiF7loTyfsTkbd4MpaIm0HQ9SwB7IYHdIUvt-U1Uc/edit?usp=sharing"""&amp;",""สระแก้ว!J490"")+IMPORTRANGE(""https://docs.google.com/spreadsheets/d/1xmPlrr1QbdSIKvl1dWUl9K4PjAfSL9oeMr_37QVzcxc/edit?usp=sharing"",""สระบุรี!J490"")+IMPORTRANGE(""https://docs.google.com/spreadsheets/d/1j51vR6CYVGhABJpv6tkstgok82RLpXieLzW1yOY5rHw/edi"&amp;"t?usp=sharing"",""สิงห์บุรี!J490"")+IMPORTRANGE(""https://docs.google.com/spreadsheets/d/1H1EalTWKUSzO4Z1-1CwzoDUaVffgrThEBe2sl74kKG0/edit?usp=sharing"",""สุพรรณบุรี!J490"")+IMPORTRANGE(""https://docs.google.com/spreadsheets/d/1BmIruG_sIrJLYao_Pdr7zVArWsf"&amp;"oBt2692TMi6x_854/edit?usp=sharing"",""อ่างทอง!J490"")"),0)</f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611">
        <f ca="1">IFERROR(__xludf.DUMMYFUNCTION("IMPORTRANGE(""https://docs.google.com/spreadsheets/d/13wPX838HrBrQMCywv1BsuMkt4PEKTChp52zj44s2izQ/edit?usp=sharing"",""กาญจนบุรี!J491"")+IMPORTRANGE(""https://docs.google.com/spreadsheets/d/1ddFKvqj1W1NEiWytbGlB1zMx_ykJDVtmfEQ-6-lIUBA/edit?usp=sharing"","&amp;"""จันทบุรี!J491"")+IMPORTRANGE(""https://docs.google.com/spreadsheets/d/1T1PQvRODqOBZk8BRht_U031fIS1beLA0Ub2CEytj2q0/edit?usp=sharing"",""ฉะเชิงเทรา!J491"")+IMPORTRANGE(""https://docs.google.com/spreadsheets/d/11tr1B-Bhyr79v2bkwVh5h_fR-PStkgjlZtkrZpYurG0/"&amp;"edit?usp=sharing"",""ชลบุรี!J491"")+IMPORTRANGE(""https://docs.google.com/spreadsheets/d/1hh-FVnSX0vozXhGluamEcS54Dw9_zqW0N7qJUWgJ0Sw/edit?usp=sharing"",""ชัยนาท!J491"")+IMPORTRANGE(""https://docs.google.com/spreadsheets/d/1jkqa6GXxSacMcY1eN8AHjMNJ_7dDXMJ"&amp;"VRLDlaFSOdPM/edit?usp=sharing"",""ตราด!J491"")+IMPORTRANGE(""https://docs.google.com/spreadsheets/d/18hSgUJ3VwClqi_qtULmmW3cLr0oe3OKaSYoKzdpTsYQ/edit?usp=sharing"",""นครนายก!J491"")+IMPORTRANGE(""https://docs.google.com/spreadsheets/d/1YTZo6WM2dQ6Ix6FSdnL"&amp;"5P7uVnVKu40sxZu975tgG10E/edit?usp=sharing"",""นครปฐม!J491"")+IMPORTRANGE(""https://docs.google.com/spreadsheets/d/1OYoGg4WDg5RIzwGeB10padOxJF9E_Vljuvvct_M7RDo/edit?usp=sharing"",""ปทุมธานี!J491"")+IMPORTRANGE(""https://docs.google.com/spreadsheets/d/1GbCI"&amp;"E4D4wk9FUozzqk7SxfDMxDVBwVmI5zcaVUSzKAc/edit?usp=sharing"",""ประจวบคีรีขันธ์!J491"")+IMPORTRANGE(""https://docs.google.com/spreadsheets/d/1vVf6wykvW_lAyu7Yo9L4hUTqHqIeP_qcVuxCtosJEbg/edit?usp=sharing"",""ปราจีนบุรี!J491"")+IMPORTRANGE(""https://docs.googl"&amp;"e.com/spreadsheets/d/1BIDqLLg5jk3v59G8NlR8rk5xfQDKne0sAvZHSj7TI6I/edit?usp=sharing"",""พระนครศรีอยุธยา!J491"")+IMPORTRANGE(""https://docs.google.com/spreadsheets/d/1YXvxf8Yu6_rV4hTBrwMqAcAnv6DfhUxh5emyM3CJp_w/edit?usp=sharing"",""เพชรบุรี!J491"")+IMPORTRA"&amp;"NGE(""https://docs.google.com/spreadsheets/d/19KBlQQs7uwvsao6t2n-KvW3Ax8J8uRRfZPq1zPbXgKc/edit?usp=sharing"",""ระยอง!J491"")+IMPORTRANGE(""https://docs.google.com/spreadsheets/d/1jQ6P4QcrGM89YfqcC_PxOHGCMq5ezhucwJd8ci-NHng/edit?usp=sharing"",""ราชบุรี!J49"&amp;"1"")+IMPORTRANGE(""https://docs.google.com/spreadsheets/d/1lufeA2cfFqM-elVq2hznhDzC6Pr7wkJ9ZG_sYNGCMCU/edit?usp=sharing"",""ลพบุรี!J491"")+IMPORTRANGE(""https://docs.google.com/spreadsheets/d/10oOiF7loTyfsTkbd4MpaIm0HQ9SwB7IYHdIUvt-U1Uc/edit?usp=sharing"""&amp;",""สระแก้ว!J491"")+IMPORTRANGE(""https://docs.google.com/spreadsheets/d/1xmPlrr1QbdSIKvl1dWUl9K4PjAfSL9oeMr_37QVzcxc/edit?usp=sharing"",""สระบุรี!J491"")+IMPORTRANGE(""https://docs.google.com/spreadsheets/d/1j51vR6CYVGhABJpv6tkstgok82RLpXieLzW1yOY5rHw/edi"&amp;"t?usp=sharing"",""สิงห์บุรี!J491"")+IMPORTRANGE(""https://docs.google.com/spreadsheets/d/1H1EalTWKUSzO4Z1-1CwzoDUaVffgrThEBe2sl74kKG0/edit?usp=sharing"",""สุพรรณบุรี!J491"")+IMPORTRANGE(""https://docs.google.com/spreadsheets/d/1BmIruG_sIrJLYao_Pdr7zVArWsf"&amp;"oBt2692TMi6x_854/edit?usp=sharing"",""อ่างทอง!J491"")"),0)</f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t="shared" ref="I492:J492" ca="1" si="337">I503</f>
        <v>160</v>
      </c>
      <c r="J492" s="595">
        <f t="shared" ca="1" si="337"/>
        <v>80</v>
      </c>
      <c r="K492" s="589">
        <f ca="1">IF(I492&gt;0,J492*100/I492,0)</f>
        <v>50</v>
      </c>
      <c r="L492" s="510"/>
      <c r="M492" s="510"/>
      <c r="N492" s="510"/>
      <c r="O492" s="510"/>
      <c r="P492" s="510"/>
      <c r="Q492" s="509"/>
      <c r="R492" s="510"/>
      <c r="S492" s="510"/>
      <c r="T492" s="510"/>
      <c r="U492" s="510"/>
    </row>
    <row r="493" spans="1:21" ht="19.5" x14ac:dyDescent="0.3">
      <c r="A493" s="255"/>
      <c r="B493" s="267"/>
      <c r="C493" s="304" t="s">
        <v>18</v>
      </c>
      <c r="D493" s="1421" t="s">
        <v>19</v>
      </c>
      <c r="E493" s="1401"/>
      <c r="F493" s="1401"/>
      <c r="G493" s="1402"/>
      <c r="H493" s="612" t="s">
        <v>14</v>
      </c>
      <c r="I493" s="261"/>
      <c r="J493" s="261"/>
      <c r="K493" s="85"/>
      <c r="L493" s="262">
        <f t="shared" ref="L493:N493" ca="1" si="338">L494+L495</f>
        <v>119900</v>
      </c>
      <c r="M493" s="262">
        <f t="shared" ca="1" si="338"/>
        <v>119900</v>
      </c>
      <c r="N493" s="262">
        <f t="shared" ca="1" si="338"/>
        <v>37700</v>
      </c>
      <c r="O493" s="262">
        <f t="shared" ref="O493:O501" ca="1" si="339">IF(L493&gt;0,N493*100/L493,0)</f>
        <v>31.442869057547956</v>
      </c>
      <c r="P493" s="262">
        <f t="shared" ref="P493:P501" ca="1" si="340">IF(M493&gt;0,N493*100/M493,0)</f>
        <v>31.442869057547956</v>
      </c>
      <c r="Q493" s="212">
        <f t="shared" ref="Q493:S493" ca="1" si="341">Q494+Q495</f>
        <v>2234495</v>
      </c>
      <c r="R493" s="213">
        <f t="shared" ca="1" si="341"/>
        <v>2257595</v>
      </c>
      <c r="S493" s="213">
        <f t="shared" ca="1" si="341"/>
        <v>751727.16999999899</v>
      </c>
      <c r="T493" s="213">
        <f t="shared" ref="T493:T501" ca="1" si="342">IF(Q493&gt;0,S493*100/Q493,0)</f>
        <v>33.641926699321274</v>
      </c>
      <c r="U493" s="213">
        <f t="shared" ref="U493:U501" ca="1" si="343">IF(R493&gt;0,S493*100/R493,0)</f>
        <v>33.297698214250076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5">
        <f t="shared" ref="L494:N494" ca="1" si="344">L497+L500</f>
        <v>0</v>
      </c>
      <c r="M494" s="75">
        <f t="shared" ca="1" si="344"/>
        <v>0</v>
      </c>
      <c r="N494" s="75">
        <f t="shared" ca="1" si="344"/>
        <v>0</v>
      </c>
      <c r="O494" s="75">
        <f t="shared" ca="1" si="339"/>
        <v>0</v>
      </c>
      <c r="P494" s="75">
        <f t="shared" ca="1" si="340"/>
        <v>0</v>
      </c>
      <c r="Q494" s="215">
        <f t="shared" ref="Q494:S494" ca="1" si="345">Q497+Q500</f>
        <v>0</v>
      </c>
      <c r="R494" s="131">
        <f t="shared" ca="1" si="345"/>
        <v>0</v>
      </c>
      <c r="S494" s="131">
        <f t="shared" ca="1" si="345"/>
        <v>0</v>
      </c>
      <c r="T494" s="131">
        <f t="shared" ca="1" si="342"/>
        <v>0</v>
      </c>
      <c r="U494" s="131">
        <f t="shared" ca="1" si="343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2">
        <f t="shared" ref="L495:N495" ca="1" si="346">L498+L501</f>
        <v>119900</v>
      </c>
      <c r="M495" s="72">
        <f t="shared" ca="1" si="346"/>
        <v>119900</v>
      </c>
      <c r="N495" s="72">
        <f t="shared" ca="1" si="346"/>
        <v>37700</v>
      </c>
      <c r="O495" s="72">
        <f t="shared" ca="1" si="339"/>
        <v>31.442869057547956</v>
      </c>
      <c r="P495" s="72">
        <f t="shared" ca="1" si="340"/>
        <v>31.442869057547956</v>
      </c>
      <c r="Q495" s="129">
        <f t="shared" ref="Q495:S495" ca="1" si="347">Q498+Q501</f>
        <v>2234495</v>
      </c>
      <c r="R495" s="130">
        <f t="shared" ca="1" si="347"/>
        <v>2257595</v>
      </c>
      <c r="S495" s="130">
        <f t="shared" ca="1" si="347"/>
        <v>751727.16999999899</v>
      </c>
      <c r="T495" s="130">
        <f t="shared" ca="1" si="342"/>
        <v>33.641926699321274</v>
      </c>
      <c r="U495" s="130">
        <f t="shared" ca="1" si="343"/>
        <v>33.297698214250076</v>
      </c>
    </row>
    <row r="496" spans="1:21" ht="18.75" x14ac:dyDescent="0.25">
      <c r="A496" s="255"/>
      <c r="B496" s="267"/>
      <c r="C496" s="267"/>
      <c r="D496" s="27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t="shared" ref="L496:N496" ca="1" si="348">L497+L498</f>
        <v>119900</v>
      </c>
      <c r="M496" s="72">
        <f t="shared" ca="1" si="348"/>
        <v>119900</v>
      </c>
      <c r="N496" s="72">
        <f t="shared" ca="1" si="348"/>
        <v>37700</v>
      </c>
      <c r="O496" s="72">
        <f t="shared" ca="1" si="339"/>
        <v>31.442869057547956</v>
      </c>
      <c r="P496" s="72">
        <f t="shared" ca="1" si="340"/>
        <v>31.442869057547956</v>
      </c>
      <c r="Q496" s="129">
        <f t="shared" ref="Q496:S496" ca="1" si="349">Q497+Q498</f>
        <v>2234495</v>
      </c>
      <c r="R496" s="130">
        <f t="shared" ca="1" si="349"/>
        <v>2257595</v>
      </c>
      <c r="S496" s="130">
        <f t="shared" ca="1" si="349"/>
        <v>751727.16999999899</v>
      </c>
      <c r="T496" s="130">
        <f t="shared" ca="1" si="342"/>
        <v>33.641926699321274</v>
      </c>
      <c r="U496" s="130">
        <f t="shared" ca="1" si="343"/>
        <v>33.297698214250076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5">
        <f ca="1">IFERROR(__xludf.DUMMYFUNCTION("IMPORTRANGE(""https://docs.google.com/spreadsheets/d/13wPX838HrBrQMCywv1BsuMkt4PEKTChp52zj44s2izQ/edit?usp=sharing"",""กาญจนบุรี!L497"")+IMPORTRANGE(""https://docs.google.com/spreadsheets/d/1ddFKvqj1W1NEiWytbGlB1zMx_ykJDVtmfEQ-6-lIUBA/edit?usp=sharing"","&amp;"""จันทบุรี!L497"")+IMPORTRANGE(""https://docs.google.com/spreadsheets/d/1T1PQvRODqOBZk8BRht_U031fIS1beLA0Ub2CEytj2q0/edit?usp=sharing"",""ฉะเชิงเทรา!L497"")+IMPORTRANGE(""https://docs.google.com/spreadsheets/d/11tr1B-Bhyr79v2bkwVh5h_fR-PStkgjlZtkrZpYurG0/"&amp;"edit?usp=sharing"",""ชลบุรี!L497"")+IMPORTRANGE(""https://docs.google.com/spreadsheets/d/1hh-FVnSX0vozXhGluamEcS54Dw9_zqW0N7qJUWgJ0Sw/edit?usp=sharing"",""ชัยนาท!L497"")+IMPORTRANGE(""https://docs.google.com/spreadsheets/d/1jkqa6GXxSacMcY1eN8AHjMNJ_7dDXMJ"&amp;"VRLDlaFSOdPM/edit?usp=sharing"",""ตราด!L497"")+IMPORTRANGE(""https://docs.google.com/spreadsheets/d/18hSgUJ3VwClqi_qtULmmW3cLr0oe3OKaSYoKzdpTsYQ/edit?usp=sharing"",""นครนายก!L497"")+IMPORTRANGE(""https://docs.google.com/spreadsheets/d/1YTZo6WM2dQ6Ix6FSdnL"&amp;"5P7uVnVKu40sxZu975tgG10E/edit?usp=sharing"",""นครปฐม!L497"")+IMPORTRANGE(""https://docs.google.com/spreadsheets/d/1OYoGg4WDg5RIzwGeB10padOxJF9E_Vljuvvct_M7RDo/edit?usp=sharing"",""ปทุมธานี!L497"")+IMPORTRANGE(""https://docs.google.com/spreadsheets/d/1GbCI"&amp;"E4D4wk9FUozzqk7SxfDMxDVBwVmI5zcaVUSzKAc/edit?usp=sharing"",""ประจวบคีรีขันธ์!L497"")+IMPORTRANGE(""https://docs.google.com/spreadsheets/d/1vVf6wykvW_lAyu7Yo9L4hUTqHqIeP_qcVuxCtosJEbg/edit?usp=sharing"",""ปราจีนบุรี!L497"")+IMPORTRANGE(""https://docs.googl"&amp;"e.com/spreadsheets/d/1BIDqLLg5jk3v59G8NlR8rk5xfQDKne0sAvZHSj7TI6I/edit?usp=sharing"",""พระนครศรีอยุธยา!L497"")+IMPORTRANGE(""https://docs.google.com/spreadsheets/d/1YXvxf8Yu6_rV4hTBrwMqAcAnv6DfhUxh5emyM3CJp_w/edit?usp=sharing"",""เพชรบุรี!L497"")+IMPORTRA"&amp;"NGE(""https://docs.google.com/spreadsheets/d/19KBlQQs7uwvsao6t2n-KvW3Ax8J8uRRfZPq1zPbXgKc/edit?usp=sharing"",""ระยอง!L497"")+IMPORTRANGE(""https://docs.google.com/spreadsheets/d/1jQ6P4QcrGM89YfqcC_PxOHGCMq5ezhucwJd8ci-NHng/edit?usp=sharing"",""ราชบุรี!L49"&amp;"7"")+IMPORTRANGE(""https://docs.google.com/spreadsheets/d/1lufeA2cfFqM-elVq2hznhDzC6Pr7wkJ9ZG_sYNGCMCU/edit?usp=sharing"",""ลพบุรี!L497"")+IMPORTRANGE(""https://docs.google.com/spreadsheets/d/10oOiF7loTyfsTkbd4MpaIm0HQ9SwB7IYHdIUvt-U1Uc/edit?usp=sharing"""&amp;",""สระแก้ว!L497"")+IMPORTRANGE(""https://docs.google.com/spreadsheets/d/1xmPlrr1QbdSIKvl1dWUl9K4PjAfSL9oeMr_37QVzcxc/edit?usp=sharing"",""สระบุรี!L497"")+IMPORTRANGE(""https://docs.google.com/spreadsheets/d/1j51vR6CYVGhABJpv6tkstgok82RLpXieLzW1yOY5rHw/edi"&amp;"t?usp=sharing"",""สิงห์บุรี!L497"")+IMPORTRANGE(""https://docs.google.com/spreadsheets/d/1H1EalTWKUSzO4Z1-1CwzoDUaVffgrThEBe2sl74kKG0/edit?usp=sharing"",""สุพรรณบุรี!L497"")+IMPORTRANGE(""https://docs.google.com/spreadsheets/d/1BmIruG_sIrJLYao_Pdr7zVArWsf"&amp;"oBt2692TMi6x_854/edit?usp=sharing"",""อ่างทอง!L497"")"),0)</f>
        <v>0</v>
      </c>
      <c r="M497" s="75">
        <f ca="1">IFERROR(__xludf.DUMMYFUNCTION("IMPORTRANGE(""https://docs.google.com/spreadsheets/d/13wPX838HrBrQMCywv1BsuMkt4PEKTChp52zj44s2izQ/edit?usp=sharing"",""กาญจนบุรี!M497"")+IMPORTRANGE(""https://docs.google.com/spreadsheets/d/1ddFKvqj1W1NEiWytbGlB1zMx_ykJDVtmfEQ-6-lIUBA/edit?usp=sharing"","&amp;"""จันทบุรี!M497"")+IMPORTRANGE(""https://docs.google.com/spreadsheets/d/1T1PQvRODqOBZk8BRht_U031fIS1beLA0Ub2CEytj2q0/edit?usp=sharing"",""ฉะเชิงเทรา!M497"")+IMPORTRANGE(""https://docs.google.com/spreadsheets/d/11tr1B-Bhyr79v2bkwVh5h_fR-PStkgjlZtkrZpYurG0/"&amp;"edit?usp=sharing"",""ชลบุรี!M497"")+IMPORTRANGE(""https://docs.google.com/spreadsheets/d/1hh-FVnSX0vozXhGluamEcS54Dw9_zqW0N7qJUWgJ0Sw/edit?usp=sharing"",""ชัยนาท!M497"")+IMPORTRANGE(""https://docs.google.com/spreadsheets/d/1jkqa6GXxSacMcY1eN8AHjMNJ_7dDXMJ"&amp;"VRLDlaFSOdPM/edit?usp=sharing"",""ตราด!M497"")+IMPORTRANGE(""https://docs.google.com/spreadsheets/d/18hSgUJ3VwClqi_qtULmmW3cLr0oe3OKaSYoKzdpTsYQ/edit?usp=sharing"",""นครนายก!M497"")+IMPORTRANGE(""https://docs.google.com/spreadsheets/d/1YTZo6WM2dQ6Ix6FSdnL"&amp;"5P7uVnVKu40sxZu975tgG10E/edit?usp=sharing"",""นครปฐม!M497"")+IMPORTRANGE(""https://docs.google.com/spreadsheets/d/1OYoGg4WDg5RIzwGeB10padOxJF9E_Vljuvvct_M7RDo/edit?usp=sharing"",""ปทุมธานี!M497"")+IMPORTRANGE(""https://docs.google.com/spreadsheets/d/1GbCI"&amp;"E4D4wk9FUozzqk7SxfDMxDVBwVmI5zcaVUSzKAc/edit?usp=sharing"",""ประจวบคีรีขันธ์!M497"")+IMPORTRANGE(""https://docs.google.com/spreadsheets/d/1vVf6wykvW_lAyu7Yo9L4hUTqHqIeP_qcVuxCtosJEbg/edit?usp=sharing"",""ปราจีนบุรี!M497"")+IMPORTRANGE(""https://docs.googl"&amp;"e.com/spreadsheets/d/1BIDqLLg5jk3v59G8NlR8rk5xfQDKne0sAvZHSj7TI6I/edit?usp=sharing"",""พระนครศรีอยุธยา!M497"")+IMPORTRANGE(""https://docs.google.com/spreadsheets/d/1YXvxf8Yu6_rV4hTBrwMqAcAnv6DfhUxh5emyM3CJp_w/edit?usp=sharing"",""เพชรบุรี!M497"")+IMPORTRA"&amp;"NGE(""https://docs.google.com/spreadsheets/d/19KBlQQs7uwvsao6t2n-KvW3Ax8J8uRRfZPq1zPbXgKc/edit?usp=sharing"",""ระยอง!M497"")+IMPORTRANGE(""https://docs.google.com/spreadsheets/d/1jQ6P4QcrGM89YfqcC_PxOHGCMq5ezhucwJd8ci-NHng/edit?usp=sharing"",""ราชบุรี!M49"&amp;"7"")+IMPORTRANGE(""https://docs.google.com/spreadsheets/d/1lufeA2cfFqM-elVq2hznhDzC6Pr7wkJ9ZG_sYNGCMCU/edit?usp=sharing"",""ลพบุรี!M497"")+IMPORTRANGE(""https://docs.google.com/spreadsheets/d/10oOiF7loTyfsTkbd4MpaIm0HQ9SwB7IYHdIUvt-U1Uc/edit?usp=sharing"""&amp;",""สระแก้ว!M497"")+IMPORTRANGE(""https://docs.google.com/spreadsheets/d/1xmPlrr1QbdSIKvl1dWUl9K4PjAfSL9oeMr_37QVzcxc/edit?usp=sharing"",""สระบุรี!M497"")+IMPORTRANGE(""https://docs.google.com/spreadsheets/d/1j51vR6CYVGhABJpv6tkstgok82RLpXieLzW1yOY5rHw/edi"&amp;"t?usp=sharing"",""สิงห์บุรี!M497"")+IMPORTRANGE(""https://docs.google.com/spreadsheets/d/1H1EalTWKUSzO4Z1-1CwzoDUaVffgrThEBe2sl74kKG0/edit?usp=sharing"",""สุพรรณบุรี!M497"")+IMPORTRANGE(""https://docs.google.com/spreadsheets/d/1BmIruG_sIrJLYao_Pdr7zVArWsf"&amp;"oBt2692TMi6x_854/edit?usp=sharing"",""อ่างทอง!M497"")"),0)</f>
        <v>0</v>
      </c>
      <c r="N497" s="75">
        <f ca="1">IFERROR(__xludf.DUMMYFUNCTION("IMPORTRANGE(""https://docs.google.com/spreadsheets/d/13wPX838HrBrQMCywv1BsuMkt4PEKTChp52zj44s2izQ/edit?usp=sharing"",""กาญจนบุรี!N497"")+IMPORTRANGE(""https://docs.google.com/spreadsheets/d/1ddFKvqj1W1NEiWytbGlB1zMx_ykJDVtmfEQ-6-lIUBA/edit?usp=sharing"","&amp;"""จันทบุรี!N497"")+IMPORTRANGE(""https://docs.google.com/spreadsheets/d/1T1PQvRODqOBZk8BRht_U031fIS1beLA0Ub2CEytj2q0/edit?usp=sharing"",""ฉะเชิงเทรา!N497"")+IMPORTRANGE(""https://docs.google.com/spreadsheets/d/11tr1B-Bhyr79v2bkwVh5h_fR-PStkgjlZtkrZpYurG0/"&amp;"edit?usp=sharing"",""ชลบุรี!N497"")+IMPORTRANGE(""https://docs.google.com/spreadsheets/d/1hh-FVnSX0vozXhGluamEcS54Dw9_zqW0N7qJUWgJ0Sw/edit?usp=sharing"",""ชัยนาท!N497"")+IMPORTRANGE(""https://docs.google.com/spreadsheets/d/1jkqa6GXxSacMcY1eN8AHjMNJ_7dDXMJ"&amp;"VRLDlaFSOdPM/edit?usp=sharing"",""ตราด!N497"")+IMPORTRANGE(""https://docs.google.com/spreadsheets/d/18hSgUJ3VwClqi_qtULmmW3cLr0oe3OKaSYoKzdpTsYQ/edit?usp=sharing"",""นครนายก!N497"")+IMPORTRANGE(""https://docs.google.com/spreadsheets/d/1YTZo6WM2dQ6Ix6FSdnL"&amp;"5P7uVnVKu40sxZu975tgG10E/edit?usp=sharing"",""นครปฐม!N497"")+IMPORTRANGE(""https://docs.google.com/spreadsheets/d/1OYoGg4WDg5RIzwGeB10padOxJF9E_Vljuvvct_M7RDo/edit?usp=sharing"",""ปทุมธานี!N497"")+IMPORTRANGE(""https://docs.google.com/spreadsheets/d/1GbCI"&amp;"E4D4wk9FUozzqk7SxfDMxDVBwVmI5zcaVUSzKAc/edit?usp=sharing"",""ประจวบคีรีขันธ์!N497"")+IMPORTRANGE(""https://docs.google.com/spreadsheets/d/1vVf6wykvW_lAyu7Yo9L4hUTqHqIeP_qcVuxCtosJEbg/edit?usp=sharing"",""ปราจีนบุรี!N497"")+IMPORTRANGE(""https://docs.googl"&amp;"e.com/spreadsheets/d/1BIDqLLg5jk3v59G8NlR8rk5xfQDKne0sAvZHSj7TI6I/edit?usp=sharing"",""พระนครศรีอยุธยา!N497"")+IMPORTRANGE(""https://docs.google.com/spreadsheets/d/1YXvxf8Yu6_rV4hTBrwMqAcAnv6DfhUxh5emyM3CJp_w/edit?usp=sharing"",""เพชรบุรี!N497"")+IMPORTRA"&amp;"NGE(""https://docs.google.com/spreadsheets/d/19KBlQQs7uwvsao6t2n-KvW3Ax8J8uRRfZPq1zPbXgKc/edit?usp=sharing"",""ระยอง!N497"")+IMPORTRANGE(""https://docs.google.com/spreadsheets/d/1jQ6P4QcrGM89YfqcC_PxOHGCMq5ezhucwJd8ci-NHng/edit?usp=sharing"",""ราชบุรี!N49"&amp;"7"")+IMPORTRANGE(""https://docs.google.com/spreadsheets/d/1lufeA2cfFqM-elVq2hznhDzC6Pr7wkJ9ZG_sYNGCMCU/edit?usp=sharing"",""ลพบุรี!N497"")+IMPORTRANGE(""https://docs.google.com/spreadsheets/d/10oOiF7loTyfsTkbd4MpaIm0HQ9SwB7IYHdIUvt-U1Uc/edit?usp=sharing"""&amp;",""สระแก้ว!N497"")+IMPORTRANGE(""https://docs.google.com/spreadsheets/d/1xmPlrr1QbdSIKvl1dWUl9K4PjAfSL9oeMr_37QVzcxc/edit?usp=sharing"",""สระบุรี!N497"")+IMPORTRANGE(""https://docs.google.com/spreadsheets/d/1j51vR6CYVGhABJpv6tkstgok82RLpXieLzW1yOY5rHw/edi"&amp;"t?usp=sharing"",""สิงห์บุรี!N497"")+IMPORTRANGE(""https://docs.google.com/spreadsheets/d/1H1EalTWKUSzO4Z1-1CwzoDUaVffgrThEBe2sl74kKG0/edit?usp=sharing"",""สุพรรณบุรี!N497"")+IMPORTRANGE(""https://docs.google.com/spreadsheets/d/1BmIruG_sIrJLYao_Pdr7zVArWsf"&amp;"oBt2692TMi6x_854/edit?usp=sharing"",""อ่างทอง!N497"")"),0)</f>
        <v>0</v>
      </c>
      <c r="O497" s="75">
        <f t="shared" ca="1" si="339"/>
        <v>0</v>
      </c>
      <c r="P497" s="75">
        <f t="shared" ca="1" si="340"/>
        <v>0</v>
      </c>
      <c r="Q497" s="74">
        <f ca="1">IFERROR(__xludf.DUMMYFUNCTION("IMPORTRANGE(""https://docs.google.com/spreadsheets/d/13wPX838HrBrQMCywv1BsuMkt4PEKTChp52zj44s2izQ/edit?usp=sharing"",""กาญจนบุรี!Q497"")+IMPORTRANGE(""https://docs.google.com/spreadsheets/d/1ddFKvqj1W1NEiWytbGlB1zMx_ykJDVtmfEQ-6-lIUBA/edit?usp=sharing"","&amp;"""จันทบุรี!Q497"")+IMPORTRANGE(""https://docs.google.com/spreadsheets/d/1T1PQvRODqOBZk8BRht_U031fIS1beLA0Ub2CEytj2q0/edit?usp=sharing"",""ฉะเชิงเทรา!Q497"")+IMPORTRANGE(""https://docs.google.com/spreadsheets/d/11tr1B-Bhyr79v2bkwVh5h_fR-PStkgjlZtkrZpYurG0/"&amp;"edit?usp=sharing"",""ชลบุรี!Q497"")+IMPORTRANGE(""https://docs.google.com/spreadsheets/d/1hh-FVnSX0vozXhGluamEcS54Dw9_zqW0N7qJUWgJ0Sw/edit?usp=sharing"",""ชัยนาท!Q497"")+IMPORTRANGE(""https://docs.google.com/spreadsheets/d/1jkqa6GXxSacMcY1eN8AHjMNJ_7dDXMJ"&amp;"VRLDlaFSOdPM/edit?usp=sharing"",""ตราด!Q497"")+IMPORTRANGE(""https://docs.google.com/spreadsheets/d/18hSgUJ3VwClqi_qtULmmW3cLr0oe3OKaSYoKzdpTsYQ/edit?usp=sharing"",""นครนายก!Q497"")+IMPORTRANGE(""https://docs.google.com/spreadsheets/d/1YTZo6WM2dQ6Ix6FSdnL"&amp;"5P7uVnVKu40sxZu975tgG10E/edit?usp=sharing"",""นครปฐม!Q497"")+IMPORTRANGE(""https://docs.google.com/spreadsheets/d/1OYoGg4WDg5RIzwGeB10padOxJF9E_Vljuvvct_M7RDo/edit?usp=sharing"",""ปทุมธานี!Q497"")+IMPORTRANGE(""https://docs.google.com/spreadsheets/d/1GbCI"&amp;"E4D4wk9FUozzqk7SxfDMxDVBwVmI5zcaVUSzKAc/edit?usp=sharing"",""ประจวบคีรีขันธ์!Q497"")+IMPORTRANGE(""https://docs.google.com/spreadsheets/d/1vVf6wykvW_lAyu7Yo9L4hUTqHqIeP_qcVuxCtosJEbg/edit?usp=sharing"",""ปราจีนบุรี!Q497"")+IMPORTRANGE(""https://docs.googl"&amp;"e.com/spreadsheets/d/1BIDqLLg5jk3v59G8NlR8rk5xfQDKne0sAvZHSj7TI6I/edit?usp=sharing"",""พระนครศรีอยุธยา!Q497"")+IMPORTRANGE(""https://docs.google.com/spreadsheets/d/1YXvxf8Yu6_rV4hTBrwMqAcAnv6DfhUxh5emyM3CJp_w/edit?usp=sharing"",""เพชรบุรี!Q497"")+IMPORTRA"&amp;"NGE(""https://docs.google.com/spreadsheets/d/19KBlQQs7uwvsao6t2n-KvW3Ax8J8uRRfZPq1zPbXgKc/edit?usp=sharing"",""ระยอง!Q497"")+IMPORTRANGE(""https://docs.google.com/spreadsheets/d/1jQ6P4QcrGM89YfqcC_PxOHGCMq5ezhucwJd8ci-NHng/edit?usp=sharing"",""ราชบุรี!Q49"&amp;"7"")+IMPORTRANGE(""https://docs.google.com/spreadsheets/d/1lufeA2cfFqM-elVq2hznhDzC6Pr7wkJ9ZG_sYNGCMCU/edit?usp=sharing"",""ลพบุรี!Q497"")+IMPORTRANGE(""https://docs.google.com/spreadsheets/d/10oOiF7loTyfsTkbd4MpaIm0HQ9SwB7IYHdIUvt-U1Uc/edit?usp=sharing"""&amp;",""สระแก้ว!Q497"")+IMPORTRANGE(""https://docs.google.com/spreadsheets/d/1xmPlrr1QbdSIKvl1dWUl9K4PjAfSL9oeMr_37QVzcxc/edit?usp=sharing"",""สระบุรี!Q497"")+IMPORTRANGE(""https://docs.google.com/spreadsheets/d/1j51vR6CYVGhABJpv6tkstgok82RLpXieLzW1yOY5rHw/edi"&amp;"t?usp=sharing"",""สิงห์บุรี!Q497"")+IMPORTRANGE(""https://docs.google.com/spreadsheets/d/1H1EalTWKUSzO4Z1-1CwzoDUaVffgrThEBe2sl74kKG0/edit?usp=sharing"",""สุพรรณบุรี!Q497"")+IMPORTRANGE(""https://docs.google.com/spreadsheets/d/1BmIruG_sIrJLYao_Pdr7zVArWsf"&amp;"oBt2692TMi6x_854/edit?usp=sharing"",""อ่างทอง!Q497"")"),0)</f>
        <v>0</v>
      </c>
      <c r="R497" s="75">
        <f ca="1">IFERROR(__xludf.DUMMYFUNCTION("IMPORTRANGE(""https://docs.google.com/spreadsheets/d/13wPX838HrBrQMCywv1BsuMkt4PEKTChp52zj44s2izQ/edit?usp=sharing"",""กาญจนบุรี!R497"")+IMPORTRANGE(""https://docs.google.com/spreadsheets/d/1ddFKvqj1W1NEiWytbGlB1zMx_ykJDVtmfEQ-6-lIUBA/edit?usp=sharing"","&amp;"""จันทบุรี!R497"")+IMPORTRANGE(""https://docs.google.com/spreadsheets/d/1T1PQvRODqOBZk8BRht_U031fIS1beLA0Ub2CEytj2q0/edit?usp=sharing"",""ฉะเชิงเทรา!R497"")+IMPORTRANGE(""https://docs.google.com/spreadsheets/d/11tr1B-Bhyr79v2bkwVh5h_fR-PStkgjlZtkrZpYurG0/"&amp;"edit?usp=sharing"",""ชลบุรี!R497"")+IMPORTRANGE(""https://docs.google.com/spreadsheets/d/1hh-FVnSX0vozXhGluamEcS54Dw9_zqW0N7qJUWgJ0Sw/edit?usp=sharing"",""ชัยนาท!R497"")+IMPORTRANGE(""https://docs.google.com/spreadsheets/d/1jkqa6GXxSacMcY1eN8AHjMNJ_7dDXMJ"&amp;"VRLDlaFSOdPM/edit?usp=sharing"",""ตราด!R497"")+IMPORTRANGE(""https://docs.google.com/spreadsheets/d/18hSgUJ3VwClqi_qtULmmW3cLr0oe3OKaSYoKzdpTsYQ/edit?usp=sharing"",""นครนายก!R497"")+IMPORTRANGE(""https://docs.google.com/spreadsheets/d/1YTZo6WM2dQ6Ix6FSdnL"&amp;"5P7uVnVKu40sxZu975tgG10E/edit?usp=sharing"",""นครปฐม!R497"")+IMPORTRANGE(""https://docs.google.com/spreadsheets/d/1OYoGg4WDg5RIzwGeB10padOxJF9E_Vljuvvct_M7RDo/edit?usp=sharing"",""ปทุมธานี!R497"")+IMPORTRANGE(""https://docs.google.com/spreadsheets/d/1GbCI"&amp;"E4D4wk9FUozzqk7SxfDMxDVBwVmI5zcaVUSzKAc/edit?usp=sharing"",""ประจวบคีรีขันธ์!R497"")+IMPORTRANGE(""https://docs.google.com/spreadsheets/d/1vVf6wykvW_lAyu7Yo9L4hUTqHqIeP_qcVuxCtosJEbg/edit?usp=sharing"",""ปราจีนบุรี!R497"")+IMPORTRANGE(""https://docs.googl"&amp;"e.com/spreadsheets/d/1BIDqLLg5jk3v59G8NlR8rk5xfQDKne0sAvZHSj7TI6I/edit?usp=sharing"",""พระนครศรีอยุธยา!R497"")+IMPORTRANGE(""https://docs.google.com/spreadsheets/d/1YXvxf8Yu6_rV4hTBrwMqAcAnv6DfhUxh5emyM3CJp_w/edit?usp=sharing"",""เพชรบุรี!R497"")+IMPORTRA"&amp;"NGE(""https://docs.google.com/spreadsheets/d/19KBlQQs7uwvsao6t2n-KvW3Ax8J8uRRfZPq1zPbXgKc/edit?usp=sharing"",""ระยอง!R497"")+IMPORTRANGE(""https://docs.google.com/spreadsheets/d/1jQ6P4QcrGM89YfqcC_PxOHGCMq5ezhucwJd8ci-NHng/edit?usp=sharing"",""ราชบุรี!R49"&amp;"7"")+IMPORTRANGE(""https://docs.google.com/spreadsheets/d/1lufeA2cfFqM-elVq2hznhDzC6Pr7wkJ9ZG_sYNGCMCU/edit?usp=sharing"",""ลพบุรี!R497"")+IMPORTRANGE(""https://docs.google.com/spreadsheets/d/10oOiF7loTyfsTkbd4MpaIm0HQ9SwB7IYHdIUvt-U1Uc/edit?usp=sharing"""&amp;",""สระแก้ว!R497"")+IMPORTRANGE(""https://docs.google.com/spreadsheets/d/1xmPlrr1QbdSIKvl1dWUl9K4PjAfSL9oeMr_37QVzcxc/edit?usp=sharing"",""สระบุรี!R497"")+IMPORTRANGE(""https://docs.google.com/spreadsheets/d/1j51vR6CYVGhABJpv6tkstgok82RLpXieLzW1yOY5rHw/edi"&amp;"t?usp=sharing"",""สิงห์บุรี!R497"")+IMPORTRANGE(""https://docs.google.com/spreadsheets/d/1H1EalTWKUSzO4Z1-1CwzoDUaVffgrThEBe2sl74kKG0/edit?usp=sharing"",""สุพรรณบุรี!R497"")+IMPORTRANGE(""https://docs.google.com/spreadsheets/d/1BmIruG_sIrJLYao_Pdr7zVArWsf"&amp;"oBt2692TMi6x_854/edit?usp=sharing"",""อ่างทอง!R497"")"),0)</f>
        <v>0</v>
      </c>
      <c r="S497" s="75">
        <f ca="1">IFERROR(__xludf.DUMMYFUNCTION("IMPORTRANGE(""https://docs.google.com/spreadsheets/d/13wPX838HrBrQMCywv1BsuMkt4PEKTChp52zj44s2izQ/edit?usp=sharing"",""กาญจนบุรี!S497"")+IMPORTRANGE(""https://docs.google.com/spreadsheets/d/1ddFKvqj1W1NEiWytbGlB1zMx_ykJDVtmfEQ-6-lIUBA/edit?usp=sharing"","&amp;"""จันทบุรี!S497"")+IMPORTRANGE(""https://docs.google.com/spreadsheets/d/1T1PQvRODqOBZk8BRht_U031fIS1beLA0Ub2CEytj2q0/edit?usp=sharing"",""ฉะเชิงเทรา!S497"")+IMPORTRANGE(""https://docs.google.com/spreadsheets/d/11tr1B-Bhyr79v2bkwVh5h_fR-PStkgjlZtkrZpYurG0/"&amp;"edit?usp=sharing"",""ชลบุรี!S497"")+IMPORTRANGE(""https://docs.google.com/spreadsheets/d/1hh-FVnSX0vozXhGluamEcS54Dw9_zqW0N7qJUWgJ0Sw/edit?usp=sharing"",""ชัยนาท!S497"")+IMPORTRANGE(""https://docs.google.com/spreadsheets/d/1jkqa6GXxSacMcY1eN8AHjMNJ_7dDXMJ"&amp;"VRLDlaFSOdPM/edit?usp=sharing"",""ตราด!S497"")+IMPORTRANGE(""https://docs.google.com/spreadsheets/d/18hSgUJ3VwClqi_qtULmmW3cLr0oe3OKaSYoKzdpTsYQ/edit?usp=sharing"",""นครนายก!S497"")+IMPORTRANGE(""https://docs.google.com/spreadsheets/d/1YTZo6WM2dQ6Ix6FSdnL"&amp;"5P7uVnVKu40sxZu975tgG10E/edit?usp=sharing"",""นครปฐม!S497"")+IMPORTRANGE(""https://docs.google.com/spreadsheets/d/1OYoGg4WDg5RIzwGeB10padOxJF9E_Vljuvvct_M7RDo/edit?usp=sharing"",""ปทุมธานี!S497"")+IMPORTRANGE(""https://docs.google.com/spreadsheets/d/1GbCI"&amp;"E4D4wk9FUozzqk7SxfDMxDVBwVmI5zcaVUSzKAc/edit?usp=sharing"",""ประจวบคีรีขันธ์!S497"")+IMPORTRANGE(""https://docs.google.com/spreadsheets/d/1vVf6wykvW_lAyu7Yo9L4hUTqHqIeP_qcVuxCtosJEbg/edit?usp=sharing"",""ปราจีนบุรี!S497"")+IMPORTRANGE(""https://docs.googl"&amp;"e.com/spreadsheets/d/1BIDqLLg5jk3v59G8NlR8rk5xfQDKne0sAvZHSj7TI6I/edit?usp=sharing"",""พระนครศรีอยุธยา!S497"")+IMPORTRANGE(""https://docs.google.com/spreadsheets/d/1YXvxf8Yu6_rV4hTBrwMqAcAnv6DfhUxh5emyM3CJp_w/edit?usp=sharing"",""เพชรบุรี!S497"")+IMPORTRA"&amp;"NGE(""https://docs.google.com/spreadsheets/d/19KBlQQs7uwvsao6t2n-KvW3Ax8J8uRRfZPq1zPbXgKc/edit?usp=sharing"",""ระยอง!S497"")+IMPORTRANGE(""https://docs.google.com/spreadsheets/d/1jQ6P4QcrGM89YfqcC_PxOHGCMq5ezhucwJd8ci-NHng/edit?usp=sharing"",""ราชบุรี!S49"&amp;"7"")+IMPORTRANGE(""https://docs.google.com/spreadsheets/d/1lufeA2cfFqM-elVq2hznhDzC6Pr7wkJ9ZG_sYNGCMCU/edit?usp=sharing"",""ลพบุรี!S497"")+IMPORTRANGE(""https://docs.google.com/spreadsheets/d/10oOiF7loTyfsTkbd4MpaIm0HQ9SwB7IYHdIUvt-U1Uc/edit?usp=sharing"""&amp;",""สระแก้ว!S497"")+IMPORTRANGE(""https://docs.google.com/spreadsheets/d/1xmPlrr1QbdSIKvl1dWUl9K4PjAfSL9oeMr_37QVzcxc/edit?usp=sharing"",""สระบุรี!S497"")+IMPORTRANGE(""https://docs.google.com/spreadsheets/d/1j51vR6CYVGhABJpv6tkstgok82RLpXieLzW1yOY5rHw/edi"&amp;"t?usp=sharing"",""สิงห์บุรี!S497"")+IMPORTRANGE(""https://docs.google.com/spreadsheets/d/1H1EalTWKUSzO4Z1-1CwzoDUaVffgrThEBe2sl74kKG0/edit?usp=sharing"",""สุพรรณบุรี!S497"")+IMPORTRANGE(""https://docs.google.com/spreadsheets/d/1BmIruG_sIrJLYao_Pdr7zVArWsf"&amp;"oBt2692TMi6x_854/edit?usp=sharing"",""อ่างทอง!S497"")"),0)</f>
        <v>0</v>
      </c>
      <c r="T497" s="131">
        <f t="shared" ca="1" si="342"/>
        <v>0</v>
      </c>
      <c r="U497" s="131">
        <f t="shared" ca="1" si="343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13wPX838HrBrQMCywv1BsuMkt4PEKTChp52zj44s2izQ/edit?usp=sharing"",""กาญจนบุรี!L498"")+IMPORTRANGE(""https://docs.google.com/spreadsheets/d/1ddFKvqj1W1NEiWytbGlB1zMx_ykJDVtmfEQ-6-lIUBA/edit?usp=sharing"","&amp;"""จันทบุรี!L498"")+IMPORTRANGE(""https://docs.google.com/spreadsheets/d/1T1PQvRODqOBZk8BRht_U031fIS1beLA0Ub2CEytj2q0/edit?usp=sharing"",""ฉะเชิงเทรา!L498"")+IMPORTRANGE(""https://docs.google.com/spreadsheets/d/11tr1B-Bhyr79v2bkwVh5h_fR-PStkgjlZtkrZpYurG0/"&amp;"edit?usp=sharing"",""ชลบุรี!L498"")+IMPORTRANGE(""https://docs.google.com/spreadsheets/d/1hh-FVnSX0vozXhGluamEcS54Dw9_zqW0N7qJUWgJ0Sw/edit?usp=sharing"",""ชัยนาท!L498"")+IMPORTRANGE(""https://docs.google.com/spreadsheets/d/1jkqa6GXxSacMcY1eN8AHjMNJ_7dDXMJ"&amp;"VRLDlaFSOdPM/edit?usp=sharing"",""ตราด!L498"")+IMPORTRANGE(""https://docs.google.com/spreadsheets/d/18hSgUJ3VwClqi_qtULmmW3cLr0oe3OKaSYoKzdpTsYQ/edit?usp=sharing"",""นครนายก!L498"")+IMPORTRANGE(""https://docs.google.com/spreadsheets/d/1YTZo6WM2dQ6Ix6FSdnL"&amp;"5P7uVnVKu40sxZu975tgG10E/edit?usp=sharing"",""นครปฐม!L498"")+IMPORTRANGE(""https://docs.google.com/spreadsheets/d/1OYoGg4WDg5RIzwGeB10padOxJF9E_Vljuvvct_M7RDo/edit?usp=sharing"",""ปทุมธานี!L498"")+IMPORTRANGE(""https://docs.google.com/spreadsheets/d/1GbCI"&amp;"E4D4wk9FUozzqk7SxfDMxDVBwVmI5zcaVUSzKAc/edit?usp=sharing"",""ประจวบคีรีขันธ์!L498"")+IMPORTRANGE(""https://docs.google.com/spreadsheets/d/1vVf6wykvW_lAyu7Yo9L4hUTqHqIeP_qcVuxCtosJEbg/edit?usp=sharing"",""ปราจีนบุรี!L498"")+IMPORTRANGE(""https://docs.googl"&amp;"e.com/spreadsheets/d/1BIDqLLg5jk3v59G8NlR8rk5xfQDKne0sAvZHSj7TI6I/edit?usp=sharing"",""พระนครศรีอยุธยา!L498"")+IMPORTRANGE(""https://docs.google.com/spreadsheets/d/1YXvxf8Yu6_rV4hTBrwMqAcAnv6DfhUxh5emyM3CJp_w/edit?usp=sharing"",""เพชรบุรี!L498"")+IMPORTRA"&amp;"NGE(""https://docs.google.com/spreadsheets/d/19KBlQQs7uwvsao6t2n-KvW3Ax8J8uRRfZPq1zPbXgKc/edit?usp=sharing"",""ระยอง!L498"")+IMPORTRANGE(""https://docs.google.com/spreadsheets/d/1jQ6P4QcrGM89YfqcC_PxOHGCMq5ezhucwJd8ci-NHng/edit?usp=sharing"",""ราชบุรี!L49"&amp;"8"")+IMPORTRANGE(""https://docs.google.com/spreadsheets/d/1lufeA2cfFqM-elVq2hznhDzC6Pr7wkJ9ZG_sYNGCMCU/edit?usp=sharing"",""ลพบุรี!L498"")+IMPORTRANGE(""https://docs.google.com/spreadsheets/d/10oOiF7loTyfsTkbd4MpaIm0HQ9SwB7IYHdIUvt-U1Uc/edit?usp=sharing"""&amp;",""สระแก้ว!L498"")+IMPORTRANGE(""https://docs.google.com/spreadsheets/d/1xmPlrr1QbdSIKvl1dWUl9K4PjAfSL9oeMr_37QVzcxc/edit?usp=sharing"",""สระบุรี!L498"")+IMPORTRANGE(""https://docs.google.com/spreadsheets/d/1j51vR6CYVGhABJpv6tkstgok82RLpXieLzW1yOY5rHw/edi"&amp;"t?usp=sharing"",""สิงห์บุรี!L498"")+IMPORTRANGE(""https://docs.google.com/spreadsheets/d/1H1EalTWKUSzO4Z1-1CwzoDUaVffgrThEBe2sl74kKG0/edit?usp=sharing"",""สุพรรณบุรี!L498"")+IMPORTRANGE(""https://docs.google.com/spreadsheets/d/1BmIruG_sIrJLYao_Pdr7zVArWsf"&amp;"oBt2692TMi6x_854/edit?usp=sharing"",""อ่างทอง!L498"")"),119900)</f>
        <v>119900</v>
      </c>
      <c r="M498" s="72">
        <f ca="1">IFERROR(__xludf.DUMMYFUNCTION("IMPORTRANGE(""https://docs.google.com/spreadsheets/d/13wPX838HrBrQMCywv1BsuMkt4PEKTChp52zj44s2izQ/edit?usp=sharing"",""กาญจนบุรี!M498"")+IMPORTRANGE(""https://docs.google.com/spreadsheets/d/1ddFKvqj1W1NEiWytbGlB1zMx_ykJDVtmfEQ-6-lIUBA/edit?usp=sharing"","&amp;"""จันทบุรี!M498"")+IMPORTRANGE(""https://docs.google.com/spreadsheets/d/1T1PQvRODqOBZk8BRht_U031fIS1beLA0Ub2CEytj2q0/edit?usp=sharing"",""ฉะเชิงเทรา!M498"")+IMPORTRANGE(""https://docs.google.com/spreadsheets/d/11tr1B-Bhyr79v2bkwVh5h_fR-PStkgjlZtkrZpYurG0/"&amp;"edit?usp=sharing"",""ชลบุรี!M498"")+IMPORTRANGE(""https://docs.google.com/spreadsheets/d/1hh-FVnSX0vozXhGluamEcS54Dw9_zqW0N7qJUWgJ0Sw/edit?usp=sharing"",""ชัยนาท!M498"")+IMPORTRANGE(""https://docs.google.com/spreadsheets/d/1jkqa6GXxSacMcY1eN8AHjMNJ_7dDXMJ"&amp;"VRLDlaFSOdPM/edit?usp=sharing"",""ตราด!M498"")+IMPORTRANGE(""https://docs.google.com/spreadsheets/d/18hSgUJ3VwClqi_qtULmmW3cLr0oe3OKaSYoKzdpTsYQ/edit?usp=sharing"",""นครนายก!M498"")+IMPORTRANGE(""https://docs.google.com/spreadsheets/d/1YTZo6WM2dQ6Ix6FSdnL"&amp;"5P7uVnVKu40sxZu975tgG10E/edit?usp=sharing"",""นครปฐม!M498"")+IMPORTRANGE(""https://docs.google.com/spreadsheets/d/1OYoGg4WDg5RIzwGeB10padOxJF9E_Vljuvvct_M7RDo/edit?usp=sharing"",""ปทุมธานี!M498"")+IMPORTRANGE(""https://docs.google.com/spreadsheets/d/1GbCI"&amp;"E4D4wk9FUozzqk7SxfDMxDVBwVmI5zcaVUSzKAc/edit?usp=sharing"",""ประจวบคีรีขันธ์!M498"")+IMPORTRANGE(""https://docs.google.com/spreadsheets/d/1vVf6wykvW_lAyu7Yo9L4hUTqHqIeP_qcVuxCtosJEbg/edit?usp=sharing"",""ปราจีนบุรี!M498"")+IMPORTRANGE(""https://docs.googl"&amp;"e.com/spreadsheets/d/1BIDqLLg5jk3v59G8NlR8rk5xfQDKne0sAvZHSj7TI6I/edit?usp=sharing"",""พระนครศรีอยุธยา!M498"")+IMPORTRANGE(""https://docs.google.com/spreadsheets/d/1YXvxf8Yu6_rV4hTBrwMqAcAnv6DfhUxh5emyM3CJp_w/edit?usp=sharing"",""เพชรบุรี!M498"")+IMPORTRA"&amp;"NGE(""https://docs.google.com/spreadsheets/d/19KBlQQs7uwvsao6t2n-KvW3Ax8J8uRRfZPq1zPbXgKc/edit?usp=sharing"",""ระยอง!M498"")+IMPORTRANGE(""https://docs.google.com/spreadsheets/d/1jQ6P4QcrGM89YfqcC_PxOHGCMq5ezhucwJd8ci-NHng/edit?usp=sharing"",""ราชบุรี!M49"&amp;"8"")+IMPORTRANGE(""https://docs.google.com/spreadsheets/d/1lufeA2cfFqM-elVq2hznhDzC6Pr7wkJ9ZG_sYNGCMCU/edit?usp=sharing"",""ลพบุรี!M498"")+IMPORTRANGE(""https://docs.google.com/spreadsheets/d/10oOiF7loTyfsTkbd4MpaIm0HQ9SwB7IYHdIUvt-U1Uc/edit?usp=sharing"""&amp;",""สระแก้ว!M498"")+IMPORTRANGE(""https://docs.google.com/spreadsheets/d/1xmPlrr1QbdSIKvl1dWUl9K4PjAfSL9oeMr_37QVzcxc/edit?usp=sharing"",""สระบุรี!M498"")+IMPORTRANGE(""https://docs.google.com/spreadsheets/d/1j51vR6CYVGhABJpv6tkstgok82RLpXieLzW1yOY5rHw/edi"&amp;"t?usp=sharing"",""สิงห์บุรี!M498"")+IMPORTRANGE(""https://docs.google.com/spreadsheets/d/1H1EalTWKUSzO4Z1-1CwzoDUaVffgrThEBe2sl74kKG0/edit?usp=sharing"",""สุพรรณบุรี!M498"")+IMPORTRANGE(""https://docs.google.com/spreadsheets/d/1BmIruG_sIrJLYao_Pdr7zVArWsf"&amp;"oBt2692TMi6x_854/edit?usp=sharing"",""อ่างทอง!M498"")"),119900)</f>
        <v>119900</v>
      </c>
      <c r="N498" s="72">
        <f ca="1">IFERROR(__xludf.DUMMYFUNCTION("IMPORTRANGE(""https://docs.google.com/spreadsheets/d/13wPX838HrBrQMCywv1BsuMkt4PEKTChp52zj44s2izQ/edit?usp=sharing"",""กาญจนบุรี!N498"")+IMPORTRANGE(""https://docs.google.com/spreadsheets/d/1ddFKvqj1W1NEiWytbGlB1zMx_ykJDVtmfEQ-6-lIUBA/edit?usp=sharing"","&amp;"""จันทบุรี!N498"")+IMPORTRANGE(""https://docs.google.com/spreadsheets/d/1T1PQvRODqOBZk8BRht_U031fIS1beLA0Ub2CEytj2q0/edit?usp=sharing"",""ฉะเชิงเทรา!N498"")+IMPORTRANGE(""https://docs.google.com/spreadsheets/d/11tr1B-Bhyr79v2bkwVh5h_fR-PStkgjlZtkrZpYurG0/"&amp;"edit?usp=sharing"",""ชลบุรี!N498"")+IMPORTRANGE(""https://docs.google.com/spreadsheets/d/1hh-FVnSX0vozXhGluamEcS54Dw9_zqW0N7qJUWgJ0Sw/edit?usp=sharing"",""ชัยนาท!N498"")+IMPORTRANGE(""https://docs.google.com/spreadsheets/d/1jkqa6GXxSacMcY1eN8AHjMNJ_7dDXMJ"&amp;"VRLDlaFSOdPM/edit?usp=sharing"",""ตราด!N498"")+IMPORTRANGE(""https://docs.google.com/spreadsheets/d/18hSgUJ3VwClqi_qtULmmW3cLr0oe3OKaSYoKzdpTsYQ/edit?usp=sharing"",""นครนายก!N498"")+IMPORTRANGE(""https://docs.google.com/spreadsheets/d/1YTZo6WM2dQ6Ix6FSdnL"&amp;"5P7uVnVKu40sxZu975tgG10E/edit?usp=sharing"",""นครปฐม!N498"")+IMPORTRANGE(""https://docs.google.com/spreadsheets/d/1OYoGg4WDg5RIzwGeB10padOxJF9E_Vljuvvct_M7RDo/edit?usp=sharing"",""ปทุมธานี!N498"")+IMPORTRANGE(""https://docs.google.com/spreadsheets/d/1GbCI"&amp;"E4D4wk9FUozzqk7SxfDMxDVBwVmI5zcaVUSzKAc/edit?usp=sharing"",""ประจวบคีรีขันธ์!N498"")+IMPORTRANGE(""https://docs.google.com/spreadsheets/d/1vVf6wykvW_lAyu7Yo9L4hUTqHqIeP_qcVuxCtosJEbg/edit?usp=sharing"",""ปราจีนบุรี!N498"")+IMPORTRANGE(""https://docs.googl"&amp;"e.com/spreadsheets/d/1BIDqLLg5jk3v59G8NlR8rk5xfQDKne0sAvZHSj7TI6I/edit?usp=sharing"",""พระนครศรีอยุธยา!N498"")+IMPORTRANGE(""https://docs.google.com/spreadsheets/d/1YXvxf8Yu6_rV4hTBrwMqAcAnv6DfhUxh5emyM3CJp_w/edit?usp=sharing"",""เพชรบุรี!N498"")+IMPORTRA"&amp;"NGE(""https://docs.google.com/spreadsheets/d/19KBlQQs7uwvsao6t2n-KvW3Ax8J8uRRfZPq1zPbXgKc/edit?usp=sharing"",""ระยอง!N498"")+IMPORTRANGE(""https://docs.google.com/spreadsheets/d/1jQ6P4QcrGM89YfqcC_PxOHGCMq5ezhucwJd8ci-NHng/edit?usp=sharing"",""ราชบุรี!N49"&amp;"8"")+IMPORTRANGE(""https://docs.google.com/spreadsheets/d/1lufeA2cfFqM-elVq2hznhDzC6Pr7wkJ9ZG_sYNGCMCU/edit?usp=sharing"",""ลพบุรี!N498"")+IMPORTRANGE(""https://docs.google.com/spreadsheets/d/10oOiF7loTyfsTkbd4MpaIm0HQ9SwB7IYHdIUvt-U1Uc/edit?usp=sharing"""&amp;",""สระแก้ว!N498"")+IMPORTRANGE(""https://docs.google.com/spreadsheets/d/1xmPlrr1QbdSIKvl1dWUl9K4PjAfSL9oeMr_37QVzcxc/edit?usp=sharing"",""สระบุรี!N498"")+IMPORTRANGE(""https://docs.google.com/spreadsheets/d/1j51vR6CYVGhABJpv6tkstgok82RLpXieLzW1yOY5rHw/edi"&amp;"t?usp=sharing"",""สิงห์บุรี!N498"")+IMPORTRANGE(""https://docs.google.com/spreadsheets/d/1H1EalTWKUSzO4Z1-1CwzoDUaVffgrThEBe2sl74kKG0/edit?usp=sharing"",""สุพรรณบุรี!N498"")+IMPORTRANGE(""https://docs.google.com/spreadsheets/d/1BmIruG_sIrJLYao_Pdr7zVArWsf"&amp;"oBt2692TMi6x_854/edit?usp=sharing"",""อ่างทอง!N498"")"),37700)</f>
        <v>37700</v>
      </c>
      <c r="O498" s="72">
        <f t="shared" ca="1" si="339"/>
        <v>31.442869057547956</v>
      </c>
      <c r="P498" s="72">
        <f t="shared" ca="1" si="340"/>
        <v>31.442869057547956</v>
      </c>
      <c r="Q498" s="129">
        <f ca="1">IFERROR(__xludf.DUMMYFUNCTION("IMPORTRANGE(""https://docs.google.com/spreadsheets/d/13wPX838HrBrQMCywv1BsuMkt4PEKTChp52zj44s2izQ/edit?usp=sharing"",""กาญจนบุรี!Q498"")+IMPORTRANGE(""https://docs.google.com/spreadsheets/d/1ddFKvqj1W1NEiWytbGlB1zMx_ykJDVtmfEQ-6-lIUBA/edit?usp=sharing"","&amp;"""จันทบุรี!Q498"")+IMPORTRANGE(""https://docs.google.com/spreadsheets/d/1T1PQvRODqOBZk8BRht_U031fIS1beLA0Ub2CEytj2q0/edit?usp=sharing"",""ฉะเชิงเทรา!Q498"")+IMPORTRANGE(""https://docs.google.com/spreadsheets/d/11tr1B-Bhyr79v2bkwVh5h_fR-PStkgjlZtkrZpYurG0/"&amp;"edit?usp=sharing"",""ชลบุรี!Q498"")+IMPORTRANGE(""https://docs.google.com/spreadsheets/d/1hh-FVnSX0vozXhGluamEcS54Dw9_zqW0N7qJUWgJ0Sw/edit?usp=sharing"",""ชัยนาท!Q498"")+IMPORTRANGE(""https://docs.google.com/spreadsheets/d/1jkqa6GXxSacMcY1eN8AHjMNJ_7dDXMJ"&amp;"VRLDlaFSOdPM/edit?usp=sharing"",""ตราด!Q498"")+IMPORTRANGE(""https://docs.google.com/spreadsheets/d/18hSgUJ3VwClqi_qtULmmW3cLr0oe3OKaSYoKzdpTsYQ/edit?usp=sharing"",""นครนายก!Q498"")+IMPORTRANGE(""https://docs.google.com/spreadsheets/d/1YTZo6WM2dQ6Ix6FSdnL"&amp;"5P7uVnVKu40sxZu975tgG10E/edit?usp=sharing"",""นครปฐม!Q498"")+IMPORTRANGE(""https://docs.google.com/spreadsheets/d/1OYoGg4WDg5RIzwGeB10padOxJF9E_Vljuvvct_M7RDo/edit?usp=sharing"",""ปทุมธานี!Q498"")+IMPORTRANGE(""https://docs.google.com/spreadsheets/d/1GbCI"&amp;"E4D4wk9FUozzqk7SxfDMxDVBwVmI5zcaVUSzKAc/edit?usp=sharing"",""ประจวบคีรีขันธ์!Q498"")+IMPORTRANGE(""https://docs.google.com/spreadsheets/d/1vVf6wykvW_lAyu7Yo9L4hUTqHqIeP_qcVuxCtosJEbg/edit?usp=sharing"",""ปราจีนบุรี!Q498"")+IMPORTRANGE(""https://docs.googl"&amp;"e.com/spreadsheets/d/1BIDqLLg5jk3v59G8NlR8rk5xfQDKne0sAvZHSj7TI6I/edit?usp=sharing"",""พระนครศรีอยุธยา!Q498"")+IMPORTRANGE(""https://docs.google.com/spreadsheets/d/1YXvxf8Yu6_rV4hTBrwMqAcAnv6DfhUxh5emyM3CJp_w/edit?usp=sharing"",""เพชรบุรี!Q498"")+IMPORTRA"&amp;"NGE(""https://docs.google.com/spreadsheets/d/19KBlQQs7uwvsao6t2n-KvW3Ax8J8uRRfZPq1zPbXgKc/edit?usp=sharing"",""ระยอง!Q498"")+IMPORTRANGE(""https://docs.google.com/spreadsheets/d/1jQ6P4QcrGM89YfqcC_PxOHGCMq5ezhucwJd8ci-NHng/edit?usp=sharing"",""ราชบุรี!Q49"&amp;"8"")+IMPORTRANGE(""https://docs.google.com/spreadsheets/d/1lufeA2cfFqM-elVq2hznhDzC6Pr7wkJ9ZG_sYNGCMCU/edit?usp=sharing"",""ลพบุรี!Q498"")+IMPORTRANGE(""https://docs.google.com/spreadsheets/d/10oOiF7loTyfsTkbd4MpaIm0HQ9SwB7IYHdIUvt-U1Uc/edit?usp=sharing"""&amp;",""สระแก้ว!Q498"")+IMPORTRANGE(""https://docs.google.com/spreadsheets/d/1xmPlrr1QbdSIKvl1dWUl9K4PjAfSL9oeMr_37QVzcxc/edit?usp=sharing"",""สระบุรี!Q498"")+IMPORTRANGE(""https://docs.google.com/spreadsheets/d/1j51vR6CYVGhABJpv6tkstgok82RLpXieLzW1yOY5rHw/edi"&amp;"t?usp=sharing"",""สิงห์บุรี!Q498"")+IMPORTRANGE(""https://docs.google.com/spreadsheets/d/1H1EalTWKUSzO4Z1-1CwzoDUaVffgrThEBe2sl74kKG0/edit?usp=sharing"",""สุพรรณบุรี!Q498"")+IMPORTRANGE(""https://docs.google.com/spreadsheets/d/1BmIruG_sIrJLYao_Pdr7zVArWsf"&amp;"oBt2692TMi6x_854/edit?usp=sharing"",""อ่างทอง!Q498"")"),2234495)</f>
        <v>2234495</v>
      </c>
      <c r="R498" s="130">
        <f ca="1">IFERROR(__xludf.DUMMYFUNCTION("IMPORTRANGE(""https://docs.google.com/spreadsheets/d/13wPX838HrBrQMCywv1BsuMkt4PEKTChp52zj44s2izQ/edit?usp=sharing"",""กาญจนบุรี!R498"")+IMPORTRANGE(""https://docs.google.com/spreadsheets/d/1ddFKvqj1W1NEiWytbGlB1zMx_ykJDVtmfEQ-6-lIUBA/edit?usp=sharing"","&amp;"""จันทบุรี!R498"")+IMPORTRANGE(""https://docs.google.com/spreadsheets/d/1T1PQvRODqOBZk8BRht_U031fIS1beLA0Ub2CEytj2q0/edit?usp=sharing"",""ฉะเชิงเทรา!R498"")+IMPORTRANGE(""https://docs.google.com/spreadsheets/d/11tr1B-Bhyr79v2bkwVh5h_fR-PStkgjlZtkrZpYurG0/"&amp;"edit?usp=sharing"",""ชลบุรี!R498"")+IMPORTRANGE(""https://docs.google.com/spreadsheets/d/1hh-FVnSX0vozXhGluamEcS54Dw9_zqW0N7qJUWgJ0Sw/edit?usp=sharing"",""ชัยนาท!R498"")+IMPORTRANGE(""https://docs.google.com/spreadsheets/d/1jkqa6GXxSacMcY1eN8AHjMNJ_7dDXMJ"&amp;"VRLDlaFSOdPM/edit?usp=sharing"",""ตราด!R498"")+IMPORTRANGE(""https://docs.google.com/spreadsheets/d/18hSgUJ3VwClqi_qtULmmW3cLr0oe3OKaSYoKzdpTsYQ/edit?usp=sharing"",""นครนายก!R498"")+IMPORTRANGE(""https://docs.google.com/spreadsheets/d/1YTZo6WM2dQ6Ix6FSdnL"&amp;"5P7uVnVKu40sxZu975tgG10E/edit?usp=sharing"",""นครปฐม!R498"")+IMPORTRANGE(""https://docs.google.com/spreadsheets/d/1OYoGg4WDg5RIzwGeB10padOxJF9E_Vljuvvct_M7RDo/edit?usp=sharing"",""ปทุมธานี!R498"")+IMPORTRANGE(""https://docs.google.com/spreadsheets/d/1GbCI"&amp;"E4D4wk9FUozzqk7SxfDMxDVBwVmI5zcaVUSzKAc/edit?usp=sharing"",""ประจวบคีรีขันธ์!R498"")+IMPORTRANGE(""https://docs.google.com/spreadsheets/d/1vVf6wykvW_lAyu7Yo9L4hUTqHqIeP_qcVuxCtosJEbg/edit?usp=sharing"",""ปราจีนบุรี!R498"")+IMPORTRANGE(""https://docs.googl"&amp;"e.com/spreadsheets/d/1BIDqLLg5jk3v59G8NlR8rk5xfQDKne0sAvZHSj7TI6I/edit?usp=sharing"",""พระนครศรีอยุธยา!R498"")+IMPORTRANGE(""https://docs.google.com/spreadsheets/d/1YXvxf8Yu6_rV4hTBrwMqAcAnv6DfhUxh5emyM3CJp_w/edit?usp=sharing"",""เพชรบุรี!R498"")+IMPORTRA"&amp;"NGE(""https://docs.google.com/spreadsheets/d/19KBlQQs7uwvsao6t2n-KvW3Ax8J8uRRfZPq1zPbXgKc/edit?usp=sharing"",""ระยอง!R498"")+IMPORTRANGE(""https://docs.google.com/spreadsheets/d/1jQ6P4QcrGM89YfqcC_PxOHGCMq5ezhucwJd8ci-NHng/edit?usp=sharing"",""ราชบุรี!R49"&amp;"8"")+IMPORTRANGE(""https://docs.google.com/spreadsheets/d/1lufeA2cfFqM-elVq2hznhDzC6Pr7wkJ9ZG_sYNGCMCU/edit?usp=sharing"",""ลพบุรี!R498"")+IMPORTRANGE(""https://docs.google.com/spreadsheets/d/10oOiF7loTyfsTkbd4MpaIm0HQ9SwB7IYHdIUvt-U1Uc/edit?usp=sharing"""&amp;",""สระแก้ว!R498"")+IMPORTRANGE(""https://docs.google.com/spreadsheets/d/1xmPlrr1QbdSIKvl1dWUl9K4PjAfSL9oeMr_37QVzcxc/edit?usp=sharing"",""สระบุรี!R498"")+IMPORTRANGE(""https://docs.google.com/spreadsheets/d/1j51vR6CYVGhABJpv6tkstgok82RLpXieLzW1yOY5rHw/edi"&amp;"t?usp=sharing"",""สิงห์บุรี!R498"")+IMPORTRANGE(""https://docs.google.com/spreadsheets/d/1H1EalTWKUSzO4Z1-1CwzoDUaVffgrThEBe2sl74kKG0/edit?usp=sharing"",""สุพรรณบุรี!R498"")+IMPORTRANGE(""https://docs.google.com/spreadsheets/d/1BmIruG_sIrJLYao_Pdr7zVArWsf"&amp;"oBt2692TMi6x_854/edit?usp=sharing"",""อ่างทอง!R498"")"),2257595)</f>
        <v>2257595</v>
      </c>
      <c r="S498" s="130">
        <f ca="1">IFERROR(__xludf.DUMMYFUNCTION("IMPORTRANGE(""https://docs.google.com/spreadsheets/d/13wPX838HrBrQMCywv1BsuMkt4PEKTChp52zj44s2izQ/edit?usp=sharing"",""กาญจนบุรี!S498"")+IMPORTRANGE(""https://docs.google.com/spreadsheets/d/1ddFKvqj1W1NEiWytbGlB1zMx_ykJDVtmfEQ-6-lIUBA/edit?usp=sharing"","&amp;"""จันทบุรี!S498"")+IMPORTRANGE(""https://docs.google.com/spreadsheets/d/1T1PQvRODqOBZk8BRht_U031fIS1beLA0Ub2CEytj2q0/edit?usp=sharing"",""ฉะเชิงเทรา!S498"")+IMPORTRANGE(""https://docs.google.com/spreadsheets/d/11tr1B-Bhyr79v2bkwVh5h_fR-PStkgjlZtkrZpYurG0/"&amp;"edit?usp=sharing"",""ชลบุรี!S498"")+IMPORTRANGE(""https://docs.google.com/spreadsheets/d/1hh-FVnSX0vozXhGluamEcS54Dw9_zqW0N7qJUWgJ0Sw/edit?usp=sharing"",""ชัยนาท!S498"")+IMPORTRANGE(""https://docs.google.com/spreadsheets/d/1jkqa6GXxSacMcY1eN8AHjMNJ_7dDXMJ"&amp;"VRLDlaFSOdPM/edit?usp=sharing"",""ตราด!S498"")+IMPORTRANGE(""https://docs.google.com/spreadsheets/d/18hSgUJ3VwClqi_qtULmmW3cLr0oe3OKaSYoKzdpTsYQ/edit?usp=sharing"",""นครนายก!S498"")+IMPORTRANGE(""https://docs.google.com/spreadsheets/d/1YTZo6WM2dQ6Ix6FSdnL"&amp;"5P7uVnVKu40sxZu975tgG10E/edit?usp=sharing"",""นครปฐม!S498"")+IMPORTRANGE(""https://docs.google.com/spreadsheets/d/1OYoGg4WDg5RIzwGeB10padOxJF9E_Vljuvvct_M7RDo/edit?usp=sharing"",""ปทุมธานี!S498"")+IMPORTRANGE(""https://docs.google.com/spreadsheets/d/1GbCI"&amp;"E4D4wk9FUozzqk7SxfDMxDVBwVmI5zcaVUSzKAc/edit?usp=sharing"",""ประจวบคีรีขันธ์!S498"")+IMPORTRANGE(""https://docs.google.com/spreadsheets/d/1vVf6wykvW_lAyu7Yo9L4hUTqHqIeP_qcVuxCtosJEbg/edit?usp=sharing"",""ปราจีนบุรี!S498"")+IMPORTRANGE(""https://docs.googl"&amp;"e.com/spreadsheets/d/1BIDqLLg5jk3v59G8NlR8rk5xfQDKne0sAvZHSj7TI6I/edit?usp=sharing"",""พระนครศรีอยุธยา!S498"")+IMPORTRANGE(""https://docs.google.com/spreadsheets/d/1YXvxf8Yu6_rV4hTBrwMqAcAnv6DfhUxh5emyM3CJp_w/edit?usp=sharing"",""เพชรบุรี!S498"")+IMPORTRA"&amp;"NGE(""https://docs.google.com/spreadsheets/d/19KBlQQs7uwvsao6t2n-KvW3Ax8J8uRRfZPq1zPbXgKc/edit?usp=sharing"",""ระยอง!S498"")+IMPORTRANGE(""https://docs.google.com/spreadsheets/d/1jQ6P4QcrGM89YfqcC_PxOHGCMq5ezhucwJd8ci-NHng/edit?usp=sharing"",""ราชบุรี!S49"&amp;"8"")+IMPORTRANGE(""https://docs.google.com/spreadsheets/d/1lufeA2cfFqM-elVq2hznhDzC6Pr7wkJ9ZG_sYNGCMCU/edit?usp=sharing"",""ลพบุรี!S498"")+IMPORTRANGE(""https://docs.google.com/spreadsheets/d/10oOiF7loTyfsTkbd4MpaIm0HQ9SwB7IYHdIUvt-U1Uc/edit?usp=sharing"""&amp;",""สระแก้ว!S498"")+IMPORTRANGE(""https://docs.google.com/spreadsheets/d/1xmPlrr1QbdSIKvl1dWUl9K4PjAfSL9oeMr_37QVzcxc/edit?usp=sharing"",""สระบุรี!S498"")+IMPORTRANGE(""https://docs.google.com/spreadsheets/d/1j51vR6CYVGhABJpv6tkstgok82RLpXieLzW1yOY5rHw/edi"&amp;"t?usp=sharing"",""สิงห์บุรี!S498"")+IMPORTRANGE(""https://docs.google.com/spreadsheets/d/1H1EalTWKUSzO4Z1-1CwzoDUaVffgrThEBe2sl74kKG0/edit?usp=sharing"",""สุพรรณบุรี!S498"")+IMPORTRANGE(""https://docs.google.com/spreadsheets/d/1BmIruG_sIrJLYao_Pdr7zVArWsf"&amp;"oBt2692TMi6x_854/edit?usp=sharing"",""อ่างทอง!S498"")"),751727.169999999)</f>
        <v>751727.16999999899</v>
      </c>
      <c r="T498" s="130">
        <f t="shared" ca="1" si="342"/>
        <v>33.641926699321274</v>
      </c>
      <c r="U498" s="130">
        <f t="shared" ca="1" si="343"/>
        <v>33.297698214250076</v>
      </c>
    </row>
    <row r="499" spans="1:21" ht="18.75" x14ac:dyDescent="0.25">
      <c r="A499" s="255"/>
      <c r="B499" s="267"/>
      <c r="C499" s="267"/>
      <c r="D499" s="27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t="shared" ref="L499:N499" ca="1" si="350">L500+L501</f>
        <v>0</v>
      </c>
      <c r="M499" s="72">
        <f t="shared" ca="1" si="350"/>
        <v>0</v>
      </c>
      <c r="N499" s="72">
        <f t="shared" ca="1" si="350"/>
        <v>0</v>
      </c>
      <c r="O499" s="72">
        <f t="shared" ca="1" si="339"/>
        <v>0</v>
      </c>
      <c r="P499" s="72">
        <f t="shared" ca="1" si="340"/>
        <v>0</v>
      </c>
      <c r="Q499" s="129">
        <f t="shared" ref="Q499:S499" ca="1" si="351">Q500+Q501</f>
        <v>0</v>
      </c>
      <c r="R499" s="130">
        <f t="shared" ca="1" si="351"/>
        <v>0</v>
      </c>
      <c r="S499" s="130">
        <f t="shared" ca="1" si="351"/>
        <v>0</v>
      </c>
      <c r="T499" s="130">
        <f t="shared" ca="1" si="342"/>
        <v>0</v>
      </c>
      <c r="U499" s="130">
        <f t="shared" ca="1" si="343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f ca="1">IFERROR(__xludf.DUMMYFUNCTION("IMPORTRANGE(""https://docs.google.com/spreadsheets/d/13wPX838HrBrQMCywv1BsuMkt4PEKTChp52zj44s2izQ/edit?usp=sharing"",""กาญจนบุรี!L500"")+IMPORTRANGE(""https://docs.google.com/spreadsheets/d/1ddFKvqj1W1NEiWytbGlB1zMx_ykJDVtmfEQ-6-lIUBA/edit?usp=sharing"","&amp;"""จันทบุรี!L500"")+IMPORTRANGE(""https://docs.google.com/spreadsheets/d/1T1PQvRODqOBZk8BRht_U031fIS1beLA0Ub2CEytj2q0/edit?usp=sharing"",""ฉะเชิงเทรา!L500"")+IMPORTRANGE(""https://docs.google.com/spreadsheets/d/11tr1B-Bhyr79v2bkwVh5h_fR-PStkgjlZtkrZpYurG0/"&amp;"edit?usp=sharing"",""ชลบุรี!L500"")+IMPORTRANGE(""https://docs.google.com/spreadsheets/d/1hh-FVnSX0vozXhGluamEcS54Dw9_zqW0N7qJUWgJ0Sw/edit?usp=sharing"",""ชัยนาท!L500"")+IMPORTRANGE(""https://docs.google.com/spreadsheets/d/1jkqa6GXxSacMcY1eN8AHjMNJ_7dDXMJ"&amp;"VRLDlaFSOdPM/edit?usp=sharing"",""ตราด!L500"")+IMPORTRANGE(""https://docs.google.com/spreadsheets/d/18hSgUJ3VwClqi_qtULmmW3cLr0oe3OKaSYoKzdpTsYQ/edit?usp=sharing"",""นครนายก!L500"")+IMPORTRANGE(""https://docs.google.com/spreadsheets/d/1YTZo6WM2dQ6Ix6FSdnL"&amp;"5P7uVnVKu40sxZu975tgG10E/edit?usp=sharing"",""นครปฐม!L500"")+IMPORTRANGE(""https://docs.google.com/spreadsheets/d/1OYoGg4WDg5RIzwGeB10padOxJF9E_Vljuvvct_M7RDo/edit?usp=sharing"",""ปทุมธานี!L500"")+IMPORTRANGE(""https://docs.google.com/spreadsheets/d/1GbCI"&amp;"E4D4wk9FUozzqk7SxfDMxDVBwVmI5zcaVUSzKAc/edit?usp=sharing"",""ประจวบคีรีขันธ์!L500"")+IMPORTRANGE(""https://docs.google.com/spreadsheets/d/1vVf6wykvW_lAyu7Yo9L4hUTqHqIeP_qcVuxCtosJEbg/edit?usp=sharing"",""ปราจีนบุรี!L500"")+IMPORTRANGE(""https://docs.googl"&amp;"e.com/spreadsheets/d/1BIDqLLg5jk3v59G8NlR8rk5xfQDKne0sAvZHSj7TI6I/edit?usp=sharing"",""พระนครศรีอยุธยา!L500"")+IMPORTRANGE(""https://docs.google.com/spreadsheets/d/1YXvxf8Yu6_rV4hTBrwMqAcAnv6DfhUxh5emyM3CJp_w/edit?usp=sharing"",""เพชรบุรี!L500"")+IMPORTRA"&amp;"NGE(""https://docs.google.com/spreadsheets/d/19KBlQQs7uwvsao6t2n-KvW3Ax8J8uRRfZPq1zPbXgKc/edit?usp=sharing"",""ระยอง!L500"")+IMPORTRANGE(""https://docs.google.com/spreadsheets/d/1jQ6P4QcrGM89YfqcC_PxOHGCMq5ezhucwJd8ci-NHng/edit?usp=sharing"",""ราชบุรี!L50"&amp;"0"")+IMPORTRANGE(""https://docs.google.com/spreadsheets/d/1lufeA2cfFqM-elVq2hznhDzC6Pr7wkJ9ZG_sYNGCMCU/edit?usp=sharing"",""ลพบุรี!L500"")+IMPORTRANGE(""https://docs.google.com/spreadsheets/d/10oOiF7loTyfsTkbd4MpaIm0HQ9SwB7IYHdIUvt-U1Uc/edit?usp=sharing"""&amp;",""สระแก้ว!L500"")+IMPORTRANGE(""https://docs.google.com/spreadsheets/d/1xmPlrr1QbdSIKvl1dWUl9K4PjAfSL9oeMr_37QVzcxc/edit?usp=sharing"",""สระบุรี!L500"")+IMPORTRANGE(""https://docs.google.com/spreadsheets/d/1j51vR6CYVGhABJpv6tkstgok82RLpXieLzW1yOY5rHw/edi"&amp;"t?usp=sharing"",""สิงห์บุรี!L500"")+IMPORTRANGE(""https://docs.google.com/spreadsheets/d/1H1EalTWKUSzO4Z1-1CwzoDUaVffgrThEBe2sl74kKG0/edit?usp=sharing"",""สุพรรณบุรี!L500"")+IMPORTRANGE(""https://docs.google.com/spreadsheets/d/1BmIruG_sIrJLYao_Pdr7zVArWsf"&amp;"oBt2692TMi6x_854/edit?usp=sharing"",""อ่างทอง!L500"")"),0)</f>
        <v>0</v>
      </c>
      <c r="M500" s="75">
        <f ca="1">IFERROR(__xludf.DUMMYFUNCTION("IMPORTRANGE(""https://docs.google.com/spreadsheets/d/13wPX838HrBrQMCywv1BsuMkt4PEKTChp52zj44s2izQ/edit?usp=sharing"",""กาญจนบุรี!M500"")+IMPORTRANGE(""https://docs.google.com/spreadsheets/d/1ddFKvqj1W1NEiWytbGlB1zMx_ykJDVtmfEQ-6-lIUBA/edit?usp=sharing"","&amp;"""จันทบุรี!M500"")+IMPORTRANGE(""https://docs.google.com/spreadsheets/d/1T1PQvRODqOBZk8BRht_U031fIS1beLA0Ub2CEytj2q0/edit?usp=sharing"",""ฉะเชิงเทรา!M500"")+IMPORTRANGE(""https://docs.google.com/spreadsheets/d/11tr1B-Bhyr79v2bkwVh5h_fR-PStkgjlZtkrZpYurG0/"&amp;"edit?usp=sharing"",""ชลบุรี!M500"")+IMPORTRANGE(""https://docs.google.com/spreadsheets/d/1hh-FVnSX0vozXhGluamEcS54Dw9_zqW0N7qJUWgJ0Sw/edit?usp=sharing"",""ชัยนาท!M500"")+IMPORTRANGE(""https://docs.google.com/spreadsheets/d/1jkqa6GXxSacMcY1eN8AHjMNJ_7dDXMJ"&amp;"VRLDlaFSOdPM/edit?usp=sharing"",""ตราด!M500"")+IMPORTRANGE(""https://docs.google.com/spreadsheets/d/18hSgUJ3VwClqi_qtULmmW3cLr0oe3OKaSYoKzdpTsYQ/edit?usp=sharing"",""นครนายก!M500"")+IMPORTRANGE(""https://docs.google.com/spreadsheets/d/1YTZo6WM2dQ6Ix6FSdnL"&amp;"5P7uVnVKu40sxZu975tgG10E/edit?usp=sharing"",""นครปฐม!M500"")+IMPORTRANGE(""https://docs.google.com/spreadsheets/d/1OYoGg4WDg5RIzwGeB10padOxJF9E_Vljuvvct_M7RDo/edit?usp=sharing"",""ปทุมธานี!M500"")+IMPORTRANGE(""https://docs.google.com/spreadsheets/d/1GbCI"&amp;"E4D4wk9FUozzqk7SxfDMxDVBwVmI5zcaVUSzKAc/edit?usp=sharing"",""ประจวบคีรีขันธ์!M500"")+IMPORTRANGE(""https://docs.google.com/spreadsheets/d/1vVf6wykvW_lAyu7Yo9L4hUTqHqIeP_qcVuxCtosJEbg/edit?usp=sharing"",""ปราจีนบุรี!M500"")+IMPORTRANGE(""https://docs.googl"&amp;"e.com/spreadsheets/d/1BIDqLLg5jk3v59G8NlR8rk5xfQDKne0sAvZHSj7TI6I/edit?usp=sharing"",""พระนครศรีอยุธยา!M500"")+IMPORTRANGE(""https://docs.google.com/spreadsheets/d/1YXvxf8Yu6_rV4hTBrwMqAcAnv6DfhUxh5emyM3CJp_w/edit?usp=sharing"",""เพชรบุรี!M500"")+IMPORTRA"&amp;"NGE(""https://docs.google.com/spreadsheets/d/19KBlQQs7uwvsao6t2n-KvW3Ax8J8uRRfZPq1zPbXgKc/edit?usp=sharing"",""ระยอง!M500"")+IMPORTRANGE(""https://docs.google.com/spreadsheets/d/1jQ6P4QcrGM89YfqcC_PxOHGCMq5ezhucwJd8ci-NHng/edit?usp=sharing"",""ราชบุรี!M50"&amp;"0"")+IMPORTRANGE(""https://docs.google.com/spreadsheets/d/1lufeA2cfFqM-elVq2hznhDzC6Pr7wkJ9ZG_sYNGCMCU/edit?usp=sharing"",""ลพบุรี!M500"")+IMPORTRANGE(""https://docs.google.com/spreadsheets/d/10oOiF7loTyfsTkbd4MpaIm0HQ9SwB7IYHdIUvt-U1Uc/edit?usp=sharing"""&amp;",""สระแก้ว!M500"")+IMPORTRANGE(""https://docs.google.com/spreadsheets/d/1xmPlrr1QbdSIKvl1dWUl9K4PjAfSL9oeMr_37QVzcxc/edit?usp=sharing"",""สระบุรี!M500"")+IMPORTRANGE(""https://docs.google.com/spreadsheets/d/1j51vR6CYVGhABJpv6tkstgok82RLpXieLzW1yOY5rHw/edi"&amp;"t?usp=sharing"",""สิงห์บุรี!M500"")+IMPORTRANGE(""https://docs.google.com/spreadsheets/d/1H1EalTWKUSzO4Z1-1CwzoDUaVffgrThEBe2sl74kKG0/edit?usp=sharing"",""สุพรรณบุรี!M500"")+IMPORTRANGE(""https://docs.google.com/spreadsheets/d/1BmIruG_sIrJLYao_Pdr7zVArWsf"&amp;"oBt2692TMi6x_854/edit?usp=sharing"",""อ่างทอง!M500"")"),0)</f>
        <v>0</v>
      </c>
      <c r="N500" s="75">
        <f ca="1">IFERROR(__xludf.DUMMYFUNCTION("IMPORTRANGE(""https://docs.google.com/spreadsheets/d/13wPX838HrBrQMCywv1BsuMkt4PEKTChp52zj44s2izQ/edit?usp=sharing"",""กาญจนบุรี!N500"")+IMPORTRANGE(""https://docs.google.com/spreadsheets/d/1ddFKvqj1W1NEiWytbGlB1zMx_ykJDVtmfEQ-6-lIUBA/edit?usp=sharing"","&amp;"""จันทบุรี!N500"")+IMPORTRANGE(""https://docs.google.com/spreadsheets/d/1T1PQvRODqOBZk8BRht_U031fIS1beLA0Ub2CEytj2q0/edit?usp=sharing"",""ฉะเชิงเทรา!N500"")+IMPORTRANGE(""https://docs.google.com/spreadsheets/d/11tr1B-Bhyr79v2bkwVh5h_fR-PStkgjlZtkrZpYurG0/"&amp;"edit?usp=sharing"",""ชลบุรี!N500"")+IMPORTRANGE(""https://docs.google.com/spreadsheets/d/1hh-FVnSX0vozXhGluamEcS54Dw9_zqW0N7qJUWgJ0Sw/edit?usp=sharing"",""ชัยนาท!N500"")+IMPORTRANGE(""https://docs.google.com/spreadsheets/d/1jkqa6GXxSacMcY1eN8AHjMNJ_7dDXMJ"&amp;"VRLDlaFSOdPM/edit?usp=sharing"",""ตราด!N500"")+IMPORTRANGE(""https://docs.google.com/spreadsheets/d/18hSgUJ3VwClqi_qtULmmW3cLr0oe3OKaSYoKzdpTsYQ/edit?usp=sharing"",""นครนายก!N500"")+IMPORTRANGE(""https://docs.google.com/spreadsheets/d/1YTZo6WM2dQ6Ix6FSdnL"&amp;"5P7uVnVKu40sxZu975tgG10E/edit?usp=sharing"",""นครปฐม!N500"")+IMPORTRANGE(""https://docs.google.com/spreadsheets/d/1OYoGg4WDg5RIzwGeB10padOxJF9E_Vljuvvct_M7RDo/edit?usp=sharing"",""ปทุมธานี!N500"")+IMPORTRANGE(""https://docs.google.com/spreadsheets/d/1GbCI"&amp;"E4D4wk9FUozzqk7SxfDMxDVBwVmI5zcaVUSzKAc/edit?usp=sharing"",""ประจวบคีรีขันธ์!N500"")+IMPORTRANGE(""https://docs.google.com/spreadsheets/d/1vVf6wykvW_lAyu7Yo9L4hUTqHqIeP_qcVuxCtosJEbg/edit?usp=sharing"",""ปราจีนบุรี!N500"")+IMPORTRANGE(""https://docs.googl"&amp;"e.com/spreadsheets/d/1BIDqLLg5jk3v59G8NlR8rk5xfQDKne0sAvZHSj7TI6I/edit?usp=sharing"",""พระนครศรีอยุธยา!N500"")+IMPORTRANGE(""https://docs.google.com/spreadsheets/d/1YXvxf8Yu6_rV4hTBrwMqAcAnv6DfhUxh5emyM3CJp_w/edit?usp=sharing"",""เพชรบุรี!N500"")+IMPORTRA"&amp;"NGE(""https://docs.google.com/spreadsheets/d/19KBlQQs7uwvsao6t2n-KvW3Ax8J8uRRfZPq1zPbXgKc/edit?usp=sharing"",""ระยอง!N500"")+IMPORTRANGE(""https://docs.google.com/spreadsheets/d/1jQ6P4QcrGM89YfqcC_PxOHGCMq5ezhucwJd8ci-NHng/edit?usp=sharing"",""ราชบุรี!N50"&amp;"0"")+IMPORTRANGE(""https://docs.google.com/spreadsheets/d/1lufeA2cfFqM-elVq2hznhDzC6Pr7wkJ9ZG_sYNGCMCU/edit?usp=sharing"",""ลพบุรี!N500"")+IMPORTRANGE(""https://docs.google.com/spreadsheets/d/10oOiF7loTyfsTkbd4MpaIm0HQ9SwB7IYHdIUvt-U1Uc/edit?usp=sharing"""&amp;",""สระแก้ว!N500"")+IMPORTRANGE(""https://docs.google.com/spreadsheets/d/1xmPlrr1QbdSIKvl1dWUl9K4PjAfSL9oeMr_37QVzcxc/edit?usp=sharing"",""สระบุรี!N500"")+IMPORTRANGE(""https://docs.google.com/spreadsheets/d/1j51vR6CYVGhABJpv6tkstgok82RLpXieLzW1yOY5rHw/edi"&amp;"t?usp=sharing"",""สิงห์บุรี!N500"")+IMPORTRANGE(""https://docs.google.com/spreadsheets/d/1H1EalTWKUSzO4Z1-1CwzoDUaVffgrThEBe2sl74kKG0/edit?usp=sharing"",""สุพรรณบุรี!N500"")+IMPORTRANGE(""https://docs.google.com/spreadsheets/d/1BmIruG_sIrJLYao_Pdr7zVArWsf"&amp;"oBt2692TMi6x_854/edit?usp=sharing"",""อ่างทอง!N500"")"),0)</f>
        <v>0</v>
      </c>
      <c r="O500" s="75">
        <f t="shared" ca="1" si="339"/>
        <v>0</v>
      </c>
      <c r="P500" s="75">
        <f t="shared" ca="1" si="340"/>
        <v>0</v>
      </c>
      <c r="Q500" s="74">
        <f ca="1">IFERROR(__xludf.DUMMYFUNCTION("IMPORTRANGE(""https://docs.google.com/spreadsheets/d/13wPX838HrBrQMCywv1BsuMkt4PEKTChp52zj44s2izQ/edit?usp=sharing"",""กาญจนบุรี!Q500"")+IMPORTRANGE(""https://docs.google.com/spreadsheets/d/1ddFKvqj1W1NEiWytbGlB1zMx_ykJDVtmfEQ-6-lIUBA/edit?usp=sharing"","&amp;"""จันทบุรี!Q500"")+IMPORTRANGE(""https://docs.google.com/spreadsheets/d/1T1PQvRODqOBZk8BRht_U031fIS1beLA0Ub2CEytj2q0/edit?usp=sharing"",""ฉะเชิงเทรา!Q500"")+IMPORTRANGE(""https://docs.google.com/spreadsheets/d/11tr1B-Bhyr79v2bkwVh5h_fR-PStkgjlZtkrZpYurG0/"&amp;"edit?usp=sharing"",""ชลบุรี!Q500"")+IMPORTRANGE(""https://docs.google.com/spreadsheets/d/1hh-FVnSX0vozXhGluamEcS54Dw9_zqW0N7qJUWgJ0Sw/edit?usp=sharing"",""ชัยนาท!Q500"")+IMPORTRANGE(""https://docs.google.com/spreadsheets/d/1jkqa6GXxSacMcY1eN8AHjMNJ_7dDXMJ"&amp;"VRLDlaFSOdPM/edit?usp=sharing"",""ตราด!Q500"")+IMPORTRANGE(""https://docs.google.com/spreadsheets/d/18hSgUJ3VwClqi_qtULmmW3cLr0oe3OKaSYoKzdpTsYQ/edit?usp=sharing"",""นครนายก!Q500"")+IMPORTRANGE(""https://docs.google.com/spreadsheets/d/1YTZo6WM2dQ6Ix6FSdnL"&amp;"5P7uVnVKu40sxZu975tgG10E/edit?usp=sharing"",""นครปฐม!Q500"")+IMPORTRANGE(""https://docs.google.com/spreadsheets/d/1OYoGg4WDg5RIzwGeB10padOxJF9E_Vljuvvct_M7RDo/edit?usp=sharing"",""ปทุมธานี!Q500"")+IMPORTRANGE(""https://docs.google.com/spreadsheets/d/1GbCI"&amp;"E4D4wk9FUozzqk7SxfDMxDVBwVmI5zcaVUSzKAc/edit?usp=sharing"",""ประจวบคีรีขันธ์!Q500"")+IMPORTRANGE(""https://docs.google.com/spreadsheets/d/1vVf6wykvW_lAyu7Yo9L4hUTqHqIeP_qcVuxCtosJEbg/edit?usp=sharing"",""ปราจีนบุรี!Q500"")+IMPORTRANGE(""https://docs.googl"&amp;"e.com/spreadsheets/d/1BIDqLLg5jk3v59G8NlR8rk5xfQDKne0sAvZHSj7TI6I/edit?usp=sharing"",""พระนครศรีอยุธยา!Q500"")+IMPORTRANGE(""https://docs.google.com/spreadsheets/d/1YXvxf8Yu6_rV4hTBrwMqAcAnv6DfhUxh5emyM3CJp_w/edit?usp=sharing"",""เพชรบุรี!Q500"")+IMPORTRA"&amp;"NGE(""https://docs.google.com/spreadsheets/d/19KBlQQs7uwvsao6t2n-KvW3Ax8J8uRRfZPq1zPbXgKc/edit?usp=sharing"",""ระยอง!Q500"")+IMPORTRANGE(""https://docs.google.com/spreadsheets/d/1jQ6P4QcrGM89YfqcC_PxOHGCMq5ezhucwJd8ci-NHng/edit?usp=sharing"",""ราชบุรี!Q50"&amp;"0"")+IMPORTRANGE(""https://docs.google.com/spreadsheets/d/1lufeA2cfFqM-elVq2hznhDzC6Pr7wkJ9ZG_sYNGCMCU/edit?usp=sharing"",""ลพบุรี!Q500"")+IMPORTRANGE(""https://docs.google.com/spreadsheets/d/10oOiF7loTyfsTkbd4MpaIm0HQ9SwB7IYHdIUvt-U1Uc/edit?usp=sharing"""&amp;",""สระแก้ว!Q500"")+IMPORTRANGE(""https://docs.google.com/spreadsheets/d/1xmPlrr1QbdSIKvl1dWUl9K4PjAfSL9oeMr_37QVzcxc/edit?usp=sharing"",""สระบุรี!Q500"")+IMPORTRANGE(""https://docs.google.com/spreadsheets/d/1j51vR6CYVGhABJpv6tkstgok82RLpXieLzW1yOY5rHw/edi"&amp;"t?usp=sharing"",""สิงห์บุรี!Q500"")+IMPORTRANGE(""https://docs.google.com/spreadsheets/d/1H1EalTWKUSzO4Z1-1CwzoDUaVffgrThEBe2sl74kKG0/edit?usp=sharing"",""สุพรรณบุรี!Q500"")+IMPORTRANGE(""https://docs.google.com/spreadsheets/d/1BmIruG_sIrJLYao_Pdr7zVArWsf"&amp;"oBt2692TMi6x_854/edit?usp=sharing"",""อ่างทอง!Q500"")"),0)</f>
        <v>0</v>
      </c>
      <c r="R500" s="75">
        <f ca="1">IFERROR(__xludf.DUMMYFUNCTION("IMPORTRANGE(""https://docs.google.com/spreadsheets/d/13wPX838HrBrQMCywv1BsuMkt4PEKTChp52zj44s2izQ/edit?usp=sharing"",""กาญจนบุรี!R500"")+IMPORTRANGE(""https://docs.google.com/spreadsheets/d/1ddFKvqj1W1NEiWytbGlB1zMx_ykJDVtmfEQ-6-lIUBA/edit?usp=sharing"","&amp;"""จันทบุรี!R500"")+IMPORTRANGE(""https://docs.google.com/spreadsheets/d/1T1PQvRODqOBZk8BRht_U031fIS1beLA0Ub2CEytj2q0/edit?usp=sharing"",""ฉะเชิงเทรา!R500"")+IMPORTRANGE(""https://docs.google.com/spreadsheets/d/11tr1B-Bhyr79v2bkwVh5h_fR-PStkgjlZtkrZpYurG0/"&amp;"edit?usp=sharing"",""ชลบุรี!R500"")+IMPORTRANGE(""https://docs.google.com/spreadsheets/d/1hh-FVnSX0vozXhGluamEcS54Dw9_zqW0N7qJUWgJ0Sw/edit?usp=sharing"",""ชัยนาท!R500"")+IMPORTRANGE(""https://docs.google.com/spreadsheets/d/1jkqa6GXxSacMcY1eN8AHjMNJ_7dDXMJ"&amp;"VRLDlaFSOdPM/edit?usp=sharing"",""ตราด!R500"")+IMPORTRANGE(""https://docs.google.com/spreadsheets/d/18hSgUJ3VwClqi_qtULmmW3cLr0oe3OKaSYoKzdpTsYQ/edit?usp=sharing"",""นครนายก!R500"")+IMPORTRANGE(""https://docs.google.com/spreadsheets/d/1YTZo6WM2dQ6Ix6FSdnL"&amp;"5P7uVnVKu40sxZu975tgG10E/edit?usp=sharing"",""นครปฐม!R500"")+IMPORTRANGE(""https://docs.google.com/spreadsheets/d/1OYoGg4WDg5RIzwGeB10padOxJF9E_Vljuvvct_M7RDo/edit?usp=sharing"",""ปทุมธานี!R500"")+IMPORTRANGE(""https://docs.google.com/spreadsheets/d/1GbCI"&amp;"E4D4wk9FUozzqk7SxfDMxDVBwVmI5zcaVUSzKAc/edit?usp=sharing"",""ประจวบคีรีขันธ์!R500"")+IMPORTRANGE(""https://docs.google.com/spreadsheets/d/1vVf6wykvW_lAyu7Yo9L4hUTqHqIeP_qcVuxCtosJEbg/edit?usp=sharing"",""ปราจีนบุรี!R500"")+IMPORTRANGE(""https://docs.googl"&amp;"e.com/spreadsheets/d/1BIDqLLg5jk3v59G8NlR8rk5xfQDKne0sAvZHSj7TI6I/edit?usp=sharing"",""พระนครศรีอยุธยา!R500"")+IMPORTRANGE(""https://docs.google.com/spreadsheets/d/1YXvxf8Yu6_rV4hTBrwMqAcAnv6DfhUxh5emyM3CJp_w/edit?usp=sharing"",""เพชรบุรี!R500"")+IMPORTRA"&amp;"NGE(""https://docs.google.com/spreadsheets/d/19KBlQQs7uwvsao6t2n-KvW3Ax8J8uRRfZPq1zPbXgKc/edit?usp=sharing"",""ระยอง!R500"")+IMPORTRANGE(""https://docs.google.com/spreadsheets/d/1jQ6P4QcrGM89YfqcC_PxOHGCMq5ezhucwJd8ci-NHng/edit?usp=sharing"",""ราชบุรี!R50"&amp;"0"")+IMPORTRANGE(""https://docs.google.com/spreadsheets/d/1lufeA2cfFqM-elVq2hznhDzC6Pr7wkJ9ZG_sYNGCMCU/edit?usp=sharing"",""ลพบุรี!R500"")+IMPORTRANGE(""https://docs.google.com/spreadsheets/d/10oOiF7loTyfsTkbd4MpaIm0HQ9SwB7IYHdIUvt-U1Uc/edit?usp=sharing"""&amp;",""สระแก้ว!R500"")+IMPORTRANGE(""https://docs.google.com/spreadsheets/d/1xmPlrr1QbdSIKvl1dWUl9K4PjAfSL9oeMr_37QVzcxc/edit?usp=sharing"",""สระบุรี!R500"")+IMPORTRANGE(""https://docs.google.com/spreadsheets/d/1j51vR6CYVGhABJpv6tkstgok82RLpXieLzW1yOY5rHw/edi"&amp;"t?usp=sharing"",""สิงห์บุรี!R500"")+IMPORTRANGE(""https://docs.google.com/spreadsheets/d/1H1EalTWKUSzO4Z1-1CwzoDUaVffgrThEBe2sl74kKG0/edit?usp=sharing"",""สุพรรณบุรี!R500"")+IMPORTRANGE(""https://docs.google.com/spreadsheets/d/1BmIruG_sIrJLYao_Pdr7zVArWsf"&amp;"oBt2692TMi6x_854/edit?usp=sharing"",""อ่างทอง!R500"")"),0)</f>
        <v>0</v>
      </c>
      <c r="S500" s="75">
        <f ca="1">IFERROR(__xludf.DUMMYFUNCTION("IMPORTRANGE(""https://docs.google.com/spreadsheets/d/13wPX838HrBrQMCywv1BsuMkt4PEKTChp52zj44s2izQ/edit?usp=sharing"",""กาญจนบุรี!S500"")+IMPORTRANGE(""https://docs.google.com/spreadsheets/d/1ddFKvqj1W1NEiWytbGlB1zMx_ykJDVtmfEQ-6-lIUBA/edit?usp=sharing"","&amp;"""จันทบุรี!S500"")+IMPORTRANGE(""https://docs.google.com/spreadsheets/d/1T1PQvRODqOBZk8BRht_U031fIS1beLA0Ub2CEytj2q0/edit?usp=sharing"",""ฉะเชิงเทรา!S500"")+IMPORTRANGE(""https://docs.google.com/spreadsheets/d/11tr1B-Bhyr79v2bkwVh5h_fR-PStkgjlZtkrZpYurG0/"&amp;"edit?usp=sharing"",""ชลบุรี!S500"")+IMPORTRANGE(""https://docs.google.com/spreadsheets/d/1hh-FVnSX0vozXhGluamEcS54Dw9_zqW0N7qJUWgJ0Sw/edit?usp=sharing"",""ชัยนาท!S500"")+IMPORTRANGE(""https://docs.google.com/spreadsheets/d/1jkqa6GXxSacMcY1eN8AHjMNJ_7dDXMJ"&amp;"VRLDlaFSOdPM/edit?usp=sharing"",""ตราด!S500"")+IMPORTRANGE(""https://docs.google.com/spreadsheets/d/18hSgUJ3VwClqi_qtULmmW3cLr0oe3OKaSYoKzdpTsYQ/edit?usp=sharing"",""นครนายก!S500"")+IMPORTRANGE(""https://docs.google.com/spreadsheets/d/1YTZo6WM2dQ6Ix6FSdnL"&amp;"5P7uVnVKu40sxZu975tgG10E/edit?usp=sharing"",""นครปฐม!S500"")+IMPORTRANGE(""https://docs.google.com/spreadsheets/d/1OYoGg4WDg5RIzwGeB10padOxJF9E_Vljuvvct_M7RDo/edit?usp=sharing"",""ปทุมธานี!S500"")+IMPORTRANGE(""https://docs.google.com/spreadsheets/d/1GbCI"&amp;"E4D4wk9FUozzqk7SxfDMxDVBwVmI5zcaVUSzKAc/edit?usp=sharing"",""ประจวบคีรีขันธ์!S500"")+IMPORTRANGE(""https://docs.google.com/spreadsheets/d/1vVf6wykvW_lAyu7Yo9L4hUTqHqIeP_qcVuxCtosJEbg/edit?usp=sharing"",""ปราจีนบุรี!S500"")+IMPORTRANGE(""https://docs.googl"&amp;"e.com/spreadsheets/d/1BIDqLLg5jk3v59G8NlR8rk5xfQDKne0sAvZHSj7TI6I/edit?usp=sharing"",""พระนครศรีอยุธยา!S500"")+IMPORTRANGE(""https://docs.google.com/spreadsheets/d/1YXvxf8Yu6_rV4hTBrwMqAcAnv6DfhUxh5emyM3CJp_w/edit?usp=sharing"",""เพชรบุรี!S500"")+IMPORTRA"&amp;"NGE(""https://docs.google.com/spreadsheets/d/19KBlQQs7uwvsao6t2n-KvW3Ax8J8uRRfZPq1zPbXgKc/edit?usp=sharing"",""ระยอง!S500"")+IMPORTRANGE(""https://docs.google.com/spreadsheets/d/1jQ6P4QcrGM89YfqcC_PxOHGCMq5ezhucwJd8ci-NHng/edit?usp=sharing"",""ราชบุรี!S50"&amp;"0"")+IMPORTRANGE(""https://docs.google.com/spreadsheets/d/1lufeA2cfFqM-elVq2hznhDzC6Pr7wkJ9ZG_sYNGCMCU/edit?usp=sharing"",""ลพบุรี!S500"")+IMPORTRANGE(""https://docs.google.com/spreadsheets/d/10oOiF7loTyfsTkbd4MpaIm0HQ9SwB7IYHdIUvt-U1Uc/edit?usp=sharing"""&amp;",""สระแก้ว!S500"")+IMPORTRANGE(""https://docs.google.com/spreadsheets/d/1xmPlrr1QbdSIKvl1dWUl9K4PjAfSL9oeMr_37QVzcxc/edit?usp=sharing"",""สระบุรี!S500"")+IMPORTRANGE(""https://docs.google.com/spreadsheets/d/1j51vR6CYVGhABJpv6tkstgok82RLpXieLzW1yOY5rHw/edi"&amp;"t?usp=sharing"",""สิงห์บุรี!S500"")+IMPORTRANGE(""https://docs.google.com/spreadsheets/d/1H1EalTWKUSzO4Z1-1CwzoDUaVffgrThEBe2sl74kKG0/edit?usp=sharing"",""สุพรรณบุรี!S500"")+IMPORTRANGE(""https://docs.google.com/spreadsheets/d/1BmIruG_sIrJLYao_Pdr7zVArWsf"&amp;"oBt2692TMi6x_854/edit?usp=sharing"",""อ่างทอง!S500"")"),0)</f>
        <v>0</v>
      </c>
      <c r="T500" s="131">
        <f t="shared" ca="1" si="342"/>
        <v>0</v>
      </c>
      <c r="U500" s="131">
        <f t="shared" ca="1" si="343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13wPX838HrBrQMCywv1BsuMkt4PEKTChp52zj44s2izQ/edit?usp=sharing"",""กาญจนบุรี!L501"")+IMPORTRANGE(""https://docs.google.com/spreadsheets/d/1ddFKvqj1W1NEiWytbGlB1zMx_ykJDVtmfEQ-6-lIUBA/edit?usp=sharing"","&amp;"""จันทบุรี!L501"")+IMPORTRANGE(""https://docs.google.com/spreadsheets/d/1T1PQvRODqOBZk8BRht_U031fIS1beLA0Ub2CEytj2q0/edit?usp=sharing"",""ฉะเชิงเทรา!L501"")+IMPORTRANGE(""https://docs.google.com/spreadsheets/d/11tr1B-Bhyr79v2bkwVh5h_fR-PStkgjlZtkrZpYurG0/"&amp;"edit?usp=sharing"",""ชลบุรี!L501"")+IMPORTRANGE(""https://docs.google.com/spreadsheets/d/1hh-FVnSX0vozXhGluamEcS54Dw9_zqW0N7qJUWgJ0Sw/edit?usp=sharing"",""ชัยนาท!L501"")+IMPORTRANGE(""https://docs.google.com/spreadsheets/d/1jkqa6GXxSacMcY1eN8AHjMNJ_7dDXMJ"&amp;"VRLDlaFSOdPM/edit?usp=sharing"",""ตราด!L501"")+IMPORTRANGE(""https://docs.google.com/spreadsheets/d/18hSgUJ3VwClqi_qtULmmW3cLr0oe3OKaSYoKzdpTsYQ/edit?usp=sharing"",""นครนายก!L501"")+IMPORTRANGE(""https://docs.google.com/spreadsheets/d/1YTZo6WM2dQ6Ix6FSdnL"&amp;"5P7uVnVKu40sxZu975tgG10E/edit?usp=sharing"",""นครปฐม!L501"")+IMPORTRANGE(""https://docs.google.com/spreadsheets/d/1OYoGg4WDg5RIzwGeB10padOxJF9E_Vljuvvct_M7RDo/edit?usp=sharing"",""ปทุมธานี!L501"")+IMPORTRANGE(""https://docs.google.com/spreadsheets/d/1GbCI"&amp;"E4D4wk9FUozzqk7SxfDMxDVBwVmI5zcaVUSzKAc/edit?usp=sharing"",""ประจวบคีรีขันธ์!L501"")+IMPORTRANGE(""https://docs.google.com/spreadsheets/d/1vVf6wykvW_lAyu7Yo9L4hUTqHqIeP_qcVuxCtosJEbg/edit?usp=sharing"",""ปราจีนบุรี!L501"")+IMPORTRANGE(""https://docs.googl"&amp;"e.com/spreadsheets/d/1BIDqLLg5jk3v59G8NlR8rk5xfQDKne0sAvZHSj7TI6I/edit?usp=sharing"",""พระนครศรีอยุธยา!L501"")+IMPORTRANGE(""https://docs.google.com/spreadsheets/d/1YXvxf8Yu6_rV4hTBrwMqAcAnv6DfhUxh5emyM3CJp_w/edit?usp=sharing"",""เพชรบุรี!L501"")+IMPORTRA"&amp;"NGE(""https://docs.google.com/spreadsheets/d/19KBlQQs7uwvsao6t2n-KvW3Ax8J8uRRfZPq1zPbXgKc/edit?usp=sharing"",""ระยอง!L501"")+IMPORTRANGE(""https://docs.google.com/spreadsheets/d/1jQ6P4QcrGM89YfqcC_PxOHGCMq5ezhucwJd8ci-NHng/edit?usp=sharing"",""ราชบุรี!L50"&amp;"1"")+IMPORTRANGE(""https://docs.google.com/spreadsheets/d/1lufeA2cfFqM-elVq2hznhDzC6Pr7wkJ9ZG_sYNGCMCU/edit?usp=sharing"",""ลพบุรี!L501"")+IMPORTRANGE(""https://docs.google.com/spreadsheets/d/10oOiF7loTyfsTkbd4MpaIm0HQ9SwB7IYHdIUvt-U1Uc/edit?usp=sharing"""&amp;",""สระแก้ว!L501"")+IMPORTRANGE(""https://docs.google.com/spreadsheets/d/1xmPlrr1QbdSIKvl1dWUl9K4PjAfSL9oeMr_37QVzcxc/edit?usp=sharing"",""สระบุรี!L501"")+IMPORTRANGE(""https://docs.google.com/spreadsheets/d/1j51vR6CYVGhABJpv6tkstgok82RLpXieLzW1yOY5rHw/edi"&amp;"t?usp=sharing"",""สิงห์บุรี!L501"")+IMPORTRANGE(""https://docs.google.com/spreadsheets/d/1H1EalTWKUSzO4Z1-1CwzoDUaVffgrThEBe2sl74kKG0/edit?usp=sharing"",""สุพรรณบุรี!L501"")+IMPORTRANGE(""https://docs.google.com/spreadsheets/d/1BmIruG_sIrJLYao_Pdr7zVArWsf"&amp;"oBt2692TMi6x_854/edit?usp=sharing"",""อ่างทอง!L501"")"),0)</f>
        <v>0</v>
      </c>
      <c r="M501" s="72">
        <f ca="1">IFERROR(__xludf.DUMMYFUNCTION("IMPORTRANGE(""https://docs.google.com/spreadsheets/d/13wPX838HrBrQMCywv1BsuMkt4PEKTChp52zj44s2izQ/edit?usp=sharing"",""กาญจนบุรี!M501"")+IMPORTRANGE(""https://docs.google.com/spreadsheets/d/1ddFKvqj1W1NEiWytbGlB1zMx_ykJDVtmfEQ-6-lIUBA/edit?usp=sharing"","&amp;"""จันทบุรี!M501"")+IMPORTRANGE(""https://docs.google.com/spreadsheets/d/1T1PQvRODqOBZk8BRht_U031fIS1beLA0Ub2CEytj2q0/edit?usp=sharing"",""ฉะเชิงเทรา!M501"")+IMPORTRANGE(""https://docs.google.com/spreadsheets/d/11tr1B-Bhyr79v2bkwVh5h_fR-PStkgjlZtkrZpYurG0/"&amp;"edit?usp=sharing"",""ชลบุรี!M501"")+IMPORTRANGE(""https://docs.google.com/spreadsheets/d/1hh-FVnSX0vozXhGluamEcS54Dw9_zqW0N7qJUWgJ0Sw/edit?usp=sharing"",""ชัยนาท!M501"")+IMPORTRANGE(""https://docs.google.com/spreadsheets/d/1jkqa6GXxSacMcY1eN8AHjMNJ_7dDXMJ"&amp;"VRLDlaFSOdPM/edit?usp=sharing"",""ตราด!M501"")+IMPORTRANGE(""https://docs.google.com/spreadsheets/d/18hSgUJ3VwClqi_qtULmmW3cLr0oe3OKaSYoKzdpTsYQ/edit?usp=sharing"",""นครนายก!M501"")+IMPORTRANGE(""https://docs.google.com/spreadsheets/d/1YTZo6WM2dQ6Ix6FSdnL"&amp;"5P7uVnVKu40sxZu975tgG10E/edit?usp=sharing"",""นครปฐม!M501"")+IMPORTRANGE(""https://docs.google.com/spreadsheets/d/1OYoGg4WDg5RIzwGeB10padOxJF9E_Vljuvvct_M7RDo/edit?usp=sharing"",""ปทุมธานี!M501"")+IMPORTRANGE(""https://docs.google.com/spreadsheets/d/1GbCI"&amp;"E4D4wk9FUozzqk7SxfDMxDVBwVmI5zcaVUSzKAc/edit?usp=sharing"",""ประจวบคีรีขันธ์!M501"")+IMPORTRANGE(""https://docs.google.com/spreadsheets/d/1vVf6wykvW_lAyu7Yo9L4hUTqHqIeP_qcVuxCtosJEbg/edit?usp=sharing"",""ปราจีนบุรี!M501"")+IMPORTRANGE(""https://docs.googl"&amp;"e.com/spreadsheets/d/1BIDqLLg5jk3v59G8NlR8rk5xfQDKne0sAvZHSj7TI6I/edit?usp=sharing"",""พระนครศรีอยุธยา!M501"")+IMPORTRANGE(""https://docs.google.com/spreadsheets/d/1YXvxf8Yu6_rV4hTBrwMqAcAnv6DfhUxh5emyM3CJp_w/edit?usp=sharing"",""เพชรบุรี!M501"")+IMPORTRA"&amp;"NGE(""https://docs.google.com/spreadsheets/d/19KBlQQs7uwvsao6t2n-KvW3Ax8J8uRRfZPq1zPbXgKc/edit?usp=sharing"",""ระยอง!M501"")+IMPORTRANGE(""https://docs.google.com/spreadsheets/d/1jQ6P4QcrGM89YfqcC_PxOHGCMq5ezhucwJd8ci-NHng/edit?usp=sharing"",""ราชบุรี!M50"&amp;"1"")+IMPORTRANGE(""https://docs.google.com/spreadsheets/d/1lufeA2cfFqM-elVq2hznhDzC6Pr7wkJ9ZG_sYNGCMCU/edit?usp=sharing"",""ลพบุรี!M501"")+IMPORTRANGE(""https://docs.google.com/spreadsheets/d/10oOiF7loTyfsTkbd4MpaIm0HQ9SwB7IYHdIUvt-U1Uc/edit?usp=sharing"""&amp;",""สระแก้ว!M501"")+IMPORTRANGE(""https://docs.google.com/spreadsheets/d/1xmPlrr1QbdSIKvl1dWUl9K4PjAfSL9oeMr_37QVzcxc/edit?usp=sharing"",""สระบุรี!M501"")+IMPORTRANGE(""https://docs.google.com/spreadsheets/d/1j51vR6CYVGhABJpv6tkstgok82RLpXieLzW1yOY5rHw/edi"&amp;"t?usp=sharing"",""สิงห์บุรี!M501"")+IMPORTRANGE(""https://docs.google.com/spreadsheets/d/1H1EalTWKUSzO4Z1-1CwzoDUaVffgrThEBe2sl74kKG0/edit?usp=sharing"",""สุพรรณบุรี!M501"")+IMPORTRANGE(""https://docs.google.com/spreadsheets/d/1BmIruG_sIrJLYao_Pdr7zVArWsf"&amp;"oBt2692TMi6x_854/edit?usp=sharing"",""อ่างทอง!M501"")"),0)</f>
        <v>0</v>
      </c>
      <c r="N501" s="72">
        <f ca="1">IFERROR(__xludf.DUMMYFUNCTION("IMPORTRANGE(""https://docs.google.com/spreadsheets/d/13wPX838HrBrQMCywv1BsuMkt4PEKTChp52zj44s2izQ/edit?usp=sharing"",""กาญจนบุรี!N501"")+IMPORTRANGE(""https://docs.google.com/spreadsheets/d/1ddFKvqj1W1NEiWytbGlB1zMx_ykJDVtmfEQ-6-lIUBA/edit?usp=sharing"","&amp;"""จันทบุรี!N501"")+IMPORTRANGE(""https://docs.google.com/spreadsheets/d/1T1PQvRODqOBZk8BRht_U031fIS1beLA0Ub2CEytj2q0/edit?usp=sharing"",""ฉะเชิงเทรา!N501"")+IMPORTRANGE(""https://docs.google.com/spreadsheets/d/11tr1B-Bhyr79v2bkwVh5h_fR-PStkgjlZtkrZpYurG0/"&amp;"edit?usp=sharing"",""ชลบุรี!N501"")+IMPORTRANGE(""https://docs.google.com/spreadsheets/d/1hh-FVnSX0vozXhGluamEcS54Dw9_zqW0N7qJUWgJ0Sw/edit?usp=sharing"",""ชัยนาท!N501"")+IMPORTRANGE(""https://docs.google.com/spreadsheets/d/1jkqa6GXxSacMcY1eN8AHjMNJ_7dDXMJ"&amp;"VRLDlaFSOdPM/edit?usp=sharing"",""ตราด!N501"")+IMPORTRANGE(""https://docs.google.com/spreadsheets/d/18hSgUJ3VwClqi_qtULmmW3cLr0oe3OKaSYoKzdpTsYQ/edit?usp=sharing"",""นครนายก!N501"")+IMPORTRANGE(""https://docs.google.com/spreadsheets/d/1YTZo6WM2dQ6Ix6FSdnL"&amp;"5P7uVnVKu40sxZu975tgG10E/edit?usp=sharing"",""นครปฐม!N501"")+IMPORTRANGE(""https://docs.google.com/spreadsheets/d/1OYoGg4WDg5RIzwGeB10padOxJF9E_Vljuvvct_M7RDo/edit?usp=sharing"",""ปทุมธานี!N501"")+IMPORTRANGE(""https://docs.google.com/spreadsheets/d/1GbCI"&amp;"E4D4wk9FUozzqk7SxfDMxDVBwVmI5zcaVUSzKAc/edit?usp=sharing"",""ประจวบคีรีขันธ์!N501"")+IMPORTRANGE(""https://docs.google.com/spreadsheets/d/1vVf6wykvW_lAyu7Yo9L4hUTqHqIeP_qcVuxCtosJEbg/edit?usp=sharing"",""ปราจีนบุรี!N501"")+IMPORTRANGE(""https://docs.googl"&amp;"e.com/spreadsheets/d/1BIDqLLg5jk3v59G8NlR8rk5xfQDKne0sAvZHSj7TI6I/edit?usp=sharing"",""พระนครศรีอยุธยา!N501"")+IMPORTRANGE(""https://docs.google.com/spreadsheets/d/1YXvxf8Yu6_rV4hTBrwMqAcAnv6DfhUxh5emyM3CJp_w/edit?usp=sharing"",""เพชรบุรี!N501"")+IMPORTRA"&amp;"NGE(""https://docs.google.com/spreadsheets/d/19KBlQQs7uwvsao6t2n-KvW3Ax8J8uRRfZPq1zPbXgKc/edit?usp=sharing"",""ระยอง!N501"")+IMPORTRANGE(""https://docs.google.com/spreadsheets/d/1jQ6P4QcrGM89YfqcC_PxOHGCMq5ezhucwJd8ci-NHng/edit?usp=sharing"",""ราชบุรี!N50"&amp;"1"")+IMPORTRANGE(""https://docs.google.com/spreadsheets/d/1lufeA2cfFqM-elVq2hznhDzC6Pr7wkJ9ZG_sYNGCMCU/edit?usp=sharing"",""ลพบุรี!N501"")+IMPORTRANGE(""https://docs.google.com/spreadsheets/d/10oOiF7loTyfsTkbd4MpaIm0HQ9SwB7IYHdIUvt-U1Uc/edit?usp=sharing"""&amp;",""สระแก้ว!N501"")+IMPORTRANGE(""https://docs.google.com/spreadsheets/d/1xmPlrr1QbdSIKvl1dWUl9K4PjAfSL9oeMr_37QVzcxc/edit?usp=sharing"",""สระบุรี!N501"")+IMPORTRANGE(""https://docs.google.com/spreadsheets/d/1j51vR6CYVGhABJpv6tkstgok82RLpXieLzW1yOY5rHw/edi"&amp;"t?usp=sharing"",""สิงห์บุรี!N501"")+IMPORTRANGE(""https://docs.google.com/spreadsheets/d/1H1EalTWKUSzO4Z1-1CwzoDUaVffgrThEBe2sl74kKG0/edit?usp=sharing"",""สุพรรณบุรี!N501"")+IMPORTRANGE(""https://docs.google.com/spreadsheets/d/1BmIruG_sIrJLYao_Pdr7zVArWsf"&amp;"oBt2692TMi6x_854/edit?usp=sharing"",""อ่างทอง!N501"")"),0)</f>
        <v>0</v>
      </c>
      <c r="O501" s="72">
        <f t="shared" ca="1" si="339"/>
        <v>0</v>
      </c>
      <c r="P501" s="72">
        <f t="shared" ca="1" si="340"/>
        <v>0</v>
      </c>
      <c r="Q501" s="71">
        <f ca="1">IFERROR(__xludf.DUMMYFUNCTION("IMPORTRANGE(""https://docs.google.com/spreadsheets/d/13wPX838HrBrQMCywv1BsuMkt4PEKTChp52zj44s2izQ/edit?usp=sharing"",""กาญจนบุรี!Q501"")+IMPORTRANGE(""https://docs.google.com/spreadsheets/d/1ddFKvqj1W1NEiWytbGlB1zMx_ykJDVtmfEQ-6-lIUBA/edit?usp=sharing"","&amp;"""จันทบุรี!Q501"")+IMPORTRANGE(""https://docs.google.com/spreadsheets/d/1T1PQvRODqOBZk8BRht_U031fIS1beLA0Ub2CEytj2q0/edit?usp=sharing"",""ฉะเชิงเทรา!Q501"")+IMPORTRANGE(""https://docs.google.com/spreadsheets/d/11tr1B-Bhyr79v2bkwVh5h_fR-PStkgjlZtkrZpYurG0/"&amp;"edit?usp=sharing"",""ชลบุรี!Q501"")+IMPORTRANGE(""https://docs.google.com/spreadsheets/d/1hh-FVnSX0vozXhGluamEcS54Dw9_zqW0N7qJUWgJ0Sw/edit?usp=sharing"",""ชัยนาท!Q501"")+IMPORTRANGE(""https://docs.google.com/spreadsheets/d/1jkqa6GXxSacMcY1eN8AHjMNJ_7dDXMJ"&amp;"VRLDlaFSOdPM/edit?usp=sharing"",""ตราด!Q501"")+IMPORTRANGE(""https://docs.google.com/spreadsheets/d/18hSgUJ3VwClqi_qtULmmW3cLr0oe3OKaSYoKzdpTsYQ/edit?usp=sharing"",""นครนายก!Q501"")+IMPORTRANGE(""https://docs.google.com/spreadsheets/d/1YTZo6WM2dQ6Ix6FSdnL"&amp;"5P7uVnVKu40sxZu975tgG10E/edit?usp=sharing"",""นครปฐม!Q501"")+IMPORTRANGE(""https://docs.google.com/spreadsheets/d/1OYoGg4WDg5RIzwGeB10padOxJF9E_Vljuvvct_M7RDo/edit?usp=sharing"",""ปทุมธานี!Q501"")+IMPORTRANGE(""https://docs.google.com/spreadsheets/d/1GbCI"&amp;"E4D4wk9FUozzqk7SxfDMxDVBwVmI5zcaVUSzKAc/edit?usp=sharing"",""ประจวบคีรีขันธ์!Q501"")+IMPORTRANGE(""https://docs.google.com/spreadsheets/d/1vVf6wykvW_lAyu7Yo9L4hUTqHqIeP_qcVuxCtosJEbg/edit?usp=sharing"",""ปราจีนบุรี!Q501"")+IMPORTRANGE(""https://docs.googl"&amp;"e.com/spreadsheets/d/1BIDqLLg5jk3v59G8NlR8rk5xfQDKne0sAvZHSj7TI6I/edit?usp=sharing"",""พระนครศรีอยุธยา!Q501"")+IMPORTRANGE(""https://docs.google.com/spreadsheets/d/1YXvxf8Yu6_rV4hTBrwMqAcAnv6DfhUxh5emyM3CJp_w/edit?usp=sharing"",""เพชรบุรี!Q501"")+IMPORTRA"&amp;"NGE(""https://docs.google.com/spreadsheets/d/19KBlQQs7uwvsao6t2n-KvW3Ax8J8uRRfZPq1zPbXgKc/edit?usp=sharing"",""ระยอง!Q501"")+IMPORTRANGE(""https://docs.google.com/spreadsheets/d/1jQ6P4QcrGM89YfqcC_PxOHGCMq5ezhucwJd8ci-NHng/edit?usp=sharing"",""ราชบุรี!Q50"&amp;"1"")+IMPORTRANGE(""https://docs.google.com/spreadsheets/d/1lufeA2cfFqM-elVq2hznhDzC6Pr7wkJ9ZG_sYNGCMCU/edit?usp=sharing"",""ลพบุรี!Q501"")+IMPORTRANGE(""https://docs.google.com/spreadsheets/d/10oOiF7loTyfsTkbd4MpaIm0HQ9SwB7IYHdIUvt-U1Uc/edit?usp=sharing"""&amp;",""สระแก้ว!Q501"")+IMPORTRANGE(""https://docs.google.com/spreadsheets/d/1xmPlrr1QbdSIKvl1dWUl9K4PjAfSL9oeMr_37QVzcxc/edit?usp=sharing"",""สระบุรี!Q501"")+IMPORTRANGE(""https://docs.google.com/spreadsheets/d/1j51vR6CYVGhABJpv6tkstgok82RLpXieLzW1yOY5rHw/edi"&amp;"t?usp=sharing"",""สิงห์บุรี!Q501"")+IMPORTRANGE(""https://docs.google.com/spreadsheets/d/1H1EalTWKUSzO4Z1-1CwzoDUaVffgrThEBe2sl74kKG0/edit?usp=sharing"",""สุพรรณบุรี!Q501"")+IMPORTRANGE(""https://docs.google.com/spreadsheets/d/1BmIruG_sIrJLYao_Pdr7zVArWsf"&amp;"oBt2692TMi6x_854/edit?usp=sharing"",""อ่างทอง!Q501"")"),0)</f>
        <v>0</v>
      </c>
      <c r="R501" s="72">
        <f ca="1">IFERROR(__xludf.DUMMYFUNCTION("IMPORTRANGE(""https://docs.google.com/spreadsheets/d/13wPX838HrBrQMCywv1BsuMkt4PEKTChp52zj44s2izQ/edit?usp=sharing"",""กาญจนบุรี!R501"")+IMPORTRANGE(""https://docs.google.com/spreadsheets/d/1ddFKvqj1W1NEiWytbGlB1zMx_ykJDVtmfEQ-6-lIUBA/edit?usp=sharing"","&amp;"""จันทบุรี!R501"")+IMPORTRANGE(""https://docs.google.com/spreadsheets/d/1T1PQvRODqOBZk8BRht_U031fIS1beLA0Ub2CEytj2q0/edit?usp=sharing"",""ฉะเชิงเทรา!R501"")+IMPORTRANGE(""https://docs.google.com/spreadsheets/d/11tr1B-Bhyr79v2bkwVh5h_fR-PStkgjlZtkrZpYurG0/"&amp;"edit?usp=sharing"",""ชลบุรี!R501"")+IMPORTRANGE(""https://docs.google.com/spreadsheets/d/1hh-FVnSX0vozXhGluamEcS54Dw9_zqW0N7qJUWgJ0Sw/edit?usp=sharing"",""ชัยนาท!R501"")+IMPORTRANGE(""https://docs.google.com/spreadsheets/d/1jkqa6GXxSacMcY1eN8AHjMNJ_7dDXMJ"&amp;"VRLDlaFSOdPM/edit?usp=sharing"",""ตราด!R501"")+IMPORTRANGE(""https://docs.google.com/spreadsheets/d/18hSgUJ3VwClqi_qtULmmW3cLr0oe3OKaSYoKzdpTsYQ/edit?usp=sharing"",""นครนายก!R501"")+IMPORTRANGE(""https://docs.google.com/spreadsheets/d/1YTZo6WM2dQ6Ix6FSdnL"&amp;"5P7uVnVKu40sxZu975tgG10E/edit?usp=sharing"",""นครปฐม!R501"")+IMPORTRANGE(""https://docs.google.com/spreadsheets/d/1OYoGg4WDg5RIzwGeB10padOxJF9E_Vljuvvct_M7RDo/edit?usp=sharing"",""ปทุมธานี!R501"")+IMPORTRANGE(""https://docs.google.com/spreadsheets/d/1GbCI"&amp;"E4D4wk9FUozzqk7SxfDMxDVBwVmI5zcaVUSzKAc/edit?usp=sharing"",""ประจวบคีรีขันธ์!R501"")+IMPORTRANGE(""https://docs.google.com/spreadsheets/d/1vVf6wykvW_lAyu7Yo9L4hUTqHqIeP_qcVuxCtosJEbg/edit?usp=sharing"",""ปราจีนบุรี!R501"")+IMPORTRANGE(""https://docs.googl"&amp;"e.com/spreadsheets/d/1BIDqLLg5jk3v59G8NlR8rk5xfQDKne0sAvZHSj7TI6I/edit?usp=sharing"",""พระนครศรีอยุธยา!R501"")+IMPORTRANGE(""https://docs.google.com/spreadsheets/d/1YXvxf8Yu6_rV4hTBrwMqAcAnv6DfhUxh5emyM3CJp_w/edit?usp=sharing"",""เพชรบุรี!R501"")+IMPORTRA"&amp;"NGE(""https://docs.google.com/spreadsheets/d/19KBlQQs7uwvsao6t2n-KvW3Ax8J8uRRfZPq1zPbXgKc/edit?usp=sharing"",""ระยอง!R501"")+IMPORTRANGE(""https://docs.google.com/spreadsheets/d/1jQ6P4QcrGM89YfqcC_PxOHGCMq5ezhucwJd8ci-NHng/edit?usp=sharing"",""ราชบุรี!R50"&amp;"1"")+IMPORTRANGE(""https://docs.google.com/spreadsheets/d/1lufeA2cfFqM-elVq2hznhDzC6Pr7wkJ9ZG_sYNGCMCU/edit?usp=sharing"",""ลพบุรี!R501"")+IMPORTRANGE(""https://docs.google.com/spreadsheets/d/10oOiF7loTyfsTkbd4MpaIm0HQ9SwB7IYHdIUvt-U1Uc/edit?usp=sharing"""&amp;",""สระแก้ว!R501"")+IMPORTRANGE(""https://docs.google.com/spreadsheets/d/1xmPlrr1QbdSIKvl1dWUl9K4PjAfSL9oeMr_37QVzcxc/edit?usp=sharing"",""สระบุรี!R501"")+IMPORTRANGE(""https://docs.google.com/spreadsheets/d/1j51vR6CYVGhABJpv6tkstgok82RLpXieLzW1yOY5rHw/edi"&amp;"t?usp=sharing"",""สิงห์บุรี!R501"")+IMPORTRANGE(""https://docs.google.com/spreadsheets/d/1H1EalTWKUSzO4Z1-1CwzoDUaVffgrThEBe2sl74kKG0/edit?usp=sharing"",""สุพรรณบุรี!R501"")+IMPORTRANGE(""https://docs.google.com/spreadsheets/d/1BmIruG_sIrJLYao_Pdr7zVArWsf"&amp;"oBt2692TMi6x_854/edit?usp=sharing"",""อ่างทอง!R501"")"),0)</f>
        <v>0</v>
      </c>
      <c r="S501" s="72">
        <f ca="1">IFERROR(__xludf.DUMMYFUNCTION("IMPORTRANGE(""https://docs.google.com/spreadsheets/d/13wPX838HrBrQMCywv1BsuMkt4PEKTChp52zj44s2izQ/edit?usp=sharing"",""กาญจนบุรี!S501"")+IMPORTRANGE(""https://docs.google.com/spreadsheets/d/1ddFKvqj1W1NEiWytbGlB1zMx_ykJDVtmfEQ-6-lIUBA/edit?usp=sharing"","&amp;"""จันทบุรี!S501"")+IMPORTRANGE(""https://docs.google.com/spreadsheets/d/1T1PQvRODqOBZk8BRht_U031fIS1beLA0Ub2CEytj2q0/edit?usp=sharing"",""ฉะเชิงเทรา!S501"")+IMPORTRANGE(""https://docs.google.com/spreadsheets/d/11tr1B-Bhyr79v2bkwVh5h_fR-PStkgjlZtkrZpYurG0/"&amp;"edit?usp=sharing"",""ชลบุรี!S501"")+IMPORTRANGE(""https://docs.google.com/spreadsheets/d/1hh-FVnSX0vozXhGluamEcS54Dw9_zqW0N7qJUWgJ0Sw/edit?usp=sharing"",""ชัยนาท!S501"")+IMPORTRANGE(""https://docs.google.com/spreadsheets/d/1jkqa6GXxSacMcY1eN8AHjMNJ_7dDXMJ"&amp;"VRLDlaFSOdPM/edit?usp=sharing"",""ตราด!S501"")+IMPORTRANGE(""https://docs.google.com/spreadsheets/d/18hSgUJ3VwClqi_qtULmmW3cLr0oe3OKaSYoKzdpTsYQ/edit?usp=sharing"",""นครนายก!S501"")+IMPORTRANGE(""https://docs.google.com/spreadsheets/d/1YTZo6WM2dQ6Ix6FSdnL"&amp;"5P7uVnVKu40sxZu975tgG10E/edit?usp=sharing"",""นครปฐม!S501"")+IMPORTRANGE(""https://docs.google.com/spreadsheets/d/1OYoGg4WDg5RIzwGeB10padOxJF9E_Vljuvvct_M7RDo/edit?usp=sharing"",""ปทุมธานี!S501"")+IMPORTRANGE(""https://docs.google.com/spreadsheets/d/1GbCI"&amp;"E4D4wk9FUozzqk7SxfDMxDVBwVmI5zcaVUSzKAc/edit?usp=sharing"",""ประจวบคีรีขันธ์!S501"")+IMPORTRANGE(""https://docs.google.com/spreadsheets/d/1vVf6wykvW_lAyu7Yo9L4hUTqHqIeP_qcVuxCtosJEbg/edit?usp=sharing"",""ปราจีนบุรี!S501"")+IMPORTRANGE(""https://docs.googl"&amp;"e.com/spreadsheets/d/1BIDqLLg5jk3v59G8NlR8rk5xfQDKne0sAvZHSj7TI6I/edit?usp=sharing"",""พระนครศรีอยุธยา!S501"")+IMPORTRANGE(""https://docs.google.com/spreadsheets/d/1YXvxf8Yu6_rV4hTBrwMqAcAnv6DfhUxh5emyM3CJp_w/edit?usp=sharing"",""เพชรบุรี!S501"")+IMPORTRA"&amp;"NGE(""https://docs.google.com/spreadsheets/d/19KBlQQs7uwvsao6t2n-KvW3Ax8J8uRRfZPq1zPbXgKc/edit?usp=sharing"",""ระยอง!S501"")+IMPORTRANGE(""https://docs.google.com/spreadsheets/d/1jQ6P4QcrGM89YfqcC_PxOHGCMq5ezhucwJd8ci-NHng/edit?usp=sharing"",""ราชบุรี!S50"&amp;"1"")+IMPORTRANGE(""https://docs.google.com/spreadsheets/d/1lufeA2cfFqM-elVq2hznhDzC6Pr7wkJ9ZG_sYNGCMCU/edit?usp=sharing"",""ลพบุรี!S501"")+IMPORTRANGE(""https://docs.google.com/spreadsheets/d/10oOiF7loTyfsTkbd4MpaIm0HQ9SwB7IYHdIUvt-U1Uc/edit?usp=sharing"""&amp;",""สระแก้ว!S501"")+IMPORTRANGE(""https://docs.google.com/spreadsheets/d/1xmPlrr1QbdSIKvl1dWUl9K4PjAfSL9oeMr_37QVzcxc/edit?usp=sharing"",""สระบุรี!S501"")+IMPORTRANGE(""https://docs.google.com/spreadsheets/d/1j51vR6CYVGhABJpv6tkstgok82RLpXieLzW1yOY5rHw/edi"&amp;"t?usp=sharing"",""สิงห์บุรี!S501"")+IMPORTRANGE(""https://docs.google.com/spreadsheets/d/1H1EalTWKUSzO4Z1-1CwzoDUaVffgrThEBe2sl74kKG0/edit?usp=sharing"",""สุพรรณบุรี!S501"")+IMPORTRANGE(""https://docs.google.com/spreadsheets/d/1BmIruG_sIrJLYao_Pdr7zVArWsf"&amp;"oBt2692TMi6x_854/edit?usp=sharing"",""อ่างทอง!S501"")"),0)</f>
        <v>0</v>
      </c>
      <c r="T501" s="130">
        <f t="shared" ca="1" si="342"/>
        <v>0</v>
      </c>
      <c r="U501" s="130">
        <f t="shared" ca="1" si="343"/>
        <v>0</v>
      </c>
    </row>
    <row r="502" spans="1:21" ht="19.5" x14ac:dyDescent="0.3">
      <c r="A502" s="274"/>
      <c r="B502" s="275"/>
      <c r="C502" s="304" t="s">
        <v>18</v>
      </c>
      <c r="D502" s="568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291">
        <f ca="1">IFERROR(__xludf.DUMMYFUNCTION("IMPORTRANGE(""https://docs.google.com/spreadsheets/d/13wPX838HrBrQMCywv1BsuMkt4PEKTChp52zj44s2izQ/edit?usp=sharing"",""กาญจนบุรี!I503"")+IMPORTRANGE(""https://docs.google.com/spreadsheets/d/1ddFKvqj1W1NEiWytbGlB1zMx_ykJDVtmfEQ-6-lIUBA/edit?usp=sharing"","&amp;"""จันทบุรี!I503"")+IMPORTRANGE(""https://docs.google.com/spreadsheets/d/1T1PQvRODqOBZk8BRht_U031fIS1beLA0Ub2CEytj2q0/edit?usp=sharing"",""ฉะเชิงเทรา!I503"")+IMPORTRANGE(""https://docs.google.com/spreadsheets/d/11tr1B-Bhyr79v2bkwVh5h_fR-PStkgjlZtkrZpYurG0/"&amp;"edit?usp=sharing"",""ชลบุรี!I503"")+IMPORTRANGE(""https://docs.google.com/spreadsheets/d/1hh-FVnSX0vozXhGluamEcS54Dw9_zqW0N7qJUWgJ0Sw/edit?usp=sharing"",""ชัยนาท!I503"")+IMPORTRANGE(""https://docs.google.com/spreadsheets/d/1jkqa6GXxSacMcY1eN8AHjMNJ_7dDXMJ"&amp;"VRLDlaFSOdPM/edit?usp=sharing"",""ตราด!I503"")+IMPORTRANGE(""https://docs.google.com/spreadsheets/d/18hSgUJ3VwClqi_qtULmmW3cLr0oe3OKaSYoKzdpTsYQ/edit?usp=sharing"",""นครนายก!I503"")+IMPORTRANGE(""https://docs.google.com/spreadsheets/d/1YTZo6WM2dQ6Ix6FSdnL"&amp;"5P7uVnVKu40sxZu975tgG10E/edit?usp=sharing"",""นครปฐม!I503"")+IMPORTRANGE(""https://docs.google.com/spreadsheets/d/1OYoGg4WDg5RIzwGeB10padOxJF9E_Vljuvvct_M7RDo/edit?usp=sharing"",""ปทุมธานี!I503"")+IMPORTRANGE(""https://docs.google.com/spreadsheets/d/1GbCI"&amp;"E4D4wk9FUozzqk7SxfDMxDVBwVmI5zcaVUSzKAc/edit?usp=sharing"",""ประจวบคีรีขันธ์!I503"")+IMPORTRANGE(""https://docs.google.com/spreadsheets/d/1vVf6wykvW_lAyu7Yo9L4hUTqHqIeP_qcVuxCtosJEbg/edit?usp=sharing"",""ปราจีนบุรี!I503"")+IMPORTRANGE(""https://docs.googl"&amp;"e.com/spreadsheets/d/1BIDqLLg5jk3v59G8NlR8rk5xfQDKne0sAvZHSj7TI6I/edit?usp=sharing"",""พระนครศรีอยุธยา!I503"")+IMPORTRANGE(""https://docs.google.com/spreadsheets/d/1YXvxf8Yu6_rV4hTBrwMqAcAnv6DfhUxh5emyM3CJp_w/edit?usp=sharing"",""เพชรบุรี!I503"")+IMPORTRA"&amp;"NGE(""https://docs.google.com/spreadsheets/d/19KBlQQs7uwvsao6t2n-KvW3Ax8J8uRRfZPq1zPbXgKc/edit?usp=sharing"",""ระยอง!I503"")+IMPORTRANGE(""https://docs.google.com/spreadsheets/d/1jQ6P4QcrGM89YfqcC_PxOHGCMq5ezhucwJd8ci-NHng/edit?usp=sharing"",""ราชบุรี!I50"&amp;"3"")+IMPORTRANGE(""https://docs.google.com/spreadsheets/d/1lufeA2cfFqM-elVq2hznhDzC6Pr7wkJ9ZG_sYNGCMCU/edit?usp=sharing"",""ลพบุรี!I503"")+IMPORTRANGE(""https://docs.google.com/spreadsheets/d/10oOiF7loTyfsTkbd4MpaIm0HQ9SwB7IYHdIUvt-U1Uc/edit?usp=sharing"""&amp;",""สระแก้ว!I503"")+IMPORTRANGE(""https://docs.google.com/spreadsheets/d/1xmPlrr1QbdSIKvl1dWUl9K4PjAfSL9oeMr_37QVzcxc/edit?usp=sharing"",""สระบุรี!I503"")+IMPORTRANGE(""https://docs.google.com/spreadsheets/d/1j51vR6CYVGhABJpv6tkstgok82RLpXieLzW1yOY5rHw/edi"&amp;"t?usp=sharing"",""สิงห์บุรี!I503"")+IMPORTRANGE(""https://docs.google.com/spreadsheets/d/1H1EalTWKUSzO4Z1-1CwzoDUaVffgrThEBe2sl74kKG0/edit?usp=sharing"",""สุพรรณบุรี!I503"")+IMPORTRANGE(""https://docs.google.com/spreadsheets/d/1BmIruG_sIrJLYao_Pdr7zVArWsf"&amp;"oBt2692TMi6x_854/edit?usp=sharing"",""อ่างทอง!I503"")"),160)</f>
        <v>160</v>
      </c>
      <c r="J503" s="291">
        <f ca="1">IFERROR(__xludf.DUMMYFUNCTION("IMPORTRANGE(""https://docs.google.com/spreadsheets/d/13wPX838HrBrQMCywv1BsuMkt4PEKTChp52zj44s2izQ/edit?usp=sharing"",""กาญจนบุรี!J503"")+IMPORTRANGE(""https://docs.google.com/spreadsheets/d/1ddFKvqj1W1NEiWytbGlB1zMx_ykJDVtmfEQ-6-lIUBA/edit?usp=sharing"","&amp;"""จันทบุรี!J503"")+IMPORTRANGE(""https://docs.google.com/spreadsheets/d/1T1PQvRODqOBZk8BRht_U031fIS1beLA0Ub2CEytj2q0/edit?usp=sharing"",""ฉะเชิงเทรา!J503"")+IMPORTRANGE(""https://docs.google.com/spreadsheets/d/11tr1B-Bhyr79v2bkwVh5h_fR-PStkgjlZtkrZpYurG0/"&amp;"edit?usp=sharing"",""ชลบุรี!J503"")+IMPORTRANGE(""https://docs.google.com/spreadsheets/d/1hh-FVnSX0vozXhGluamEcS54Dw9_zqW0N7qJUWgJ0Sw/edit?usp=sharing"",""ชัยนาท!J503"")+IMPORTRANGE(""https://docs.google.com/spreadsheets/d/1jkqa6GXxSacMcY1eN8AHjMNJ_7dDXMJ"&amp;"VRLDlaFSOdPM/edit?usp=sharing"",""ตราด!J503"")+IMPORTRANGE(""https://docs.google.com/spreadsheets/d/18hSgUJ3VwClqi_qtULmmW3cLr0oe3OKaSYoKzdpTsYQ/edit?usp=sharing"",""นครนายก!J503"")+IMPORTRANGE(""https://docs.google.com/spreadsheets/d/1YTZo6WM2dQ6Ix6FSdnL"&amp;"5P7uVnVKu40sxZu975tgG10E/edit?usp=sharing"",""นครปฐม!J503"")+IMPORTRANGE(""https://docs.google.com/spreadsheets/d/1OYoGg4WDg5RIzwGeB10padOxJF9E_Vljuvvct_M7RDo/edit?usp=sharing"",""ปทุมธานี!J503"")+IMPORTRANGE(""https://docs.google.com/spreadsheets/d/1GbCI"&amp;"E4D4wk9FUozzqk7SxfDMxDVBwVmI5zcaVUSzKAc/edit?usp=sharing"",""ประจวบคีรีขันธ์!J503"")+IMPORTRANGE(""https://docs.google.com/spreadsheets/d/1vVf6wykvW_lAyu7Yo9L4hUTqHqIeP_qcVuxCtosJEbg/edit?usp=sharing"",""ปราจีนบุรี!J503"")+IMPORTRANGE(""https://docs.googl"&amp;"e.com/spreadsheets/d/1BIDqLLg5jk3v59G8NlR8rk5xfQDKne0sAvZHSj7TI6I/edit?usp=sharing"",""พระนครศรีอยุธยา!J503"")+IMPORTRANGE(""https://docs.google.com/spreadsheets/d/1YXvxf8Yu6_rV4hTBrwMqAcAnv6DfhUxh5emyM3CJp_w/edit?usp=sharing"",""เพชรบุรี!J503"")+IMPORTRA"&amp;"NGE(""https://docs.google.com/spreadsheets/d/19KBlQQs7uwvsao6t2n-KvW3Ax8J8uRRfZPq1zPbXgKc/edit?usp=sharing"",""ระยอง!J503"")+IMPORTRANGE(""https://docs.google.com/spreadsheets/d/1jQ6P4QcrGM89YfqcC_PxOHGCMq5ezhucwJd8ci-NHng/edit?usp=sharing"",""ราชบุรี!J50"&amp;"3"")+IMPORTRANGE(""https://docs.google.com/spreadsheets/d/1lufeA2cfFqM-elVq2hznhDzC6Pr7wkJ9ZG_sYNGCMCU/edit?usp=sharing"",""ลพบุรี!J503"")+IMPORTRANGE(""https://docs.google.com/spreadsheets/d/10oOiF7loTyfsTkbd4MpaIm0HQ9SwB7IYHdIUvt-U1Uc/edit?usp=sharing"""&amp;",""สระแก้ว!J503"")+IMPORTRANGE(""https://docs.google.com/spreadsheets/d/1xmPlrr1QbdSIKvl1dWUl9K4PjAfSL9oeMr_37QVzcxc/edit?usp=sharing"",""สระบุรี!J503"")+IMPORTRANGE(""https://docs.google.com/spreadsheets/d/1j51vR6CYVGhABJpv6tkstgok82RLpXieLzW1yOY5rHw/edi"&amp;"t?usp=sharing"",""สิงห์บุรี!J503"")+IMPORTRANGE(""https://docs.google.com/spreadsheets/d/1H1EalTWKUSzO4Z1-1CwzoDUaVffgrThEBe2sl74kKG0/edit?usp=sharing"",""สุพรรณบุรี!J503"")+IMPORTRANGE(""https://docs.google.com/spreadsheets/d/1BmIruG_sIrJLYao_Pdr7zVArWsf"&amp;"oBt2692TMi6x_854/edit?usp=sharing"",""อ่างทอง!J503"")"),80)</f>
        <v>80</v>
      </c>
      <c r="K503" s="262">
        <f t="shared" ref="K503:K509" ca="1" si="352">IF(I503&gt;0,J503*100/I503,0)</f>
        <v>50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13wPX838HrBrQMCywv1BsuMkt4PEKTChp52zj44s2izQ/edit?usp=sharing"",""กาญจนบุรี!I504"")+IMPORTRANGE(""https://docs.google.com/spreadsheets/d/1ddFKvqj1W1NEiWytbGlB1zMx_ykJDVtmfEQ-6-lIUBA/edit?usp=sharing"","&amp;"""จันทบุรี!I504"")+IMPORTRANGE(""https://docs.google.com/spreadsheets/d/1T1PQvRODqOBZk8BRht_U031fIS1beLA0Ub2CEytj2q0/edit?usp=sharing"",""ฉะเชิงเทรา!I504"")+IMPORTRANGE(""https://docs.google.com/spreadsheets/d/11tr1B-Bhyr79v2bkwVh5h_fR-PStkgjlZtkrZpYurG0/"&amp;"edit?usp=sharing"",""ชลบุรี!I504"")+IMPORTRANGE(""https://docs.google.com/spreadsheets/d/1hh-FVnSX0vozXhGluamEcS54Dw9_zqW0N7qJUWgJ0Sw/edit?usp=sharing"",""ชัยนาท!I504"")+IMPORTRANGE(""https://docs.google.com/spreadsheets/d/1jkqa6GXxSacMcY1eN8AHjMNJ_7dDXMJ"&amp;"VRLDlaFSOdPM/edit?usp=sharing"",""ตราด!I504"")+IMPORTRANGE(""https://docs.google.com/spreadsheets/d/18hSgUJ3VwClqi_qtULmmW3cLr0oe3OKaSYoKzdpTsYQ/edit?usp=sharing"",""นครนายก!I504"")+IMPORTRANGE(""https://docs.google.com/spreadsheets/d/1YTZo6WM2dQ6Ix6FSdnL"&amp;"5P7uVnVKu40sxZu975tgG10E/edit?usp=sharing"",""นครปฐม!I504"")+IMPORTRANGE(""https://docs.google.com/spreadsheets/d/1OYoGg4WDg5RIzwGeB10padOxJF9E_Vljuvvct_M7RDo/edit?usp=sharing"",""ปทุมธานี!I504"")+IMPORTRANGE(""https://docs.google.com/spreadsheets/d/1GbCI"&amp;"E4D4wk9FUozzqk7SxfDMxDVBwVmI5zcaVUSzKAc/edit?usp=sharing"",""ประจวบคีรีขันธ์!I504"")+IMPORTRANGE(""https://docs.google.com/spreadsheets/d/1vVf6wykvW_lAyu7Yo9L4hUTqHqIeP_qcVuxCtosJEbg/edit?usp=sharing"",""ปราจีนบุรี!I504"")+IMPORTRANGE(""https://docs.googl"&amp;"e.com/spreadsheets/d/1BIDqLLg5jk3v59G8NlR8rk5xfQDKne0sAvZHSj7TI6I/edit?usp=sharing"",""พระนครศรีอยุธยา!I504"")+IMPORTRANGE(""https://docs.google.com/spreadsheets/d/1YXvxf8Yu6_rV4hTBrwMqAcAnv6DfhUxh5emyM3CJp_w/edit?usp=sharing"",""เพชรบุรี!I504"")+IMPORTRA"&amp;"NGE(""https://docs.google.com/spreadsheets/d/19KBlQQs7uwvsao6t2n-KvW3Ax8J8uRRfZPq1zPbXgKc/edit?usp=sharing"",""ระยอง!I504"")+IMPORTRANGE(""https://docs.google.com/spreadsheets/d/1jQ6P4QcrGM89YfqcC_PxOHGCMq5ezhucwJd8ci-NHng/edit?usp=sharing"",""ราชบุรี!I50"&amp;"4"")+IMPORTRANGE(""https://docs.google.com/spreadsheets/d/1lufeA2cfFqM-elVq2hznhDzC6Pr7wkJ9ZG_sYNGCMCU/edit?usp=sharing"",""ลพบุรี!I504"")+IMPORTRANGE(""https://docs.google.com/spreadsheets/d/10oOiF7loTyfsTkbd4MpaIm0HQ9SwB7IYHdIUvt-U1Uc/edit?usp=sharing"""&amp;",""สระแก้ว!I504"")+IMPORTRANGE(""https://docs.google.com/spreadsheets/d/1xmPlrr1QbdSIKvl1dWUl9K4PjAfSL9oeMr_37QVzcxc/edit?usp=sharing"",""สระบุรี!I504"")+IMPORTRANGE(""https://docs.google.com/spreadsheets/d/1j51vR6CYVGhABJpv6tkstgok82RLpXieLzW1yOY5rHw/edi"&amp;"t?usp=sharing"",""สิงห์บุรี!I504"")+IMPORTRANGE(""https://docs.google.com/spreadsheets/d/1H1EalTWKUSzO4Z1-1CwzoDUaVffgrThEBe2sl74kKG0/edit?usp=sharing"",""สุพรรณบุรี!I504"")+IMPORTRANGE(""https://docs.google.com/spreadsheets/d/1BmIruG_sIrJLYao_Pdr7zVArWsf"&amp;"oBt2692TMi6x_854/edit?usp=sharing"",""อ่างทอง!I504"")"),160)</f>
        <v>160</v>
      </c>
      <c r="J504" s="292">
        <f ca="1">IFERROR(__xludf.DUMMYFUNCTION("IMPORTRANGE(""https://docs.google.com/spreadsheets/d/13wPX838HrBrQMCywv1BsuMkt4PEKTChp52zj44s2izQ/edit?usp=sharing"",""กาญจนบุรี!J504"")+IMPORTRANGE(""https://docs.google.com/spreadsheets/d/1ddFKvqj1W1NEiWytbGlB1zMx_ykJDVtmfEQ-6-lIUBA/edit?usp=sharing"","&amp;"""จันทบุรี!J504"")+IMPORTRANGE(""https://docs.google.com/spreadsheets/d/1T1PQvRODqOBZk8BRht_U031fIS1beLA0Ub2CEytj2q0/edit?usp=sharing"",""ฉะเชิงเทรา!J504"")+IMPORTRANGE(""https://docs.google.com/spreadsheets/d/11tr1B-Bhyr79v2bkwVh5h_fR-PStkgjlZtkrZpYurG0/"&amp;"edit?usp=sharing"",""ชลบุรี!J504"")+IMPORTRANGE(""https://docs.google.com/spreadsheets/d/1hh-FVnSX0vozXhGluamEcS54Dw9_zqW0N7qJUWgJ0Sw/edit?usp=sharing"",""ชัยนาท!J504"")+IMPORTRANGE(""https://docs.google.com/spreadsheets/d/1jkqa6GXxSacMcY1eN8AHjMNJ_7dDXMJ"&amp;"VRLDlaFSOdPM/edit?usp=sharing"",""ตราด!J504"")+IMPORTRANGE(""https://docs.google.com/spreadsheets/d/18hSgUJ3VwClqi_qtULmmW3cLr0oe3OKaSYoKzdpTsYQ/edit?usp=sharing"",""นครนายก!J504"")+IMPORTRANGE(""https://docs.google.com/spreadsheets/d/1YTZo6WM2dQ6Ix6FSdnL"&amp;"5P7uVnVKu40sxZu975tgG10E/edit?usp=sharing"",""นครปฐม!J504"")+IMPORTRANGE(""https://docs.google.com/spreadsheets/d/1OYoGg4WDg5RIzwGeB10padOxJF9E_Vljuvvct_M7RDo/edit?usp=sharing"",""ปทุมธานี!J504"")+IMPORTRANGE(""https://docs.google.com/spreadsheets/d/1GbCI"&amp;"E4D4wk9FUozzqk7SxfDMxDVBwVmI5zcaVUSzKAc/edit?usp=sharing"",""ประจวบคีรีขันธ์!J504"")+IMPORTRANGE(""https://docs.google.com/spreadsheets/d/1vVf6wykvW_lAyu7Yo9L4hUTqHqIeP_qcVuxCtosJEbg/edit?usp=sharing"",""ปราจีนบุรี!J504"")+IMPORTRANGE(""https://docs.googl"&amp;"e.com/spreadsheets/d/1BIDqLLg5jk3v59G8NlR8rk5xfQDKne0sAvZHSj7TI6I/edit?usp=sharing"",""พระนครศรีอยุธยา!J504"")+IMPORTRANGE(""https://docs.google.com/spreadsheets/d/1YXvxf8Yu6_rV4hTBrwMqAcAnv6DfhUxh5emyM3CJp_w/edit?usp=sharing"",""เพชรบุรี!J504"")+IMPORTRA"&amp;"NGE(""https://docs.google.com/spreadsheets/d/19KBlQQs7uwvsao6t2n-KvW3Ax8J8uRRfZPq1zPbXgKc/edit?usp=sharing"",""ระยอง!J504"")+IMPORTRANGE(""https://docs.google.com/spreadsheets/d/1jQ6P4QcrGM89YfqcC_PxOHGCMq5ezhucwJd8ci-NHng/edit?usp=sharing"",""ราชบุรี!J50"&amp;"4"")+IMPORTRANGE(""https://docs.google.com/spreadsheets/d/1lufeA2cfFqM-elVq2hznhDzC6Pr7wkJ9ZG_sYNGCMCU/edit?usp=sharing"",""ลพบุรี!J504"")+IMPORTRANGE(""https://docs.google.com/spreadsheets/d/10oOiF7loTyfsTkbd4MpaIm0HQ9SwB7IYHdIUvt-U1Uc/edit?usp=sharing"""&amp;",""สระแก้ว!J504"")+IMPORTRANGE(""https://docs.google.com/spreadsheets/d/1xmPlrr1QbdSIKvl1dWUl9K4PjAfSL9oeMr_37QVzcxc/edit?usp=sharing"",""สระบุรี!J504"")+IMPORTRANGE(""https://docs.google.com/spreadsheets/d/1j51vR6CYVGhABJpv6tkstgok82RLpXieLzW1yOY5rHw/edi"&amp;"t?usp=sharing"",""สิงห์บุรี!J504"")+IMPORTRANGE(""https://docs.google.com/spreadsheets/d/1H1EalTWKUSzO4Z1-1CwzoDUaVffgrThEBe2sl74kKG0/edit?usp=sharing"",""สุพรรณบุรี!J504"")+IMPORTRANGE(""https://docs.google.com/spreadsheets/d/1BmIruG_sIrJLYao_Pdr7zVArWsf"&amp;"oBt2692TMi6x_854/edit?usp=sharing"",""อ่างทอง!J504"")"),160)</f>
        <v>160</v>
      </c>
      <c r="K504" s="72">
        <f t="shared" ca="1" si="352"/>
        <v>100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13wPX838HrBrQMCywv1BsuMkt4PEKTChp52zj44s2izQ/edit?usp=sharing"",""กาญจนบุรี!I505"")+IMPORTRANGE(""https://docs.google.com/spreadsheets/d/1ddFKvqj1W1NEiWytbGlB1zMx_ykJDVtmfEQ-6-lIUBA/edit?usp=sharing"","&amp;"""จันทบุรี!I505"")+IMPORTRANGE(""https://docs.google.com/spreadsheets/d/1T1PQvRODqOBZk8BRht_U031fIS1beLA0Ub2CEytj2q0/edit?usp=sharing"",""ฉะเชิงเทรา!I505"")+IMPORTRANGE(""https://docs.google.com/spreadsheets/d/11tr1B-Bhyr79v2bkwVh5h_fR-PStkgjlZtkrZpYurG0/"&amp;"edit?usp=sharing"",""ชลบุรี!I505"")+IMPORTRANGE(""https://docs.google.com/spreadsheets/d/1hh-FVnSX0vozXhGluamEcS54Dw9_zqW0N7qJUWgJ0Sw/edit?usp=sharing"",""ชัยนาท!I505"")+IMPORTRANGE(""https://docs.google.com/spreadsheets/d/1jkqa6GXxSacMcY1eN8AHjMNJ_7dDXMJ"&amp;"VRLDlaFSOdPM/edit?usp=sharing"",""ตราด!I505"")+IMPORTRANGE(""https://docs.google.com/spreadsheets/d/18hSgUJ3VwClqi_qtULmmW3cLr0oe3OKaSYoKzdpTsYQ/edit?usp=sharing"",""นครนายก!I505"")+IMPORTRANGE(""https://docs.google.com/spreadsheets/d/1YTZo6WM2dQ6Ix6FSdnL"&amp;"5P7uVnVKu40sxZu975tgG10E/edit?usp=sharing"",""นครปฐม!I505"")+IMPORTRANGE(""https://docs.google.com/spreadsheets/d/1OYoGg4WDg5RIzwGeB10padOxJF9E_Vljuvvct_M7RDo/edit?usp=sharing"",""ปทุมธานี!I505"")+IMPORTRANGE(""https://docs.google.com/spreadsheets/d/1GbCI"&amp;"E4D4wk9FUozzqk7SxfDMxDVBwVmI5zcaVUSzKAc/edit?usp=sharing"",""ประจวบคีรีขันธ์!I505"")+IMPORTRANGE(""https://docs.google.com/spreadsheets/d/1vVf6wykvW_lAyu7Yo9L4hUTqHqIeP_qcVuxCtosJEbg/edit?usp=sharing"",""ปราจีนบุรี!I505"")+IMPORTRANGE(""https://docs.googl"&amp;"e.com/spreadsheets/d/1BIDqLLg5jk3v59G8NlR8rk5xfQDKne0sAvZHSj7TI6I/edit?usp=sharing"",""พระนครศรีอยุธยา!I505"")+IMPORTRANGE(""https://docs.google.com/spreadsheets/d/1YXvxf8Yu6_rV4hTBrwMqAcAnv6DfhUxh5emyM3CJp_w/edit?usp=sharing"",""เพชรบุรี!I505"")+IMPORTRA"&amp;"NGE(""https://docs.google.com/spreadsheets/d/19KBlQQs7uwvsao6t2n-KvW3Ax8J8uRRfZPq1zPbXgKc/edit?usp=sharing"",""ระยอง!I505"")+IMPORTRANGE(""https://docs.google.com/spreadsheets/d/1jQ6P4QcrGM89YfqcC_PxOHGCMq5ezhucwJd8ci-NHng/edit?usp=sharing"",""ราชบุรี!I50"&amp;"5"")+IMPORTRANGE(""https://docs.google.com/spreadsheets/d/1lufeA2cfFqM-elVq2hznhDzC6Pr7wkJ9ZG_sYNGCMCU/edit?usp=sharing"",""ลพบุรี!I505"")+IMPORTRANGE(""https://docs.google.com/spreadsheets/d/10oOiF7loTyfsTkbd4MpaIm0HQ9SwB7IYHdIUvt-U1Uc/edit?usp=sharing"""&amp;",""สระแก้ว!I505"")+IMPORTRANGE(""https://docs.google.com/spreadsheets/d/1xmPlrr1QbdSIKvl1dWUl9K4PjAfSL9oeMr_37QVzcxc/edit?usp=sharing"",""สระบุรี!I505"")+IMPORTRANGE(""https://docs.google.com/spreadsheets/d/1j51vR6CYVGhABJpv6tkstgok82RLpXieLzW1yOY5rHw/edi"&amp;"t?usp=sharing"",""สิงห์บุรี!I505"")+IMPORTRANGE(""https://docs.google.com/spreadsheets/d/1H1EalTWKUSzO4Z1-1CwzoDUaVffgrThEBe2sl74kKG0/edit?usp=sharing"",""สุพรรณบุรี!I505"")+IMPORTRANGE(""https://docs.google.com/spreadsheets/d/1BmIruG_sIrJLYao_Pdr7zVArWsf"&amp;"oBt2692TMi6x_854/edit?usp=sharing"",""อ่างทอง!I505"")"),160)</f>
        <v>160</v>
      </c>
      <c r="J505" s="292">
        <f ca="1">IFERROR(__xludf.DUMMYFUNCTION("IMPORTRANGE(""https://docs.google.com/spreadsheets/d/13wPX838HrBrQMCywv1BsuMkt4PEKTChp52zj44s2izQ/edit?usp=sharing"",""กาญจนบุรี!J505"")+IMPORTRANGE(""https://docs.google.com/spreadsheets/d/1ddFKvqj1W1NEiWytbGlB1zMx_ykJDVtmfEQ-6-lIUBA/edit?usp=sharing"","&amp;"""จันทบุรี!J505"")+IMPORTRANGE(""https://docs.google.com/spreadsheets/d/1T1PQvRODqOBZk8BRht_U031fIS1beLA0Ub2CEytj2q0/edit?usp=sharing"",""ฉะเชิงเทรา!J505"")+IMPORTRANGE(""https://docs.google.com/spreadsheets/d/11tr1B-Bhyr79v2bkwVh5h_fR-PStkgjlZtkrZpYurG0/"&amp;"edit?usp=sharing"",""ชลบุรี!J505"")+IMPORTRANGE(""https://docs.google.com/spreadsheets/d/1hh-FVnSX0vozXhGluamEcS54Dw9_zqW0N7qJUWgJ0Sw/edit?usp=sharing"",""ชัยนาท!J505"")+IMPORTRANGE(""https://docs.google.com/spreadsheets/d/1jkqa6GXxSacMcY1eN8AHjMNJ_7dDXMJ"&amp;"VRLDlaFSOdPM/edit?usp=sharing"",""ตราด!J505"")+IMPORTRANGE(""https://docs.google.com/spreadsheets/d/18hSgUJ3VwClqi_qtULmmW3cLr0oe3OKaSYoKzdpTsYQ/edit?usp=sharing"",""นครนายก!J505"")+IMPORTRANGE(""https://docs.google.com/spreadsheets/d/1YTZo6WM2dQ6Ix6FSdnL"&amp;"5P7uVnVKu40sxZu975tgG10E/edit?usp=sharing"",""นครปฐม!J505"")+IMPORTRANGE(""https://docs.google.com/spreadsheets/d/1OYoGg4WDg5RIzwGeB10padOxJF9E_Vljuvvct_M7RDo/edit?usp=sharing"",""ปทุมธานี!J505"")+IMPORTRANGE(""https://docs.google.com/spreadsheets/d/1GbCI"&amp;"E4D4wk9FUozzqk7SxfDMxDVBwVmI5zcaVUSzKAc/edit?usp=sharing"",""ประจวบคีรีขันธ์!J505"")+IMPORTRANGE(""https://docs.google.com/spreadsheets/d/1vVf6wykvW_lAyu7Yo9L4hUTqHqIeP_qcVuxCtosJEbg/edit?usp=sharing"",""ปราจีนบุรี!J505"")+IMPORTRANGE(""https://docs.googl"&amp;"e.com/spreadsheets/d/1BIDqLLg5jk3v59G8NlR8rk5xfQDKne0sAvZHSj7TI6I/edit?usp=sharing"",""พระนครศรีอยุธยา!J505"")+IMPORTRANGE(""https://docs.google.com/spreadsheets/d/1YXvxf8Yu6_rV4hTBrwMqAcAnv6DfhUxh5emyM3CJp_w/edit?usp=sharing"",""เพชรบุรี!J505"")+IMPORTRA"&amp;"NGE(""https://docs.google.com/spreadsheets/d/19KBlQQs7uwvsao6t2n-KvW3Ax8J8uRRfZPq1zPbXgKc/edit?usp=sharing"",""ระยอง!J505"")+IMPORTRANGE(""https://docs.google.com/spreadsheets/d/1jQ6P4QcrGM89YfqcC_PxOHGCMq5ezhucwJd8ci-NHng/edit?usp=sharing"",""ราชบุรี!J50"&amp;"5"")+IMPORTRANGE(""https://docs.google.com/spreadsheets/d/1lufeA2cfFqM-elVq2hznhDzC6Pr7wkJ9ZG_sYNGCMCU/edit?usp=sharing"",""ลพบุรี!J505"")+IMPORTRANGE(""https://docs.google.com/spreadsheets/d/10oOiF7loTyfsTkbd4MpaIm0HQ9SwB7IYHdIUvt-U1Uc/edit?usp=sharing"""&amp;",""สระแก้ว!J505"")+IMPORTRANGE(""https://docs.google.com/spreadsheets/d/1xmPlrr1QbdSIKvl1dWUl9K4PjAfSL9oeMr_37QVzcxc/edit?usp=sharing"",""สระบุรี!J505"")+IMPORTRANGE(""https://docs.google.com/spreadsheets/d/1j51vR6CYVGhABJpv6tkstgok82RLpXieLzW1yOY5rHw/edi"&amp;"t?usp=sharing"",""สิงห์บุรี!J505"")+IMPORTRANGE(""https://docs.google.com/spreadsheets/d/1H1EalTWKUSzO4Z1-1CwzoDUaVffgrThEBe2sl74kKG0/edit?usp=sharing"",""สุพรรณบุรี!J505"")+IMPORTRANGE(""https://docs.google.com/spreadsheets/d/1BmIruG_sIrJLYao_Pdr7zVArWsf"&amp;"oBt2692TMi6x_854/edit?usp=sharing"",""อ่างทอง!J505"")"),80)</f>
        <v>80</v>
      </c>
      <c r="K505" s="72">
        <f t="shared" ca="1" si="352"/>
        <v>50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13wPX838HrBrQMCywv1BsuMkt4PEKTChp52zj44s2izQ/edit?usp=sharing"",""กาญจนบุรี!I506"")+IMPORTRANGE(""https://docs.google.com/spreadsheets/d/1ddFKvqj1W1NEiWytbGlB1zMx_ykJDVtmfEQ-6-lIUBA/edit?usp=sharing"","&amp;"""จันทบุรี!I506"")+IMPORTRANGE(""https://docs.google.com/spreadsheets/d/1T1PQvRODqOBZk8BRht_U031fIS1beLA0Ub2CEytj2q0/edit?usp=sharing"",""ฉะเชิงเทรา!I506"")+IMPORTRANGE(""https://docs.google.com/spreadsheets/d/11tr1B-Bhyr79v2bkwVh5h_fR-PStkgjlZtkrZpYurG0/"&amp;"edit?usp=sharing"",""ชลบุรี!I506"")+IMPORTRANGE(""https://docs.google.com/spreadsheets/d/1hh-FVnSX0vozXhGluamEcS54Dw9_zqW0N7qJUWgJ0Sw/edit?usp=sharing"",""ชัยนาท!I506"")+IMPORTRANGE(""https://docs.google.com/spreadsheets/d/1jkqa6GXxSacMcY1eN8AHjMNJ_7dDXMJ"&amp;"VRLDlaFSOdPM/edit?usp=sharing"",""ตราด!I506"")+IMPORTRANGE(""https://docs.google.com/spreadsheets/d/18hSgUJ3VwClqi_qtULmmW3cLr0oe3OKaSYoKzdpTsYQ/edit?usp=sharing"",""นครนายก!I506"")+IMPORTRANGE(""https://docs.google.com/spreadsheets/d/1YTZo6WM2dQ6Ix6FSdnL"&amp;"5P7uVnVKu40sxZu975tgG10E/edit?usp=sharing"",""นครปฐม!I506"")+IMPORTRANGE(""https://docs.google.com/spreadsheets/d/1OYoGg4WDg5RIzwGeB10padOxJF9E_Vljuvvct_M7RDo/edit?usp=sharing"",""ปทุมธานี!I506"")+IMPORTRANGE(""https://docs.google.com/spreadsheets/d/1GbCI"&amp;"E4D4wk9FUozzqk7SxfDMxDVBwVmI5zcaVUSzKAc/edit?usp=sharing"",""ประจวบคีรีขันธ์!I506"")+IMPORTRANGE(""https://docs.google.com/spreadsheets/d/1vVf6wykvW_lAyu7Yo9L4hUTqHqIeP_qcVuxCtosJEbg/edit?usp=sharing"",""ปราจีนบุรี!I506"")+IMPORTRANGE(""https://docs.googl"&amp;"e.com/spreadsheets/d/1BIDqLLg5jk3v59G8NlR8rk5xfQDKne0sAvZHSj7TI6I/edit?usp=sharing"",""พระนครศรีอยุธยา!I506"")+IMPORTRANGE(""https://docs.google.com/spreadsheets/d/1YXvxf8Yu6_rV4hTBrwMqAcAnv6DfhUxh5emyM3CJp_w/edit?usp=sharing"",""เพชรบุรี!I506"")+IMPORTRA"&amp;"NGE(""https://docs.google.com/spreadsheets/d/19KBlQQs7uwvsao6t2n-KvW3Ax8J8uRRfZPq1zPbXgKc/edit?usp=sharing"",""ระยอง!I506"")+IMPORTRANGE(""https://docs.google.com/spreadsheets/d/1jQ6P4QcrGM89YfqcC_PxOHGCMq5ezhucwJd8ci-NHng/edit?usp=sharing"",""ราชบุรี!I50"&amp;"6"")+IMPORTRANGE(""https://docs.google.com/spreadsheets/d/1lufeA2cfFqM-elVq2hznhDzC6Pr7wkJ9ZG_sYNGCMCU/edit?usp=sharing"",""ลพบุรี!I506"")+IMPORTRANGE(""https://docs.google.com/spreadsheets/d/10oOiF7loTyfsTkbd4MpaIm0HQ9SwB7IYHdIUvt-U1Uc/edit?usp=sharing"""&amp;",""สระแก้ว!I506"")+IMPORTRANGE(""https://docs.google.com/spreadsheets/d/1xmPlrr1QbdSIKvl1dWUl9K4PjAfSL9oeMr_37QVzcxc/edit?usp=sharing"",""สระบุรี!I506"")+IMPORTRANGE(""https://docs.google.com/spreadsheets/d/1j51vR6CYVGhABJpv6tkstgok82RLpXieLzW1yOY5rHw/edi"&amp;"t?usp=sharing"",""สิงห์บุรี!I506"")+IMPORTRANGE(""https://docs.google.com/spreadsheets/d/1H1EalTWKUSzO4Z1-1CwzoDUaVffgrThEBe2sl74kKG0/edit?usp=sharing"",""สุพรรณบุรี!I506"")+IMPORTRANGE(""https://docs.google.com/spreadsheets/d/1BmIruG_sIrJLYao_Pdr7zVArWsf"&amp;"oBt2692TMi6x_854/edit?usp=sharing"",""อ่างทอง!I506"")"),160)</f>
        <v>160</v>
      </c>
      <c r="J506" s="292">
        <f ca="1">IFERROR(__xludf.DUMMYFUNCTION("IMPORTRANGE(""https://docs.google.com/spreadsheets/d/13wPX838HrBrQMCywv1BsuMkt4PEKTChp52zj44s2izQ/edit?usp=sharing"",""กาญจนบุรี!J506"")+IMPORTRANGE(""https://docs.google.com/spreadsheets/d/1ddFKvqj1W1NEiWytbGlB1zMx_ykJDVtmfEQ-6-lIUBA/edit?usp=sharing"","&amp;"""จันทบุรี!J506"")+IMPORTRANGE(""https://docs.google.com/spreadsheets/d/1T1PQvRODqOBZk8BRht_U031fIS1beLA0Ub2CEytj2q0/edit?usp=sharing"",""ฉะเชิงเทรา!J506"")+IMPORTRANGE(""https://docs.google.com/spreadsheets/d/11tr1B-Bhyr79v2bkwVh5h_fR-PStkgjlZtkrZpYurG0/"&amp;"edit?usp=sharing"",""ชลบุรี!J506"")+IMPORTRANGE(""https://docs.google.com/spreadsheets/d/1hh-FVnSX0vozXhGluamEcS54Dw9_zqW0N7qJUWgJ0Sw/edit?usp=sharing"",""ชัยนาท!J506"")+IMPORTRANGE(""https://docs.google.com/spreadsheets/d/1jkqa6GXxSacMcY1eN8AHjMNJ_7dDXMJ"&amp;"VRLDlaFSOdPM/edit?usp=sharing"",""ตราด!J506"")+IMPORTRANGE(""https://docs.google.com/spreadsheets/d/18hSgUJ3VwClqi_qtULmmW3cLr0oe3OKaSYoKzdpTsYQ/edit?usp=sharing"",""นครนายก!J506"")+IMPORTRANGE(""https://docs.google.com/spreadsheets/d/1YTZo6WM2dQ6Ix6FSdnL"&amp;"5P7uVnVKu40sxZu975tgG10E/edit?usp=sharing"",""นครปฐม!J506"")+IMPORTRANGE(""https://docs.google.com/spreadsheets/d/1OYoGg4WDg5RIzwGeB10padOxJF9E_Vljuvvct_M7RDo/edit?usp=sharing"",""ปทุมธานี!J506"")+IMPORTRANGE(""https://docs.google.com/spreadsheets/d/1GbCI"&amp;"E4D4wk9FUozzqk7SxfDMxDVBwVmI5zcaVUSzKAc/edit?usp=sharing"",""ประจวบคีรีขันธ์!J506"")+IMPORTRANGE(""https://docs.google.com/spreadsheets/d/1vVf6wykvW_lAyu7Yo9L4hUTqHqIeP_qcVuxCtosJEbg/edit?usp=sharing"",""ปราจีนบุรี!J506"")+IMPORTRANGE(""https://docs.googl"&amp;"e.com/spreadsheets/d/1BIDqLLg5jk3v59G8NlR8rk5xfQDKne0sAvZHSj7TI6I/edit?usp=sharing"",""พระนครศรีอยุธยา!J506"")+IMPORTRANGE(""https://docs.google.com/spreadsheets/d/1YXvxf8Yu6_rV4hTBrwMqAcAnv6DfhUxh5emyM3CJp_w/edit?usp=sharing"",""เพชรบุรี!J506"")+IMPORTRA"&amp;"NGE(""https://docs.google.com/spreadsheets/d/19KBlQQs7uwvsao6t2n-KvW3Ax8J8uRRfZPq1zPbXgKc/edit?usp=sharing"",""ระยอง!J506"")+IMPORTRANGE(""https://docs.google.com/spreadsheets/d/1jQ6P4QcrGM89YfqcC_PxOHGCMq5ezhucwJd8ci-NHng/edit?usp=sharing"",""ราชบุรี!J50"&amp;"6"")+IMPORTRANGE(""https://docs.google.com/spreadsheets/d/1lufeA2cfFqM-elVq2hznhDzC6Pr7wkJ9ZG_sYNGCMCU/edit?usp=sharing"",""ลพบุรี!J506"")+IMPORTRANGE(""https://docs.google.com/spreadsheets/d/10oOiF7loTyfsTkbd4MpaIm0HQ9SwB7IYHdIUvt-U1Uc/edit?usp=sharing"""&amp;",""สระแก้ว!J506"")+IMPORTRANGE(""https://docs.google.com/spreadsheets/d/1xmPlrr1QbdSIKvl1dWUl9K4PjAfSL9oeMr_37QVzcxc/edit?usp=sharing"",""สระบุรี!J506"")+IMPORTRANGE(""https://docs.google.com/spreadsheets/d/1j51vR6CYVGhABJpv6tkstgok82RLpXieLzW1yOY5rHw/edi"&amp;"t?usp=sharing"",""สิงห์บุรี!J506"")+IMPORTRANGE(""https://docs.google.com/spreadsheets/d/1H1EalTWKUSzO4Z1-1CwzoDUaVffgrThEBe2sl74kKG0/edit?usp=sharing"",""สุพรรณบุรี!J506"")+IMPORTRANGE(""https://docs.google.com/spreadsheets/d/1BmIruG_sIrJLYao_Pdr7zVArWsf"&amp;"oBt2692TMi6x_854/edit?usp=sharing"",""อ่างทอง!J506"")"),80)</f>
        <v>80</v>
      </c>
      <c r="K506" s="72">
        <f t="shared" ca="1" si="352"/>
        <v>50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13wPX838HrBrQMCywv1BsuMkt4PEKTChp52zj44s2izQ/edit?usp=sharing"",""กาญจนบุรี!I507"")+IMPORTRANGE(""https://docs.google.com/spreadsheets/d/1ddFKvqj1W1NEiWytbGlB1zMx_ykJDVtmfEQ-6-lIUBA/edit?usp=sharing"","&amp;"""จันทบุรี!I507"")+IMPORTRANGE(""https://docs.google.com/spreadsheets/d/1T1PQvRODqOBZk8BRht_U031fIS1beLA0Ub2CEytj2q0/edit?usp=sharing"",""ฉะเชิงเทรา!I507"")+IMPORTRANGE(""https://docs.google.com/spreadsheets/d/11tr1B-Bhyr79v2bkwVh5h_fR-PStkgjlZtkrZpYurG0/"&amp;"edit?usp=sharing"",""ชลบุรี!I507"")+IMPORTRANGE(""https://docs.google.com/spreadsheets/d/1hh-FVnSX0vozXhGluamEcS54Dw9_zqW0N7qJUWgJ0Sw/edit?usp=sharing"",""ชัยนาท!I507"")+IMPORTRANGE(""https://docs.google.com/spreadsheets/d/1jkqa6GXxSacMcY1eN8AHjMNJ_7dDXMJ"&amp;"VRLDlaFSOdPM/edit?usp=sharing"",""ตราด!I507"")+IMPORTRANGE(""https://docs.google.com/spreadsheets/d/18hSgUJ3VwClqi_qtULmmW3cLr0oe3OKaSYoKzdpTsYQ/edit?usp=sharing"",""นครนายก!I507"")+IMPORTRANGE(""https://docs.google.com/spreadsheets/d/1YTZo6WM2dQ6Ix6FSdnL"&amp;"5P7uVnVKu40sxZu975tgG10E/edit?usp=sharing"",""นครปฐม!I507"")+IMPORTRANGE(""https://docs.google.com/spreadsheets/d/1OYoGg4WDg5RIzwGeB10padOxJF9E_Vljuvvct_M7RDo/edit?usp=sharing"",""ปทุมธานี!I507"")+IMPORTRANGE(""https://docs.google.com/spreadsheets/d/1GbCI"&amp;"E4D4wk9FUozzqk7SxfDMxDVBwVmI5zcaVUSzKAc/edit?usp=sharing"",""ประจวบคีรีขันธ์!I507"")+IMPORTRANGE(""https://docs.google.com/spreadsheets/d/1vVf6wykvW_lAyu7Yo9L4hUTqHqIeP_qcVuxCtosJEbg/edit?usp=sharing"",""ปราจีนบุรี!I507"")+IMPORTRANGE(""https://docs.googl"&amp;"e.com/spreadsheets/d/1BIDqLLg5jk3v59G8NlR8rk5xfQDKne0sAvZHSj7TI6I/edit?usp=sharing"",""พระนครศรีอยุธยา!I507"")+IMPORTRANGE(""https://docs.google.com/spreadsheets/d/1YXvxf8Yu6_rV4hTBrwMqAcAnv6DfhUxh5emyM3CJp_w/edit?usp=sharing"",""เพชรบุรี!I507"")+IMPORTRA"&amp;"NGE(""https://docs.google.com/spreadsheets/d/19KBlQQs7uwvsao6t2n-KvW3Ax8J8uRRfZPq1zPbXgKc/edit?usp=sharing"",""ระยอง!I507"")+IMPORTRANGE(""https://docs.google.com/spreadsheets/d/1jQ6P4QcrGM89YfqcC_PxOHGCMq5ezhucwJd8ci-NHng/edit?usp=sharing"",""ราชบุรี!I50"&amp;"7"")+IMPORTRANGE(""https://docs.google.com/spreadsheets/d/1lufeA2cfFqM-elVq2hznhDzC6Pr7wkJ9ZG_sYNGCMCU/edit?usp=sharing"",""ลพบุรี!I507"")+IMPORTRANGE(""https://docs.google.com/spreadsheets/d/10oOiF7loTyfsTkbd4MpaIm0HQ9SwB7IYHdIUvt-U1Uc/edit?usp=sharing"""&amp;",""สระแก้ว!I507"")+IMPORTRANGE(""https://docs.google.com/spreadsheets/d/1xmPlrr1QbdSIKvl1dWUl9K4PjAfSL9oeMr_37QVzcxc/edit?usp=sharing"",""สระบุรี!I507"")+IMPORTRANGE(""https://docs.google.com/spreadsheets/d/1j51vR6CYVGhABJpv6tkstgok82RLpXieLzW1yOY5rHw/edi"&amp;"t?usp=sharing"",""สิงห์บุรี!I507"")+IMPORTRANGE(""https://docs.google.com/spreadsheets/d/1H1EalTWKUSzO4Z1-1CwzoDUaVffgrThEBe2sl74kKG0/edit?usp=sharing"",""สุพรรณบุรี!I507"")+IMPORTRANGE(""https://docs.google.com/spreadsheets/d/1BmIruG_sIrJLYao_Pdr7zVArWsf"&amp;"oBt2692TMi6x_854/edit?usp=sharing"",""อ่างทอง!I507"")"),70)</f>
        <v>70</v>
      </c>
      <c r="J507" s="292">
        <f ca="1">IFERROR(__xludf.DUMMYFUNCTION("IMPORTRANGE(""https://docs.google.com/spreadsheets/d/13wPX838HrBrQMCywv1BsuMkt4PEKTChp52zj44s2izQ/edit?usp=sharing"",""กาญจนบุรี!J507"")+IMPORTRANGE(""https://docs.google.com/spreadsheets/d/1ddFKvqj1W1NEiWytbGlB1zMx_ykJDVtmfEQ-6-lIUBA/edit?usp=sharing"","&amp;"""จันทบุรี!J507"")+IMPORTRANGE(""https://docs.google.com/spreadsheets/d/1T1PQvRODqOBZk8BRht_U031fIS1beLA0Ub2CEytj2q0/edit?usp=sharing"",""ฉะเชิงเทรา!J507"")+IMPORTRANGE(""https://docs.google.com/spreadsheets/d/11tr1B-Bhyr79v2bkwVh5h_fR-PStkgjlZtkrZpYurG0/"&amp;"edit?usp=sharing"",""ชลบุรี!J507"")+IMPORTRANGE(""https://docs.google.com/spreadsheets/d/1hh-FVnSX0vozXhGluamEcS54Dw9_zqW0N7qJUWgJ0Sw/edit?usp=sharing"",""ชัยนาท!J507"")+IMPORTRANGE(""https://docs.google.com/spreadsheets/d/1jkqa6GXxSacMcY1eN8AHjMNJ_7dDXMJ"&amp;"VRLDlaFSOdPM/edit?usp=sharing"",""ตราด!J507"")+IMPORTRANGE(""https://docs.google.com/spreadsheets/d/18hSgUJ3VwClqi_qtULmmW3cLr0oe3OKaSYoKzdpTsYQ/edit?usp=sharing"",""นครนายก!J507"")+IMPORTRANGE(""https://docs.google.com/spreadsheets/d/1YTZo6WM2dQ6Ix6FSdnL"&amp;"5P7uVnVKu40sxZu975tgG10E/edit?usp=sharing"",""นครปฐม!J507"")+IMPORTRANGE(""https://docs.google.com/spreadsheets/d/1OYoGg4WDg5RIzwGeB10padOxJF9E_Vljuvvct_M7RDo/edit?usp=sharing"",""ปทุมธานี!J507"")+IMPORTRANGE(""https://docs.google.com/spreadsheets/d/1GbCI"&amp;"E4D4wk9FUozzqk7SxfDMxDVBwVmI5zcaVUSzKAc/edit?usp=sharing"",""ประจวบคีรีขันธ์!J507"")+IMPORTRANGE(""https://docs.google.com/spreadsheets/d/1vVf6wykvW_lAyu7Yo9L4hUTqHqIeP_qcVuxCtosJEbg/edit?usp=sharing"",""ปราจีนบุรี!J507"")+IMPORTRANGE(""https://docs.googl"&amp;"e.com/spreadsheets/d/1BIDqLLg5jk3v59G8NlR8rk5xfQDKne0sAvZHSj7TI6I/edit?usp=sharing"",""พระนครศรีอยุธยา!J507"")+IMPORTRANGE(""https://docs.google.com/spreadsheets/d/1YXvxf8Yu6_rV4hTBrwMqAcAnv6DfhUxh5emyM3CJp_w/edit?usp=sharing"",""เพชรบุรี!J507"")+IMPORTRA"&amp;"NGE(""https://docs.google.com/spreadsheets/d/19KBlQQs7uwvsao6t2n-KvW3Ax8J8uRRfZPq1zPbXgKc/edit?usp=sharing"",""ระยอง!J507"")+IMPORTRANGE(""https://docs.google.com/spreadsheets/d/1jQ6P4QcrGM89YfqcC_PxOHGCMq5ezhucwJd8ci-NHng/edit?usp=sharing"",""ราชบุรี!J50"&amp;"7"")+IMPORTRANGE(""https://docs.google.com/spreadsheets/d/1lufeA2cfFqM-elVq2hznhDzC6Pr7wkJ9ZG_sYNGCMCU/edit?usp=sharing"",""ลพบุรี!J507"")+IMPORTRANGE(""https://docs.google.com/spreadsheets/d/10oOiF7loTyfsTkbd4MpaIm0HQ9SwB7IYHdIUvt-U1Uc/edit?usp=sharing"""&amp;",""สระแก้ว!J507"")+IMPORTRANGE(""https://docs.google.com/spreadsheets/d/1xmPlrr1QbdSIKvl1dWUl9K4PjAfSL9oeMr_37QVzcxc/edit?usp=sharing"",""สระบุรี!J507"")+IMPORTRANGE(""https://docs.google.com/spreadsheets/d/1j51vR6CYVGhABJpv6tkstgok82RLpXieLzW1yOY5rHw/edi"&amp;"t?usp=sharing"",""สิงห์บุรี!J507"")+IMPORTRANGE(""https://docs.google.com/spreadsheets/d/1H1EalTWKUSzO4Z1-1CwzoDUaVffgrThEBe2sl74kKG0/edit?usp=sharing"",""สุพรรณบุรี!J507"")+IMPORTRANGE(""https://docs.google.com/spreadsheets/d/1BmIruG_sIrJLYao_Pdr7zVArWsf"&amp;"oBt2692TMi6x_854/edit?usp=sharing"",""อ่างทอง!J507"")"),50)</f>
        <v>50</v>
      </c>
      <c r="K507" s="72">
        <f t="shared" ca="1" si="352"/>
        <v>71.428571428571431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352"/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291">
        <f ca="1">IFERROR(__xludf.DUMMYFUNCTION("IMPORTRANGE(""https://docs.google.com/spreadsheets/d/13wPX838HrBrQMCywv1BsuMkt4PEKTChp52zj44s2izQ/edit?usp=sharing"",""กาญจนบุรี!I509"")+IMPORTRANGE(""https://docs.google.com/spreadsheets/d/1ddFKvqj1W1NEiWytbGlB1zMx_ykJDVtmfEQ-6-lIUBA/edit?usp=sharing"","&amp;"""จันทบุรี!I509"")+IMPORTRANGE(""https://docs.google.com/spreadsheets/d/1T1PQvRODqOBZk8BRht_U031fIS1beLA0Ub2CEytj2q0/edit?usp=sharing"",""ฉะเชิงเทรา!I509"")+IMPORTRANGE(""https://docs.google.com/spreadsheets/d/11tr1B-Bhyr79v2bkwVh5h_fR-PStkgjlZtkrZpYurG0/"&amp;"edit?usp=sharing"",""ชลบุรี!I509"")+IMPORTRANGE(""https://docs.google.com/spreadsheets/d/1hh-FVnSX0vozXhGluamEcS54Dw9_zqW0N7qJUWgJ0Sw/edit?usp=sharing"",""ชัยนาท!I509"")+IMPORTRANGE(""https://docs.google.com/spreadsheets/d/1jkqa6GXxSacMcY1eN8AHjMNJ_7dDXMJ"&amp;"VRLDlaFSOdPM/edit?usp=sharing"",""ตราด!I509"")+IMPORTRANGE(""https://docs.google.com/spreadsheets/d/18hSgUJ3VwClqi_qtULmmW3cLr0oe3OKaSYoKzdpTsYQ/edit?usp=sharing"",""นครนายก!I509"")+IMPORTRANGE(""https://docs.google.com/spreadsheets/d/1YTZo6WM2dQ6Ix6FSdnL"&amp;"5P7uVnVKu40sxZu975tgG10E/edit?usp=sharing"",""นครปฐม!I509"")+IMPORTRANGE(""https://docs.google.com/spreadsheets/d/1OYoGg4WDg5RIzwGeB10padOxJF9E_Vljuvvct_M7RDo/edit?usp=sharing"",""ปทุมธานี!I509"")+IMPORTRANGE(""https://docs.google.com/spreadsheets/d/1GbCI"&amp;"E4D4wk9FUozzqk7SxfDMxDVBwVmI5zcaVUSzKAc/edit?usp=sharing"",""ประจวบคีรีขันธ์!I509"")+IMPORTRANGE(""https://docs.google.com/spreadsheets/d/1vVf6wykvW_lAyu7Yo9L4hUTqHqIeP_qcVuxCtosJEbg/edit?usp=sharing"",""ปราจีนบุรี!I509"")+IMPORTRANGE(""https://docs.googl"&amp;"e.com/spreadsheets/d/1BIDqLLg5jk3v59G8NlR8rk5xfQDKne0sAvZHSj7TI6I/edit?usp=sharing"",""พระนครศรีอยุธยา!I509"")+IMPORTRANGE(""https://docs.google.com/spreadsheets/d/1YXvxf8Yu6_rV4hTBrwMqAcAnv6DfhUxh5emyM3CJp_w/edit?usp=sharing"",""เพชรบุรี!I509"")+IMPORTRA"&amp;"NGE(""https://docs.google.com/spreadsheets/d/19KBlQQs7uwvsao6t2n-KvW3Ax8J8uRRfZPq1zPbXgKc/edit?usp=sharing"",""ระยอง!I509"")+IMPORTRANGE(""https://docs.google.com/spreadsheets/d/1jQ6P4QcrGM89YfqcC_PxOHGCMq5ezhucwJd8ci-NHng/edit?usp=sharing"",""ราชบุรี!I50"&amp;"9"")+IMPORTRANGE(""https://docs.google.com/spreadsheets/d/1lufeA2cfFqM-elVq2hznhDzC6Pr7wkJ9ZG_sYNGCMCU/edit?usp=sharing"",""ลพบุรี!I509"")+IMPORTRANGE(""https://docs.google.com/spreadsheets/d/10oOiF7loTyfsTkbd4MpaIm0HQ9SwB7IYHdIUvt-U1Uc/edit?usp=sharing"""&amp;",""สระแก้ว!I509"")+IMPORTRANGE(""https://docs.google.com/spreadsheets/d/1xmPlrr1QbdSIKvl1dWUl9K4PjAfSL9oeMr_37QVzcxc/edit?usp=sharing"",""สระบุรี!I509"")+IMPORTRANGE(""https://docs.google.com/spreadsheets/d/1j51vR6CYVGhABJpv6tkstgok82RLpXieLzW1yOY5rHw/edi"&amp;"t?usp=sharing"",""สิงห์บุรี!I509"")+IMPORTRANGE(""https://docs.google.com/spreadsheets/d/1H1EalTWKUSzO4Z1-1CwzoDUaVffgrThEBe2sl74kKG0/edit?usp=sharing"",""สุพรรณบุรี!I509"")+IMPORTRANGE(""https://docs.google.com/spreadsheets/d/1BmIruG_sIrJLYao_Pdr7zVArWsf"&amp;"oBt2692TMi6x_854/edit?usp=sharing"",""อ่างทอง!I509"")"),0)</f>
        <v>0</v>
      </c>
      <c r="J509" s="292">
        <f ca="1">IFERROR(__xludf.DUMMYFUNCTION("IMPORTRANGE(""https://docs.google.com/spreadsheets/d/13wPX838HrBrQMCywv1BsuMkt4PEKTChp52zj44s2izQ/edit?usp=sharing"",""กาญจนบุรี!J509"")+IMPORTRANGE(""https://docs.google.com/spreadsheets/d/1ddFKvqj1W1NEiWytbGlB1zMx_ykJDVtmfEQ-6-lIUBA/edit?usp=sharing"","&amp;"""จันทบุรี!J509"")+IMPORTRANGE(""https://docs.google.com/spreadsheets/d/1T1PQvRODqOBZk8BRht_U031fIS1beLA0Ub2CEytj2q0/edit?usp=sharing"",""ฉะเชิงเทรา!J509"")+IMPORTRANGE(""https://docs.google.com/spreadsheets/d/11tr1B-Bhyr79v2bkwVh5h_fR-PStkgjlZtkrZpYurG0/"&amp;"edit?usp=sharing"",""ชลบุรี!J509"")+IMPORTRANGE(""https://docs.google.com/spreadsheets/d/1hh-FVnSX0vozXhGluamEcS54Dw9_zqW0N7qJUWgJ0Sw/edit?usp=sharing"",""ชัยนาท!J509"")+IMPORTRANGE(""https://docs.google.com/spreadsheets/d/1jkqa6GXxSacMcY1eN8AHjMNJ_7dDXMJ"&amp;"VRLDlaFSOdPM/edit?usp=sharing"",""ตราด!J509"")+IMPORTRANGE(""https://docs.google.com/spreadsheets/d/18hSgUJ3VwClqi_qtULmmW3cLr0oe3OKaSYoKzdpTsYQ/edit?usp=sharing"",""นครนายก!J509"")+IMPORTRANGE(""https://docs.google.com/spreadsheets/d/1YTZo6WM2dQ6Ix6FSdnL"&amp;"5P7uVnVKu40sxZu975tgG10E/edit?usp=sharing"",""นครปฐม!J509"")+IMPORTRANGE(""https://docs.google.com/spreadsheets/d/1OYoGg4WDg5RIzwGeB10padOxJF9E_Vljuvvct_M7RDo/edit?usp=sharing"",""ปทุมธานี!J509"")+IMPORTRANGE(""https://docs.google.com/spreadsheets/d/1GbCI"&amp;"E4D4wk9FUozzqk7SxfDMxDVBwVmI5zcaVUSzKAc/edit?usp=sharing"",""ประจวบคีรีขันธ์!J509"")+IMPORTRANGE(""https://docs.google.com/spreadsheets/d/1vVf6wykvW_lAyu7Yo9L4hUTqHqIeP_qcVuxCtosJEbg/edit?usp=sharing"",""ปราจีนบุรี!J509"")+IMPORTRANGE(""https://docs.googl"&amp;"e.com/spreadsheets/d/1BIDqLLg5jk3v59G8NlR8rk5xfQDKne0sAvZHSj7TI6I/edit?usp=sharing"",""พระนครศรีอยุธยา!J509"")+IMPORTRANGE(""https://docs.google.com/spreadsheets/d/1YXvxf8Yu6_rV4hTBrwMqAcAnv6DfhUxh5emyM3CJp_w/edit?usp=sharing"",""เพชรบุรี!J509"")+IMPORTRA"&amp;"NGE(""https://docs.google.com/spreadsheets/d/19KBlQQs7uwvsao6t2n-KvW3Ax8J8uRRfZPq1zPbXgKc/edit?usp=sharing"",""ระยอง!J509"")+IMPORTRANGE(""https://docs.google.com/spreadsheets/d/1jQ6P4QcrGM89YfqcC_PxOHGCMq5ezhucwJd8ci-NHng/edit?usp=sharing"",""ราชบุรี!J50"&amp;"9"")+IMPORTRANGE(""https://docs.google.com/spreadsheets/d/1lufeA2cfFqM-elVq2hznhDzC6Pr7wkJ9ZG_sYNGCMCU/edit?usp=sharing"",""ลพบุรี!J509"")+IMPORTRANGE(""https://docs.google.com/spreadsheets/d/10oOiF7loTyfsTkbd4MpaIm0HQ9SwB7IYHdIUvt-U1Uc/edit?usp=sharing"""&amp;",""สระแก้ว!J509"")+IMPORTRANGE(""https://docs.google.com/spreadsheets/d/1xmPlrr1QbdSIKvl1dWUl9K4PjAfSL9oeMr_37QVzcxc/edit?usp=sharing"",""สระบุรี!J509"")+IMPORTRANGE(""https://docs.google.com/spreadsheets/d/1j51vR6CYVGhABJpv6tkstgok82RLpXieLzW1yOY5rHw/edi"&amp;"t?usp=sharing"",""สิงห์บุรี!J509"")+IMPORTRANGE(""https://docs.google.com/spreadsheets/d/1H1EalTWKUSzO4Z1-1CwzoDUaVffgrThEBe2sl74kKG0/edit?usp=sharing"",""สุพรรณบุรี!J509"")+IMPORTRANGE(""https://docs.google.com/spreadsheets/d/1BmIruG_sIrJLYao_Pdr7zVArWsf"&amp;"oBt2692TMi6x_854/edit?usp=sharing"",""อ่างทอง!J509"")"),80)</f>
        <v>80</v>
      </c>
      <c r="K509" s="181">
        <f t="shared" ca="1" si="352"/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x14ac:dyDescent="0.3">
      <c r="A510" s="617" t="s">
        <v>206</v>
      </c>
      <c r="B510" s="618"/>
      <c r="C510" s="618"/>
      <c r="D510" s="618"/>
      <c r="E510" s="619"/>
      <c r="F510" s="619"/>
      <c r="G510" s="619"/>
      <c r="H510" s="619"/>
      <c r="I510" s="620"/>
      <c r="J510" s="620"/>
      <c r="K510" s="621"/>
      <c r="L510" s="621"/>
      <c r="M510" s="621"/>
      <c r="N510" s="621"/>
      <c r="O510" s="621"/>
      <c r="P510" s="622"/>
      <c r="Q510" s="623"/>
      <c r="R510" s="624"/>
      <c r="S510" s="624"/>
      <c r="T510" s="624"/>
      <c r="U510" s="624"/>
    </row>
    <row r="511" spans="1:21" ht="19.5" hidden="1" x14ac:dyDescent="0.3">
      <c r="A511" s="625" t="s">
        <v>207</v>
      </c>
      <c r="B511" s="626"/>
      <c r="C511" s="626"/>
      <c r="D511" s="627"/>
      <c r="E511" s="626"/>
      <c r="F511" s="626"/>
      <c r="G511" s="626"/>
      <c r="H511" s="628"/>
      <c r="I511" s="629"/>
      <c r="J511" s="629"/>
      <c r="K511" s="630"/>
      <c r="L511" s="630"/>
      <c r="M511" s="630"/>
      <c r="N511" s="630"/>
      <c r="O511" s="630"/>
      <c r="P511" s="630"/>
      <c r="Q511" s="631"/>
      <c r="R511" s="632"/>
      <c r="S511" s="632"/>
      <c r="T511" s="632"/>
      <c r="U511" s="632"/>
    </row>
    <row r="512" spans="1:21" ht="19.5" hidden="1" x14ac:dyDescent="0.3">
      <c r="A512" s="633"/>
      <c r="B512" s="634" t="s">
        <v>208</v>
      </c>
      <c r="C512" s="635"/>
      <c r="D512" s="636"/>
      <c r="E512" s="636"/>
      <c r="F512" s="636"/>
      <c r="G512" s="637"/>
      <c r="H512" s="638" t="s">
        <v>61</v>
      </c>
      <c r="I512" s="639">
        <f t="shared" ref="I512:J512" si="353">I524</f>
        <v>0</v>
      </c>
      <c r="J512" s="639">
        <f t="shared" si="353"/>
        <v>0</v>
      </c>
      <c r="K512" s="640">
        <f>IF(I512&gt;0,J512*100/I512,0)</f>
        <v>0</v>
      </c>
      <c r="L512" s="641"/>
      <c r="M512" s="641"/>
      <c r="N512" s="641"/>
      <c r="O512" s="641"/>
      <c r="P512" s="641"/>
      <c r="Q512" s="642"/>
      <c r="R512" s="643"/>
      <c r="S512" s="643"/>
      <c r="T512" s="643"/>
      <c r="U512" s="643"/>
    </row>
    <row r="513" spans="1:21" ht="19.5" hidden="1" x14ac:dyDescent="0.3">
      <c r="A513" s="207"/>
      <c r="B513" s="65"/>
      <c r="C513" s="208" t="s">
        <v>18</v>
      </c>
      <c r="D513" s="209" t="s">
        <v>19</v>
      </c>
      <c r="E513" s="65"/>
      <c r="F513" s="65"/>
      <c r="G513" s="67"/>
      <c r="H513" s="210" t="s">
        <v>14</v>
      </c>
      <c r="I513" s="69"/>
      <c r="J513" s="69"/>
      <c r="K513" s="70"/>
      <c r="L513" s="211">
        <f t="shared" ref="L513:N513" ca="1" si="354">L514+L515</f>
        <v>0</v>
      </c>
      <c r="M513" s="211">
        <f t="shared" ca="1" si="354"/>
        <v>0</v>
      </c>
      <c r="N513" s="211">
        <f t="shared" ca="1" si="354"/>
        <v>0</v>
      </c>
      <c r="O513" s="211">
        <f t="shared" ref="O513:O521" ca="1" si="355">IF(L513&gt;0,N513*100/L513,0)</f>
        <v>0</v>
      </c>
      <c r="P513" s="211">
        <f t="shared" ref="P513:P521" ca="1" si="356">IF(M513&gt;0,N513*100/M513,0)</f>
        <v>0</v>
      </c>
      <c r="Q513" s="212">
        <f t="shared" ref="Q513:S513" ca="1" si="357">Q514+Q515</f>
        <v>0</v>
      </c>
      <c r="R513" s="213">
        <f t="shared" ca="1" si="357"/>
        <v>0</v>
      </c>
      <c r="S513" s="213">
        <f t="shared" ca="1" si="357"/>
        <v>0</v>
      </c>
      <c r="T513" s="213">
        <f t="shared" ref="T513:T521" ca="1" si="358">IF(Q513&gt;0,S513*100/Q513,0)</f>
        <v>0</v>
      </c>
      <c r="U513" s="213">
        <f t="shared" ref="U513:U521" ca="1" si="359">IF(R513&gt;0,S513*100/R513,0)</f>
        <v>0</v>
      </c>
    </row>
    <row r="514" spans="1:21" ht="18.75" hidden="1" x14ac:dyDescent="0.25">
      <c r="A514" s="207"/>
      <c r="B514" s="65"/>
      <c r="C514" s="65"/>
      <c r="D514" s="65"/>
      <c r="E514" s="73" t="s">
        <v>20</v>
      </c>
      <c r="F514" s="65"/>
      <c r="G514" s="67"/>
      <c r="H514" s="214" t="s">
        <v>14</v>
      </c>
      <c r="I514" s="69"/>
      <c r="J514" s="69"/>
      <c r="K514" s="70"/>
      <c r="L514" s="86">
        <f t="shared" ref="L514:N514" ca="1" si="360">L517+L520</f>
        <v>0</v>
      </c>
      <c r="M514" s="86">
        <f t="shared" ca="1" si="360"/>
        <v>0</v>
      </c>
      <c r="N514" s="86">
        <f t="shared" ca="1" si="360"/>
        <v>0</v>
      </c>
      <c r="O514" s="86">
        <f t="shared" ca="1" si="355"/>
        <v>0</v>
      </c>
      <c r="P514" s="86">
        <f t="shared" ca="1" si="356"/>
        <v>0</v>
      </c>
      <c r="Q514" s="215">
        <f t="shared" ref="Q514:S514" ca="1" si="361">Q517+Q520</f>
        <v>0</v>
      </c>
      <c r="R514" s="131">
        <f t="shared" ca="1" si="361"/>
        <v>0</v>
      </c>
      <c r="S514" s="131">
        <f t="shared" ca="1" si="361"/>
        <v>0</v>
      </c>
      <c r="T514" s="131">
        <f t="shared" ca="1" si="358"/>
        <v>0</v>
      </c>
      <c r="U514" s="131">
        <f t="shared" ca="1" si="359"/>
        <v>0</v>
      </c>
    </row>
    <row r="515" spans="1:21" ht="18.75" hidden="1" x14ac:dyDescent="0.25">
      <c r="A515" s="207"/>
      <c r="B515" s="65"/>
      <c r="C515" s="65"/>
      <c r="D515" s="65"/>
      <c r="E515" s="73" t="s">
        <v>21</v>
      </c>
      <c r="F515" s="65"/>
      <c r="G515" s="67"/>
      <c r="H515" s="214" t="s">
        <v>14</v>
      </c>
      <c r="I515" s="69"/>
      <c r="J515" s="69"/>
      <c r="K515" s="70"/>
      <c r="L515" s="86">
        <f t="shared" ref="L515:N515" ca="1" si="362">L518+L521</f>
        <v>0</v>
      </c>
      <c r="M515" s="86">
        <f t="shared" ca="1" si="362"/>
        <v>0</v>
      </c>
      <c r="N515" s="86">
        <f t="shared" ca="1" si="362"/>
        <v>0</v>
      </c>
      <c r="O515" s="86">
        <f t="shared" ca="1" si="355"/>
        <v>0</v>
      </c>
      <c r="P515" s="86">
        <f t="shared" ca="1" si="356"/>
        <v>0</v>
      </c>
      <c r="Q515" s="129">
        <f t="shared" ref="Q515:S515" ca="1" si="363">Q518+Q521</f>
        <v>0</v>
      </c>
      <c r="R515" s="130">
        <f t="shared" ca="1" si="363"/>
        <v>0</v>
      </c>
      <c r="S515" s="130">
        <f t="shared" ca="1" si="363"/>
        <v>0</v>
      </c>
      <c r="T515" s="130">
        <f t="shared" ca="1" si="358"/>
        <v>0</v>
      </c>
      <c r="U515" s="130">
        <f t="shared" ca="1" si="359"/>
        <v>0</v>
      </c>
    </row>
    <row r="516" spans="1:21" ht="18.75" hidden="1" x14ac:dyDescent="0.25">
      <c r="A516" s="207"/>
      <c r="B516" s="65"/>
      <c r="C516" s="65"/>
      <c r="D516" s="66" t="s">
        <v>22</v>
      </c>
      <c r="E516" s="65"/>
      <c r="F516" s="65"/>
      <c r="G516" s="67"/>
      <c r="H516" s="216" t="s">
        <v>14</v>
      </c>
      <c r="I516" s="217"/>
      <c r="J516" s="217"/>
      <c r="K516" s="218"/>
      <c r="L516" s="86">
        <f t="shared" ref="L516:N516" ca="1" si="364">L517+L518</f>
        <v>0</v>
      </c>
      <c r="M516" s="86">
        <f t="shared" ca="1" si="364"/>
        <v>0</v>
      </c>
      <c r="N516" s="86">
        <f t="shared" ca="1" si="364"/>
        <v>0</v>
      </c>
      <c r="O516" s="86">
        <f t="shared" ca="1" si="355"/>
        <v>0</v>
      </c>
      <c r="P516" s="86">
        <f t="shared" ca="1" si="356"/>
        <v>0</v>
      </c>
      <c r="Q516" s="129">
        <f t="shared" ref="Q516:S516" ca="1" si="365">Q517+Q518</f>
        <v>0</v>
      </c>
      <c r="R516" s="130">
        <f t="shared" ca="1" si="365"/>
        <v>0</v>
      </c>
      <c r="S516" s="130">
        <f t="shared" ca="1" si="365"/>
        <v>0</v>
      </c>
      <c r="T516" s="130">
        <f t="shared" ca="1" si="358"/>
        <v>0</v>
      </c>
      <c r="U516" s="130">
        <f t="shared" ca="1" si="359"/>
        <v>0</v>
      </c>
    </row>
    <row r="517" spans="1:21" ht="18.75" hidden="1" x14ac:dyDescent="0.25">
      <c r="A517" s="207"/>
      <c r="B517" s="65"/>
      <c r="C517" s="65"/>
      <c r="D517" s="65"/>
      <c r="E517" s="73" t="s">
        <v>36</v>
      </c>
      <c r="F517" s="65"/>
      <c r="G517" s="67"/>
      <c r="H517" s="216" t="s">
        <v>14</v>
      </c>
      <c r="I517" s="217"/>
      <c r="J517" s="217"/>
      <c r="K517" s="218"/>
      <c r="L517" s="86">
        <f ca="1">IFERROR(__xludf.DUMMYFUNCTION("IMPORTRANGE(""https://docs.google.com/spreadsheets/d/13wPX838HrBrQMCywv1BsuMkt4PEKTChp52zj44s2izQ/edit?usp=sharing"",""กาญจนบุรี!L517"")+IMPORTRANGE(""https://docs.google.com/spreadsheets/d/1ddFKvqj1W1NEiWytbGlB1zMx_ykJDVtmfEQ-6-lIUBA/edit?usp=sharing"","&amp;"""จันทบุรี!L517"")+IMPORTRANGE(""https://docs.google.com/spreadsheets/d/1T1PQvRODqOBZk8BRht_U031fIS1beLA0Ub2CEytj2q0/edit?usp=sharing"",""ฉะเชิงเทรา!L517"")+IMPORTRANGE(""https://docs.google.com/spreadsheets/d/11tr1B-Bhyr79v2bkwVh5h_fR-PStkgjlZtkrZpYurG0/"&amp;"edit?usp=sharing"",""ชลบุรี!L517"")+IMPORTRANGE(""https://docs.google.com/spreadsheets/d/1hh-FVnSX0vozXhGluamEcS54Dw9_zqW0N7qJUWgJ0Sw/edit?usp=sharing"",""ชัยนาท!L517"")+IMPORTRANGE(""https://docs.google.com/spreadsheets/d/1jkqa6GXxSacMcY1eN8AHjMNJ_7dDXMJ"&amp;"VRLDlaFSOdPM/edit?usp=sharing"",""ตราด!L517"")+IMPORTRANGE(""https://docs.google.com/spreadsheets/d/18hSgUJ3VwClqi_qtULmmW3cLr0oe3OKaSYoKzdpTsYQ/edit?usp=sharing"",""นครนายก!L517"")+IMPORTRANGE(""https://docs.google.com/spreadsheets/d/1YTZo6WM2dQ6Ix6FSdnL"&amp;"5P7uVnVKu40sxZu975tgG10E/edit?usp=sharing"",""นครปฐม!L517"")+IMPORTRANGE(""https://docs.google.com/spreadsheets/d/1OYoGg4WDg5RIzwGeB10padOxJF9E_Vljuvvct_M7RDo/edit?usp=sharing"",""ปทุมธานี!L517"")+IMPORTRANGE(""https://docs.google.com/spreadsheets/d/1GbCI"&amp;"E4D4wk9FUozzqk7SxfDMxDVBwVmI5zcaVUSzKAc/edit?usp=sharing"",""ประจวบคีรีขันธ์!L517"")+IMPORTRANGE(""https://docs.google.com/spreadsheets/d/1vVf6wykvW_lAyu7Yo9L4hUTqHqIeP_qcVuxCtosJEbg/edit?usp=sharing"",""ปราจีนบุรี!L517"")+IMPORTRANGE(""https://docs.googl"&amp;"e.com/spreadsheets/d/1BIDqLLg5jk3v59G8NlR8rk5xfQDKne0sAvZHSj7TI6I/edit?usp=sharing"",""พระนครศรีอยุธยา!L517"")+IMPORTRANGE(""https://docs.google.com/spreadsheets/d/1YXvxf8Yu6_rV4hTBrwMqAcAnv6DfhUxh5emyM3CJp_w/edit?usp=sharing"",""เพชรบุรี!L517"")+IMPORTRA"&amp;"NGE(""https://docs.google.com/spreadsheets/d/19KBlQQs7uwvsao6t2n-KvW3Ax8J8uRRfZPq1zPbXgKc/edit?usp=sharing"",""ระยอง!L517"")+IMPORTRANGE(""https://docs.google.com/spreadsheets/d/1jQ6P4QcrGM89YfqcC_PxOHGCMq5ezhucwJd8ci-NHng/edit?usp=sharing"",""ราชบุรี!L51"&amp;"7"")+IMPORTRANGE(""https://docs.google.com/spreadsheets/d/1lufeA2cfFqM-elVq2hznhDzC6Pr7wkJ9ZG_sYNGCMCU/edit?usp=sharing"",""ลพบุรี!L517"")+IMPORTRANGE(""https://docs.google.com/spreadsheets/d/10oOiF7loTyfsTkbd4MpaIm0HQ9SwB7IYHdIUvt-U1Uc/edit?usp=sharing"""&amp;",""สระแก้ว!L517"")+IMPORTRANGE(""https://docs.google.com/spreadsheets/d/1xmPlrr1QbdSIKvl1dWUl9K4PjAfSL9oeMr_37QVzcxc/edit?usp=sharing"",""สระบุรี!L517"")+IMPORTRANGE(""https://docs.google.com/spreadsheets/d/1j51vR6CYVGhABJpv6tkstgok82RLpXieLzW1yOY5rHw/edi"&amp;"t?usp=sharing"",""สิงห์บุรี!L517"")+IMPORTRANGE(""https://docs.google.com/spreadsheets/d/1H1EalTWKUSzO4Z1-1CwzoDUaVffgrThEBe2sl74kKG0/edit?usp=sharing"",""สุพรรณบุรี!L517"")+IMPORTRANGE(""https://docs.google.com/spreadsheets/d/1BmIruG_sIrJLYao_Pdr7zVArWsf"&amp;"oBt2692TMi6x_854/edit?usp=sharing"",""อ่างทอง!L517"")"),0)</f>
        <v>0</v>
      </c>
      <c r="M517" s="86">
        <f ca="1">IFERROR(__xludf.DUMMYFUNCTION("IMPORTRANGE(""https://docs.google.com/spreadsheets/d/13wPX838HrBrQMCywv1BsuMkt4PEKTChp52zj44s2izQ/edit?usp=sharing"",""กาญจนบุรี!M517"")+IMPORTRANGE(""https://docs.google.com/spreadsheets/d/1ddFKvqj1W1NEiWytbGlB1zMx_ykJDVtmfEQ-6-lIUBA/edit?usp=sharing"","&amp;"""จันทบุรี!M517"")+IMPORTRANGE(""https://docs.google.com/spreadsheets/d/1T1PQvRODqOBZk8BRht_U031fIS1beLA0Ub2CEytj2q0/edit?usp=sharing"",""ฉะเชิงเทรา!M517"")+IMPORTRANGE(""https://docs.google.com/spreadsheets/d/11tr1B-Bhyr79v2bkwVh5h_fR-PStkgjlZtkrZpYurG0/"&amp;"edit?usp=sharing"",""ชลบุรี!M517"")+IMPORTRANGE(""https://docs.google.com/spreadsheets/d/1hh-FVnSX0vozXhGluamEcS54Dw9_zqW0N7qJUWgJ0Sw/edit?usp=sharing"",""ชัยนาท!M517"")+IMPORTRANGE(""https://docs.google.com/spreadsheets/d/1jkqa6GXxSacMcY1eN8AHjMNJ_7dDXMJ"&amp;"VRLDlaFSOdPM/edit?usp=sharing"",""ตราด!M517"")+IMPORTRANGE(""https://docs.google.com/spreadsheets/d/18hSgUJ3VwClqi_qtULmmW3cLr0oe3OKaSYoKzdpTsYQ/edit?usp=sharing"",""นครนายก!M517"")+IMPORTRANGE(""https://docs.google.com/spreadsheets/d/1YTZo6WM2dQ6Ix6FSdnL"&amp;"5P7uVnVKu40sxZu975tgG10E/edit?usp=sharing"",""นครปฐม!M517"")+IMPORTRANGE(""https://docs.google.com/spreadsheets/d/1OYoGg4WDg5RIzwGeB10padOxJF9E_Vljuvvct_M7RDo/edit?usp=sharing"",""ปทุมธานี!M517"")+IMPORTRANGE(""https://docs.google.com/spreadsheets/d/1GbCI"&amp;"E4D4wk9FUozzqk7SxfDMxDVBwVmI5zcaVUSzKAc/edit?usp=sharing"",""ประจวบคีรีขันธ์!M517"")+IMPORTRANGE(""https://docs.google.com/spreadsheets/d/1vVf6wykvW_lAyu7Yo9L4hUTqHqIeP_qcVuxCtosJEbg/edit?usp=sharing"",""ปราจีนบุรี!M517"")+IMPORTRANGE(""https://docs.googl"&amp;"e.com/spreadsheets/d/1BIDqLLg5jk3v59G8NlR8rk5xfQDKne0sAvZHSj7TI6I/edit?usp=sharing"",""พระนครศรีอยุธยา!M517"")+IMPORTRANGE(""https://docs.google.com/spreadsheets/d/1YXvxf8Yu6_rV4hTBrwMqAcAnv6DfhUxh5emyM3CJp_w/edit?usp=sharing"",""เพชรบุรี!M517"")+IMPORTRA"&amp;"NGE(""https://docs.google.com/spreadsheets/d/19KBlQQs7uwvsao6t2n-KvW3Ax8J8uRRfZPq1zPbXgKc/edit?usp=sharing"",""ระยอง!M517"")+IMPORTRANGE(""https://docs.google.com/spreadsheets/d/1jQ6P4QcrGM89YfqcC_PxOHGCMq5ezhucwJd8ci-NHng/edit?usp=sharing"",""ราชบุรี!M51"&amp;"7"")+IMPORTRANGE(""https://docs.google.com/spreadsheets/d/1lufeA2cfFqM-elVq2hznhDzC6Pr7wkJ9ZG_sYNGCMCU/edit?usp=sharing"",""ลพบุรี!M517"")+IMPORTRANGE(""https://docs.google.com/spreadsheets/d/10oOiF7loTyfsTkbd4MpaIm0HQ9SwB7IYHdIUvt-U1Uc/edit?usp=sharing"""&amp;",""สระแก้ว!M517"")+IMPORTRANGE(""https://docs.google.com/spreadsheets/d/1xmPlrr1QbdSIKvl1dWUl9K4PjAfSL9oeMr_37QVzcxc/edit?usp=sharing"",""สระบุรี!M517"")+IMPORTRANGE(""https://docs.google.com/spreadsheets/d/1j51vR6CYVGhABJpv6tkstgok82RLpXieLzW1yOY5rHw/edi"&amp;"t?usp=sharing"",""สิงห์บุรี!M517"")+IMPORTRANGE(""https://docs.google.com/spreadsheets/d/1H1EalTWKUSzO4Z1-1CwzoDUaVffgrThEBe2sl74kKG0/edit?usp=sharing"",""สุพรรณบุรี!M517"")+IMPORTRANGE(""https://docs.google.com/spreadsheets/d/1BmIruG_sIrJLYao_Pdr7zVArWsf"&amp;"oBt2692TMi6x_854/edit?usp=sharing"",""อ่างทอง!M517"")"),0)</f>
        <v>0</v>
      </c>
      <c r="N517" s="86">
        <f ca="1">IFERROR(__xludf.DUMMYFUNCTION("IMPORTRANGE(""https://docs.google.com/spreadsheets/d/13wPX838HrBrQMCywv1BsuMkt4PEKTChp52zj44s2izQ/edit?usp=sharing"",""กาญจนบุรี!N517"")+IMPORTRANGE(""https://docs.google.com/spreadsheets/d/1ddFKvqj1W1NEiWytbGlB1zMx_ykJDVtmfEQ-6-lIUBA/edit?usp=sharing"","&amp;"""จันทบุรี!N517"")+IMPORTRANGE(""https://docs.google.com/spreadsheets/d/1T1PQvRODqOBZk8BRht_U031fIS1beLA0Ub2CEytj2q0/edit?usp=sharing"",""ฉะเชิงเทรา!N517"")+IMPORTRANGE(""https://docs.google.com/spreadsheets/d/11tr1B-Bhyr79v2bkwVh5h_fR-PStkgjlZtkrZpYurG0/"&amp;"edit?usp=sharing"",""ชลบุรี!N517"")+IMPORTRANGE(""https://docs.google.com/spreadsheets/d/1hh-FVnSX0vozXhGluamEcS54Dw9_zqW0N7qJUWgJ0Sw/edit?usp=sharing"",""ชัยนาท!N517"")+IMPORTRANGE(""https://docs.google.com/spreadsheets/d/1jkqa6GXxSacMcY1eN8AHjMNJ_7dDXMJ"&amp;"VRLDlaFSOdPM/edit?usp=sharing"",""ตราด!N517"")+IMPORTRANGE(""https://docs.google.com/spreadsheets/d/18hSgUJ3VwClqi_qtULmmW3cLr0oe3OKaSYoKzdpTsYQ/edit?usp=sharing"",""นครนายก!N517"")+IMPORTRANGE(""https://docs.google.com/spreadsheets/d/1YTZo6WM2dQ6Ix6FSdnL"&amp;"5P7uVnVKu40sxZu975tgG10E/edit?usp=sharing"",""นครปฐม!N517"")+IMPORTRANGE(""https://docs.google.com/spreadsheets/d/1OYoGg4WDg5RIzwGeB10padOxJF9E_Vljuvvct_M7RDo/edit?usp=sharing"",""ปทุมธานี!N517"")+IMPORTRANGE(""https://docs.google.com/spreadsheets/d/1GbCI"&amp;"E4D4wk9FUozzqk7SxfDMxDVBwVmI5zcaVUSzKAc/edit?usp=sharing"",""ประจวบคีรีขันธ์!N517"")+IMPORTRANGE(""https://docs.google.com/spreadsheets/d/1vVf6wykvW_lAyu7Yo9L4hUTqHqIeP_qcVuxCtosJEbg/edit?usp=sharing"",""ปราจีนบุรี!N517"")+IMPORTRANGE(""https://docs.googl"&amp;"e.com/spreadsheets/d/1BIDqLLg5jk3v59G8NlR8rk5xfQDKne0sAvZHSj7TI6I/edit?usp=sharing"",""พระนครศรีอยุธยา!N517"")+IMPORTRANGE(""https://docs.google.com/spreadsheets/d/1YXvxf8Yu6_rV4hTBrwMqAcAnv6DfhUxh5emyM3CJp_w/edit?usp=sharing"",""เพชรบุรี!N517"")+IMPORTRA"&amp;"NGE(""https://docs.google.com/spreadsheets/d/19KBlQQs7uwvsao6t2n-KvW3Ax8J8uRRfZPq1zPbXgKc/edit?usp=sharing"",""ระยอง!N517"")+IMPORTRANGE(""https://docs.google.com/spreadsheets/d/1jQ6P4QcrGM89YfqcC_PxOHGCMq5ezhucwJd8ci-NHng/edit?usp=sharing"",""ราชบุรี!N51"&amp;"7"")+IMPORTRANGE(""https://docs.google.com/spreadsheets/d/1lufeA2cfFqM-elVq2hznhDzC6Pr7wkJ9ZG_sYNGCMCU/edit?usp=sharing"",""ลพบุรี!N517"")+IMPORTRANGE(""https://docs.google.com/spreadsheets/d/10oOiF7loTyfsTkbd4MpaIm0HQ9SwB7IYHdIUvt-U1Uc/edit?usp=sharing"""&amp;",""สระแก้ว!N517"")+IMPORTRANGE(""https://docs.google.com/spreadsheets/d/1xmPlrr1QbdSIKvl1dWUl9K4PjAfSL9oeMr_37QVzcxc/edit?usp=sharing"",""สระบุรี!N517"")+IMPORTRANGE(""https://docs.google.com/spreadsheets/d/1j51vR6CYVGhABJpv6tkstgok82RLpXieLzW1yOY5rHw/edi"&amp;"t?usp=sharing"",""สิงห์บุรี!N517"")+IMPORTRANGE(""https://docs.google.com/spreadsheets/d/1H1EalTWKUSzO4Z1-1CwzoDUaVffgrThEBe2sl74kKG0/edit?usp=sharing"",""สุพรรณบุรี!N517"")+IMPORTRANGE(""https://docs.google.com/spreadsheets/d/1BmIruG_sIrJLYao_Pdr7zVArWsf"&amp;"oBt2692TMi6x_854/edit?usp=sharing"",""อ่างทอง!N517"")"),0)</f>
        <v>0</v>
      </c>
      <c r="O517" s="86">
        <f t="shared" ca="1" si="355"/>
        <v>0</v>
      </c>
      <c r="P517" s="86">
        <f t="shared" ca="1" si="356"/>
        <v>0</v>
      </c>
      <c r="Q517" s="74">
        <f ca="1">IFERROR(__xludf.DUMMYFUNCTION("IMPORTRANGE(""https://docs.google.com/spreadsheets/d/13wPX838HrBrQMCywv1BsuMkt4PEKTChp52zj44s2izQ/edit?usp=sharing"",""กาญจนบุรี!Q517"")+IMPORTRANGE(""https://docs.google.com/spreadsheets/d/1ddFKvqj1W1NEiWytbGlB1zMx_ykJDVtmfEQ-6-lIUBA/edit?usp=sharing"","&amp;"""จันทบุรี!Q517"")+IMPORTRANGE(""https://docs.google.com/spreadsheets/d/1T1PQvRODqOBZk8BRht_U031fIS1beLA0Ub2CEytj2q0/edit?usp=sharing"",""ฉะเชิงเทรา!Q517"")+IMPORTRANGE(""https://docs.google.com/spreadsheets/d/11tr1B-Bhyr79v2bkwVh5h_fR-PStkgjlZtkrZpYurG0/"&amp;"edit?usp=sharing"",""ชลบุรี!Q517"")+IMPORTRANGE(""https://docs.google.com/spreadsheets/d/1hh-FVnSX0vozXhGluamEcS54Dw9_zqW0N7qJUWgJ0Sw/edit?usp=sharing"",""ชัยนาท!Q517"")+IMPORTRANGE(""https://docs.google.com/spreadsheets/d/1jkqa6GXxSacMcY1eN8AHjMNJ_7dDXMJ"&amp;"VRLDlaFSOdPM/edit?usp=sharing"",""ตราด!Q517"")+IMPORTRANGE(""https://docs.google.com/spreadsheets/d/18hSgUJ3VwClqi_qtULmmW3cLr0oe3OKaSYoKzdpTsYQ/edit?usp=sharing"",""นครนายก!Q517"")+IMPORTRANGE(""https://docs.google.com/spreadsheets/d/1YTZo6WM2dQ6Ix6FSdnL"&amp;"5P7uVnVKu40sxZu975tgG10E/edit?usp=sharing"",""นครปฐม!Q517"")+IMPORTRANGE(""https://docs.google.com/spreadsheets/d/1OYoGg4WDg5RIzwGeB10padOxJF9E_Vljuvvct_M7RDo/edit?usp=sharing"",""ปทุมธานี!Q517"")+IMPORTRANGE(""https://docs.google.com/spreadsheets/d/1GbCI"&amp;"E4D4wk9FUozzqk7SxfDMxDVBwVmI5zcaVUSzKAc/edit?usp=sharing"",""ประจวบคีรีขันธ์!Q517"")+IMPORTRANGE(""https://docs.google.com/spreadsheets/d/1vVf6wykvW_lAyu7Yo9L4hUTqHqIeP_qcVuxCtosJEbg/edit?usp=sharing"",""ปราจีนบุรี!Q517"")+IMPORTRANGE(""https://docs.googl"&amp;"e.com/spreadsheets/d/1BIDqLLg5jk3v59G8NlR8rk5xfQDKne0sAvZHSj7TI6I/edit?usp=sharing"",""พระนครศรีอยุธยา!Q517"")+IMPORTRANGE(""https://docs.google.com/spreadsheets/d/1YXvxf8Yu6_rV4hTBrwMqAcAnv6DfhUxh5emyM3CJp_w/edit?usp=sharing"",""เพชรบุรี!Q517"")+IMPORTRA"&amp;"NGE(""https://docs.google.com/spreadsheets/d/19KBlQQs7uwvsao6t2n-KvW3Ax8J8uRRfZPq1zPbXgKc/edit?usp=sharing"",""ระยอง!Q517"")+IMPORTRANGE(""https://docs.google.com/spreadsheets/d/1jQ6P4QcrGM89YfqcC_PxOHGCMq5ezhucwJd8ci-NHng/edit?usp=sharing"",""ราชบุรี!Q51"&amp;"7"")+IMPORTRANGE(""https://docs.google.com/spreadsheets/d/1lufeA2cfFqM-elVq2hznhDzC6Pr7wkJ9ZG_sYNGCMCU/edit?usp=sharing"",""ลพบุรี!Q517"")+IMPORTRANGE(""https://docs.google.com/spreadsheets/d/10oOiF7loTyfsTkbd4MpaIm0HQ9SwB7IYHdIUvt-U1Uc/edit?usp=sharing"""&amp;",""สระแก้ว!Q517"")+IMPORTRANGE(""https://docs.google.com/spreadsheets/d/1xmPlrr1QbdSIKvl1dWUl9K4PjAfSL9oeMr_37QVzcxc/edit?usp=sharing"",""สระบุรี!Q517"")+IMPORTRANGE(""https://docs.google.com/spreadsheets/d/1j51vR6CYVGhABJpv6tkstgok82RLpXieLzW1yOY5rHw/edi"&amp;"t?usp=sharing"",""สิงห์บุรี!Q517"")+IMPORTRANGE(""https://docs.google.com/spreadsheets/d/1H1EalTWKUSzO4Z1-1CwzoDUaVffgrThEBe2sl74kKG0/edit?usp=sharing"",""สุพรรณบุรี!Q517"")+IMPORTRANGE(""https://docs.google.com/spreadsheets/d/1BmIruG_sIrJLYao_Pdr7zVArWsf"&amp;"oBt2692TMi6x_854/edit?usp=sharing"",""อ่างทอง!Q517"")"),0)</f>
        <v>0</v>
      </c>
      <c r="R517" s="75">
        <f ca="1">IFERROR(__xludf.DUMMYFUNCTION("IMPORTRANGE(""https://docs.google.com/spreadsheets/d/13wPX838HrBrQMCywv1BsuMkt4PEKTChp52zj44s2izQ/edit?usp=sharing"",""กาญจนบุรี!R517"")+IMPORTRANGE(""https://docs.google.com/spreadsheets/d/1ddFKvqj1W1NEiWytbGlB1zMx_ykJDVtmfEQ-6-lIUBA/edit?usp=sharing"","&amp;"""จันทบุรี!R517"")+IMPORTRANGE(""https://docs.google.com/spreadsheets/d/1T1PQvRODqOBZk8BRht_U031fIS1beLA0Ub2CEytj2q0/edit?usp=sharing"",""ฉะเชิงเทรา!R517"")+IMPORTRANGE(""https://docs.google.com/spreadsheets/d/11tr1B-Bhyr79v2bkwVh5h_fR-PStkgjlZtkrZpYurG0/"&amp;"edit?usp=sharing"",""ชลบุรี!R517"")+IMPORTRANGE(""https://docs.google.com/spreadsheets/d/1hh-FVnSX0vozXhGluamEcS54Dw9_zqW0N7qJUWgJ0Sw/edit?usp=sharing"",""ชัยนาท!R517"")+IMPORTRANGE(""https://docs.google.com/spreadsheets/d/1jkqa6GXxSacMcY1eN8AHjMNJ_7dDXMJ"&amp;"VRLDlaFSOdPM/edit?usp=sharing"",""ตราด!R517"")+IMPORTRANGE(""https://docs.google.com/spreadsheets/d/18hSgUJ3VwClqi_qtULmmW3cLr0oe3OKaSYoKzdpTsYQ/edit?usp=sharing"",""นครนายก!R517"")+IMPORTRANGE(""https://docs.google.com/spreadsheets/d/1YTZo6WM2dQ6Ix6FSdnL"&amp;"5P7uVnVKu40sxZu975tgG10E/edit?usp=sharing"",""นครปฐม!R517"")+IMPORTRANGE(""https://docs.google.com/spreadsheets/d/1OYoGg4WDg5RIzwGeB10padOxJF9E_Vljuvvct_M7RDo/edit?usp=sharing"",""ปทุมธานี!R517"")+IMPORTRANGE(""https://docs.google.com/spreadsheets/d/1GbCI"&amp;"E4D4wk9FUozzqk7SxfDMxDVBwVmI5zcaVUSzKAc/edit?usp=sharing"",""ประจวบคีรีขันธ์!R517"")+IMPORTRANGE(""https://docs.google.com/spreadsheets/d/1vVf6wykvW_lAyu7Yo9L4hUTqHqIeP_qcVuxCtosJEbg/edit?usp=sharing"",""ปราจีนบุรี!R517"")+IMPORTRANGE(""https://docs.googl"&amp;"e.com/spreadsheets/d/1BIDqLLg5jk3v59G8NlR8rk5xfQDKne0sAvZHSj7TI6I/edit?usp=sharing"",""พระนครศรีอยุธยา!R517"")+IMPORTRANGE(""https://docs.google.com/spreadsheets/d/1YXvxf8Yu6_rV4hTBrwMqAcAnv6DfhUxh5emyM3CJp_w/edit?usp=sharing"",""เพชรบุรี!R517"")+IMPORTRA"&amp;"NGE(""https://docs.google.com/spreadsheets/d/19KBlQQs7uwvsao6t2n-KvW3Ax8J8uRRfZPq1zPbXgKc/edit?usp=sharing"",""ระยอง!R517"")+IMPORTRANGE(""https://docs.google.com/spreadsheets/d/1jQ6P4QcrGM89YfqcC_PxOHGCMq5ezhucwJd8ci-NHng/edit?usp=sharing"",""ราชบุรี!R51"&amp;"7"")+IMPORTRANGE(""https://docs.google.com/spreadsheets/d/1lufeA2cfFqM-elVq2hznhDzC6Pr7wkJ9ZG_sYNGCMCU/edit?usp=sharing"",""ลพบุรี!R517"")+IMPORTRANGE(""https://docs.google.com/spreadsheets/d/10oOiF7loTyfsTkbd4MpaIm0HQ9SwB7IYHdIUvt-U1Uc/edit?usp=sharing"""&amp;",""สระแก้ว!R517"")+IMPORTRANGE(""https://docs.google.com/spreadsheets/d/1xmPlrr1QbdSIKvl1dWUl9K4PjAfSL9oeMr_37QVzcxc/edit?usp=sharing"",""สระบุรี!R517"")+IMPORTRANGE(""https://docs.google.com/spreadsheets/d/1j51vR6CYVGhABJpv6tkstgok82RLpXieLzW1yOY5rHw/edi"&amp;"t?usp=sharing"",""สิงห์บุรี!R517"")+IMPORTRANGE(""https://docs.google.com/spreadsheets/d/1H1EalTWKUSzO4Z1-1CwzoDUaVffgrThEBe2sl74kKG0/edit?usp=sharing"",""สุพรรณบุรี!R517"")+IMPORTRANGE(""https://docs.google.com/spreadsheets/d/1BmIruG_sIrJLYao_Pdr7zVArWsf"&amp;"oBt2692TMi6x_854/edit?usp=sharing"",""อ่างทอง!R517"")"),0)</f>
        <v>0</v>
      </c>
      <c r="S517" s="75">
        <f ca="1">IFERROR(__xludf.DUMMYFUNCTION("IMPORTRANGE(""https://docs.google.com/spreadsheets/d/13wPX838HrBrQMCywv1BsuMkt4PEKTChp52zj44s2izQ/edit?usp=sharing"",""กาญจนบุรี!S517"")+IMPORTRANGE(""https://docs.google.com/spreadsheets/d/1ddFKvqj1W1NEiWytbGlB1zMx_ykJDVtmfEQ-6-lIUBA/edit?usp=sharing"","&amp;"""จันทบุรี!S517"")+IMPORTRANGE(""https://docs.google.com/spreadsheets/d/1T1PQvRODqOBZk8BRht_U031fIS1beLA0Ub2CEytj2q0/edit?usp=sharing"",""ฉะเชิงเทรา!S517"")+IMPORTRANGE(""https://docs.google.com/spreadsheets/d/11tr1B-Bhyr79v2bkwVh5h_fR-PStkgjlZtkrZpYurG0/"&amp;"edit?usp=sharing"",""ชลบุรี!S517"")+IMPORTRANGE(""https://docs.google.com/spreadsheets/d/1hh-FVnSX0vozXhGluamEcS54Dw9_zqW0N7qJUWgJ0Sw/edit?usp=sharing"",""ชัยนาท!S517"")+IMPORTRANGE(""https://docs.google.com/spreadsheets/d/1jkqa6GXxSacMcY1eN8AHjMNJ_7dDXMJ"&amp;"VRLDlaFSOdPM/edit?usp=sharing"",""ตราด!S517"")+IMPORTRANGE(""https://docs.google.com/spreadsheets/d/18hSgUJ3VwClqi_qtULmmW3cLr0oe3OKaSYoKzdpTsYQ/edit?usp=sharing"",""นครนายก!S517"")+IMPORTRANGE(""https://docs.google.com/spreadsheets/d/1YTZo6WM2dQ6Ix6FSdnL"&amp;"5P7uVnVKu40sxZu975tgG10E/edit?usp=sharing"",""นครปฐม!S517"")+IMPORTRANGE(""https://docs.google.com/spreadsheets/d/1OYoGg4WDg5RIzwGeB10padOxJF9E_Vljuvvct_M7RDo/edit?usp=sharing"",""ปทุมธานี!S517"")+IMPORTRANGE(""https://docs.google.com/spreadsheets/d/1GbCI"&amp;"E4D4wk9FUozzqk7SxfDMxDVBwVmI5zcaVUSzKAc/edit?usp=sharing"",""ประจวบคีรีขันธ์!S517"")+IMPORTRANGE(""https://docs.google.com/spreadsheets/d/1vVf6wykvW_lAyu7Yo9L4hUTqHqIeP_qcVuxCtosJEbg/edit?usp=sharing"",""ปราจีนบุรี!S517"")+IMPORTRANGE(""https://docs.googl"&amp;"e.com/spreadsheets/d/1BIDqLLg5jk3v59G8NlR8rk5xfQDKne0sAvZHSj7TI6I/edit?usp=sharing"",""พระนครศรีอยุธยา!S517"")+IMPORTRANGE(""https://docs.google.com/spreadsheets/d/1YXvxf8Yu6_rV4hTBrwMqAcAnv6DfhUxh5emyM3CJp_w/edit?usp=sharing"",""เพชรบุรี!S517"")+IMPORTRA"&amp;"NGE(""https://docs.google.com/spreadsheets/d/19KBlQQs7uwvsao6t2n-KvW3Ax8J8uRRfZPq1zPbXgKc/edit?usp=sharing"",""ระยอง!S517"")+IMPORTRANGE(""https://docs.google.com/spreadsheets/d/1jQ6P4QcrGM89YfqcC_PxOHGCMq5ezhucwJd8ci-NHng/edit?usp=sharing"",""ราชบุรี!S51"&amp;"7"")+IMPORTRANGE(""https://docs.google.com/spreadsheets/d/1lufeA2cfFqM-elVq2hznhDzC6Pr7wkJ9ZG_sYNGCMCU/edit?usp=sharing"",""ลพบุรี!S517"")+IMPORTRANGE(""https://docs.google.com/spreadsheets/d/10oOiF7loTyfsTkbd4MpaIm0HQ9SwB7IYHdIUvt-U1Uc/edit?usp=sharing"""&amp;",""สระแก้ว!S517"")+IMPORTRANGE(""https://docs.google.com/spreadsheets/d/1xmPlrr1QbdSIKvl1dWUl9K4PjAfSL9oeMr_37QVzcxc/edit?usp=sharing"",""สระบุรี!S517"")+IMPORTRANGE(""https://docs.google.com/spreadsheets/d/1j51vR6CYVGhABJpv6tkstgok82RLpXieLzW1yOY5rHw/edi"&amp;"t?usp=sharing"",""สิงห์บุรี!S517"")+IMPORTRANGE(""https://docs.google.com/spreadsheets/d/1H1EalTWKUSzO4Z1-1CwzoDUaVffgrThEBe2sl74kKG0/edit?usp=sharing"",""สุพรรณบุรี!S517"")+IMPORTRANGE(""https://docs.google.com/spreadsheets/d/1BmIruG_sIrJLYao_Pdr7zVArWsf"&amp;"oBt2692TMi6x_854/edit?usp=sharing"",""อ่างทอง!S517"")"),0)</f>
        <v>0</v>
      </c>
      <c r="T517" s="131">
        <f t="shared" ca="1" si="358"/>
        <v>0</v>
      </c>
      <c r="U517" s="131">
        <f t="shared" ca="1" si="359"/>
        <v>0</v>
      </c>
    </row>
    <row r="518" spans="1:21" ht="18.75" hidden="1" x14ac:dyDescent="0.25">
      <c r="A518" s="207"/>
      <c r="B518" s="65"/>
      <c r="C518" s="65"/>
      <c r="D518" s="65"/>
      <c r="E518" s="73" t="s">
        <v>37</v>
      </c>
      <c r="F518" s="65"/>
      <c r="G518" s="67"/>
      <c r="H518" s="216" t="s">
        <v>14</v>
      </c>
      <c r="I518" s="217"/>
      <c r="J518" s="217"/>
      <c r="K518" s="218"/>
      <c r="L518" s="86">
        <f ca="1">IFERROR(__xludf.DUMMYFUNCTION("IMPORTRANGE(""https://docs.google.com/spreadsheets/d/13wPX838HrBrQMCywv1BsuMkt4PEKTChp52zj44s2izQ/edit?usp=sharing"",""กาญจนบุรี!L518"")+IMPORTRANGE(""https://docs.google.com/spreadsheets/d/1ddFKvqj1W1NEiWytbGlB1zMx_ykJDVtmfEQ-6-lIUBA/edit?usp=sharing"","&amp;"""จันทบุรี!L518"")+IMPORTRANGE(""https://docs.google.com/spreadsheets/d/1T1PQvRODqOBZk8BRht_U031fIS1beLA0Ub2CEytj2q0/edit?usp=sharing"",""ฉะเชิงเทรา!L518"")+IMPORTRANGE(""https://docs.google.com/spreadsheets/d/11tr1B-Bhyr79v2bkwVh5h_fR-PStkgjlZtkrZpYurG0/"&amp;"edit?usp=sharing"",""ชลบุรี!L518"")+IMPORTRANGE(""https://docs.google.com/spreadsheets/d/1hh-FVnSX0vozXhGluamEcS54Dw9_zqW0N7qJUWgJ0Sw/edit?usp=sharing"",""ชัยนาท!L518"")+IMPORTRANGE(""https://docs.google.com/spreadsheets/d/1jkqa6GXxSacMcY1eN8AHjMNJ_7dDXMJ"&amp;"VRLDlaFSOdPM/edit?usp=sharing"",""ตราด!L518"")+IMPORTRANGE(""https://docs.google.com/spreadsheets/d/18hSgUJ3VwClqi_qtULmmW3cLr0oe3OKaSYoKzdpTsYQ/edit?usp=sharing"",""นครนายก!L518"")+IMPORTRANGE(""https://docs.google.com/spreadsheets/d/1YTZo6WM2dQ6Ix6FSdnL"&amp;"5P7uVnVKu40sxZu975tgG10E/edit?usp=sharing"",""นครปฐม!L518"")+IMPORTRANGE(""https://docs.google.com/spreadsheets/d/1OYoGg4WDg5RIzwGeB10padOxJF9E_Vljuvvct_M7RDo/edit?usp=sharing"",""ปทุมธานี!L518"")+IMPORTRANGE(""https://docs.google.com/spreadsheets/d/1GbCI"&amp;"E4D4wk9FUozzqk7SxfDMxDVBwVmI5zcaVUSzKAc/edit?usp=sharing"",""ประจวบคีรีขันธ์!L518"")+IMPORTRANGE(""https://docs.google.com/spreadsheets/d/1vVf6wykvW_lAyu7Yo9L4hUTqHqIeP_qcVuxCtosJEbg/edit?usp=sharing"",""ปราจีนบุรี!L518"")+IMPORTRANGE(""https://docs.googl"&amp;"e.com/spreadsheets/d/1BIDqLLg5jk3v59G8NlR8rk5xfQDKne0sAvZHSj7TI6I/edit?usp=sharing"",""พระนครศรีอยุธยา!L518"")+IMPORTRANGE(""https://docs.google.com/spreadsheets/d/1YXvxf8Yu6_rV4hTBrwMqAcAnv6DfhUxh5emyM3CJp_w/edit?usp=sharing"",""เพชรบุรี!L518"")+IMPORTRA"&amp;"NGE(""https://docs.google.com/spreadsheets/d/19KBlQQs7uwvsao6t2n-KvW3Ax8J8uRRfZPq1zPbXgKc/edit?usp=sharing"",""ระยอง!L518"")+IMPORTRANGE(""https://docs.google.com/spreadsheets/d/1jQ6P4QcrGM89YfqcC_PxOHGCMq5ezhucwJd8ci-NHng/edit?usp=sharing"",""ราชบุรี!L51"&amp;"8"")+IMPORTRANGE(""https://docs.google.com/spreadsheets/d/1lufeA2cfFqM-elVq2hznhDzC6Pr7wkJ9ZG_sYNGCMCU/edit?usp=sharing"",""ลพบุรี!L518"")+IMPORTRANGE(""https://docs.google.com/spreadsheets/d/10oOiF7loTyfsTkbd4MpaIm0HQ9SwB7IYHdIUvt-U1Uc/edit?usp=sharing"""&amp;",""สระแก้ว!L518"")+IMPORTRANGE(""https://docs.google.com/spreadsheets/d/1xmPlrr1QbdSIKvl1dWUl9K4PjAfSL9oeMr_37QVzcxc/edit?usp=sharing"",""สระบุรี!L518"")+IMPORTRANGE(""https://docs.google.com/spreadsheets/d/1j51vR6CYVGhABJpv6tkstgok82RLpXieLzW1yOY5rHw/edi"&amp;"t?usp=sharing"",""สิงห์บุรี!L518"")+IMPORTRANGE(""https://docs.google.com/spreadsheets/d/1H1EalTWKUSzO4Z1-1CwzoDUaVffgrThEBe2sl74kKG0/edit?usp=sharing"",""สุพรรณบุรี!L518"")+IMPORTRANGE(""https://docs.google.com/spreadsheets/d/1BmIruG_sIrJLYao_Pdr7zVArWsf"&amp;"oBt2692TMi6x_854/edit?usp=sharing"",""อ่างทอง!L518"")"),0)</f>
        <v>0</v>
      </c>
      <c r="M518" s="86">
        <f ca="1">IFERROR(__xludf.DUMMYFUNCTION("IMPORTRANGE(""https://docs.google.com/spreadsheets/d/13wPX838HrBrQMCywv1BsuMkt4PEKTChp52zj44s2izQ/edit?usp=sharing"",""กาญจนบุรี!M518"")+IMPORTRANGE(""https://docs.google.com/spreadsheets/d/1ddFKvqj1W1NEiWytbGlB1zMx_ykJDVtmfEQ-6-lIUBA/edit?usp=sharing"","&amp;"""จันทบุรี!M518"")+IMPORTRANGE(""https://docs.google.com/spreadsheets/d/1T1PQvRODqOBZk8BRht_U031fIS1beLA0Ub2CEytj2q0/edit?usp=sharing"",""ฉะเชิงเทรา!M518"")+IMPORTRANGE(""https://docs.google.com/spreadsheets/d/11tr1B-Bhyr79v2bkwVh5h_fR-PStkgjlZtkrZpYurG0/"&amp;"edit?usp=sharing"",""ชลบุรี!M518"")+IMPORTRANGE(""https://docs.google.com/spreadsheets/d/1hh-FVnSX0vozXhGluamEcS54Dw9_zqW0N7qJUWgJ0Sw/edit?usp=sharing"",""ชัยนาท!M518"")+IMPORTRANGE(""https://docs.google.com/spreadsheets/d/1jkqa6GXxSacMcY1eN8AHjMNJ_7dDXMJ"&amp;"VRLDlaFSOdPM/edit?usp=sharing"",""ตราด!M518"")+IMPORTRANGE(""https://docs.google.com/spreadsheets/d/18hSgUJ3VwClqi_qtULmmW3cLr0oe3OKaSYoKzdpTsYQ/edit?usp=sharing"",""นครนายก!M518"")+IMPORTRANGE(""https://docs.google.com/spreadsheets/d/1YTZo6WM2dQ6Ix6FSdnL"&amp;"5P7uVnVKu40sxZu975tgG10E/edit?usp=sharing"",""นครปฐม!M518"")+IMPORTRANGE(""https://docs.google.com/spreadsheets/d/1OYoGg4WDg5RIzwGeB10padOxJF9E_Vljuvvct_M7RDo/edit?usp=sharing"",""ปทุมธานี!M518"")+IMPORTRANGE(""https://docs.google.com/spreadsheets/d/1GbCI"&amp;"E4D4wk9FUozzqk7SxfDMxDVBwVmI5zcaVUSzKAc/edit?usp=sharing"",""ประจวบคีรีขันธ์!M518"")+IMPORTRANGE(""https://docs.google.com/spreadsheets/d/1vVf6wykvW_lAyu7Yo9L4hUTqHqIeP_qcVuxCtosJEbg/edit?usp=sharing"",""ปราจีนบุรี!M518"")+IMPORTRANGE(""https://docs.googl"&amp;"e.com/spreadsheets/d/1BIDqLLg5jk3v59G8NlR8rk5xfQDKne0sAvZHSj7TI6I/edit?usp=sharing"",""พระนครศรีอยุธยา!M518"")+IMPORTRANGE(""https://docs.google.com/spreadsheets/d/1YXvxf8Yu6_rV4hTBrwMqAcAnv6DfhUxh5emyM3CJp_w/edit?usp=sharing"",""เพชรบุรี!M518"")+IMPORTRA"&amp;"NGE(""https://docs.google.com/spreadsheets/d/19KBlQQs7uwvsao6t2n-KvW3Ax8J8uRRfZPq1zPbXgKc/edit?usp=sharing"",""ระยอง!M518"")+IMPORTRANGE(""https://docs.google.com/spreadsheets/d/1jQ6P4QcrGM89YfqcC_PxOHGCMq5ezhucwJd8ci-NHng/edit?usp=sharing"",""ราชบุรี!M51"&amp;"8"")+IMPORTRANGE(""https://docs.google.com/spreadsheets/d/1lufeA2cfFqM-elVq2hznhDzC6Pr7wkJ9ZG_sYNGCMCU/edit?usp=sharing"",""ลพบุรี!M518"")+IMPORTRANGE(""https://docs.google.com/spreadsheets/d/10oOiF7loTyfsTkbd4MpaIm0HQ9SwB7IYHdIUvt-U1Uc/edit?usp=sharing"""&amp;",""สระแก้ว!M518"")+IMPORTRANGE(""https://docs.google.com/spreadsheets/d/1xmPlrr1QbdSIKvl1dWUl9K4PjAfSL9oeMr_37QVzcxc/edit?usp=sharing"",""สระบุรี!M518"")+IMPORTRANGE(""https://docs.google.com/spreadsheets/d/1j51vR6CYVGhABJpv6tkstgok82RLpXieLzW1yOY5rHw/edi"&amp;"t?usp=sharing"",""สิงห์บุรี!M518"")+IMPORTRANGE(""https://docs.google.com/spreadsheets/d/1H1EalTWKUSzO4Z1-1CwzoDUaVffgrThEBe2sl74kKG0/edit?usp=sharing"",""สุพรรณบุรี!M518"")+IMPORTRANGE(""https://docs.google.com/spreadsheets/d/1BmIruG_sIrJLYao_Pdr7zVArWsf"&amp;"oBt2692TMi6x_854/edit?usp=sharing"",""อ่างทอง!M518"")"),0)</f>
        <v>0</v>
      </c>
      <c r="N518" s="86">
        <f ca="1">IFERROR(__xludf.DUMMYFUNCTION("IMPORTRANGE(""https://docs.google.com/spreadsheets/d/13wPX838HrBrQMCywv1BsuMkt4PEKTChp52zj44s2izQ/edit?usp=sharing"",""กาญจนบุรี!N518"")+IMPORTRANGE(""https://docs.google.com/spreadsheets/d/1ddFKvqj1W1NEiWytbGlB1zMx_ykJDVtmfEQ-6-lIUBA/edit?usp=sharing"","&amp;"""จันทบุรี!N518"")+IMPORTRANGE(""https://docs.google.com/spreadsheets/d/1T1PQvRODqOBZk8BRht_U031fIS1beLA0Ub2CEytj2q0/edit?usp=sharing"",""ฉะเชิงเทรา!N518"")+IMPORTRANGE(""https://docs.google.com/spreadsheets/d/11tr1B-Bhyr79v2bkwVh5h_fR-PStkgjlZtkrZpYurG0/"&amp;"edit?usp=sharing"",""ชลบุรี!N518"")+IMPORTRANGE(""https://docs.google.com/spreadsheets/d/1hh-FVnSX0vozXhGluamEcS54Dw9_zqW0N7qJUWgJ0Sw/edit?usp=sharing"",""ชัยนาท!N518"")+IMPORTRANGE(""https://docs.google.com/spreadsheets/d/1jkqa6GXxSacMcY1eN8AHjMNJ_7dDXMJ"&amp;"VRLDlaFSOdPM/edit?usp=sharing"",""ตราด!N518"")+IMPORTRANGE(""https://docs.google.com/spreadsheets/d/18hSgUJ3VwClqi_qtULmmW3cLr0oe3OKaSYoKzdpTsYQ/edit?usp=sharing"",""นครนายก!N518"")+IMPORTRANGE(""https://docs.google.com/spreadsheets/d/1YTZo6WM2dQ6Ix6FSdnL"&amp;"5P7uVnVKu40sxZu975tgG10E/edit?usp=sharing"",""นครปฐม!N518"")+IMPORTRANGE(""https://docs.google.com/spreadsheets/d/1OYoGg4WDg5RIzwGeB10padOxJF9E_Vljuvvct_M7RDo/edit?usp=sharing"",""ปทุมธานี!N518"")+IMPORTRANGE(""https://docs.google.com/spreadsheets/d/1GbCI"&amp;"E4D4wk9FUozzqk7SxfDMxDVBwVmI5zcaVUSzKAc/edit?usp=sharing"",""ประจวบคีรีขันธ์!N518"")+IMPORTRANGE(""https://docs.google.com/spreadsheets/d/1vVf6wykvW_lAyu7Yo9L4hUTqHqIeP_qcVuxCtosJEbg/edit?usp=sharing"",""ปราจีนบุรี!N518"")+IMPORTRANGE(""https://docs.googl"&amp;"e.com/spreadsheets/d/1BIDqLLg5jk3v59G8NlR8rk5xfQDKne0sAvZHSj7TI6I/edit?usp=sharing"",""พระนครศรีอยุธยา!N518"")+IMPORTRANGE(""https://docs.google.com/spreadsheets/d/1YXvxf8Yu6_rV4hTBrwMqAcAnv6DfhUxh5emyM3CJp_w/edit?usp=sharing"",""เพชรบุรี!N518"")+IMPORTRA"&amp;"NGE(""https://docs.google.com/spreadsheets/d/19KBlQQs7uwvsao6t2n-KvW3Ax8J8uRRfZPq1zPbXgKc/edit?usp=sharing"",""ระยอง!N518"")+IMPORTRANGE(""https://docs.google.com/spreadsheets/d/1jQ6P4QcrGM89YfqcC_PxOHGCMq5ezhucwJd8ci-NHng/edit?usp=sharing"",""ราชบุรี!N51"&amp;"8"")+IMPORTRANGE(""https://docs.google.com/spreadsheets/d/1lufeA2cfFqM-elVq2hznhDzC6Pr7wkJ9ZG_sYNGCMCU/edit?usp=sharing"",""ลพบุรี!N518"")+IMPORTRANGE(""https://docs.google.com/spreadsheets/d/10oOiF7loTyfsTkbd4MpaIm0HQ9SwB7IYHdIUvt-U1Uc/edit?usp=sharing"""&amp;",""สระแก้ว!N518"")+IMPORTRANGE(""https://docs.google.com/spreadsheets/d/1xmPlrr1QbdSIKvl1dWUl9K4PjAfSL9oeMr_37QVzcxc/edit?usp=sharing"",""สระบุรี!N518"")+IMPORTRANGE(""https://docs.google.com/spreadsheets/d/1j51vR6CYVGhABJpv6tkstgok82RLpXieLzW1yOY5rHw/edi"&amp;"t?usp=sharing"",""สิงห์บุรี!N518"")+IMPORTRANGE(""https://docs.google.com/spreadsheets/d/1H1EalTWKUSzO4Z1-1CwzoDUaVffgrThEBe2sl74kKG0/edit?usp=sharing"",""สุพรรณบุรี!N518"")+IMPORTRANGE(""https://docs.google.com/spreadsheets/d/1BmIruG_sIrJLYao_Pdr7zVArWsf"&amp;"oBt2692TMi6x_854/edit?usp=sharing"",""อ่างทอง!N518"")"),0)</f>
        <v>0</v>
      </c>
      <c r="O518" s="86">
        <f t="shared" ca="1" si="355"/>
        <v>0</v>
      </c>
      <c r="P518" s="86">
        <f t="shared" ca="1" si="356"/>
        <v>0</v>
      </c>
      <c r="Q518" s="71">
        <f ca="1">IFERROR(__xludf.DUMMYFUNCTION("IMPORTRANGE(""https://docs.google.com/spreadsheets/d/13wPX838HrBrQMCywv1BsuMkt4PEKTChp52zj44s2izQ/edit?usp=sharing"",""กาญจนบุรี!Q518"")+IMPORTRANGE(""https://docs.google.com/spreadsheets/d/1ddFKvqj1W1NEiWytbGlB1zMx_ykJDVtmfEQ-6-lIUBA/edit?usp=sharing"","&amp;"""จันทบุรี!Q518"")+IMPORTRANGE(""https://docs.google.com/spreadsheets/d/1T1PQvRODqOBZk8BRht_U031fIS1beLA0Ub2CEytj2q0/edit?usp=sharing"",""ฉะเชิงเทรา!Q518"")+IMPORTRANGE(""https://docs.google.com/spreadsheets/d/11tr1B-Bhyr79v2bkwVh5h_fR-PStkgjlZtkrZpYurG0/"&amp;"edit?usp=sharing"",""ชลบุรี!Q518"")+IMPORTRANGE(""https://docs.google.com/spreadsheets/d/1hh-FVnSX0vozXhGluamEcS54Dw9_zqW0N7qJUWgJ0Sw/edit?usp=sharing"",""ชัยนาท!Q518"")+IMPORTRANGE(""https://docs.google.com/spreadsheets/d/1jkqa6GXxSacMcY1eN8AHjMNJ_7dDXMJ"&amp;"VRLDlaFSOdPM/edit?usp=sharing"",""ตราด!Q518"")+IMPORTRANGE(""https://docs.google.com/spreadsheets/d/18hSgUJ3VwClqi_qtULmmW3cLr0oe3OKaSYoKzdpTsYQ/edit?usp=sharing"",""นครนายก!Q518"")+IMPORTRANGE(""https://docs.google.com/spreadsheets/d/1YTZo6WM2dQ6Ix6FSdnL"&amp;"5P7uVnVKu40sxZu975tgG10E/edit?usp=sharing"",""นครปฐม!Q518"")+IMPORTRANGE(""https://docs.google.com/spreadsheets/d/1OYoGg4WDg5RIzwGeB10padOxJF9E_Vljuvvct_M7RDo/edit?usp=sharing"",""ปทุมธานี!Q518"")+IMPORTRANGE(""https://docs.google.com/spreadsheets/d/1GbCI"&amp;"E4D4wk9FUozzqk7SxfDMxDVBwVmI5zcaVUSzKAc/edit?usp=sharing"",""ประจวบคีรีขันธ์!Q518"")+IMPORTRANGE(""https://docs.google.com/spreadsheets/d/1vVf6wykvW_lAyu7Yo9L4hUTqHqIeP_qcVuxCtosJEbg/edit?usp=sharing"",""ปราจีนบุรี!Q518"")+IMPORTRANGE(""https://docs.googl"&amp;"e.com/spreadsheets/d/1BIDqLLg5jk3v59G8NlR8rk5xfQDKne0sAvZHSj7TI6I/edit?usp=sharing"",""พระนครศรีอยุธยา!Q518"")+IMPORTRANGE(""https://docs.google.com/spreadsheets/d/1YXvxf8Yu6_rV4hTBrwMqAcAnv6DfhUxh5emyM3CJp_w/edit?usp=sharing"",""เพชรบุรี!Q518"")+IMPORTRA"&amp;"NGE(""https://docs.google.com/spreadsheets/d/19KBlQQs7uwvsao6t2n-KvW3Ax8J8uRRfZPq1zPbXgKc/edit?usp=sharing"",""ระยอง!Q518"")+IMPORTRANGE(""https://docs.google.com/spreadsheets/d/1jQ6P4QcrGM89YfqcC_PxOHGCMq5ezhucwJd8ci-NHng/edit?usp=sharing"",""ราชบุรี!Q51"&amp;"8"")+IMPORTRANGE(""https://docs.google.com/spreadsheets/d/1lufeA2cfFqM-elVq2hznhDzC6Pr7wkJ9ZG_sYNGCMCU/edit?usp=sharing"",""ลพบุรี!Q518"")+IMPORTRANGE(""https://docs.google.com/spreadsheets/d/10oOiF7loTyfsTkbd4MpaIm0HQ9SwB7IYHdIUvt-U1Uc/edit?usp=sharing"""&amp;",""สระแก้ว!Q518"")+IMPORTRANGE(""https://docs.google.com/spreadsheets/d/1xmPlrr1QbdSIKvl1dWUl9K4PjAfSL9oeMr_37QVzcxc/edit?usp=sharing"",""สระบุรี!Q518"")+IMPORTRANGE(""https://docs.google.com/spreadsheets/d/1j51vR6CYVGhABJpv6tkstgok82RLpXieLzW1yOY5rHw/edi"&amp;"t?usp=sharing"",""สิงห์บุรี!Q518"")+IMPORTRANGE(""https://docs.google.com/spreadsheets/d/1H1EalTWKUSzO4Z1-1CwzoDUaVffgrThEBe2sl74kKG0/edit?usp=sharing"",""สุพรรณบุรี!Q518"")+IMPORTRANGE(""https://docs.google.com/spreadsheets/d/1BmIruG_sIrJLYao_Pdr7zVArWsf"&amp;"oBt2692TMi6x_854/edit?usp=sharing"",""อ่างทอง!Q518"")"),0)</f>
        <v>0</v>
      </c>
      <c r="R518" s="72">
        <f ca="1">IFERROR(__xludf.DUMMYFUNCTION("IMPORTRANGE(""https://docs.google.com/spreadsheets/d/13wPX838HrBrQMCywv1BsuMkt4PEKTChp52zj44s2izQ/edit?usp=sharing"",""กาญจนบุรี!R518"")+IMPORTRANGE(""https://docs.google.com/spreadsheets/d/1ddFKvqj1W1NEiWytbGlB1zMx_ykJDVtmfEQ-6-lIUBA/edit?usp=sharing"","&amp;"""จันทบุรี!R518"")+IMPORTRANGE(""https://docs.google.com/spreadsheets/d/1T1PQvRODqOBZk8BRht_U031fIS1beLA0Ub2CEytj2q0/edit?usp=sharing"",""ฉะเชิงเทรา!R518"")+IMPORTRANGE(""https://docs.google.com/spreadsheets/d/11tr1B-Bhyr79v2bkwVh5h_fR-PStkgjlZtkrZpYurG0/"&amp;"edit?usp=sharing"",""ชลบุรี!R518"")+IMPORTRANGE(""https://docs.google.com/spreadsheets/d/1hh-FVnSX0vozXhGluamEcS54Dw9_zqW0N7qJUWgJ0Sw/edit?usp=sharing"",""ชัยนาท!R518"")+IMPORTRANGE(""https://docs.google.com/spreadsheets/d/1jkqa6GXxSacMcY1eN8AHjMNJ_7dDXMJ"&amp;"VRLDlaFSOdPM/edit?usp=sharing"",""ตราด!R518"")+IMPORTRANGE(""https://docs.google.com/spreadsheets/d/18hSgUJ3VwClqi_qtULmmW3cLr0oe3OKaSYoKzdpTsYQ/edit?usp=sharing"",""นครนายก!R518"")+IMPORTRANGE(""https://docs.google.com/spreadsheets/d/1YTZo6WM2dQ6Ix6FSdnL"&amp;"5P7uVnVKu40sxZu975tgG10E/edit?usp=sharing"",""นครปฐม!R518"")+IMPORTRANGE(""https://docs.google.com/spreadsheets/d/1OYoGg4WDg5RIzwGeB10padOxJF9E_Vljuvvct_M7RDo/edit?usp=sharing"",""ปทุมธานี!R518"")+IMPORTRANGE(""https://docs.google.com/spreadsheets/d/1GbCI"&amp;"E4D4wk9FUozzqk7SxfDMxDVBwVmI5zcaVUSzKAc/edit?usp=sharing"",""ประจวบคีรีขันธ์!R518"")+IMPORTRANGE(""https://docs.google.com/spreadsheets/d/1vVf6wykvW_lAyu7Yo9L4hUTqHqIeP_qcVuxCtosJEbg/edit?usp=sharing"",""ปราจีนบุรี!R518"")+IMPORTRANGE(""https://docs.googl"&amp;"e.com/spreadsheets/d/1BIDqLLg5jk3v59G8NlR8rk5xfQDKne0sAvZHSj7TI6I/edit?usp=sharing"",""พระนครศรีอยุธยา!R518"")+IMPORTRANGE(""https://docs.google.com/spreadsheets/d/1YXvxf8Yu6_rV4hTBrwMqAcAnv6DfhUxh5emyM3CJp_w/edit?usp=sharing"",""เพชรบุรี!R518"")+IMPORTRA"&amp;"NGE(""https://docs.google.com/spreadsheets/d/19KBlQQs7uwvsao6t2n-KvW3Ax8J8uRRfZPq1zPbXgKc/edit?usp=sharing"",""ระยอง!R518"")+IMPORTRANGE(""https://docs.google.com/spreadsheets/d/1jQ6P4QcrGM89YfqcC_PxOHGCMq5ezhucwJd8ci-NHng/edit?usp=sharing"",""ราชบุรี!R51"&amp;"8"")+IMPORTRANGE(""https://docs.google.com/spreadsheets/d/1lufeA2cfFqM-elVq2hznhDzC6Pr7wkJ9ZG_sYNGCMCU/edit?usp=sharing"",""ลพบุรี!R518"")+IMPORTRANGE(""https://docs.google.com/spreadsheets/d/10oOiF7loTyfsTkbd4MpaIm0HQ9SwB7IYHdIUvt-U1Uc/edit?usp=sharing"""&amp;",""สระแก้ว!R518"")+IMPORTRANGE(""https://docs.google.com/spreadsheets/d/1xmPlrr1QbdSIKvl1dWUl9K4PjAfSL9oeMr_37QVzcxc/edit?usp=sharing"",""สระบุรี!R518"")+IMPORTRANGE(""https://docs.google.com/spreadsheets/d/1j51vR6CYVGhABJpv6tkstgok82RLpXieLzW1yOY5rHw/edi"&amp;"t?usp=sharing"",""สิงห์บุรี!R518"")+IMPORTRANGE(""https://docs.google.com/spreadsheets/d/1H1EalTWKUSzO4Z1-1CwzoDUaVffgrThEBe2sl74kKG0/edit?usp=sharing"",""สุพรรณบุรี!R518"")+IMPORTRANGE(""https://docs.google.com/spreadsheets/d/1BmIruG_sIrJLYao_Pdr7zVArWsf"&amp;"oBt2692TMi6x_854/edit?usp=sharing"",""อ่างทอง!R518"")"),0)</f>
        <v>0</v>
      </c>
      <c r="S518" s="72">
        <f ca="1">IFERROR(__xludf.DUMMYFUNCTION("IMPORTRANGE(""https://docs.google.com/spreadsheets/d/13wPX838HrBrQMCywv1BsuMkt4PEKTChp52zj44s2izQ/edit?usp=sharing"",""กาญจนบุรี!S518"")+IMPORTRANGE(""https://docs.google.com/spreadsheets/d/1ddFKvqj1W1NEiWytbGlB1zMx_ykJDVtmfEQ-6-lIUBA/edit?usp=sharing"","&amp;"""จันทบุรี!S518"")+IMPORTRANGE(""https://docs.google.com/spreadsheets/d/1T1PQvRODqOBZk8BRht_U031fIS1beLA0Ub2CEytj2q0/edit?usp=sharing"",""ฉะเชิงเทรา!S518"")+IMPORTRANGE(""https://docs.google.com/spreadsheets/d/11tr1B-Bhyr79v2bkwVh5h_fR-PStkgjlZtkrZpYurG0/"&amp;"edit?usp=sharing"",""ชลบุรี!S518"")+IMPORTRANGE(""https://docs.google.com/spreadsheets/d/1hh-FVnSX0vozXhGluamEcS54Dw9_zqW0N7qJUWgJ0Sw/edit?usp=sharing"",""ชัยนาท!S518"")+IMPORTRANGE(""https://docs.google.com/spreadsheets/d/1jkqa6GXxSacMcY1eN8AHjMNJ_7dDXMJ"&amp;"VRLDlaFSOdPM/edit?usp=sharing"",""ตราด!S518"")+IMPORTRANGE(""https://docs.google.com/spreadsheets/d/18hSgUJ3VwClqi_qtULmmW3cLr0oe3OKaSYoKzdpTsYQ/edit?usp=sharing"",""นครนายก!S518"")+IMPORTRANGE(""https://docs.google.com/spreadsheets/d/1YTZo6WM2dQ6Ix6FSdnL"&amp;"5P7uVnVKu40sxZu975tgG10E/edit?usp=sharing"",""นครปฐม!S518"")+IMPORTRANGE(""https://docs.google.com/spreadsheets/d/1OYoGg4WDg5RIzwGeB10padOxJF9E_Vljuvvct_M7RDo/edit?usp=sharing"",""ปทุมธานี!S518"")+IMPORTRANGE(""https://docs.google.com/spreadsheets/d/1GbCI"&amp;"E4D4wk9FUozzqk7SxfDMxDVBwVmI5zcaVUSzKAc/edit?usp=sharing"",""ประจวบคีรีขันธ์!S518"")+IMPORTRANGE(""https://docs.google.com/spreadsheets/d/1vVf6wykvW_lAyu7Yo9L4hUTqHqIeP_qcVuxCtosJEbg/edit?usp=sharing"",""ปราจีนบุรี!S518"")+IMPORTRANGE(""https://docs.googl"&amp;"e.com/spreadsheets/d/1BIDqLLg5jk3v59G8NlR8rk5xfQDKne0sAvZHSj7TI6I/edit?usp=sharing"",""พระนครศรีอยุธยา!S518"")+IMPORTRANGE(""https://docs.google.com/spreadsheets/d/1YXvxf8Yu6_rV4hTBrwMqAcAnv6DfhUxh5emyM3CJp_w/edit?usp=sharing"",""เพชรบุรี!S518"")+IMPORTRA"&amp;"NGE(""https://docs.google.com/spreadsheets/d/19KBlQQs7uwvsao6t2n-KvW3Ax8J8uRRfZPq1zPbXgKc/edit?usp=sharing"",""ระยอง!S518"")+IMPORTRANGE(""https://docs.google.com/spreadsheets/d/1jQ6P4QcrGM89YfqcC_PxOHGCMq5ezhucwJd8ci-NHng/edit?usp=sharing"",""ราชบุรี!S51"&amp;"8"")+IMPORTRANGE(""https://docs.google.com/spreadsheets/d/1lufeA2cfFqM-elVq2hznhDzC6Pr7wkJ9ZG_sYNGCMCU/edit?usp=sharing"",""ลพบุรี!S518"")+IMPORTRANGE(""https://docs.google.com/spreadsheets/d/10oOiF7loTyfsTkbd4MpaIm0HQ9SwB7IYHdIUvt-U1Uc/edit?usp=sharing"""&amp;",""สระแก้ว!S518"")+IMPORTRANGE(""https://docs.google.com/spreadsheets/d/1xmPlrr1QbdSIKvl1dWUl9K4PjAfSL9oeMr_37QVzcxc/edit?usp=sharing"",""สระบุรี!S518"")+IMPORTRANGE(""https://docs.google.com/spreadsheets/d/1j51vR6CYVGhABJpv6tkstgok82RLpXieLzW1yOY5rHw/edi"&amp;"t?usp=sharing"",""สิงห์บุรี!S518"")+IMPORTRANGE(""https://docs.google.com/spreadsheets/d/1H1EalTWKUSzO4Z1-1CwzoDUaVffgrThEBe2sl74kKG0/edit?usp=sharing"",""สุพรรณบุรี!S518"")+IMPORTRANGE(""https://docs.google.com/spreadsheets/d/1BmIruG_sIrJLYao_Pdr7zVArWsf"&amp;"oBt2692TMi6x_854/edit?usp=sharing"",""อ่างทอง!S518"")"),0)</f>
        <v>0</v>
      </c>
      <c r="T518" s="130">
        <f t="shared" ca="1" si="358"/>
        <v>0</v>
      </c>
      <c r="U518" s="130">
        <f t="shared" ca="1" si="359"/>
        <v>0</v>
      </c>
    </row>
    <row r="519" spans="1:21" ht="18.75" hidden="1" x14ac:dyDescent="0.25">
      <c r="A519" s="207"/>
      <c r="B519" s="65"/>
      <c r="C519" s="65"/>
      <c r="D519" s="66" t="s">
        <v>23</v>
      </c>
      <c r="E519" s="65"/>
      <c r="F519" s="65"/>
      <c r="G519" s="67"/>
      <c r="H519" s="219" t="s">
        <v>14</v>
      </c>
      <c r="I519" s="217"/>
      <c r="J519" s="217"/>
      <c r="K519" s="218"/>
      <c r="L519" s="86">
        <f t="shared" ref="L519:N519" ca="1" si="366">L520+L521</f>
        <v>0</v>
      </c>
      <c r="M519" s="86">
        <f t="shared" ca="1" si="366"/>
        <v>0</v>
      </c>
      <c r="N519" s="86">
        <f t="shared" ca="1" si="366"/>
        <v>0</v>
      </c>
      <c r="O519" s="86">
        <f t="shared" ca="1" si="355"/>
        <v>0</v>
      </c>
      <c r="P519" s="86">
        <f t="shared" ca="1" si="356"/>
        <v>0</v>
      </c>
      <c r="Q519" s="129">
        <f t="shared" ref="Q519:S519" ca="1" si="367">Q520+Q521</f>
        <v>0</v>
      </c>
      <c r="R519" s="130">
        <f t="shared" ca="1" si="367"/>
        <v>0</v>
      </c>
      <c r="S519" s="130">
        <f t="shared" ca="1" si="367"/>
        <v>0</v>
      </c>
      <c r="T519" s="130">
        <f t="shared" ca="1" si="358"/>
        <v>0</v>
      </c>
      <c r="U519" s="130">
        <f t="shared" ca="1" si="359"/>
        <v>0</v>
      </c>
    </row>
    <row r="520" spans="1:21" ht="18.75" hidden="1" x14ac:dyDescent="0.25">
      <c r="A520" s="207"/>
      <c r="B520" s="65"/>
      <c r="C520" s="65"/>
      <c r="D520" s="65"/>
      <c r="E520" s="73" t="s">
        <v>20</v>
      </c>
      <c r="F520" s="65"/>
      <c r="G520" s="67"/>
      <c r="H520" s="216" t="s">
        <v>14</v>
      </c>
      <c r="I520" s="217"/>
      <c r="J520" s="217"/>
      <c r="K520" s="218"/>
      <c r="L520" s="86">
        <f ca="1">IFERROR(__xludf.DUMMYFUNCTION("IMPORTRANGE(""https://docs.google.com/spreadsheets/d/13wPX838HrBrQMCywv1BsuMkt4PEKTChp52zj44s2izQ/edit?usp=sharing"",""กาญจนบุรี!L520"")+IMPORTRANGE(""https://docs.google.com/spreadsheets/d/1ddFKvqj1W1NEiWytbGlB1zMx_ykJDVtmfEQ-6-lIUBA/edit?usp=sharing"","&amp;"""จันทบุรี!L520"")+IMPORTRANGE(""https://docs.google.com/spreadsheets/d/1T1PQvRODqOBZk8BRht_U031fIS1beLA0Ub2CEytj2q0/edit?usp=sharing"",""ฉะเชิงเทรา!L520"")+IMPORTRANGE(""https://docs.google.com/spreadsheets/d/11tr1B-Bhyr79v2bkwVh5h_fR-PStkgjlZtkrZpYurG0/"&amp;"edit?usp=sharing"",""ชลบุรี!L520"")+IMPORTRANGE(""https://docs.google.com/spreadsheets/d/1hh-FVnSX0vozXhGluamEcS54Dw9_zqW0N7qJUWgJ0Sw/edit?usp=sharing"",""ชัยนาท!L520"")+IMPORTRANGE(""https://docs.google.com/spreadsheets/d/1jkqa6GXxSacMcY1eN8AHjMNJ_7dDXMJ"&amp;"VRLDlaFSOdPM/edit?usp=sharing"",""ตราด!L520"")+IMPORTRANGE(""https://docs.google.com/spreadsheets/d/18hSgUJ3VwClqi_qtULmmW3cLr0oe3OKaSYoKzdpTsYQ/edit?usp=sharing"",""นครนายก!L520"")+IMPORTRANGE(""https://docs.google.com/spreadsheets/d/1YTZo6WM2dQ6Ix6FSdnL"&amp;"5P7uVnVKu40sxZu975tgG10E/edit?usp=sharing"",""นครปฐม!L520"")+IMPORTRANGE(""https://docs.google.com/spreadsheets/d/1OYoGg4WDg5RIzwGeB10padOxJF9E_Vljuvvct_M7RDo/edit?usp=sharing"",""ปทุมธานี!L520"")+IMPORTRANGE(""https://docs.google.com/spreadsheets/d/1GbCI"&amp;"E4D4wk9FUozzqk7SxfDMxDVBwVmI5zcaVUSzKAc/edit?usp=sharing"",""ประจวบคีรีขันธ์!L520"")+IMPORTRANGE(""https://docs.google.com/spreadsheets/d/1vVf6wykvW_lAyu7Yo9L4hUTqHqIeP_qcVuxCtosJEbg/edit?usp=sharing"",""ปราจีนบุรี!L520"")+IMPORTRANGE(""https://docs.googl"&amp;"e.com/spreadsheets/d/1BIDqLLg5jk3v59G8NlR8rk5xfQDKne0sAvZHSj7TI6I/edit?usp=sharing"",""พระนครศรีอยุธยา!L520"")+IMPORTRANGE(""https://docs.google.com/spreadsheets/d/1YXvxf8Yu6_rV4hTBrwMqAcAnv6DfhUxh5emyM3CJp_w/edit?usp=sharing"",""เพชรบุรี!L520"")+IMPORTRA"&amp;"NGE(""https://docs.google.com/spreadsheets/d/19KBlQQs7uwvsao6t2n-KvW3Ax8J8uRRfZPq1zPbXgKc/edit?usp=sharing"",""ระยอง!L520"")+IMPORTRANGE(""https://docs.google.com/spreadsheets/d/1jQ6P4QcrGM89YfqcC_PxOHGCMq5ezhucwJd8ci-NHng/edit?usp=sharing"",""ราชบุรี!L52"&amp;"0"")+IMPORTRANGE(""https://docs.google.com/spreadsheets/d/1lufeA2cfFqM-elVq2hznhDzC6Pr7wkJ9ZG_sYNGCMCU/edit?usp=sharing"",""ลพบุรี!L520"")+IMPORTRANGE(""https://docs.google.com/spreadsheets/d/10oOiF7loTyfsTkbd4MpaIm0HQ9SwB7IYHdIUvt-U1Uc/edit?usp=sharing"""&amp;",""สระแก้ว!L520"")+IMPORTRANGE(""https://docs.google.com/spreadsheets/d/1xmPlrr1QbdSIKvl1dWUl9K4PjAfSL9oeMr_37QVzcxc/edit?usp=sharing"",""สระบุรี!L520"")+IMPORTRANGE(""https://docs.google.com/spreadsheets/d/1j51vR6CYVGhABJpv6tkstgok82RLpXieLzW1yOY5rHw/edi"&amp;"t?usp=sharing"",""สิงห์บุรี!L520"")+IMPORTRANGE(""https://docs.google.com/spreadsheets/d/1H1EalTWKUSzO4Z1-1CwzoDUaVffgrThEBe2sl74kKG0/edit?usp=sharing"",""สุพรรณบุรี!L520"")+IMPORTRANGE(""https://docs.google.com/spreadsheets/d/1BmIruG_sIrJLYao_Pdr7zVArWsf"&amp;"oBt2692TMi6x_854/edit?usp=sharing"",""อ่างทอง!L520"")"),0)</f>
        <v>0</v>
      </c>
      <c r="M520" s="86">
        <f ca="1">IFERROR(__xludf.DUMMYFUNCTION("IMPORTRANGE(""https://docs.google.com/spreadsheets/d/13wPX838HrBrQMCywv1BsuMkt4PEKTChp52zj44s2izQ/edit?usp=sharing"",""กาญจนบุรี!M520"")+IMPORTRANGE(""https://docs.google.com/spreadsheets/d/1ddFKvqj1W1NEiWytbGlB1zMx_ykJDVtmfEQ-6-lIUBA/edit?usp=sharing"","&amp;"""จันทบุรี!M520"")+IMPORTRANGE(""https://docs.google.com/spreadsheets/d/1T1PQvRODqOBZk8BRht_U031fIS1beLA0Ub2CEytj2q0/edit?usp=sharing"",""ฉะเชิงเทรา!M520"")+IMPORTRANGE(""https://docs.google.com/spreadsheets/d/11tr1B-Bhyr79v2bkwVh5h_fR-PStkgjlZtkrZpYurG0/"&amp;"edit?usp=sharing"",""ชลบุรี!M520"")+IMPORTRANGE(""https://docs.google.com/spreadsheets/d/1hh-FVnSX0vozXhGluamEcS54Dw9_zqW0N7qJUWgJ0Sw/edit?usp=sharing"",""ชัยนาท!M520"")+IMPORTRANGE(""https://docs.google.com/spreadsheets/d/1jkqa6GXxSacMcY1eN8AHjMNJ_7dDXMJ"&amp;"VRLDlaFSOdPM/edit?usp=sharing"",""ตราด!M520"")+IMPORTRANGE(""https://docs.google.com/spreadsheets/d/18hSgUJ3VwClqi_qtULmmW3cLr0oe3OKaSYoKzdpTsYQ/edit?usp=sharing"",""นครนายก!M520"")+IMPORTRANGE(""https://docs.google.com/spreadsheets/d/1YTZo6WM2dQ6Ix6FSdnL"&amp;"5P7uVnVKu40sxZu975tgG10E/edit?usp=sharing"",""นครปฐม!M520"")+IMPORTRANGE(""https://docs.google.com/spreadsheets/d/1OYoGg4WDg5RIzwGeB10padOxJF9E_Vljuvvct_M7RDo/edit?usp=sharing"",""ปทุมธานี!M520"")+IMPORTRANGE(""https://docs.google.com/spreadsheets/d/1GbCI"&amp;"E4D4wk9FUozzqk7SxfDMxDVBwVmI5zcaVUSzKAc/edit?usp=sharing"",""ประจวบคีรีขันธ์!M520"")+IMPORTRANGE(""https://docs.google.com/spreadsheets/d/1vVf6wykvW_lAyu7Yo9L4hUTqHqIeP_qcVuxCtosJEbg/edit?usp=sharing"",""ปราจีนบุรี!M520"")+IMPORTRANGE(""https://docs.googl"&amp;"e.com/spreadsheets/d/1BIDqLLg5jk3v59G8NlR8rk5xfQDKne0sAvZHSj7TI6I/edit?usp=sharing"",""พระนครศรีอยุธยา!M520"")+IMPORTRANGE(""https://docs.google.com/spreadsheets/d/1YXvxf8Yu6_rV4hTBrwMqAcAnv6DfhUxh5emyM3CJp_w/edit?usp=sharing"",""เพชรบุรี!M520"")+IMPORTRA"&amp;"NGE(""https://docs.google.com/spreadsheets/d/19KBlQQs7uwvsao6t2n-KvW3Ax8J8uRRfZPq1zPbXgKc/edit?usp=sharing"",""ระยอง!M520"")+IMPORTRANGE(""https://docs.google.com/spreadsheets/d/1jQ6P4QcrGM89YfqcC_PxOHGCMq5ezhucwJd8ci-NHng/edit?usp=sharing"",""ราชบุรี!M52"&amp;"0"")+IMPORTRANGE(""https://docs.google.com/spreadsheets/d/1lufeA2cfFqM-elVq2hznhDzC6Pr7wkJ9ZG_sYNGCMCU/edit?usp=sharing"",""ลพบุรี!M520"")+IMPORTRANGE(""https://docs.google.com/spreadsheets/d/10oOiF7loTyfsTkbd4MpaIm0HQ9SwB7IYHdIUvt-U1Uc/edit?usp=sharing"""&amp;",""สระแก้ว!M520"")+IMPORTRANGE(""https://docs.google.com/spreadsheets/d/1xmPlrr1QbdSIKvl1dWUl9K4PjAfSL9oeMr_37QVzcxc/edit?usp=sharing"",""สระบุรี!M520"")+IMPORTRANGE(""https://docs.google.com/spreadsheets/d/1j51vR6CYVGhABJpv6tkstgok82RLpXieLzW1yOY5rHw/edi"&amp;"t?usp=sharing"",""สิงห์บุรี!M520"")+IMPORTRANGE(""https://docs.google.com/spreadsheets/d/1H1EalTWKUSzO4Z1-1CwzoDUaVffgrThEBe2sl74kKG0/edit?usp=sharing"",""สุพรรณบุรี!M520"")+IMPORTRANGE(""https://docs.google.com/spreadsheets/d/1BmIruG_sIrJLYao_Pdr7zVArWsf"&amp;"oBt2692TMi6x_854/edit?usp=sharing"",""อ่างทอง!M520"")"),0)</f>
        <v>0</v>
      </c>
      <c r="N520" s="86">
        <f ca="1">IFERROR(__xludf.DUMMYFUNCTION("IMPORTRANGE(""https://docs.google.com/spreadsheets/d/13wPX838HrBrQMCywv1BsuMkt4PEKTChp52zj44s2izQ/edit?usp=sharing"",""กาญจนบุรี!N520"")+IMPORTRANGE(""https://docs.google.com/spreadsheets/d/1ddFKvqj1W1NEiWytbGlB1zMx_ykJDVtmfEQ-6-lIUBA/edit?usp=sharing"","&amp;"""จันทบุรี!N520"")+IMPORTRANGE(""https://docs.google.com/spreadsheets/d/1T1PQvRODqOBZk8BRht_U031fIS1beLA0Ub2CEytj2q0/edit?usp=sharing"",""ฉะเชิงเทรา!N520"")+IMPORTRANGE(""https://docs.google.com/spreadsheets/d/11tr1B-Bhyr79v2bkwVh5h_fR-PStkgjlZtkrZpYurG0/"&amp;"edit?usp=sharing"",""ชลบุรี!N520"")+IMPORTRANGE(""https://docs.google.com/spreadsheets/d/1hh-FVnSX0vozXhGluamEcS54Dw9_zqW0N7qJUWgJ0Sw/edit?usp=sharing"",""ชัยนาท!N520"")+IMPORTRANGE(""https://docs.google.com/spreadsheets/d/1jkqa6GXxSacMcY1eN8AHjMNJ_7dDXMJ"&amp;"VRLDlaFSOdPM/edit?usp=sharing"",""ตราด!N520"")+IMPORTRANGE(""https://docs.google.com/spreadsheets/d/18hSgUJ3VwClqi_qtULmmW3cLr0oe3OKaSYoKzdpTsYQ/edit?usp=sharing"",""นครนายก!N520"")+IMPORTRANGE(""https://docs.google.com/spreadsheets/d/1YTZo6WM2dQ6Ix6FSdnL"&amp;"5P7uVnVKu40sxZu975tgG10E/edit?usp=sharing"",""นครปฐม!N520"")+IMPORTRANGE(""https://docs.google.com/spreadsheets/d/1OYoGg4WDg5RIzwGeB10padOxJF9E_Vljuvvct_M7RDo/edit?usp=sharing"",""ปทุมธานี!N520"")+IMPORTRANGE(""https://docs.google.com/spreadsheets/d/1GbCI"&amp;"E4D4wk9FUozzqk7SxfDMxDVBwVmI5zcaVUSzKAc/edit?usp=sharing"",""ประจวบคีรีขันธ์!N520"")+IMPORTRANGE(""https://docs.google.com/spreadsheets/d/1vVf6wykvW_lAyu7Yo9L4hUTqHqIeP_qcVuxCtosJEbg/edit?usp=sharing"",""ปราจีนบุรี!N520"")+IMPORTRANGE(""https://docs.googl"&amp;"e.com/spreadsheets/d/1BIDqLLg5jk3v59G8NlR8rk5xfQDKne0sAvZHSj7TI6I/edit?usp=sharing"",""พระนครศรีอยุธยา!N520"")+IMPORTRANGE(""https://docs.google.com/spreadsheets/d/1YXvxf8Yu6_rV4hTBrwMqAcAnv6DfhUxh5emyM3CJp_w/edit?usp=sharing"",""เพชรบุรี!N520"")+IMPORTRA"&amp;"NGE(""https://docs.google.com/spreadsheets/d/19KBlQQs7uwvsao6t2n-KvW3Ax8J8uRRfZPq1zPbXgKc/edit?usp=sharing"",""ระยอง!N520"")+IMPORTRANGE(""https://docs.google.com/spreadsheets/d/1jQ6P4QcrGM89YfqcC_PxOHGCMq5ezhucwJd8ci-NHng/edit?usp=sharing"",""ราชบุรี!N52"&amp;"0"")+IMPORTRANGE(""https://docs.google.com/spreadsheets/d/1lufeA2cfFqM-elVq2hznhDzC6Pr7wkJ9ZG_sYNGCMCU/edit?usp=sharing"",""ลพบุรี!N520"")+IMPORTRANGE(""https://docs.google.com/spreadsheets/d/10oOiF7loTyfsTkbd4MpaIm0HQ9SwB7IYHdIUvt-U1Uc/edit?usp=sharing"""&amp;",""สระแก้ว!N520"")+IMPORTRANGE(""https://docs.google.com/spreadsheets/d/1xmPlrr1QbdSIKvl1dWUl9K4PjAfSL9oeMr_37QVzcxc/edit?usp=sharing"",""สระบุรี!N520"")+IMPORTRANGE(""https://docs.google.com/spreadsheets/d/1j51vR6CYVGhABJpv6tkstgok82RLpXieLzW1yOY5rHw/edi"&amp;"t?usp=sharing"",""สิงห์บุรี!N520"")+IMPORTRANGE(""https://docs.google.com/spreadsheets/d/1H1EalTWKUSzO4Z1-1CwzoDUaVffgrThEBe2sl74kKG0/edit?usp=sharing"",""สุพรรณบุรี!N520"")+IMPORTRANGE(""https://docs.google.com/spreadsheets/d/1BmIruG_sIrJLYao_Pdr7zVArWsf"&amp;"oBt2692TMi6x_854/edit?usp=sharing"",""อ่างทอง!N520"")"),0)</f>
        <v>0</v>
      </c>
      <c r="O520" s="86">
        <f t="shared" ca="1" si="355"/>
        <v>0</v>
      </c>
      <c r="P520" s="86">
        <f t="shared" ca="1" si="356"/>
        <v>0</v>
      </c>
      <c r="Q520" s="74">
        <f ca="1">IFERROR(__xludf.DUMMYFUNCTION("IMPORTRANGE(""https://docs.google.com/spreadsheets/d/13wPX838HrBrQMCywv1BsuMkt4PEKTChp52zj44s2izQ/edit?usp=sharing"",""กาญจนบุรี!Q520"")+IMPORTRANGE(""https://docs.google.com/spreadsheets/d/1ddFKvqj1W1NEiWytbGlB1zMx_ykJDVtmfEQ-6-lIUBA/edit?usp=sharing"","&amp;"""จันทบุรี!Q520"")+IMPORTRANGE(""https://docs.google.com/spreadsheets/d/1T1PQvRODqOBZk8BRht_U031fIS1beLA0Ub2CEytj2q0/edit?usp=sharing"",""ฉะเชิงเทรา!Q520"")+IMPORTRANGE(""https://docs.google.com/spreadsheets/d/11tr1B-Bhyr79v2bkwVh5h_fR-PStkgjlZtkrZpYurG0/"&amp;"edit?usp=sharing"",""ชลบุรี!Q520"")+IMPORTRANGE(""https://docs.google.com/spreadsheets/d/1hh-FVnSX0vozXhGluamEcS54Dw9_zqW0N7qJUWgJ0Sw/edit?usp=sharing"",""ชัยนาท!Q520"")+IMPORTRANGE(""https://docs.google.com/spreadsheets/d/1jkqa6GXxSacMcY1eN8AHjMNJ_7dDXMJ"&amp;"VRLDlaFSOdPM/edit?usp=sharing"",""ตราด!Q520"")+IMPORTRANGE(""https://docs.google.com/spreadsheets/d/18hSgUJ3VwClqi_qtULmmW3cLr0oe3OKaSYoKzdpTsYQ/edit?usp=sharing"",""นครนายก!Q520"")+IMPORTRANGE(""https://docs.google.com/spreadsheets/d/1YTZo6WM2dQ6Ix6FSdnL"&amp;"5P7uVnVKu40sxZu975tgG10E/edit?usp=sharing"",""นครปฐม!Q520"")+IMPORTRANGE(""https://docs.google.com/spreadsheets/d/1OYoGg4WDg5RIzwGeB10padOxJF9E_Vljuvvct_M7RDo/edit?usp=sharing"",""ปทุมธานี!Q520"")+IMPORTRANGE(""https://docs.google.com/spreadsheets/d/1GbCI"&amp;"E4D4wk9FUozzqk7SxfDMxDVBwVmI5zcaVUSzKAc/edit?usp=sharing"",""ประจวบคีรีขันธ์!Q520"")+IMPORTRANGE(""https://docs.google.com/spreadsheets/d/1vVf6wykvW_lAyu7Yo9L4hUTqHqIeP_qcVuxCtosJEbg/edit?usp=sharing"",""ปราจีนบุรี!Q520"")+IMPORTRANGE(""https://docs.googl"&amp;"e.com/spreadsheets/d/1BIDqLLg5jk3v59G8NlR8rk5xfQDKne0sAvZHSj7TI6I/edit?usp=sharing"",""พระนครศรีอยุธยา!Q520"")+IMPORTRANGE(""https://docs.google.com/spreadsheets/d/1YXvxf8Yu6_rV4hTBrwMqAcAnv6DfhUxh5emyM3CJp_w/edit?usp=sharing"",""เพชรบุรี!Q520"")+IMPORTRA"&amp;"NGE(""https://docs.google.com/spreadsheets/d/19KBlQQs7uwvsao6t2n-KvW3Ax8J8uRRfZPq1zPbXgKc/edit?usp=sharing"",""ระยอง!Q520"")+IMPORTRANGE(""https://docs.google.com/spreadsheets/d/1jQ6P4QcrGM89YfqcC_PxOHGCMq5ezhucwJd8ci-NHng/edit?usp=sharing"",""ราชบุรี!Q52"&amp;"0"")+IMPORTRANGE(""https://docs.google.com/spreadsheets/d/1lufeA2cfFqM-elVq2hznhDzC6Pr7wkJ9ZG_sYNGCMCU/edit?usp=sharing"",""ลพบุรี!Q520"")+IMPORTRANGE(""https://docs.google.com/spreadsheets/d/10oOiF7loTyfsTkbd4MpaIm0HQ9SwB7IYHdIUvt-U1Uc/edit?usp=sharing"""&amp;",""สระแก้ว!Q520"")+IMPORTRANGE(""https://docs.google.com/spreadsheets/d/1xmPlrr1QbdSIKvl1dWUl9K4PjAfSL9oeMr_37QVzcxc/edit?usp=sharing"",""สระบุรี!Q520"")+IMPORTRANGE(""https://docs.google.com/spreadsheets/d/1j51vR6CYVGhABJpv6tkstgok82RLpXieLzW1yOY5rHw/edi"&amp;"t?usp=sharing"",""สิงห์บุรี!Q520"")+IMPORTRANGE(""https://docs.google.com/spreadsheets/d/1H1EalTWKUSzO4Z1-1CwzoDUaVffgrThEBe2sl74kKG0/edit?usp=sharing"",""สุพรรณบุรี!Q520"")+IMPORTRANGE(""https://docs.google.com/spreadsheets/d/1BmIruG_sIrJLYao_Pdr7zVArWsf"&amp;"oBt2692TMi6x_854/edit?usp=sharing"",""อ่างทอง!Q520"")"),0)</f>
        <v>0</v>
      </c>
      <c r="R520" s="75">
        <f ca="1">IFERROR(__xludf.DUMMYFUNCTION("IMPORTRANGE(""https://docs.google.com/spreadsheets/d/13wPX838HrBrQMCywv1BsuMkt4PEKTChp52zj44s2izQ/edit?usp=sharing"",""กาญจนบุรี!R520"")+IMPORTRANGE(""https://docs.google.com/spreadsheets/d/1ddFKvqj1W1NEiWytbGlB1zMx_ykJDVtmfEQ-6-lIUBA/edit?usp=sharing"","&amp;"""จันทบุรี!R520"")+IMPORTRANGE(""https://docs.google.com/spreadsheets/d/1T1PQvRODqOBZk8BRht_U031fIS1beLA0Ub2CEytj2q0/edit?usp=sharing"",""ฉะเชิงเทรา!R520"")+IMPORTRANGE(""https://docs.google.com/spreadsheets/d/11tr1B-Bhyr79v2bkwVh5h_fR-PStkgjlZtkrZpYurG0/"&amp;"edit?usp=sharing"",""ชลบุรี!R520"")+IMPORTRANGE(""https://docs.google.com/spreadsheets/d/1hh-FVnSX0vozXhGluamEcS54Dw9_zqW0N7qJUWgJ0Sw/edit?usp=sharing"",""ชัยนาท!R520"")+IMPORTRANGE(""https://docs.google.com/spreadsheets/d/1jkqa6GXxSacMcY1eN8AHjMNJ_7dDXMJ"&amp;"VRLDlaFSOdPM/edit?usp=sharing"",""ตราด!R520"")+IMPORTRANGE(""https://docs.google.com/spreadsheets/d/18hSgUJ3VwClqi_qtULmmW3cLr0oe3OKaSYoKzdpTsYQ/edit?usp=sharing"",""นครนายก!R520"")+IMPORTRANGE(""https://docs.google.com/spreadsheets/d/1YTZo6WM2dQ6Ix6FSdnL"&amp;"5P7uVnVKu40sxZu975tgG10E/edit?usp=sharing"",""นครปฐม!R520"")+IMPORTRANGE(""https://docs.google.com/spreadsheets/d/1OYoGg4WDg5RIzwGeB10padOxJF9E_Vljuvvct_M7RDo/edit?usp=sharing"",""ปทุมธานี!R520"")+IMPORTRANGE(""https://docs.google.com/spreadsheets/d/1GbCI"&amp;"E4D4wk9FUozzqk7SxfDMxDVBwVmI5zcaVUSzKAc/edit?usp=sharing"",""ประจวบคีรีขันธ์!R520"")+IMPORTRANGE(""https://docs.google.com/spreadsheets/d/1vVf6wykvW_lAyu7Yo9L4hUTqHqIeP_qcVuxCtosJEbg/edit?usp=sharing"",""ปราจีนบุรี!R520"")+IMPORTRANGE(""https://docs.googl"&amp;"e.com/spreadsheets/d/1BIDqLLg5jk3v59G8NlR8rk5xfQDKne0sAvZHSj7TI6I/edit?usp=sharing"",""พระนครศรีอยุธยา!R520"")+IMPORTRANGE(""https://docs.google.com/spreadsheets/d/1YXvxf8Yu6_rV4hTBrwMqAcAnv6DfhUxh5emyM3CJp_w/edit?usp=sharing"",""เพชรบุรี!R520"")+IMPORTRA"&amp;"NGE(""https://docs.google.com/spreadsheets/d/19KBlQQs7uwvsao6t2n-KvW3Ax8J8uRRfZPq1zPbXgKc/edit?usp=sharing"",""ระยอง!R520"")+IMPORTRANGE(""https://docs.google.com/spreadsheets/d/1jQ6P4QcrGM89YfqcC_PxOHGCMq5ezhucwJd8ci-NHng/edit?usp=sharing"",""ราชบุรี!R52"&amp;"0"")+IMPORTRANGE(""https://docs.google.com/spreadsheets/d/1lufeA2cfFqM-elVq2hznhDzC6Pr7wkJ9ZG_sYNGCMCU/edit?usp=sharing"",""ลพบุรี!R520"")+IMPORTRANGE(""https://docs.google.com/spreadsheets/d/10oOiF7loTyfsTkbd4MpaIm0HQ9SwB7IYHdIUvt-U1Uc/edit?usp=sharing"""&amp;",""สระแก้ว!R520"")+IMPORTRANGE(""https://docs.google.com/spreadsheets/d/1xmPlrr1QbdSIKvl1dWUl9K4PjAfSL9oeMr_37QVzcxc/edit?usp=sharing"",""สระบุรี!R520"")+IMPORTRANGE(""https://docs.google.com/spreadsheets/d/1j51vR6CYVGhABJpv6tkstgok82RLpXieLzW1yOY5rHw/edi"&amp;"t?usp=sharing"",""สิงห์บุรี!R520"")+IMPORTRANGE(""https://docs.google.com/spreadsheets/d/1H1EalTWKUSzO4Z1-1CwzoDUaVffgrThEBe2sl74kKG0/edit?usp=sharing"",""สุพรรณบุรี!R520"")+IMPORTRANGE(""https://docs.google.com/spreadsheets/d/1BmIruG_sIrJLYao_Pdr7zVArWsf"&amp;"oBt2692TMi6x_854/edit?usp=sharing"",""อ่างทอง!R520"")"),0)</f>
        <v>0</v>
      </c>
      <c r="S520" s="75">
        <f ca="1">IFERROR(__xludf.DUMMYFUNCTION("IMPORTRANGE(""https://docs.google.com/spreadsheets/d/13wPX838HrBrQMCywv1BsuMkt4PEKTChp52zj44s2izQ/edit?usp=sharing"",""กาญจนบุรี!S520"")+IMPORTRANGE(""https://docs.google.com/spreadsheets/d/1ddFKvqj1W1NEiWytbGlB1zMx_ykJDVtmfEQ-6-lIUBA/edit?usp=sharing"","&amp;"""จันทบุรี!S520"")+IMPORTRANGE(""https://docs.google.com/spreadsheets/d/1T1PQvRODqOBZk8BRht_U031fIS1beLA0Ub2CEytj2q0/edit?usp=sharing"",""ฉะเชิงเทรา!S520"")+IMPORTRANGE(""https://docs.google.com/spreadsheets/d/11tr1B-Bhyr79v2bkwVh5h_fR-PStkgjlZtkrZpYurG0/"&amp;"edit?usp=sharing"",""ชลบุรี!S520"")+IMPORTRANGE(""https://docs.google.com/spreadsheets/d/1hh-FVnSX0vozXhGluamEcS54Dw9_zqW0N7qJUWgJ0Sw/edit?usp=sharing"",""ชัยนาท!S520"")+IMPORTRANGE(""https://docs.google.com/spreadsheets/d/1jkqa6GXxSacMcY1eN8AHjMNJ_7dDXMJ"&amp;"VRLDlaFSOdPM/edit?usp=sharing"",""ตราด!S520"")+IMPORTRANGE(""https://docs.google.com/spreadsheets/d/18hSgUJ3VwClqi_qtULmmW3cLr0oe3OKaSYoKzdpTsYQ/edit?usp=sharing"",""นครนายก!S520"")+IMPORTRANGE(""https://docs.google.com/spreadsheets/d/1YTZo6WM2dQ6Ix6FSdnL"&amp;"5P7uVnVKu40sxZu975tgG10E/edit?usp=sharing"",""นครปฐม!S520"")+IMPORTRANGE(""https://docs.google.com/spreadsheets/d/1OYoGg4WDg5RIzwGeB10padOxJF9E_Vljuvvct_M7RDo/edit?usp=sharing"",""ปทุมธานี!S520"")+IMPORTRANGE(""https://docs.google.com/spreadsheets/d/1GbCI"&amp;"E4D4wk9FUozzqk7SxfDMxDVBwVmI5zcaVUSzKAc/edit?usp=sharing"",""ประจวบคีรีขันธ์!S520"")+IMPORTRANGE(""https://docs.google.com/spreadsheets/d/1vVf6wykvW_lAyu7Yo9L4hUTqHqIeP_qcVuxCtosJEbg/edit?usp=sharing"",""ปราจีนบุรี!S520"")+IMPORTRANGE(""https://docs.googl"&amp;"e.com/spreadsheets/d/1BIDqLLg5jk3v59G8NlR8rk5xfQDKne0sAvZHSj7TI6I/edit?usp=sharing"",""พระนครศรีอยุธยา!S520"")+IMPORTRANGE(""https://docs.google.com/spreadsheets/d/1YXvxf8Yu6_rV4hTBrwMqAcAnv6DfhUxh5emyM3CJp_w/edit?usp=sharing"",""เพชรบุรี!S520"")+IMPORTRA"&amp;"NGE(""https://docs.google.com/spreadsheets/d/19KBlQQs7uwvsao6t2n-KvW3Ax8J8uRRfZPq1zPbXgKc/edit?usp=sharing"",""ระยอง!S520"")+IMPORTRANGE(""https://docs.google.com/spreadsheets/d/1jQ6P4QcrGM89YfqcC_PxOHGCMq5ezhucwJd8ci-NHng/edit?usp=sharing"",""ราชบุรี!S52"&amp;"0"")+IMPORTRANGE(""https://docs.google.com/spreadsheets/d/1lufeA2cfFqM-elVq2hznhDzC6Pr7wkJ9ZG_sYNGCMCU/edit?usp=sharing"",""ลพบุรี!S520"")+IMPORTRANGE(""https://docs.google.com/spreadsheets/d/10oOiF7loTyfsTkbd4MpaIm0HQ9SwB7IYHdIUvt-U1Uc/edit?usp=sharing"""&amp;",""สระแก้ว!S520"")+IMPORTRANGE(""https://docs.google.com/spreadsheets/d/1xmPlrr1QbdSIKvl1dWUl9K4PjAfSL9oeMr_37QVzcxc/edit?usp=sharing"",""สระบุรี!S520"")+IMPORTRANGE(""https://docs.google.com/spreadsheets/d/1j51vR6CYVGhABJpv6tkstgok82RLpXieLzW1yOY5rHw/edi"&amp;"t?usp=sharing"",""สิงห์บุรี!S520"")+IMPORTRANGE(""https://docs.google.com/spreadsheets/d/1H1EalTWKUSzO4Z1-1CwzoDUaVffgrThEBe2sl74kKG0/edit?usp=sharing"",""สุพรรณบุรี!S520"")+IMPORTRANGE(""https://docs.google.com/spreadsheets/d/1BmIruG_sIrJLYao_Pdr7zVArWsf"&amp;"oBt2692TMi6x_854/edit?usp=sharing"",""อ่างทอง!S520"")"),0)</f>
        <v>0</v>
      </c>
      <c r="T520" s="131">
        <f t="shared" ca="1" si="358"/>
        <v>0</v>
      </c>
      <c r="U520" s="131">
        <f t="shared" ca="1" si="359"/>
        <v>0</v>
      </c>
    </row>
    <row r="521" spans="1:21" ht="18.75" hidden="1" x14ac:dyDescent="0.25">
      <c r="A521" s="207"/>
      <c r="B521" s="65"/>
      <c r="C521" s="65"/>
      <c r="D521" s="65"/>
      <c r="E521" s="73" t="s">
        <v>21</v>
      </c>
      <c r="F521" s="65"/>
      <c r="G521" s="67"/>
      <c r="H521" s="219" t="s">
        <v>14</v>
      </c>
      <c r="I521" s="217"/>
      <c r="J521" s="217"/>
      <c r="K521" s="218"/>
      <c r="L521" s="86">
        <f ca="1">IFERROR(__xludf.DUMMYFUNCTION("IMPORTRANGE(""https://docs.google.com/spreadsheets/d/13wPX838HrBrQMCywv1BsuMkt4PEKTChp52zj44s2izQ/edit?usp=sharing"",""กาญจนบุรี!L521"")+IMPORTRANGE(""https://docs.google.com/spreadsheets/d/1ddFKvqj1W1NEiWytbGlB1zMx_ykJDVtmfEQ-6-lIUBA/edit?usp=sharing"","&amp;"""จันทบุรี!L521"")+IMPORTRANGE(""https://docs.google.com/spreadsheets/d/1T1PQvRODqOBZk8BRht_U031fIS1beLA0Ub2CEytj2q0/edit?usp=sharing"",""ฉะเชิงเทรา!L521"")+IMPORTRANGE(""https://docs.google.com/spreadsheets/d/11tr1B-Bhyr79v2bkwVh5h_fR-PStkgjlZtkrZpYurG0/"&amp;"edit?usp=sharing"",""ชลบุรี!L521"")+IMPORTRANGE(""https://docs.google.com/spreadsheets/d/1hh-FVnSX0vozXhGluamEcS54Dw9_zqW0N7qJUWgJ0Sw/edit?usp=sharing"",""ชัยนาท!L521"")+IMPORTRANGE(""https://docs.google.com/spreadsheets/d/1jkqa6GXxSacMcY1eN8AHjMNJ_7dDXMJ"&amp;"VRLDlaFSOdPM/edit?usp=sharing"",""ตราด!L521"")+IMPORTRANGE(""https://docs.google.com/spreadsheets/d/18hSgUJ3VwClqi_qtULmmW3cLr0oe3OKaSYoKzdpTsYQ/edit?usp=sharing"",""นครนายก!L521"")+IMPORTRANGE(""https://docs.google.com/spreadsheets/d/1YTZo6WM2dQ6Ix6FSdnL"&amp;"5P7uVnVKu40sxZu975tgG10E/edit?usp=sharing"",""นครปฐม!L521"")+IMPORTRANGE(""https://docs.google.com/spreadsheets/d/1OYoGg4WDg5RIzwGeB10padOxJF9E_Vljuvvct_M7RDo/edit?usp=sharing"",""ปทุมธานี!L521"")+IMPORTRANGE(""https://docs.google.com/spreadsheets/d/1GbCI"&amp;"E4D4wk9FUozzqk7SxfDMxDVBwVmI5zcaVUSzKAc/edit?usp=sharing"",""ประจวบคีรีขันธ์!L521"")+IMPORTRANGE(""https://docs.google.com/spreadsheets/d/1vVf6wykvW_lAyu7Yo9L4hUTqHqIeP_qcVuxCtosJEbg/edit?usp=sharing"",""ปราจีนบุรี!L521"")+IMPORTRANGE(""https://docs.googl"&amp;"e.com/spreadsheets/d/1BIDqLLg5jk3v59G8NlR8rk5xfQDKne0sAvZHSj7TI6I/edit?usp=sharing"",""พระนครศรีอยุธยา!L521"")+IMPORTRANGE(""https://docs.google.com/spreadsheets/d/1YXvxf8Yu6_rV4hTBrwMqAcAnv6DfhUxh5emyM3CJp_w/edit?usp=sharing"",""เพชรบุรี!L521"")+IMPORTRA"&amp;"NGE(""https://docs.google.com/spreadsheets/d/19KBlQQs7uwvsao6t2n-KvW3Ax8J8uRRfZPq1zPbXgKc/edit?usp=sharing"",""ระยอง!L521"")+IMPORTRANGE(""https://docs.google.com/spreadsheets/d/1jQ6P4QcrGM89YfqcC_PxOHGCMq5ezhucwJd8ci-NHng/edit?usp=sharing"",""ราชบุรี!L52"&amp;"1"")+IMPORTRANGE(""https://docs.google.com/spreadsheets/d/1lufeA2cfFqM-elVq2hznhDzC6Pr7wkJ9ZG_sYNGCMCU/edit?usp=sharing"",""ลพบุรี!L521"")+IMPORTRANGE(""https://docs.google.com/spreadsheets/d/10oOiF7loTyfsTkbd4MpaIm0HQ9SwB7IYHdIUvt-U1Uc/edit?usp=sharing"""&amp;",""สระแก้ว!L521"")+IMPORTRANGE(""https://docs.google.com/spreadsheets/d/1xmPlrr1QbdSIKvl1dWUl9K4PjAfSL9oeMr_37QVzcxc/edit?usp=sharing"",""สระบุรี!L521"")+IMPORTRANGE(""https://docs.google.com/spreadsheets/d/1j51vR6CYVGhABJpv6tkstgok82RLpXieLzW1yOY5rHw/edi"&amp;"t?usp=sharing"",""สิงห์บุรี!L521"")+IMPORTRANGE(""https://docs.google.com/spreadsheets/d/1H1EalTWKUSzO4Z1-1CwzoDUaVffgrThEBe2sl74kKG0/edit?usp=sharing"",""สุพรรณบุรี!L521"")+IMPORTRANGE(""https://docs.google.com/spreadsheets/d/1BmIruG_sIrJLYao_Pdr7zVArWsf"&amp;"oBt2692TMi6x_854/edit?usp=sharing"",""อ่างทอง!L521"")"),0)</f>
        <v>0</v>
      </c>
      <c r="M521" s="86">
        <f ca="1">IFERROR(__xludf.DUMMYFUNCTION("IMPORTRANGE(""https://docs.google.com/spreadsheets/d/13wPX838HrBrQMCywv1BsuMkt4PEKTChp52zj44s2izQ/edit?usp=sharing"",""กาญจนบุรี!M521"")+IMPORTRANGE(""https://docs.google.com/spreadsheets/d/1ddFKvqj1W1NEiWytbGlB1zMx_ykJDVtmfEQ-6-lIUBA/edit?usp=sharing"","&amp;"""จันทบุรี!M521"")+IMPORTRANGE(""https://docs.google.com/spreadsheets/d/1T1PQvRODqOBZk8BRht_U031fIS1beLA0Ub2CEytj2q0/edit?usp=sharing"",""ฉะเชิงเทรา!M521"")+IMPORTRANGE(""https://docs.google.com/spreadsheets/d/11tr1B-Bhyr79v2bkwVh5h_fR-PStkgjlZtkrZpYurG0/"&amp;"edit?usp=sharing"",""ชลบุรี!M521"")+IMPORTRANGE(""https://docs.google.com/spreadsheets/d/1hh-FVnSX0vozXhGluamEcS54Dw9_zqW0N7qJUWgJ0Sw/edit?usp=sharing"",""ชัยนาท!M521"")+IMPORTRANGE(""https://docs.google.com/spreadsheets/d/1jkqa6GXxSacMcY1eN8AHjMNJ_7dDXMJ"&amp;"VRLDlaFSOdPM/edit?usp=sharing"",""ตราด!M521"")+IMPORTRANGE(""https://docs.google.com/spreadsheets/d/18hSgUJ3VwClqi_qtULmmW3cLr0oe3OKaSYoKzdpTsYQ/edit?usp=sharing"",""นครนายก!M521"")+IMPORTRANGE(""https://docs.google.com/spreadsheets/d/1YTZo6WM2dQ6Ix6FSdnL"&amp;"5P7uVnVKu40sxZu975tgG10E/edit?usp=sharing"",""นครปฐม!M521"")+IMPORTRANGE(""https://docs.google.com/spreadsheets/d/1OYoGg4WDg5RIzwGeB10padOxJF9E_Vljuvvct_M7RDo/edit?usp=sharing"",""ปทุมธานี!M521"")+IMPORTRANGE(""https://docs.google.com/spreadsheets/d/1GbCI"&amp;"E4D4wk9FUozzqk7SxfDMxDVBwVmI5zcaVUSzKAc/edit?usp=sharing"",""ประจวบคีรีขันธ์!M521"")+IMPORTRANGE(""https://docs.google.com/spreadsheets/d/1vVf6wykvW_lAyu7Yo9L4hUTqHqIeP_qcVuxCtosJEbg/edit?usp=sharing"",""ปราจีนบุรี!M521"")+IMPORTRANGE(""https://docs.googl"&amp;"e.com/spreadsheets/d/1BIDqLLg5jk3v59G8NlR8rk5xfQDKne0sAvZHSj7TI6I/edit?usp=sharing"",""พระนครศรีอยุธยา!M521"")+IMPORTRANGE(""https://docs.google.com/spreadsheets/d/1YXvxf8Yu6_rV4hTBrwMqAcAnv6DfhUxh5emyM3CJp_w/edit?usp=sharing"",""เพชรบุรี!M521"")+IMPORTRA"&amp;"NGE(""https://docs.google.com/spreadsheets/d/19KBlQQs7uwvsao6t2n-KvW3Ax8J8uRRfZPq1zPbXgKc/edit?usp=sharing"",""ระยอง!M521"")+IMPORTRANGE(""https://docs.google.com/spreadsheets/d/1jQ6P4QcrGM89YfqcC_PxOHGCMq5ezhucwJd8ci-NHng/edit?usp=sharing"",""ราชบุรี!M52"&amp;"1"")+IMPORTRANGE(""https://docs.google.com/spreadsheets/d/1lufeA2cfFqM-elVq2hznhDzC6Pr7wkJ9ZG_sYNGCMCU/edit?usp=sharing"",""ลพบุรี!M521"")+IMPORTRANGE(""https://docs.google.com/spreadsheets/d/10oOiF7loTyfsTkbd4MpaIm0HQ9SwB7IYHdIUvt-U1Uc/edit?usp=sharing"""&amp;",""สระแก้ว!M521"")+IMPORTRANGE(""https://docs.google.com/spreadsheets/d/1xmPlrr1QbdSIKvl1dWUl9K4PjAfSL9oeMr_37QVzcxc/edit?usp=sharing"",""สระบุรี!M521"")+IMPORTRANGE(""https://docs.google.com/spreadsheets/d/1j51vR6CYVGhABJpv6tkstgok82RLpXieLzW1yOY5rHw/edi"&amp;"t?usp=sharing"",""สิงห์บุรี!M521"")+IMPORTRANGE(""https://docs.google.com/spreadsheets/d/1H1EalTWKUSzO4Z1-1CwzoDUaVffgrThEBe2sl74kKG0/edit?usp=sharing"",""สุพรรณบุรี!M521"")+IMPORTRANGE(""https://docs.google.com/spreadsheets/d/1BmIruG_sIrJLYao_Pdr7zVArWsf"&amp;"oBt2692TMi6x_854/edit?usp=sharing"",""อ่างทอง!M521"")"),0)</f>
        <v>0</v>
      </c>
      <c r="N521" s="86">
        <f ca="1">IFERROR(__xludf.DUMMYFUNCTION("IMPORTRANGE(""https://docs.google.com/spreadsheets/d/13wPX838HrBrQMCywv1BsuMkt4PEKTChp52zj44s2izQ/edit?usp=sharing"",""กาญจนบุรี!N521"")+IMPORTRANGE(""https://docs.google.com/spreadsheets/d/1ddFKvqj1W1NEiWytbGlB1zMx_ykJDVtmfEQ-6-lIUBA/edit?usp=sharing"","&amp;"""จันทบุรี!N521"")+IMPORTRANGE(""https://docs.google.com/spreadsheets/d/1T1PQvRODqOBZk8BRht_U031fIS1beLA0Ub2CEytj2q0/edit?usp=sharing"",""ฉะเชิงเทรา!N521"")+IMPORTRANGE(""https://docs.google.com/spreadsheets/d/11tr1B-Bhyr79v2bkwVh5h_fR-PStkgjlZtkrZpYurG0/"&amp;"edit?usp=sharing"",""ชลบุรี!N521"")+IMPORTRANGE(""https://docs.google.com/spreadsheets/d/1hh-FVnSX0vozXhGluamEcS54Dw9_zqW0N7qJUWgJ0Sw/edit?usp=sharing"",""ชัยนาท!N521"")+IMPORTRANGE(""https://docs.google.com/spreadsheets/d/1jkqa6GXxSacMcY1eN8AHjMNJ_7dDXMJ"&amp;"VRLDlaFSOdPM/edit?usp=sharing"",""ตราด!N521"")+IMPORTRANGE(""https://docs.google.com/spreadsheets/d/18hSgUJ3VwClqi_qtULmmW3cLr0oe3OKaSYoKzdpTsYQ/edit?usp=sharing"",""นครนายก!N521"")+IMPORTRANGE(""https://docs.google.com/spreadsheets/d/1YTZo6WM2dQ6Ix6FSdnL"&amp;"5P7uVnVKu40sxZu975tgG10E/edit?usp=sharing"",""นครปฐม!N521"")+IMPORTRANGE(""https://docs.google.com/spreadsheets/d/1OYoGg4WDg5RIzwGeB10padOxJF9E_Vljuvvct_M7RDo/edit?usp=sharing"",""ปทุมธานี!N521"")+IMPORTRANGE(""https://docs.google.com/spreadsheets/d/1GbCI"&amp;"E4D4wk9FUozzqk7SxfDMxDVBwVmI5zcaVUSzKAc/edit?usp=sharing"",""ประจวบคีรีขันธ์!N521"")+IMPORTRANGE(""https://docs.google.com/spreadsheets/d/1vVf6wykvW_lAyu7Yo9L4hUTqHqIeP_qcVuxCtosJEbg/edit?usp=sharing"",""ปราจีนบุรี!N521"")+IMPORTRANGE(""https://docs.googl"&amp;"e.com/spreadsheets/d/1BIDqLLg5jk3v59G8NlR8rk5xfQDKne0sAvZHSj7TI6I/edit?usp=sharing"",""พระนครศรีอยุธยา!N521"")+IMPORTRANGE(""https://docs.google.com/spreadsheets/d/1YXvxf8Yu6_rV4hTBrwMqAcAnv6DfhUxh5emyM3CJp_w/edit?usp=sharing"",""เพชรบุรี!N521"")+IMPORTRA"&amp;"NGE(""https://docs.google.com/spreadsheets/d/19KBlQQs7uwvsao6t2n-KvW3Ax8J8uRRfZPq1zPbXgKc/edit?usp=sharing"",""ระยอง!N521"")+IMPORTRANGE(""https://docs.google.com/spreadsheets/d/1jQ6P4QcrGM89YfqcC_PxOHGCMq5ezhucwJd8ci-NHng/edit?usp=sharing"",""ราชบุรี!N52"&amp;"1"")+IMPORTRANGE(""https://docs.google.com/spreadsheets/d/1lufeA2cfFqM-elVq2hznhDzC6Pr7wkJ9ZG_sYNGCMCU/edit?usp=sharing"",""ลพบุรี!N521"")+IMPORTRANGE(""https://docs.google.com/spreadsheets/d/10oOiF7loTyfsTkbd4MpaIm0HQ9SwB7IYHdIUvt-U1Uc/edit?usp=sharing"""&amp;",""สระแก้ว!N521"")+IMPORTRANGE(""https://docs.google.com/spreadsheets/d/1xmPlrr1QbdSIKvl1dWUl9K4PjAfSL9oeMr_37QVzcxc/edit?usp=sharing"",""สระบุรี!N521"")+IMPORTRANGE(""https://docs.google.com/spreadsheets/d/1j51vR6CYVGhABJpv6tkstgok82RLpXieLzW1yOY5rHw/edi"&amp;"t?usp=sharing"",""สิงห์บุรี!N521"")+IMPORTRANGE(""https://docs.google.com/spreadsheets/d/1H1EalTWKUSzO4Z1-1CwzoDUaVffgrThEBe2sl74kKG0/edit?usp=sharing"",""สุพรรณบุรี!N521"")+IMPORTRANGE(""https://docs.google.com/spreadsheets/d/1BmIruG_sIrJLYao_Pdr7zVArWsf"&amp;"oBt2692TMi6x_854/edit?usp=sharing"",""อ่างทอง!N521"")"),0)</f>
        <v>0</v>
      </c>
      <c r="O521" s="86">
        <f t="shared" ca="1" si="355"/>
        <v>0</v>
      </c>
      <c r="P521" s="86">
        <f t="shared" ca="1" si="356"/>
        <v>0</v>
      </c>
      <c r="Q521" s="71">
        <f ca="1">IFERROR(__xludf.DUMMYFUNCTION("IMPORTRANGE(""https://docs.google.com/spreadsheets/d/13wPX838HrBrQMCywv1BsuMkt4PEKTChp52zj44s2izQ/edit?usp=sharing"",""กาญจนบุรี!Q521"")+IMPORTRANGE(""https://docs.google.com/spreadsheets/d/1ddFKvqj1W1NEiWytbGlB1zMx_ykJDVtmfEQ-6-lIUBA/edit?usp=sharing"","&amp;"""จันทบุรี!Q521"")+IMPORTRANGE(""https://docs.google.com/spreadsheets/d/1T1PQvRODqOBZk8BRht_U031fIS1beLA0Ub2CEytj2q0/edit?usp=sharing"",""ฉะเชิงเทรา!Q521"")+IMPORTRANGE(""https://docs.google.com/spreadsheets/d/11tr1B-Bhyr79v2bkwVh5h_fR-PStkgjlZtkrZpYurG0/"&amp;"edit?usp=sharing"",""ชลบุรี!Q521"")+IMPORTRANGE(""https://docs.google.com/spreadsheets/d/1hh-FVnSX0vozXhGluamEcS54Dw9_zqW0N7qJUWgJ0Sw/edit?usp=sharing"",""ชัยนาท!Q521"")+IMPORTRANGE(""https://docs.google.com/spreadsheets/d/1jkqa6GXxSacMcY1eN8AHjMNJ_7dDXMJ"&amp;"VRLDlaFSOdPM/edit?usp=sharing"",""ตราด!Q521"")+IMPORTRANGE(""https://docs.google.com/spreadsheets/d/18hSgUJ3VwClqi_qtULmmW3cLr0oe3OKaSYoKzdpTsYQ/edit?usp=sharing"",""นครนายก!Q521"")+IMPORTRANGE(""https://docs.google.com/spreadsheets/d/1YTZo6WM2dQ6Ix6FSdnL"&amp;"5P7uVnVKu40sxZu975tgG10E/edit?usp=sharing"",""นครปฐม!Q521"")+IMPORTRANGE(""https://docs.google.com/spreadsheets/d/1OYoGg4WDg5RIzwGeB10padOxJF9E_Vljuvvct_M7RDo/edit?usp=sharing"",""ปทุมธานี!Q521"")+IMPORTRANGE(""https://docs.google.com/spreadsheets/d/1GbCI"&amp;"E4D4wk9FUozzqk7SxfDMxDVBwVmI5zcaVUSzKAc/edit?usp=sharing"",""ประจวบคีรีขันธ์!Q521"")+IMPORTRANGE(""https://docs.google.com/spreadsheets/d/1vVf6wykvW_lAyu7Yo9L4hUTqHqIeP_qcVuxCtosJEbg/edit?usp=sharing"",""ปราจีนบุรี!Q521"")+IMPORTRANGE(""https://docs.googl"&amp;"e.com/spreadsheets/d/1BIDqLLg5jk3v59G8NlR8rk5xfQDKne0sAvZHSj7TI6I/edit?usp=sharing"",""พระนครศรีอยุธยา!Q521"")+IMPORTRANGE(""https://docs.google.com/spreadsheets/d/1YXvxf8Yu6_rV4hTBrwMqAcAnv6DfhUxh5emyM3CJp_w/edit?usp=sharing"",""เพชรบุรี!Q521"")+IMPORTRA"&amp;"NGE(""https://docs.google.com/spreadsheets/d/19KBlQQs7uwvsao6t2n-KvW3Ax8J8uRRfZPq1zPbXgKc/edit?usp=sharing"",""ระยอง!Q521"")+IMPORTRANGE(""https://docs.google.com/spreadsheets/d/1jQ6P4QcrGM89YfqcC_PxOHGCMq5ezhucwJd8ci-NHng/edit?usp=sharing"",""ราชบุรี!Q52"&amp;"1"")+IMPORTRANGE(""https://docs.google.com/spreadsheets/d/1lufeA2cfFqM-elVq2hznhDzC6Pr7wkJ9ZG_sYNGCMCU/edit?usp=sharing"",""ลพบุรี!Q521"")+IMPORTRANGE(""https://docs.google.com/spreadsheets/d/10oOiF7loTyfsTkbd4MpaIm0HQ9SwB7IYHdIUvt-U1Uc/edit?usp=sharing"""&amp;",""สระแก้ว!Q521"")+IMPORTRANGE(""https://docs.google.com/spreadsheets/d/1xmPlrr1QbdSIKvl1dWUl9K4PjAfSL9oeMr_37QVzcxc/edit?usp=sharing"",""สระบุรี!Q521"")+IMPORTRANGE(""https://docs.google.com/spreadsheets/d/1j51vR6CYVGhABJpv6tkstgok82RLpXieLzW1yOY5rHw/edi"&amp;"t?usp=sharing"",""สิงห์บุรี!Q521"")+IMPORTRANGE(""https://docs.google.com/spreadsheets/d/1H1EalTWKUSzO4Z1-1CwzoDUaVffgrThEBe2sl74kKG0/edit?usp=sharing"",""สุพรรณบุรี!Q521"")+IMPORTRANGE(""https://docs.google.com/spreadsheets/d/1BmIruG_sIrJLYao_Pdr7zVArWsf"&amp;"oBt2692TMi6x_854/edit?usp=sharing"",""อ่างทอง!Q521"")"),0)</f>
        <v>0</v>
      </c>
      <c r="R521" s="72">
        <f ca="1">IFERROR(__xludf.DUMMYFUNCTION("IMPORTRANGE(""https://docs.google.com/spreadsheets/d/13wPX838HrBrQMCywv1BsuMkt4PEKTChp52zj44s2izQ/edit?usp=sharing"",""กาญจนบุรี!R521"")+IMPORTRANGE(""https://docs.google.com/spreadsheets/d/1ddFKvqj1W1NEiWytbGlB1zMx_ykJDVtmfEQ-6-lIUBA/edit?usp=sharing"","&amp;"""จันทบุรี!R521"")+IMPORTRANGE(""https://docs.google.com/spreadsheets/d/1T1PQvRODqOBZk8BRht_U031fIS1beLA0Ub2CEytj2q0/edit?usp=sharing"",""ฉะเชิงเทรา!R521"")+IMPORTRANGE(""https://docs.google.com/spreadsheets/d/11tr1B-Bhyr79v2bkwVh5h_fR-PStkgjlZtkrZpYurG0/"&amp;"edit?usp=sharing"",""ชลบุรี!R521"")+IMPORTRANGE(""https://docs.google.com/spreadsheets/d/1hh-FVnSX0vozXhGluamEcS54Dw9_zqW0N7qJUWgJ0Sw/edit?usp=sharing"",""ชัยนาท!R521"")+IMPORTRANGE(""https://docs.google.com/spreadsheets/d/1jkqa6GXxSacMcY1eN8AHjMNJ_7dDXMJ"&amp;"VRLDlaFSOdPM/edit?usp=sharing"",""ตราด!R521"")+IMPORTRANGE(""https://docs.google.com/spreadsheets/d/18hSgUJ3VwClqi_qtULmmW3cLr0oe3OKaSYoKzdpTsYQ/edit?usp=sharing"",""นครนายก!R521"")+IMPORTRANGE(""https://docs.google.com/spreadsheets/d/1YTZo6WM2dQ6Ix6FSdnL"&amp;"5P7uVnVKu40sxZu975tgG10E/edit?usp=sharing"",""นครปฐม!R521"")+IMPORTRANGE(""https://docs.google.com/spreadsheets/d/1OYoGg4WDg5RIzwGeB10padOxJF9E_Vljuvvct_M7RDo/edit?usp=sharing"",""ปทุมธานี!R521"")+IMPORTRANGE(""https://docs.google.com/spreadsheets/d/1GbCI"&amp;"E4D4wk9FUozzqk7SxfDMxDVBwVmI5zcaVUSzKAc/edit?usp=sharing"",""ประจวบคีรีขันธ์!R521"")+IMPORTRANGE(""https://docs.google.com/spreadsheets/d/1vVf6wykvW_lAyu7Yo9L4hUTqHqIeP_qcVuxCtosJEbg/edit?usp=sharing"",""ปราจีนบุรี!R521"")+IMPORTRANGE(""https://docs.googl"&amp;"e.com/spreadsheets/d/1BIDqLLg5jk3v59G8NlR8rk5xfQDKne0sAvZHSj7TI6I/edit?usp=sharing"",""พระนครศรีอยุธยา!R521"")+IMPORTRANGE(""https://docs.google.com/spreadsheets/d/1YXvxf8Yu6_rV4hTBrwMqAcAnv6DfhUxh5emyM3CJp_w/edit?usp=sharing"",""เพชรบุรี!R521"")+IMPORTRA"&amp;"NGE(""https://docs.google.com/spreadsheets/d/19KBlQQs7uwvsao6t2n-KvW3Ax8J8uRRfZPq1zPbXgKc/edit?usp=sharing"",""ระยอง!R521"")+IMPORTRANGE(""https://docs.google.com/spreadsheets/d/1jQ6P4QcrGM89YfqcC_PxOHGCMq5ezhucwJd8ci-NHng/edit?usp=sharing"",""ราชบุรี!R52"&amp;"1"")+IMPORTRANGE(""https://docs.google.com/spreadsheets/d/1lufeA2cfFqM-elVq2hznhDzC6Pr7wkJ9ZG_sYNGCMCU/edit?usp=sharing"",""ลพบุรี!R521"")+IMPORTRANGE(""https://docs.google.com/spreadsheets/d/10oOiF7loTyfsTkbd4MpaIm0HQ9SwB7IYHdIUvt-U1Uc/edit?usp=sharing"""&amp;",""สระแก้ว!R521"")+IMPORTRANGE(""https://docs.google.com/spreadsheets/d/1xmPlrr1QbdSIKvl1dWUl9K4PjAfSL9oeMr_37QVzcxc/edit?usp=sharing"",""สระบุรี!R521"")+IMPORTRANGE(""https://docs.google.com/spreadsheets/d/1j51vR6CYVGhABJpv6tkstgok82RLpXieLzW1yOY5rHw/edi"&amp;"t?usp=sharing"",""สิงห์บุรี!R521"")+IMPORTRANGE(""https://docs.google.com/spreadsheets/d/1H1EalTWKUSzO4Z1-1CwzoDUaVffgrThEBe2sl74kKG0/edit?usp=sharing"",""สุพรรณบุรี!R521"")+IMPORTRANGE(""https://docs.google.com/spreadsheets/d/1BmIruG_sIrJLYao_Pdr7zVArWsf"&amp;"oBt2692TMi6x_854/edit?usp=sharing"",""อ่างทอง!R521"")"),0)</f>
        <v>0</v>
      </c>
      <c r="S521" s="72">
        <f ca="1">IFERROR(__xludf.DUMMYFUNCTION("IMPORTRANGE(""https://docs.google.com/spreadsheets/d/13wPX838HrBrQMCywv1BsuMkt4PEKTChp52zj44s2izQ/edit?usp=sharing"",""กาญจนบุรี!S521"")+IMPORTRANGE(""https://docs.google.com/spreadsheets/d/1ddFKvqj1W1NEiWytbGlB1zMx_ykJDVtmfEQ-6-lIUBA/edit?usp=sharing"","&amp;"""จันทบุรี!S521"")+IMPORTRANGE(""https://docs.google.com/spreadsheets/d/1T1PQvRODqOBZk8BRht_U031fIS1beLA0Ub2CEytj2q0/edit?usp=sharing"",""ฉะเชิงเทรา!S521"")+IMPORTRANGE(""https://docs.google.com/spreadsheets/d/11tr1B-Bhyr79v2bkwVh5h_fR-PStkgjlZtkrZpYurG0/"&amp;"edit?usp=sharing"",""ชลบุรี!S521"")+IMPORTRANGE(""https://docs.google.com/spreadsheets/d/1hh-FVnSX0vozXhGluamEcS54Dw9_zqW0N7qJUWgJ0Sw/edit?usp=sharing"",""ชัยนาท!S521"")+IMPORTRANGE(""https://docs.google.com/spreadsheets/d/1jkqa6GXxSacMcY1eN8AHjMNJ_7dDXMJ"&amp;"VRLDlaFSOdPM/edit?usp=sharing"",""ตราด!S521"")+IMPORTRANGE(""https://docs.google.com/spreadsheets/d/18hSgUJ3VwClqi_qtULmmW3cLr0oe3OKaSYoKzdpTsYQ/edit?usp=sharing"",""นครนายก!S521"")+IMPORTRANGE(""https://docs.google.com/spreadsheets/d/1YTZo6WM2dQ6Ix6FSdnL"&amp;"5P7uVnVKu40sxZu975tgG10E/edit?usp=sharing"",""นครปฐม!S521"")+IMPORTRANGE(""https://docs.google.com/spreadsheets/d/1OYoGg4WDg5RIzwGeB10padOxJF9E_Vljuvvct_M7RDo/edit?usp=sharing"",""ปทุมธานี!S521"")+IMPORTRANGE(""https://docs.google.com/spreadsheets/d/1GbCI"&amp;"E4D4wk9FUozzqk7SxfDMxDVBwVmI5zcaVUSzKAc/edit?usp=sharing"",""ประจวบคีรีขันธ์!S521"")+IMPORTRANGE(""https://docs.google.com/spreadsheets/d/1vVf6wykvW_lAyu7Yo9L4hUTqHqIeP_qcVuxCtosJEbg/edit?usp=sharing"",""ปราจีนบุรี!S521"")+IMPORTRANGE(""https://docs.googl"&amp;"e.com/spreadsheets/d/1BIDqLLg5jk3v59G8NlR8rk5xfQDKne0sAvZHSj7TI6I/edit?usp=sharing"",""พระนครศรีอยุธยา!S521"")+IMPORTRANGE(""https://docs.google.com/spreadsheets/d/1YXvxf8Yu6_rV4hTBrwMqAcAnv6DfhUxh5emyM3CJp_w/edit?usp=sharing"",""เพชรบุรี!S521"")+IMPORTRA"&amp;"NGE(""https://docs.google.com/spreadsheets/d/19KBlQQs7uwvsao6t2n-KvW3Ax8J8uRRfZPq1zPbXgKc/edit?usp=sharing"",""ระยอง!S521"")+IMPORTRANGE(""https://docs.google.com/spreadsheets/d/1jQ6P4QcrGM89YfqcC_PxOHGCMq5ezhucwJd8ci-NHng/edit?usp=sharing"",""ราชบุรี!S52"&amp;"1"")+IMPORTRANGE(""https://docs.google.com/spreadsheets/d/1lufeA2cfFqM-elVq2hznhDzC6Pr7wkJ9ZG_sYNGCMCU/edit?usp=sharing"",""ลพบุรี!S521"")+IMPORTRANGE(""https://docs.google.com/spreadsheets/d/10oOiF7loTyfsTkbd4MpaIm0HQ9SwB7IYHdIUvt-U1Uc/edit?usp=sharing"""&amp;",""สระแก้ว!S521"")+IMPORTRANGE(""https://docs.google.com/spreadsheets/d/1xmPlrr1QbdSIKvl1dWUl9K4PjAfSL9oeMr_37QVzcxc/edit?usp=sharing"",""สระบุรี!S521"")+IMPORTRANGE(""https://docs.google.com/spreadsheets/d/1j51vR6CYVGhABJpv6tkstgok82RLpXieLzW1yOY5rHw/edi"&amp;"t?usp=sharing"",""สิงห์บุรี!S521"")+IMPORTRANGE(""https://docs.google.com/spreadsheets/d/1H1EalTWKUSzO4Z1-1CwzoDUaVffgrThEBe2sl74kKG0/edit?usp=sharing"",""สุพรรณบุรี!S521"")+IMPORTRANGE(""https://docs.google.com/spreadsheets/d/1BmIruG_sIrJLYao_Pdr7zVArWsf"&amp;"oBt2692TMi6x_854/edit?usp=sharing"",""อ่างทอง!S521"")"),0)</f>
        <v>0</v>
      </c>
      <c r="T521" s="130">
        <f t="shared" ca="1" si="358"/>
        <v>0</v>
      </c>
      <c r="U521" s="130">
        <f t="shared" ca="1" si="359"/>
        <v>0</v>
      </c>
    </row>
    <row r="522" spans="1:21" ht="19.5" hidden="1" x14ac:dyDescent="0.3">
      <c r="A522" s="220"/>
      <c r="B522" s="221"/>
      <c r="C522" s="208" t="s">
        <v>18</v>
      </c>
      <c r="D522" s="222" t="s">
        <v>38</v>
      </c>
      <c r="E522" s="223"/>
      <c r="F522" s="223"/>
      <c r="G522" s="224"/>
      <c r="H522" s="225"/>
      <c r="I522" s="217"/>
      <c r="J522" s="69"/>
      <c r="K522" s="70"/>
      <c r="L522" s="70"/>
      <c r="M522" s="70"/>
      <c r="N522" s="70"/>
      <c r="O522" s="218"/>
      <c r="P522" s="218"/>
      <c r="Q522" s="84"/>
      <c r="R522" s="85"/>
      <c r="S522" s="85"/>
      <c r="T522" s="227"/>
      <c r="U522" s="227"/>
    </row>
    <row r="523" spans="1:21" ht="18.75" hidden="1" x14ac:dyDescent="0.25">
      <c r="A523" s="364"/>
      <c r="B523" s="65"/>
      <c r="C523" s="367"/>
      <c r="D523" s="234" t="s">
        <v>209</v>
      </c>
      <c r="E523" s="221"/>
      <c r="F523" s="65"/>
      <c r="G523" s="67"/>
      <c r="H523" s="366" t="s">
        <v>11</v>
      </c>
      <c r="I523" s="237">
        <v>0</v>
      </c>
      <c r="J523" s="237">
        <v>0</v>
      </c>
      <c r="K523" s="86">
        <f t="shared" ref="K523:K524" si="368">IF(I523&gt;0,J523*100/I523,0)</f>
        <v>0</v>
      </c>
      <c r="L523" s="70"/>
      <c r="M523" s="70"/>
      <c r="N523" s="70"/>
      <c r="O523" s="70"/>
      <c r="P523" s="70"/>
      <c r="Q523" s="84"/>
      <c r="R523" s="85"/>
      <c r="S523" s="85"/>
      <c r="T523" s="85"/>
      <c r="U523" s="85"/>
    </row>
    <row r="524" spans="1:21" ht="18.75" hidden="1" x14ac:dyDescent="0.25">
      <c r="A524" s="644"/>
      <c r="B524" s="88"/>
      <c r="C524" s="645"/>
      <c r="D524" s="646" t="s">
        <v>210</v>
      </c>
      <c r="E524" s="647"/>
      <c r="F524" s="88"/>
      <c r="G524" s="90"/>
      <c r="H524" s="648" t="s">
        <v>61</v>
      </c>
      <c r="I524" s="649">
        <v>0</v>
      </c>
      <c r="J524" s="649">
        <v>0</v>
      </c>
      <c r="K524" s="94">
        <f t="shared" si="368"/>
        <v>0</v>
      </c>
      <c r="L524" s="93"/>
      <c r="M524" s="93"/>
      <c r="N524" s="93"/>
      <c r="O524" s="93"/>
      <c r="P524" s="93"/>
      <c r="Q524" s="84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656"/>
      <c r="M525" s="656"/>
      <c r="N525" s="656"/>
      <c r="O525" s="656"/>
      <c r="P525" s="656"/>
      <c r="Q525" s="575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4"/>
      <c r="M526" s="574"/>
      <c r="N526" s="574"/>
      <c r="O526" s="574"/>
      <c r="P526" s="574"/>
      <c r="Q526" s="575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4"/>
      <c r="M527" s="574"/>
      <c r="N527" s="574"/>
      <c r="O527" s="574"/>
      <c r="P527" s="574"/>
      <c r="Q527" s="575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4"/>
      <c r="M528" s="574"/>
      <c r="N528" s="574"/>
      <c r="O528" s="574"/>
      <c r="P528" s="574"/>
      <c r="Q528" s="575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4"/>
      <c r="M529" s="574"/>
      <c r="N529" s="574"/>
      <c r="O529" s="574"/>
      <c r="P529" s="574"/>
      <c r="Q529" s="575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4"/>
      <c r="M530" s="574"/>
      <c r="N530" s="574"/>
      <c r="O530" s="574"/>
      <c r="P530" s="574"/>
      <c r="Q530" s="575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4"/>
      <c r="M531" s="574"/>
      <c r="N531" s="574"/>
      <c r="O531" s="574"/>
      <c r="P531" s="574"/>
      <c r="Q531" s="575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79"/>
      <c r="M532" s="579"/>
      <c r="N532" s="579"/>
      <c r="O532" s="579"/>
      <c r="P532" s="579"/>
      <c r="Q532" s="580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666">
        <f t="shared" ref="I533:J533" si="369">I544</f>
        <v>0</v>
      </c>
      <c r="J533" s="666">
        <f t="shared" si="369"/>
        <v>0</v>
      </c>
      <c r="K533" s="667">
        <f>IF(I533&gt;0,J533*100/I533,0)</f>
        <v>0</v>
      </c>
      <c r="L533" s="643"/>
      <c r="M533" s="643"/>
      <c r="N533" s="643"/>
      <c r="O533" s="643"/>
      <c r="P533" s="643"/>
      <c r="Q533" s="642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t="shared" ref="L534:N534" ca="1" si="370">L535+L536</f>
        <v>0</v>
      </c>
      <c r="M534" s="262">
        <f t="shared" ca="1" si="370"/>
        <v>0</v>
      </c>
      <c r="N534" s="262">
        <f t="shared" ca="1" si="370"/>
        <v>0</v>
      </c>
      <c r="O534" s="262">
        <f t="shared" ref="O534:O542" ca="1" si="371">IF(L534&gt;0,N534*100/L534,0)</f>
        <v>0</v>
      </c>
      <c r="P534" s="262">
        <f t="shared" ref="P534:P542" ca="1" si="372">IF(M534&gt;0,N534*100/M534,0)</f>
        <v>0</v>
      </c>
      <c r="Q534" s="212">
        <f t="shared" ref="Q534:S534" ca="1" si="373">Q535+Q536</f>
        <v>0</v>
      </c>
      <c r="R534" s="213">
        <f t="shared" ca="1" si="373"/>
        <v>0</v>
      </c>
      <c r="S534" s="213">
        <f t="shared" ca="1" si="373"/>
        <v>0</v>
      </c>
      <c r="T534" s="213">
        <f t="shared" ref="T534:T542" ca="1" si="374">IF(Q534&gt;0,S534*100/Q534,0)</f>
        <v>0</v>
      </c>
      <c r="U534" s="213">
        <f t="shared" ref="U534:U542" ca="1" si="375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 t="shared" ref="L535:N535" ca="1" si="376">L538+L541</f>
        <v>0</v>
      </c>
      <c r="M535" s="75">
        <f t="shared" ca="1" si="376"/>
        <v>0</v>
      </c>
      <c r="N535" s="75">
        <f t="shared" ca="1" si="376"/>
        <v>0</v>
      </c>
      <c r="O535" s="75">
        <f t="shared" ca="1" si="371"/>
        <v>0</v>
      </c>
      <c r="P535" s="75">
        <f t="shared" ca="1" si="372"/>
        <v>0</v>
      </c>
      <c r="Q535" s="215">
        <f t="shared" ref="Q535:S535" ca="1" si="377">Q538+Q541</f>
        <v>0</v>
      </c>
      <c r="R535" s="131">
        <f t="shared" ca="1" si="377"/>
        <v>0</v>
      </c>
      <c r="S535" s="131">
        <f t="shared" ca="1" si="377"/>
        <v>0</v>
      </c>
      <c r="T535" s="131">
        <f t="shared" ca="1" si="374"/>
        <v>0</v>
      </c>
      <c r="U535" s="131">
        <f t="shared" ca="1" si="375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2">
        <f t="shared" ref="L536:N536" ca="1" si="378">L539+L542</f>
        <v>0</v>
      </c>
      <c r="M536" s="72">
        <f t="shared" ca="1" si="378"/>
        <v>0</v>
      </c>
      <c r="N536" s="72">
        <f t="shared" ca="1" si="378"/>
        <v>0</v>
      </c>
      <c r="O536" s="72">
        <f t="shared" ca="1" si="371"/>
        <v>0</v>
      </c>
      <c r="P536" s="72">
        <f t="shared" ca="1" si="372"/>
        <v>0</v>
      </c>
      <c r="Q536" s="129">
        <f t="shared" ref="Q536:S536" ca="1" si="379">Q539+Q542</f>
        <v>0</v>
      </c>
      <c r="R536" s="130">
        <f t="shared" ca="1" si="379"/>
        <v>0</v>
      </c>
      <c r="S536" s="130">
        <f t="shared" ca="1" si="379"/>
        <v>0</v>
      </c>
      <c r="T536" s="130">
        <f t="shared" ca="1" si="374"/>
        <v>0</v>
      </c>
      <c r="U536" s="130">
        <f t="shared" ca="1" si="375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t="shared" ref="L537:N537" ca="1" si="380">L538+L539</f>
        <v>0</v>
      </c>
      <c r="M537" s="72">
        <f t="shared" ca="1" si="380"/>
        <v>0</v>
      </c>
      <c r="N537" s="72">
        <f t="shared" ca="1" si="380"/>
        <v>0</v>
      </c>
      <c r="O537" s="72">
        <f t="shared" ca="1" si="371"/>
        <v>0</v>
      </c>
      <c r="P537" s="72">
        <f t="shared" ca="1" si="372"/>
        <v>0</v>
      </c>
      <c r="Q537" s="129">
        <f t="shared" ref="Q537:S537" ca="1" si="381">Q538+Q539</f>
        <v>0</v>
      </c>
      <c r="R537" s="130">
        <f t="shared" ca="1" si="381"/>
        <v>0</v>
      </c>
      <c r="S537" s="130">
        <f t="shared" ca="1" si="381"/>
        <v>0</v>
      </c>
      <c r="T537" s="130">
        <f t="shared" ca="1" si="374"/>
        <v>0</v>
      </c>
      <c r="U537" s="130">
        <f t="shared" ca="1" si="375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f ca="1">IFERROR(__xludf.DUMMYFUNCTION("IMPORTRANGE(""https://docs.google.com/spreadsheets/d/13wPX838HrBrQMCywv1BsuMkt4PEKTChp52zj44s2izQ/edit?usp=sharing"",""กาญจนบุรี!L538"")+IMPORTRANGE(""https://docs.google.com/spreadsheets/d/1ddFKvqj1W1NEiWytbGlB1zMx_ykJDVtmfEQ-6-lIUBA/edit?usp=sharing"","&amp;"""จันทบุรี!L538"")+IMPORTRANGE(""https://docs.google.com/spreadsheets/d/1T1PQvRODqOBZk8BRht_U031fIS1beLA0Ub2CEytj2q0/edit?usp=sharing"",""ฉะเชิงเทรา!L538"")+IMPORTRANGE(""https://docs.google.com/spreadsheets/d/11tr1B-Bhyr79v2bkwVh5h_fR-PStkgjlZtkrZpYurG0/"&amp;"edit?usp=sharing"",""ชลบุรี!L538"")+IMPORTRANGE(""https://docs.google.com/spreadsheets/d/1hh-FVnSX0vozXhGluamEcS54Dw9_zqW0N7qJUWgJ0Sw/edit?usp=sharing"",""ชัยนาท!L538"")+IMPORTRANGE(""https://docs.google.com/spreadsheets/d/1jkqa6GXxSacMcY1eN8AHjMNJ_7dDXMJ"&amp;"VRLDlaFSOdPM/edit?usp=sharing"",""ตราด!L538"")+IMPORTRANGE(""https://docs.google.com/spreadsheets/d/18hSgUJ3VwClqi_qtULmmW3cLr0oe3OKaSYoKzdpTsYQ/edit?usp=sharing"",""นครนายก!L538"")+IMPORTRANGE(""https://docs.google.com/spreadsheets/d/1YTZo6WM2dQ6Ix6FSdnL"&amp;"5P7uVnVKu40sxZu975tgG10E/edit?usp=sharing"",""นครปฐม!L538"")+IMPORTRANGE(""https://docs.google.com/spreadsheets/d/1OYoGg4WDg5RIzwGeB10padOxJF9E_Vljuvvct_M7RDo/edit?usp=sharing"",""ปทุมธานี!L538"")+IMPORTRANGE(""https://docs.google.com/spreadsheets/d/1GbCI"&amp;"E4D4wk9FUozzqk7SxfDMxDVBwVmI5zcaVUSzKAc/edit?usp=sharing"",""ประจวบคีรีขันธ์!L538"")+IMPORTRANGE(""https://docs.google.com/spreadsheets/d/1vVf6wykvW_lAyu7Yo9L4hUTqHqIeP_qcVuxCtosJEbg/edit?usp=sharing"",""ปราจีนบุรี!L538"")+IMPORTRANGE(""https://docs.googl"&amp;"e.com/spreadsheets/d/1BIDqLLg5jk3v59G8NlR8rk5xfQDKne0sAvZHSj7TI6I/edit?usp=sharing"",""พระนครศรีอยุธยา!L538"")+IMPORTRANGE(""https://docs.google.com/spreadsheets/d/1YXvxf8Yu6_rV4hTBrwMqAcAnv6DfhUxh5emyM3CJp_w/edit?usp=sharing"",""เพชรบุรี!L538"")+IMPORTRA"&amp;"NGE(""https://docs.google.com/spreadsheets/d/19KBlQQs7uwvsao6t2n-KvW3Ax8J8uRRfZPq1zPbXgKc/edit?usp=sharing"",""ระยอง!L538"")+IMPORTRANGE(""https://docs.google.com/spreadsheets/d/1jQ6P4QcrGM89YfqcC_PxOHGCMq5ezhucwJd8ci-NHng/edit?usp=sharing"",""ราชบุรี!L53"&amp;"8"")+IMPORTRANGE(""https://docs.google.com/spreadsheets/d/1lufeA2cfFqM-elVq2hznhDzC6Pr7wkJ9ZG_sYNGCMCU/edit?usp=sharing"",""ลพบุรี!L538"")+IMPORTRANGE(""https://docs.google.com/spreadsheets/d/10oOiF7loTyfsTkbd4MpaIm0HQ9SwB7IYHdIUvt-U1Uc/edit?usp=sharing"""&amp;",""สระแก้ว!L538"")+IMPORTRANGE(""https://docs.google.com/spreadsheets/d/1xmPlrr1QbdSIKvl1dWUl9K4PjAfSL9oeMr_37QVzcxc/edit?usp=sharing"",""สระบุรี!L538"")+IMPORTRANGE(""https://docs.google.com/spreadsheets/d/1j51vR6CYVGhABJpv6tkstgok82RLpXieLzW1yOY5rHw/edi"&amp;"t?usp=sharing"",""สิงห์บุรี!L538"")+IMPORTRANGE(""https://docs.google.com/spreadsheets/d/1H1EalTWKUSzO4Z1-1CwzoDUaVffgrThEBe2sl74kKG0/edit?usp=sharing"",""สุพรรณบุรี!L538"")+IMPORTRANGE(""https://docs.google.com/spreadsheets/d/1BmIruG_sIrJLYao_Pdr7zVArWsf"&amp;"oBt2692TMi6x_854/edit?usp=sharing"",""อ่างทอง!L538"")"),0)</f>
        <v>0</v>
      </c>
      <c r="M538" s="75">
        <f ca="1">IFERROR(__xludf.DUMMYFUNCTION("IMPORTRANGE(""https://docs.google.com/spreadsheets/d/13wPX838HrBrQMCywv1BsuMkt4PEKTChp52zj44s2izQ/edit?usp=sharing"",""กาญจนบุรี!M538"")+IMPORTRANGE(""https://docs.google.com/spreadsheets/d/1ddFKvqj1W1NEiWytbGlB1zMx_ykJDVtmfEQ-6-lIUBA/edit?usp=sharing"","&amp;"""จันทบุรี!M538"")+IMPORTRANGE(""https://docs.google.com/spreadsheets/d/1T1PQvRODqOBZk8BRht_U031fIS1beLA0Ub2CEytj2q0/edit?usp=sharing"",""ฉะเชิงเทรา!M538"")+IMPORTRANGE(""https://docs.google.com/spreadsheets/d/11tr1B-Bhyr79v2bkwVh5h_fR-PStkgjlZtkrZpYurG0/"&amp;"edit?usp=sharing"",""ชลบุรี!M538"")+IMPORTRANGE(""https://docs.google.com/spreadsheets/d/1hh-FVnSX0vozXhGluamEcS54Dw9_zqW0N7qJUWgJ0Sw/edit?usp=sharing"",""ชัยนาท!M538"")+IMPORTRANGE(""https://docs.google.com/spreadsheets/d/1jkqa6GXxSacMcY1eN8AHjMNJ_7dDXMJ"&amp;"VRLDlaFSOdPM/edit?usp=sharing"",""ตราด!M538"")+IMPORTRANGE(""https://docs.google.com/spreadsheets/d/18hSgUJ3VwClqi_qtULmmW3cLr0oe3OKaSYoKzdpTsYQ/edit?usp=sharing"",""นครนายก!M538"")+IMPORTRANGE(""https://docs.google.com/spreadsheets/d/1YTZo6WM2dQ6Ix6FSdnL"&amp;"5P7uVnVKu40sxZu975tgG10E/edit?usp=sharing"",""นครปฐม!M538"")+IMPORTRANGE(""https://docs.google.com/spreadsheets/d/1OYoGg4WDg5RIzwGeB10padOxJF9E_Vljuvvct_M7RDo/edit?usp=sharing"",""ปทุมธานี!M538"")+IMPORTRANGE(""https://docs.google.com/spreadsheets/d/1GbCI"&amp;"E4D4wk9FUozzqk7SxfDMxDVBwVmI5zcaVUSzKAc/edit?usp=sharing"",""ประจวบคีรีขันธ์!M538"")+IMPORTRANGE(""https://docs.google.com/spreadsheets/d/1vVf6wykvW_lAyu7Yo9L4hUTqHqIeP_qcVuxCtosJEbg/edit?usp=sharing"",""ปราจีนบุรี!M538"")+IMPORTRANGE(""https://docs.googl"&amp;"e.com/spreadsheets/d/1BIDqLLg5jk3v59G8NlR8rk5xfQDKne0sAvZHSj7TI6I/edit?usp=sharing"",""พระนครศรีอยุธยา!M538"")+IMPORTRANGE(""https://docs.google.com/spreadsheets/d/1YXvxf8Yu6_rV4hTBrwMqAcAnv6DfhUxh5emyM3CJp_w/edit?usp=sharing"",""เพชรบุรี!M538"")+IMPORTRA"&amp;"NGE(""https://docs.google.com/spreadsheets/d/19KBlQQs7uwvsao6t2n-KvW3Ax8J8uRRfZPq1zPbXgKc/edit?usp=sharing"",""ระยอง!M538"")+IMPORTRANGE(""https://docs.google.com/spreadsheets/d/1jQ6P4QcrGM89YfqcC_PxOHGCMq5ezhucwJd8ci-NHng/edit?usp=sharing"",""ราชบุรี!M53"&amp;"8"")+IMPORTRANGE(""https://docs.google.com/spreadsheets/d/1lufeA2cfFqM-elVq2hznhDzC6Pr7wkJ9ZG_sYNGCMCU/edit?usp=sharing"",""ลพบุรี!M538"")+IMPORTRANGE(""https://docs.google.com/spreadsheets/d/10oOiF7loTyfsTkbd4MpaIm0HQ9SwB7IYHdIUvt-U1Uc/edit?usp=sharing"""&amp;",""สระแก้ว!M538"")+IMPORTRANGE(""https://docs.google.com/spreadsheets/d/1xmPlrr1QbdSIKvl1dWUl9K4PjAfSL9oeMr_37QVzcxc/edit?usp=sharing"",""สระบุรี!M538"")+IMPORTRANGE(""https://docs.google.com/spreadsheets/d/1j51vR6CYVGhABJpv6tkstgok82RLpXieLzW1yOY5rHw/edi"&amp;"t?usp=sharing"",""สิงห์บุรี!M538"")+IMPORTRANGE(""https://docs.google.com/spreadsheets/d/1H1EalTWKUSzO4Z1-1CwzoDUaVffgrThEBe2sl74kKG0/edit?usp=sharing"",""สุพรรณบุรี!M538"")+IMPORTRANGE(""https://docs.google.com/spreadsheets/d/1BmIruG_sIrJLYao_Pdr7zVArWsf"&amp;"oBt2692TMi6x_854/edit?usp=sharing"",""อ่างทอง!M538"")"),0)</f>
        <v>0</v>
      </c>
      <c r="N538" s="75">
        <f ca="1">IFERROR(__xludf.DUMMYFUNCTION("IMPORTRANGE(""https://docs.google.com/spreadsheets/d/13wPX838HrBrQMCywv1BsuMkt4PEKTChp52zj44s2izQ/edit?usp=sharing"",""กาญจนบุรี!N538"")+IMPORTRANGE(""https://docs.google.com/spreadsheets/d/1ddFKvqj1W1NEiWytbGlB1zMx_ykJDVtmfEQ-6-lIUBA/edit?usp=sharing"","&amp;"""จันทบุรี!N538"")+IMPORTRANGE(""https://docs.google.com/spreadsheets/d/1T1PQvRODqOBZk8BRht_U031fIS1beLA0Ub2CEytj2q0/edit?usp=sharing"",""ฉะเชิงเทรา!N538"")+IMPORTRANGE(""https://docs.google.com/spreadsheets/d/11tr1B-Bhyr79v2bkwVh5h_fR-PStkgjlZtkrZpYurG0/"&amp;"edit?usp=sharing"",""ชลบุรี!N538"")+IMPORTRANGE(""https://docs.google.com/spreadsheets/d/1hh-FVnSX0vozXhGluamEcS54Dw9_zqW0N7qJUWgJ0Sw/edit?usp=sharing"",""ชัยนาท!N538"")+IMPORTRANGE(""https://docs.google.com/spreadsheets/d/1jkqa6GXxSacMcY1eN8AHjMNJ_7dDXMJ"&amp;"VRLDlaFSOdPM/edit?usp=sharing"",""ตราด!N538"")+IMPORTRANGE(""https://docs.google.com/spreadsheets/d/18hSgUJ3VwClqi_qtULmmW3cLr0oe3OKaSYoKzdpTsYQ/edit?usp=sharing"",""นครนายก!N538"")+IMPORTRANGE(""https://docs.google.com/spreadsheets/d/1YTZo6WM2dQ6Ix6FSdnL"&amp;"5P7uVnVKu40sxZu975tgG10E/edit?usp=sharing"",""นครปฐม!N538"")+IMPORTRANGE(""https://docs.google.com/spreadsheets/d/1OYoGg4WDg5RIzwGeB10padOxJF9E_Vljuvvct_M7RDo/edit?usp=sharing"",""ปทุมธานี!N538"")+IMPORTRANGE(""https://docs.google.com/spreadsheets/d/1GbCI"&amp;"E4D4wk9FUozzqk7SxfDMxDVBwVmI5zcaVUSzKAc/edit?usp=sharing"",""ประจวบคีรีขันธ์!N538"")+IMPORTRANGE(""https://docs.google.com/spreadsheets/d/1vVf6wykvW_lAyu7Yo9L4hUTqHqIeP_qcVuxCtosJEbg/edit?usp=sharing"",""ปราจีนบุรี!N538"")+IMPORTRANGE(""https://docs.googl"&amp;"e.com/spreadsheets/d/1BIDqLLg5jk3v59G8NlR8rk5xfQDKne0sAvZHSj7TI6I/edit?usp=sharing"",""พระนครศรีอยุธยา!N538"")+IMPORTRANGE(""https://docs.google.com/spreadsheets/d/1YXvxf8Yu6_rV4hTBrwMqAcAnv6DfhUxh5emyM3CJp_w/edit?usp=sharing"",""เพชรบุรี!N538"")+IMPORTRA"&amp;"NGE(""https://docs.google.com/spreadsheets/d/19KBlQQs7uwvsao6t2n-KvW3Ax8J8uRRfZPq1zPbXgKc/edit?usp=sharing"",""ระยอง!N538"")+IMPORTRANGE(""https://docs.google.com/spreadsheets/d/1jQ6P4QcrGM89YfqcC_PxOHGCMq5ezhucwJd8ci-NHng/edit?usp=sharing"",""ราชบุรี!N53"&amp;"8"")+IMPORTRANGE(""https://docs.google.com/spreadsheets/d/1lufeA2cfFqM-elVq2hznhDzC6Pr7wkJ9ZG_sYNGCMCU/edit?usp=sharing"",""ลพบุรี!N538"")+IMPORTRANGE(""https://docs.google.com/spreadsheets/d/10oOiF7loTyfsTkbd4MpaIm0HQ9SwB7IYHdIUvt-U1Uc/edit?usp=sharing"""&amp;",""สระแก้ว!N538"")+IMPORTRANGE(""https://docs.google.com/spreadsheets/d/1xmPlrr1QbdSIKvl1dWUl9K4PjAfSL9oeMr_37QVzcxc/edit?usp=sharing"",""สระบุรี!N538"")+IMPORTRANGE(""https://docs.google.com/spreadsheets/d/1j51vR6CYVGhABJpv6tkstgok82RLpXieLzW1yOY5rHw/edi"&amp;"t?usp=sharing"",""สิงห์บุรี!N538"")+IMPORTRANGE(""https://docs.google.com/spreadsheets/d/1H1EalTWKUSzO4Z1-1CwzoDUaVffgrThEBe2sl74kKG0/edit?usp=sharing"",""สุพรรณบุรี!N538"")+IMPORTRANGE(""https://docs.google.com/spreadsheets/d/1BmIruG_sIrJLYao_Pdr7zVArWsf"&amp;"oBt2692TMi6x_854/edit?usp=sharing"",""อ่างทอง!N538"")"),0)</f>
        <v>0</v>
      </c>
      <c r="O538" s="75">
        <f t="shared" ca="1" si="371"/>
        <v>0</v>
      </c>
      <c r="P538" s="75">
        <f t="shared" ca="1" si="372"/>
        <v>0</v>
      </c>
      <c r="Q538" s="74">
        <f ca="1">IFERROR(__xludf.DUMMYFUNCTION("IMPORTRANGE(""https://docs.google.com/spreadsheets/d/13wPX838HrBrQMCywv1BsuMkt4PEKTChp52zj44s2izQ/edit?usp=sharing"",""กาญจนบุรี!Q538"")+IMPORTRANGE(""https://docs.google.com/spreadsheets/d/1ddFKvqj1W1NEiWytbGlB1zMx_ykJDVtmfEQ-6-lIUBA/edit?usp=sharing"","&amp;"""จันทบุรี!Q538"")+IMPORTRANGE(""https://docs.google.com/spreadsheets/d/1T1PQvRODqOBZk8BRht_U031fIS1beLA0Ub2CEytj2q0/edit?usp=sharing"",""ฉะเชิงเทรา!Q538"")+IMPORTRANGE(""https://docs.google.com/spreadsheets/d/11tr1B-Bhyr79v2bkwVh5h_fR-PStkgjlZtkrZpYurG0/"&amp;"edit?usp=sharing"",""ชลบุรี!Q538"")+IMPORTRANGE(""https://docs.google.com/spreadsheets/d/1hh-FVnSX0vozXhGluamEcS54Dw9_zqW0N7qJUWgJ0Sw/edit?usp=sharing"",""ชัยนาท!Q538"")+IMPORTRANGE(""https://docs.google.com/spreadsheets/d/1jkqa6GXxSacMcY1eN8AHjMNJ_7dDXMJ"&amp;"VRLDlaFSOdPM/edit?usp=sharing"",""ตราด!Q538"")+IMPORTRANGE(""https://docs.google.com/spreadsheets/d/18hSgUJ3VwClqi_qtULmmW3cLr0oe3OKaSYoKzdpTsYQ/edit?usp=sharing"",""นครนายก!Q538"")+IMPORTRANGE(""https://docs.google.com/spreadsheets/d/1YTZo6WM2dQ6Ix6FSdnL"&amp;"5P7uVnVKu40sxZu975tgG10E/edit?usp=sharing"",""นครปฐม!Q538"")+IMPORTRANGE(""https://docs.google.com/spreadsheets/d/1OYoGg4WDg5RIzwGeB10padOxJF9E_Vljuvvct_M7RDo/edit?usp=sharing"",""ปทุมธานี!Q538"")+IMPORTRANGE(""https://docs.google.com/spreadsheets/d/1GbCI"&amp;"E4D4wk9FUozzqk7SxfDMxDVBwVmI5zcaVUSzKAc/edit?usp=sharing"",""ประจวบคีรีขันธ์!Q538"")+IMPORTRANGE(""https://docs.google.com/spreadsheets/d/1vVf6wykvW_lAyu7Yo9L4hUTqHqIeP_qcVuxCtosJEbg/edit?usp=sharing"",""ปราจีนบุรี!Q538"")+IMPORTRANGE(""https://docs.googl"&amp;"e.com/spreadsheets/d/1BIDqLLg5jk3v59G8NlR8rk5xfQDKne0sAvZHSj7TI6I/edit?usp=sharing"",""พระนครศรีอยุธยา!Q538"")+IMPORTRANGE(""https://docs.google.com/spreadsheets/d/1YXvxf8Yu6_rV4hTBrwMqAcAnv6DfhUxh5emyM3CJp_w/edit?usp=sharing"",""เพชรบุรี!Q538"")+IMPORTRA"&amp;"NGE(""https://docs.google.com/spreadsheets/d/19KBlQQs7uwvsao6t2n-KvW3Ax8J8uRRfZPq1zPbXgKc/edit?usp=sharing"",""ระยอง!Q538"")+IMPORTRANGE(""https://docs.google.com/spreadsheets/d/1jQ6P4QcrGM89YfqcC_PxOHGCMq5ezhucwJd8ci-NHng/edit?usp=sharing"",""ราชบุรี!Q53"&amp;"8"")+IMPORTRANGE(""https://docs.google.com/spreadsheets/d/1lufeA2cfFqM-elVq2hznhDzC6Pr7wkJ9ZG_sYNGCMCU/edit?usp=sharing"",""ลพบุรี!Q538"")+IMPORTRANGE(""https://docs.google.com/spreadsheets/d/10oOiF7loTyfsTkbd4MpaIm0HQ9SwB7IYHdIUvt-U1Uc/edit?usp=sharing"""&amp;",""สระแก้ว!Q538"")+IMPORTRANGE(""https://docs.google.com/spreadsheets/d/1xmPlrr1QbdSIKvl1dWUl9K4PjAfSL9oeMr_37QVzcxc/edit?usp=sharing"",""สระบุรี!Q538"")+IMPORTRANGE(""https://docs.google.com/spreadsheets/d/1j51vR6CYVGhABJpv6tkstgok82RLpXieLzW1yOY5rHw/edi"&amp;"t?usp=sharing"",""สิงห์บุรี!Q538"")+IMPORTRANGE(""https://docs.google.com/spreadsheets/d/1H1EalTWKUSzO4Z1-1CwzoDUaVffgrThEBe2sl74kKG0/edit?usp=sharing"",""สุพรรณบุรี!Q538"")+IMPORTRANGE(""https://docs.google.com/spreadsheets/d/1BmIruG_sIrJLYao_Pdr7zVArWsf"&amp;"oBt2692TMi6x_854/edit?usp=sharing"",""อ่างทอง!Q538"")"),0)</f>
        <v>0</v>
      </c>
      <c r="R538" s="75">
        <f ca="1">IFERROR(__xludf.DUMMYFUNCTION("IMPORTRANGE(""https://docs.google.com/spreadsheets/d/13wPX838HrBrQMCywv1BsuMkt4PEKTChp52zj44s2izQ/edit?usp=sharing"",""กาญจนบุรี!R538"")+IMPORTRANGE(""https://docs.google.com/spreadsheets/d/1ddFKvqj1W1NEiWytbGlB1zMx_ykJDVtmfEQ-6-lIUBA/edit?usp=sharing"","&amp;"""จันทบุรี!R538"")+IMPORTRANGE(""https://docs.google.com/spreadsheets/d/1T1PQvRODqOBZk8BRht_U031fIS1beLA0Ub2CEytj2q0/edit?usp=sharing"",""ฉะเชิงเทรา!R538"")+IMPORTRANGE(""https://docs.google.com/spreadsheets/d/11tr1B-Bhyr79v2bkwVh5h_fR-PStkgjlZtkrZpYurG0/"&amp;"edit?usp=sharing"",""ชลบุรี!R538"")+IMPORTRANGE(""https://docs.google.com/spreadsheets/d/1hh-FVnSX0vozXhGluamEcS54Dw9_zqW0N7qJUWgJ0Sw/edit?usp=sharing"",""ชัยนาท!R538"")+IMPORTRANGE(""https://docs.google.com/spreadsheets/d/1jkqa6GXxSacMcY1eN8AHjMNJ_7dDXMJ"&amp;"VRLDlaFSOdPM/edit?usp=sharing"",""ตราด!R538"")+IMPORTRANGE(""https://docs.google.com/spreadsheets/d/18hSgUJ3VwClqi_qtULmmW3cLr0oe3OKaSYoKzdpTsYQ/edit?usp=sharing"",""นครนายก!R538"")+IMPORTRANGE(""https://docs.google.com/spreadsheets/d/1YTZo6WM2dQ6Ix6FSdnL"&amp;"5P7uVnVKu40sxZu975tgG10E/edit?usp=sharing"",""นครปฐม!R538"")+IMPORTRANGE(""https://docs.google.com/spreadsheets/d/1OYoGg4WDg5RIzwGeB10padOxJF9E_Vljuvvct_M7RDo/edit?usp=sharing"",""ปทุมธานี!R538"")+IMPORTRANGE(""https://docs.google.com/spreadsheets/d/1GbCI"&amp;"E4D4wk9FUozzqk7SxfDMxDVBwVmI5zcaVUSzKAc/edit?usp=sharing"",""ประจวบคีรีขันธ์!R538"")+IMPORTRANGE(""https://docs.google.com/spreadsheets/d/1vVf6wykvW_lAyu7Yo9L4hUTqHqIeP_qcVuxCtosJEbg/edit?usp=sharing"",""ปราจีนบุรี!R538"")+IMPORTRANGE(""https://docs.googl"&amp;"e.com/spreadsheets/d/1BIDqLLg5jk3v59G8NlR8rk5xfQDKne0sAvZHSj7TI6I/edit?usp=sharing"",""พระนครศรีอยุธยา!R538"")+IMPORTRANGE(""https://docs.google.com/spreadsheets/d/1YXvxf8Yu6_rV4hTBrwMqAcAnv6DfhUxh5emyM3CJp_w/edit?usp=sharing"",""เพชรบุรี!R538"")+IMPORTRA"&amp;"NGE(""https://docs.google.com/spreadsheets/d/19KBlQQs7uwvsao6t2n-KvW3Ax8J8uRRfZPq1zPbXgKc/edit?usp=sharing"",""ระยอง!R538"")+IMPORTRANGE(""https://docs.google.com/spreadsheets/d/1jQ6P4QcrGM89YfqcC_PxOHGCMq5ezhucwJd8ci-NHng/edit?usp=sharing"",""ราชบุรี!R53"&amp;"8"")+IMPORTRANGE(""https://docs.google.com/spreadsheets/d/1lufeA2cfFqM-elVq2hznhDzC6Pr7wkJ9ZG_sYNGCMCU/edit?usp=sharing"",""ลพบุรี!R538"")+IMPORTRANGE(""https://docs.google.com/spreadsheets/d/10oOiF7loTyfsTkbd4MpaIm0HQ9SwB7IYHdIUvt-U1Uc/edit?usp=sharing"""&amp;",""สระแก้ว!R538"")+IMPORTRANGE(""https://docs.google.com/spreadsheets/d/1xmPlrr1QbdSIKvl1dWUl9K4PjAfSL9oeMr_37QVzcxc/edit?usp=sharing"",""สระบุรี!R538"")+IMPORTRANGE(""https://docs.google.com/spreadsheets/d/1j51vR6CYVGhABJpv6tkstgok82RLpXieLzW1yOY5rHw/edi"&amp;"t?usp=sharing"",""สิงห์บุรี!R538"")+IMPORTRANGE(""https://docs.google.com/spreadsheets/d/1H1EalTWKUSzO4Z1-1CwzoDUaVffgrThEBe2sl74kKG0/edit?usp=sharing"",""สุพรรณบุรี!R538"")+IMPORTRANGE(""https://docs.google.com/spreadsheets/d/1BmIruG_sIrJLYao_Pdr7zVArWsf"&amp;"oBt2692TMi6x_854/edit?usp=sharing"",""อ่างทอง!R538"")"),0)</f>
        <v>0</v>
      </c>
      <c r="S538" s="75">
        <f ca="1">IFERROR(__xludf.DUMMYFUNCTION("IMPORTRANGE(""https://docs.google.com/spreadsheets/d/13wPX838HrBrQMCywv1BsuMkt4PEKTChp52zj44s2izQ/edit?usp=sharing"",""กาญจนบุรี!S538"")+IMPORTRANGE(""https://docs.google.com/spreadsheets/d/1ddFKvqj1W1NEiWytbGlB1zMx_ykJDVtmfEQ-6-lIUBA/edit?usp=sharing"","&amp;"""จันทบุรี!S538"")+IMPORTRANGE(""https://docs.google.com/spreadsheets/d/1T1PQvRODqOBZk8BRht_U031fIS1beLA0Ub2CEytj2q0/edit?usp=sharing"",""ฉะเชิงเทรา!S538"")+IMPORTRANGE(""https://docs.google.com/spreadsheets/d/11tr1B-Bhyr79v2bkwVh5h_fR-PStkgjlZtkrZpYurG0/"&amp;"edit?usp=sharing"",""ชลบุรี!S538"")+IMPORTRANGE(""https://docs.google.com/spreadsheets/d/1hh-FVnSX0vozXhGluamEcS54Dw9_zqW0N7qJUWgJ0Sw/edit?usp=sharing"",""ชัยนาท!S538"")+IMPORTRANGE(""https://docs.google.com/spreadsheets/d/1jkqa6GXxSacMcY1eN8AHjMNJ_7dDXMJ"&amp;"VRLDlaFSOdPM/edit?usp=sharing"",""ตราด!S538"")+IMPORTRANGE(""https://docs.google.com/spreadsheets/d/18hSgUJ3VwClqi_qtULmmW3cLr0oe3OKaSYoKzdpTsYQ/edit?usp=sharing"",""นครนายก!S538"")+IMPORTRANGE(""https://docs.google.com/spreadsheets/d/1YTZo6WM2dQ6Ix6FSdnL"&amp;"5P7uVnVKu40sxZu975tgG10E/edit?usp=sharing"",""นครปฐม!S538"")+IMPORTRANGE(""https://docs.google.com/spreadsheets/d/1OYoGg4WDg5RIzwGeB10padOxJF9E_Vljuvvct_M7RDo/edit?usp=sharing"",""ปทุมธานี!S538"")+IMPORTRANGE(""https://docs.google.com/spreadsheets/d/1GbCI"&amp;"E4D4wk9FUozzqk7SxfDMxDVBwVmI5zcaVUSzKAc/edit?usp=sharing"",""ประจวบคีรีขันธ์!S538"")+IMPORTRANGE(""https://docs.google.com/spreadsheets/d/1vVf6wykvW_lAyu7Yo9L4hUTqHqIeP_qcVuxCtosJEbg/edit?usp=sharing"",""ปราจีนบุรี!S538"")+IMPORTRANGE(""https://docs.googl"&amp;"e.com/spreadsheets/d/1BIDqLLg5jk3v59G8NlR8rk5xfQDKne0sAvZHSj7TI6I/edit?usp=sharing"",""พระนครศรีอยุธยา!S538"")+IMPORTRANGE(""https://docs.google.com/spreadsheets/d/1YXvxf8Yu6_rV4hTBrwMqAcAnv6DfhUxh5emyM3CJp_w/edit?usp=sharing"",""เพชรบุรี!S538"")+IMPORTRA"&amp;"NGE(""https://docs.google.com/spreadsheets/d/19KBlQQs7uwvsao6t2n-KvW3Ax8J8uRRfZPq1zPbXgKc/edit?usp=sharing"",""ระยอง!S538"")+IMPORTRANGE(""https://docs.google.com/spreadsheets/d/1jQ6P4QcrGM89YfqcC_PxOHGCMq5ezhucwJd8ci-NHng/edit?usp=sharing"",""ราชบุรี!S53"&amp;"8"")+IMPORTRANGE(""https://docs.google.com/spreadsheets/d/1lufeA2cfFqM-elVq2hznhDzC6Pr7wkJ9ZG_sYNGCMCU/edit?usp=sharing"",""ลพบุรี!S538"")+IMPORTRANGE(""https://docs.google.com/spreadsheets/d/10oOiF7loTyfsTkbd4MpaIm0HQ9SwB7IYHdIUvt-U1Uc/edit?usp=sharing"""&amp;",""สระแก้ว!S538"")+IMPORTRANGE(""https://docs.google.com/spreadsheets/d/1xmPlrr1QbdSIKvl1dWUl9K4PjAfSL9oeMr_37QVzcxc/edit?usp=sharing"",""สระบุรี!S538"")+IMPORTRANGE(""https://docs.google.com/spreadsheets/d/1j51vR6CYVGhABJpv6tkstgok82RLpXieLzW1yOY5rHw/edi"&amp;"t?usp=sharing"",""สิงห์บุรี!S538"")+IMPORTRANGE(""https://docs.google.com/spreadsheets/d/1H1EalTWKUSzO4Z1-1CwzoDUaVffgrThEBe2sl74kKG0/edit?usp=sharing"",""สุพรรณบุรี!S538"")+IMPORTRANGE(""https://docs.google.com/spreadsheets/d/1BmIruG_sIrJLYao_Pdr7zVArWsf"&amp;"oBt2692TMi6x_854/edit?usp=sharing"",""อ่างทอง!S538"")"),0)</f>
        <v>0</v>
      </c>
      <c r="T538" s="131">
        <f t="shared" ca="1" si="374"/>
        <v>0</v>
      </c>
      <c r="U538" s="131">
        <f t="shared" ca="1" si="375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13wPX838HrBrQMCywv1BsuMkt4PEKTChp52zj44s2izQ/edit?usp=sharing"",""กาญจนบุรี!L539"")+IMPORTRANGE(""https://docs.google.com/spreadsheets/d/1ddFKvqj1W1NEiWytbGlB1zMx_ykJDVtmfEQ-6-lIUBA/edit?usp=sharing"","&amp;"""จันทบุรี!L539"")+IMPORTRANGE(""https://docs.google.com/spreadsheets/d/1T1PQvRODqOBZk8BRht_U031fIS1beLA0Ub2CEytj2q0/edit?usp=sharing"",""ฉะเชิงเทรา!L539"")+IMPORTRANGE(""https://docs.google.com/spreadsheets/d/11tr1B-Bhyr79v2bkwVh5h_fR-PStkgjlZtkrZpYurG0/"&amp;"edit?usp=sharing"",""ชลบุรี!L539"")+IMPORTRANGE(""https://docs.google.com/spreadsheets/d/1hh-FVnSX0vozXhGluamEcS54Dw9_zqW0N7qJUWgJ0Sw/edit?usp=sharing"",""ชัยนาท!L539"")+IMPORTRANGE(""https://docs.google.com/spreadsheets/d/1jkqa6GXxSacMcY1eN8AHjMNJ_7dDXMJ"&amp;"VRLDlaFSOdPM/edit?usp=sharing"",""ตราด!L539"")+IMPORTRANGE(""https://docs.google.com/spreadsheets/d/18hSgUJ3VwClqi_qtULmmW3cLr0oe3OKaSYoKzdpTsYQ/edit?usp=sharing"",""นครนายก!L539"")+IMPORTRANGE(""https://docs.google.com/spreadsheets/d/1YTZo6WM2dQ6Ix6FSdnL"&amp;"5P7uVnVKu40sxZu975tgG10E/edit?usp=sharing"",""นครปฐม!L539"")+IMPORTRANGE(""https://docs.google.com/spreadsheets/d/1OYoGg4WDg5RIzwGeB10padOxJF9E_Vljuvvct_M7RDo/edit?usp=sharing"",""ปทุมธานี!L539"")+IMPORTRANGE(""https://docs.google.com/spreadsheets/d/1GbCI"&amp;"E4D4wk9FUozzqk7SxfDMxDVBwVmI5zcaVUSzKAc/edit?usp=sharing"",""ประจวบคีรีขันธ์!L539"")+IMPORTRANGE(""https://docs.google.com/spreadsheets/d/1vVf6wykvW_lAyu7Yo9L4hUTqHqIeP_qcVuxCtosJEbg/edit?usp=sharing"",""ปราจีนบุรี!L539"")+IMPORTRANGE(""https://docs.googl"&amp;"e.com/spreadsheets/d/1BIDqLLg5jk3v59G8NlR8rk5xfQDKne0sAvZHSj7TI6I/edit?usp=sharing"",""พระนครศรีอยุธยา!L539"")+IMPORTRANGE(""https://docs.google.com/spreadsheets/d/1YXvxf8Yu6_rV4hTBrwMqAcAnv6DfhUxh5emyM3CJp_w/edit?usp=sharing"",""เพชรบุรี!L539"")+IMPORTRA"&amp;"NGE(""https://docs.google.com/spreadsheets/d/19KBlQQs7uwvsao6t2n-KvW3Ax8J8uRRfZPq1zPbXgKc/edit?usp=sharing"",""ระยอง!L539"")+IMPORTRANGE(""https://docs.google.com/spreadsheets/d/1jQ6P4QcrGM89YfqcC_PxOHGCMq5ezhucwJd8ci-NHng/edit?usp=sharing"",""ราชบุรี!L53"&amp;"9"")+IMPORTRANGE(""https://docs.google.com/spreadsheets/d/1lufeA2cfFqM-elVq2hznhDzC6Pr7wkJ9ZG_sYNGCMCU/edit?usp=sharing"",""ลพบุรี!L539"")+IMPORTRANGE(""https://docs.google.com/spreadsheets/d/10oOiF7loTyfsTkbd4MpaIm0HQ9SwB7IYHdIUvt-U1Uc/edit?usp=sharing"""&amp;",""สระแก้ว!L539"")+IMPORTRANGE(""https://docs.google.com/spreadsheets/d/1xmPlrr1QbdSIKvl1dWUl9K4PjAfSL9oeMr_37QVzcxc/edit?usp=sharing"",""สระบุรี!L539"")+IMPORTRANGE(""https://docs.google.com/spreadsheets/d/1j51vR6CYVGhABJpv6tkstgok82RLpXieLzW1yOY5rHw/edi"&amp;"t?usp=sharing"",""สิงห์บุรี!L539"")+IMPORTRANGE(""https://docs.google.com/spreadsheets/d/1H1EalTWKUSzO4Z1-1CwzoDUaVffgrThEBe2sl74kKG0/edit?usp=sharing"",""สุพรรณบุรี!L539"")+IMPORTRANGE(""https://docs.google.com/spreadsheets/d/1BmIruG_sIrJLYao_Pdr7zVArWsf"&amp;"oBt2692TMi6x_854/edit?usp=sharing"",""อ่างทอง!L539"")"),0)</f>
        <v>0</v>
      </c>
      <c r="M539" s="72">
        <f ca="1">IFERROR(__xludf.DUMMYFUNCTION("IMPORTRANGE(""https://docs.google.com/spreadsheets/d/13wPX838HrBrQMCywv1BsuMkt4PEKTChp52zj44s2izQ/edit?usp=sharing"",""กาญจนบุรี!M539"")+IMPORTRANGE(""https://docs.google.com/spreadsheets/d/1ddFKvqj1W1NEiWytbGlB1zMx_ykJDVtmfEQ-6-lIUBA/edit?usp=sharing"","&amp;"""จันทบุรี!M539"")+IMPORTRANGE(""https://docs.google.com/spreadsheets/d/1T1PQvRODqOBZk8BRht_U031fIS1beLA0Ub2CEytj2q0/edit?usp=sharing"",""ฉะเชิงเทรา!M539"")+IMPORTRANGE(""https://docs.google.com/spreadsheets/d/11tr1B-Bhyr79v2bkwVh5h_fR-PStkgjlZtkrZpYurG0/"&amp;"edit?usp=sharing"",""ชลบุรี!M539"")+IMPORTRANGE(""https://docs.google.com/spreadsheets/d/1hh-FVnSX0vozXhGluamEcS54Dw9_zqW0N7qJUWgJ0Sw/edit?usp=sharing"",""ชัยนาท!M539"")+IMPORTRANGE(""https://docs.google.com/spreadsheets/d/1jkqa6GXxSacMcY1eN8AHjMNJ_7dDXMJ"&amp;"VRLDlaFSOdPM/edit?usp=sharing"",""ตราด!M539"")+IMPORTRANGE(""https://docs.google.com/spreadsheets/d/18hSgUJ3VwClqi_qtULmmW3cLr0oe3OKaSYoKzdpTsYQ/edit?usp=sharing"",""นครนายก!M539"")+IMPORTRANGE(""https://docs.google.com/spreadsheets/d/1YTZo6WM2dQ6Ix6FSdnL"&amp;"5P7uVnVKu40sxZu975tgG10E/edit?usp=sharing"",""นครปฐม!M539"")+IMPORTRANGE(""https://docs.google.com/spreadsheets/d/1OYoGg4WDg5RIzwGeB10padOxJF9E_Vljuvvct_M7RDo/edit?usp=sharing"",""ปทุมธานี!M539"")+IMPORTRANGE(""https://docs.google.com/spreadsheets/d/1GbCI"&amp;"E4D4wk9FUozzqk7SxfDMxDVBwVmI5zcaVUSzKAc/edit?usp=sharing"",""ประจวบคีรีขันธ์!M539"")+IMPORTRANGE(""https://docs.google.com/spreadsheets/d/1vVf6wykvW_lAyu7Yo9L4hUTqHqIeP_qcVuxCtosJEbg/edit?usp=sharing"",""ปราจีนบุรี!M539"")+IMPORTRANGE(""https://docs.googl"&amp;"e.com/spreadsheets/d/1BIDqLLg5jk3v59G8NlR8rk5xfQDKne0sAvZHSj7TI6I/edit?usp=sharing"",""พระนครศรีอยุธยา!M539"")+IMPORTRANGE(""https://docs.google.com/spreadsheets/d/1YXvxf8Yu6_rV4hTBrwMqAcAnv6DfhUxh5emyM3CJp_w/edit?usp=sharing"",""เพชรบุรี!M539"")+IMPORTRA"&amp;"NGE(""https://docs.google.com/spreadsheets/d/19KBlQQs7uwvsao6t2n-KvW3Ax8J8uRRfZPq1zPbXgKc/edit?usp=sharing"",""ระยอง!M539"")+IMPORTRANGE(""https://docs.google.com/spreadsheets/d/1jQ6P4QcrGM89YfqcC_PxOHGCMq5ezhucwJd8ci-NHng/edit?usp=sharing"",""ราชบุรี!M53"&amp;"9"")+IMPORTRANGE(""https://docs.google.com/spreadsheets/d/1lufeA2cfFqM-elVq2hznhDzC6Pr7wkJ9ZG_sYNGCMCU/edit?usp=sharing"",""ลพบุรี!M539"")+IMPORTRANGE(""https://docs.google.com/spreadsheets/d/10oOiF7loTyfsTkbd4MpaIm0HQ9SwB7IYHdIUvt-U1Uc/edit?usp=sharing"""&amp;",""สระแก้ว!M539"")+IMPORTRANGE(""https://docs.google.com/spreadsheets/d/1xmPlrr1QbdSIKvl1dWUl9K4PjAfSL9oeMr_37QVzcxc/edit?usp=sharing"",""สระบุรี!M539"")+IMPORTRANGE(""https://docs.google.com/spreadsheets/d/1j51vR6CYVGhABJpv6tkstgok82RLpXieLzW1yOY5rHw/edi"&amp;"t?usp=sharing"",""สิงห์บุรี!M539"")+IMPORTRANGE(""https://docs.google.com/spreadsheets/d/1H1EalTWKUSzO4Z1-1CwzoDUaVffgrThEBe2sl74kKG0/edit?usp=sharing"",""สุพรรณบุรี!M539"")+IMPORTRANGE(""https://docs.google.com/spreadsheets/d/1BmIruG_sIrJLYao_Pdr7zVArWsf"&amp;"oBt2692TMi6x_854/edit?usp=sharing"",""อ่างทอง!M539"")"),0)</f>
        <v>0</v>
      </c>
      <c r="N539" s="72">
        <f ca="1">IFERROR(__xludf.DUMMYFUNCTION("IMPORTRANGE(""https://docs.google.com/spreadsheets/d/13wPX838HrBrQMCywv1BsuMkt4PEKTChp52zj44s2izQ/edit?usp=sharing"",""กาญจนบุรี!N539"")+IMPORTRANGE(""https://docs.google.com/spreadsheets/d/1ddFKvqj1W1NEiWytbGlB1zMx_ykJDVtmfEQ-6-lIUBA/edit?usp=sharing"","&amp;"""จันทบุรี!N539"")+IMPORTRANGE(""https://docs.google.com/spreadsheets/d/1T1PQvRODqOBZk8BRht_U031fIS1beLA0Ub2CEytj2q0/edit?usp=sharing"",""ฉะเชิงเทรา!N539"")+IMPORTRANGE(""https://docs.google.com/spreadsheets/d/11tr1B-Bhyr79v2bkwVh5h_fR-PStkgjlZtkrZpYurG0/"&amp;"edit?usp=sharing"",""ชลบุรี!N539"")+IMPORTRANGE(""https://docs.google.com/spreadsheets/d/1hh-FVnSX0vozXhGluamEcS54Dw9_zqW0N7qJUWgJ0Sw/edit?usp=sharing"",""ชัยนาท!N539"")+IMPORTRANGE(""https://docs.google.com/spreadsheets/d/1jkqa6GXxSacMcY1eN8AHjMNJ_7dDXMJ"&amp;"VRLDlaFSOdPM/edit?usp=sharing"",""ตราด!N539"")+IMPORTRANGE(""https://docs.google.com/spreadsheets/d/18hSgUJ3VwClqi_qtULmmW3cLr0oe3OKaSYoKzdpTsYQ/edit?usp=sharing"",""นครนายก!N539"")+IMPORTRANGE(""https://docs.google.com/spreadsheets/d/1YTZo6WM2dQ6Ix6FSdnL"&amp;"5P7uVnVKu40sxZu975tgG10E/edit?usp=sharing"",""นครปฐม!N539"")+IMPORTRANGE(""https://docs.google.com/spreadsheets/d/1OYoGg4WDg5RIzwGeB10padOxJF9E_Vljuvvct_M7RDo/edit?usp=sharing"",""ปทุมธานี!N539"")+IMPORTRANGE(""https://docs.google.com/spreadsheets/d/1GbCI"&amp;"E4D4wk9FUozzqk7SxfDMxDVBwVmI5zcaVUSzKAc/edit?usp=sharing"",""ประจวบคีรีขันธ์!N539"")+IMPORTRANGE(""https://docs.google.com/spreadsheets/d/1vVf6wykvW_lAyu7Yo9L4hUTqHqIeP_qcVuxCtosJEbg/edit?usp=sharing"",""ปราจีนบุรี!N539"")+IMPORTRANGE(""https://docs.googl"&amp;"e.com/spreadsheets/d/1BIDqLLg5jk3v59G8NlR8rk5xfQDKne0sAvZHSj7TI6I/edit?usp=sharing"",""พระนครศรีอยุธยา!N539"")+IMPORTRANGE(""https://docs.google.com/spreadsheets/d/1YXvxf8Yu6_rV4hTBrwMqAcAnv6DfhUxh5emyM3CJp_w/edit?usp=sharing"",""เพชรบุรี!N539"")+IMPORTRA"&amp;"NGE(""https://docs.google.com/spreadsheets/d/19KBlQQs7uwvsao6t2n-KvW3Ax8J8uRRfZPq1zPbXgKc/edit?usp=sharing"",""ระยอง!N539"")+IMPORTRANGE(""https://docs.google.com/spreadsheets/d/1jQ6P4QcrGM89YfqcC_PxOHGCMq5ezhucwJd8ci-NHng/edit?usp=sharing"",""ราชบุรี!N53"&amp;"9"")+IMPORTRANGE(""https://docs.google.com/spreadsheets/d/1lufeA2cfFqM-elVq2hznhDzC6Pr7wkJ9ZG_sYNGCMCU/edit?usp=sharing"",""ลพบุรี!N539"")+IMPORTRANGE(""https://docs.google.com/spreadsheets/d/10oOiF7loTyfsTkbd4MpaIm0HQ9SwB7IYHdIUvt-U1Uc/edit?usp=sharing"""&amp;",""สระแก้ว!N539"")+IMPORTRANGE(""https://docs.google.com/spreadsheets/d/1xmPlrr1QbdSIKvl1dWUl9K4PjAfSL9oeMr_37QVzcxc/edit?usp=sharing"",""สระบุรี!N539"")+IMPORTRANGE(""https://docs.google.com/spreadsheets/d/1j51vR6CYVGhABJpv6tkstgok82RLpXieLzW1yOY5rHw/edi"&amp;"t?usp=sharing"",""สิงห์บุรี!N539"")+IMPORTRANGE(""https://docs.google.com/spreadsheets/d/1H1EalTWKUSzO4Z1-1CwzoDUaVffgrThEBe2sl74kKG0/edit?usp=sharing"",""สุพรรณบุรี!N539"")+IMPORTRANGE(""https://docs.google.com/spreadsheets/d/1BmIruG_sIrJLYao_Pdr7zVArWsf"&amp;"oBt2692TMi6x_854/edit?usp=sharing"",""อ่างทอง!N539"")"),0)</f>
        <v>0</v>
      </c>
      <c r="O539" s="72">
        <f t="shared" ca="1" si="371"/>
        <v>0</v>
      </c>
      <c r="P539" s="72">
        <f t="shared" ca="1" si="372"/>
        <v>0</v>
      </c>
      <c r="Q539" s="71">
        <f ca="1">IFERROR(__xludf.DUMMYFUNCTION("IMPORTRANGE(""https://docs.google.com/spreadsheets/d/13wPX838HrBrQMCywv1BsuMkt4PEKTChp52zj44s2izQ/edit?usp=sharing"",""กาญจนบุรี!Q539"")+IMPORTRANGE(""https://docs.google.com/spreadsheets/d/1ddFKvqj1W1NEiWytbGlB1zMx_ykJDVtmfEQ-6-lIUBA/edit?usp=sharing"","&amp;"""จันทบุรี!Q539"")+IMPORTRANGE(""https://docs.google.com/spreadsheets/d/1T1PQvRODqOBZk8BRht_U031fIS1beLA0Ub2CEytj2q0/edit?usp=sharing"",""ฉะเชิงเทรา!Q539"")+IMPORTRANGE(""https://docs.google.com/spreadsheets/d/11tr1B-Bhyr79v2bkwVh5h_fR-PStkgjlZtkrZpYurG0/"&amp;"edit?usp=sharing"",""ชลบุรี!Q539"")+IMPORTRANGE(""https://docs.google.com/spreadsheets/d/1hh-FVnSX0vozXhGluamEcS54Dw9_zqW0N7qJUWgJ0Sw/edit?usp=sharing"",""ชัยนาท!Q539"")+IMPORTRANGE(""https://docs.google.com/spreadsheets/d/1jkqa6GXxSacMcY1eN8AHjMNJ_7dDXMJ"&amp;"VRLDlaFSOdPM/edit?usp=sharing"",""ตราด!Q539"")+IMPORTRANGE(""https://docs.google.com/spreadsheets/d/18hSgUJ3VwClqi_qtULmmW3cLr0oe3OKaSYoKzdpTsYQ/edit?usp=sharing"",""นครนายก!Q539"")+IMPORTRANGE(""https://docs.google.com/spreadsheets/d/1YTZo6WM2dQ6Ix6FSdnL"&amp;"5P7uVnVKu40sxZu975tgG10E/edit?usp=sharing"",""นครปฐม!Q539"")+IMPORTRANGE(""https://docs.google.com/spreadsheets/d/1OYoGg4WDg5RIzwGeB10padOxJF9E_Vljuvvct_M7RDo/edit?usp=sharing"",""ปทุมธานี!Q539"")+IMPORTRANGE(""https://docs.google.com/spreadsheets/d/1GbCI"&amp;"E4D4wk9FUozzqk7SxfDMxDVBwVmI5zcaVUSzKAc/edit?usp=sharing"",""ประจวบคีรีขันธ์!Q539"")+IMPORTRANGE(""https://docs.google.com/spreadsheets/d/1vVf6wykvW_lAyu7Yo9L4hUTqHqIeP_qcVuxCtosJEbg/edit?usp=sharing"",""ปราจีนบุรี!Q539"")+IMPORTRANGE(""https://docs.googl"&amp;"e.com/spreadsheets/d/1BIDqLLg5jk3v59G8NlR8rk5xfQDKne0sAvZHSj7TI6I/edit?usp=sharing"",""พระนครศรีอยุธยา!Q539"")+IMPORTRANGE(""https://docs.google.com/spreadsheets/d/1YXvxf8Yu6_rV4hTBrwMqAcAnv6DfhUxh5emyM3CJp_w/edit?usp=sharing"",""เพชรบุรี!Q539"")+IMPORTRA"&amp;"NGE(""https://docs.google.com/spreadsheets/d/19KBlQQs7uwvsao6t2n-KvW3Ax8J8uRRfZPq1zPbXgKc/edit?usp=sharing"",""ระยอง!Q539"")+IMPORTRANGE(""https://docs.google.com/spreadsheets/d/1jQ6P4QcrGM89YfqcC_PxOHGCMq5ezhucwJd8ci-NHng/edit?usp=sharing"",""ราชบุรี!Q53"&amp;"9"")+IMPORTRANGE(""https://docs.google.com/spreadsheets/d/1lufeA2cfFqM-elVq2hznhDzC6Pr7wkJ9ZG_sYNGCMCU/edit?usp=sharing"",""ลพบุรี!Q539"")+IMPORTRANGE(""https://docs.google.com/spreadsheets/d/10oOiF7loTyfsTkbd4MpaIm0HQ9SwB7IYHdIUvt-U1Uc/edit?usp=sharing"""&amp;",""สระแก้ว!Q539"")+IMPORTRANGE(""https://docs.google.com/spreadsheets/d/1xmPlrr1QbdSIKvl1dWUl9K4PjAfSL9oeMr_37QVzcxc/edit?usp=sharing"",""สระบุรี!Q539"")+IMPORTRANGE(""https://docs.google.com/spreadsheets/d/1j51vR6CYVGhABJpv6tkstgok82RLpXieLzW1yOY5rHw/edi"&amp;"t?usp=sharing"",""สิงห์บุรี!Q539"")+IMPORTRANGE(""https://docs.google.com/spreadsheets/d/1H1EalTWKUSzO4Z1-1CwzoDUaVffgrThEBe2sl74kKG0/edit?usp=sharing"",""สุพรรณบุรี!Q539"")+IMPORTRANGE(""https://docs.google.com/spreadsheets/d/1BmIruG_sIrJLYao_Pdr7zVArWsf"&amp;"oBt2692TMi6x_854/edit?usp=sharing"",""อ่างทอง!Q539"")"),0)</f>
        <v>0</v>
      </c>
      <c r="R539" s="72">
        <f ca="1">IFERROR(__xludf.DUMMYFUNCTION("IMPORTRANGE(""https://docs.google.com/spreadsheets/d/13wPX838HrBrQMCywv1BsuMkt4PEKTChp52zj44s2izQ/edit?usp=sharing"",""กาญจนบุรี!R539"")+IMPORTRANGE(""https://docs.google.com/spreadsheets/d/1ddFKvqj1W1NEiWytbGlB1zMx_ykJDVtmfEQ-6-lIUBA/edit?usp=sharing"","&amp;"""จันทบุรี!R539"")+IMPORTRANGE(""https://docs.google.com/spreadsheets/d/1T1PQvRODqOBZk8BRht_U031fIS1beLA0Ub2CEytj2q0/edit?usp=sharing"",""ฉะเชิงเทรา!R539"")+IMPORTRANGE(""https://docs.google.com/spreadsheets/d/11tr1B-Bhyr79v2bkwVh5h_fR-PStkgjlZtkrZpYurG0/"&amp;"edit?usp=sharing"",""ชลบุรี!R539"")+IMPORTRANGE(""https://docs.google.com/spreadsheets/d/1hh-FVnSX0vozXhGluamEcS54Dw9_zqW0N7qJUWgJ0Sw/edit?usp=sharing"",""ชัยนาท!R539"")+IMPORTRANGE(""https://docs.google.com/spreadsheets/d/1jkqa6GXxSacMcY1eN8AHjMNJ_7dDXMJ"&amp;"VRLDlaFSOdPM/edit?usp=sharing"",""ตราด!R539"")+IMPORTRANGE(""https://docs.google.com/spreadsheets/d/18hSgUJ3VwClqi_qtULmmW3cLr0oe3OKaSYoKzdpTsYQ/edit?usp=sharing"",""นครนายก!R539"")+IMPORTRANGE(""https://docs.google.com/spreadsheets/d/1YTZo6WM2dQ6Ix6FSdnL"&amp;"5P7uVnVKu40sxZu975tgG10E/edit?usp=sharing"",""นครปฐม!R539"")+IMPORTRANGE(""https://docs.google.com/spreadsheets/d/1OYoGg4WDg5RIzwGeB10padOxJF9E_Vljuvvct_M7RDo/edit?usp=sharing"",""ปทุมธานี!R539"")+IMPORTRANGE(""https://docs.google.com/spreadsheets/d/1GbCI"&amp;"E4D4wk9FUozzqk7SxfDMxDVBwVmI5zcaVUSzKAc/edit?usp=sharing"",""ประจวบคีรีขันธ์!R539"")+IMPORTRANGE(""https://docs.google.com/spreadsheets/d/1vVf6wykvW_lAyu7Yo9L4hUTqHqIeP_qcVuxCtosJEbg/edit?usp=sharing"",""ปราจีนบุรี!R539"")+IMPORTRANGE(""https://docs.googl"&amp;"e.com/spreadsheets/d/1BIDqLLg5jk3v59G8NlR8rk5xfQDKne0sAvZHSj7TI6I/edit?usp=sharing"",""พระนครศรีอยุธยา!R539"")+IMPORTRANGE(""https://docs.google.com/spreadsheets/d/1YXvxf8Yu6_rV4hTBrwMqAcAnv6DfhUxh5emyM3CJp_w/edit?usp=sharing"",""เพชรบุรี!R539"")+IMPORTRA"&amp;"NGE(""https://docs.google.com/spreadsheets/d/19KBlQQs7uwvsao6t2n-KvW3Ax8J8uRRfZPq1zPbXgKc/edit?usp=sharing"",""ระยอง!R539"")+IMPORTRANGE(""https://docs.google.com/spreadsheets/d/1jQ6P4QcrGM89YfqcC_PxOHGCMq5ezhucwJd8ci-NHng/edit?usp=sharing"",""ราชบุรี!R53"&amp;"9"")+IMPORTRANGE(""https://docs.google.com/spreadsheets/d/1lufeA2cfFqM-elVq2hznhDzC6Pr7wkJ9ZG_sYNGCMCU/edit?usp=sharing"",""ลพบุรี!R539"")+IMPORTRANGE(""https://docs.google.com/spreadsheets/d/10oOiF7loTyfsTkbd4MpaIm0HQ9SwB7IYHdIUvt-U1Uc/edit?usp=sharing"""&amp;",""สระแก้ว!R539"")+IMPORTRANGE(""https://docs.google.com/spreadsheets/d/1xmPlrr1QbdSIKvl1dWUl9K4PjAfSL9oeMr_37QVzcxc/edit?usp=sharing"",""สระบุรี!R539"")+IMPORTRANGE(""https://docs.google.com/spreadsheets/d/1j51vR6CYVGhABJpv6tkstgok82RLpXieLzW1yOY5rHw/edi"&amp;"t?usp=sharing"",""สิงห์บุรี!R539"")+IMPORTRANGE(""https://docs.google.com/spreadsheets/d/1H1EalTWKUSzO4Z1-1CwzoDUaVffgrThEBe2sl74kKG0/edit?usp=sharing"",""สุพรรณบุรี!R539"")+IMPORTRANGE(""https://docs.google.com/spreadsheets/d/1BmIruG_sIrJLYao_Pdr7zVArWsf"&amp;"oBt2692TMi6x_854/edit?usp=sharing"",""อ่างทอง!R539"")"),0)</f>
        <v>0</v>
      </c>
      <c r="S539" s="72">
        <f ca="1">IFERROR(__xludf.DUMMYFUNCTION("IMPORTRANGE(""https://docs.google.com/spreadsheets/d/13wPX838HrBrQMCywv1BsuMkt4PEKTChp52zj44s2izQ/edit?usp=sharing"",""กาญจนบุรี!S539"")+IMPORTRANGE(""https://docs.google.com/spreadsheets/d/1ddFKvqj1W1NEiWytbGlB1zMx_ykJDVtmfEQ-6-lIUBA/edit?usp=sharing"","&amp;"""จันทบุรี!S539"")+IMPORTRANGE(""https://docs.google.com/spreadsheets/d/1T1PQvRODqOBZk8BRht_U031fIS1beLA0Ub2CEytj2q0/edit?usp=sharing"",""ฉะเชิงเทรา!S539"")+IMPORTRANGE(""https://docs.google.com/spreadsheets/d/11tr1B-Bhyr79v2bkwVh5h_fR-PStkgjlZtkrZpYurG0/"&amp;"edit?usp=sharing"",""ชลบุรี!S539"")+IMPORTRANGE(""https://docs.google.com/spreadsheets/d/1hh-FVnSX0vozXhGluamEcS54Dw9_zqW0N7qJUWgJ0Sw/edit?usp=sharing"",""ชัยนาท!S539"")+IMPORTRANGE(""https://docs.google.com/spreadsheets/d/1jkqa6GXxSacMcY1eN8AHjMNJ_7dDXMJ"&amp;"VRLDlaFSOdPM/edit?usp=sharing"",""ตราด!S539"")+IMPORTRANGE(""https://docs.google.com/spreadsheets/d/18hSgUJ3VwClqi_qtULmmW3cLr0oe3OKaSYoKzdpTsYQ/edit?usp=sharing"",""นครนายก!S539"")+IMPORTRANGE(""https://docs.google.com/spreadsheets/d/1YTZo6WM2dQ6Ix6FSdnL"&amp;"5P7uVnVKu40sxZu975tgG10E/edit?usp=sharing"",""นครปฐม!S539"")+IMPORTRANGE(""https://docs.google.com/spreadsheets/d/1OYoGg4WDg5RIzwGeB10padOxJF9E_Vljuvvct_M7RDo/edit?usp=sharing"",""ปทุมธานี!S539"")+IMPORTRANGE(""https://docs.google.com/spreadsheets/d/1GbCI"&amp;"E4D4wk9FUozzqk7SxfDMxDVBwVmI5zcaVUSzKAc/edit?usp=sharing"",""ประจวบคีรีขันธ์!S539"")+IMPORTRANGE(""https://docs.google.com/spreadsheets/d/1vVf6wykvW_lAyu7Yo9L4hUTqHqIeP_qcVuxCtosJEbg/edit?usp=sharing"",""ปราจีนบุรี!S539"")+IMPORTRANGE(""https://docs.googl"&amp;"e.com/spreadsheets/d/1BIDqLLg5jk3v59G8NlR8rk5xfQDKne0sAvZHSj7TI6I/edit?usp=sharing"",""พระนครศรีอยุธยา!S539"")+IMPORTRANGE(""https://docs.google.com/spreadsheets/d/1YXvxf8Yu6_rV4hTBrwMqAcAnv6DfhUxh5emyM3CJp_w/edit?usp=sharing"",""เพชรบุรี!S539"")+IMPORTRA"&amp;"NGE(""https://docs.google.com/spreadsheets/d/19KBlQQs7uwvsao6t2n-KvW3Ax8J8uRRfZPq1zPbXgKc/edit?usp=sharing"",""ระยอง!S539"")+IMPORTRANGE(""https://docs.google.com/spreadsheets/d/1jQ6P4QcrGM89YfqcC_PxOHGCMq5ezhucwJd8ci-NHng/edit?usp=sharing"",""ราชบุรี!S53"&amp;"9"")+IMPORTRANGE(""https://docs.google.com/spreadsheets/d/1lufeA2cfFqM-elVq2hznhDzC6Pr7wkJ9ZG_sYNGCMCU/edit?usp=sharing"",""ลพบุรี!S539"")+IMPORTRANGE(""https://docs.google.com/spreadsheets/d/10oOiF7loTyfsTkbd4MpaIm0HQ9SwB7IYHdIUvt-U1Uc/edit?usp=sharing"""&amp;",""สระแก้ว!S539"")+IMPORTRANGE(""https://docs.google.com/spreadsheets/d/1xmPlrr1QbdSIKvl1dWUl9K4PjAfSL9oeMr_37QVzcxc/edit?usp=sharing"",""สระบุรี!S539"")+IMPORTRANGE(""https://docs.google.com/spreadsheets/d/1j51vR6CYVGhABJpv6tkstgok82RLpXieLzW1yOY5rHw/edi"&amp;"t?usp=sharing"",""สิงห์บุรี!S539"")+IMPORTRANGE(""https://docs.google.com/spreadsheets/d/1H1EalTWKUSzO4Z1-1CwzoDUaVffgrThEBe2sl74kKG0/edit?usp=sharing"",""สุพรรณบุรี!S539"")+IMPORTRANGE(""https://docs.google.com/spreadsheets/d/1BmIruG_sIrJLYao_Pdr7zVArWsf"&amp;"oBt2692TMi6x_854/edit?usp=sharing"",""อ่างทอง!S539"")"),0)</f>
        <v>0</v>
      </c>
      <c r="T539" s="130">
        <f t="shared" ca="1" si="374"/>
        <v>0</v>
      </c>
      <c r="U539" s="130">
        <f t="shared" ca="1" si="375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t="shared" ref="L540:N540" ca="1" si="382">L541+L542</f>
        <v>0</v>
      </c>
      <c r="M540" s="72">
        <f t="shared" ca="1" si="382"/>
        <v>0</v>
      </c>
      <c r="N540" s="72">
        <f t="shared" ca="1" si="382"/>
        <v>0</v>
      </c>
      <c r="O540" s="72">
        <f t="shared" ca="1" si="371"/>
        <v>0</v>
      </c>
      <c r="P540" s="72">
        <f t="shared" ca="1" si="372"/>
        <v>0</v>
      </c>
      <c r="Q540" s="129">
        <f t="shared" ref="Q540:S540" ca="1" si="383">Q541+Q542</f>
        <v>0</v>
      </c>
      <c r="R540" s="130">
        <f t="shared" ca="1" si="383"/>
        <v>0</v>
      </c>
      <c r="S540" s="130">
        <f t="shared" ca="1" si="383"/>
        <v>0</v>
      </c>
      <c r="T540" s="130">
        <f t="shared" ca="1" si="374"/>
        <v>0</v>
      </c>
      <c r="U540" s="130">
        <f t="shared" ca="1" si="375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f ca="1">IFERROR(__xludf.DUMMYFUNCTION("IMPORTRANGE(""https://docs.google.com/spreadsheets/d/13wPX838HrBrQMCywv1BsuMkt4PEKTChp52zj44s2izQ/edit?usp=sharing"",""กาญจนบุรี!L541"")+IMPORTRANGE(""https://docs.google.com/spreadsheets/d/1ddFKvqj1W1NEiWytbGlB1zMx_ykJDVtmfEQ-6-lIUBA/edit?usp=sharing"","&amp;"""จันทบุรี!L541"")+IMPORTRANGE(""https://docs.google.com/spreadsheets/d/1T1PQvRODqOBZk8BRht_U031fIS1beLA0Ub2CEytj2q0/edit?usp=sharing"",""ฉะเชิงเทรา!L541"")+IMPORTRANGE(""https://docs.google.com/spreadsheets/d/11tr1B-Bhyr79v2bkwVh5h_fR-PStkgjlZtkrZpYurG0/"&amp;"edit?usp=sharing"",""ชลบุรี!L541"")+IMPORTRANGE(""https://docs.google.com/spreadsheets/d/1hh-FVnSX0vozXhGluamEcS54Dw9_zqW0N7qJUWgJ0Sw/edit?usp=sharing"",""ชัยนาท!L541"")+IMPORTRANGE(""https://docs.google.com/spreadsheets/d/1jkqa6GXxSacMcY1eN8AHjMNJ_7dDXMJ"&amp;"VRLDlaFSOdPM/edit?usp=sharing"",""ตราด!L541"")+IMPORTRANGE(""https://docs.google.com/spreadsheets/d/18hSgUJ3VwClqi_qtULmmW3cLr0oe3OKaSYoKzdpTsYQ/edit?usp=sharing"",""นครนายก!L541"")+IMPORTRANGE(""https://docs.google.com/spreadsheets/d/1YTZo6WM2dQ6Ix6FSdnL"&amp;"5P7uVnVKu40sxZu975tgG10E/edit?usp=sharing"",""นครปฐม!L541"")+IMPORTRANGE(""https://docs.google.com/spreadsheets/d/1OYoGg4WDg5RIzwGeB10padOxJF9E_Vljuvvct_M7RDo/edit?usp=sharing"",""ปทุมธานี!L541"")+IMPORTRANGE(""https://docs.google.com/spreadsheets/d/1GbCI"&amp;"E4D4wk9FUozzqk7SxfDMxDVBwVmI5zcaVUSzKAc/edit?usp=sharing"",""ประจวบคีรีขันธ์!L541"")+IMPORTRANGE(""https://docs.google.com/spreadsheets/d/1vVf6wykvW_lAyu7Yo9L4hUTqHqIeP_qcVuxCtosJEbg/edit?usp=sharing"",""ปราจีนบุรี!L541"")+IMPORTRANGE(""https://docs.googl"&amp;"e.com/spreadsheets/d/1BIDqLLg5jk3v59G8NlR8rk5xfQDKne0sAvZHSj7TI6I/edit?usp=sharing"",""พระนครศรีอยุธยา!L541"")+IMPORTRANGE(""https://docs.google.com/spreadsheets/d/1YXvxf8Yu6_rV4hTBrwMqAcAnv6DfhUxh5emyM3CJp_w/edit?usp=sharing"",""เพชรบุรี!L541"")+IMPORTRA"&amp;"NGE(""https://docs.google.com/spreadsheets/d/19KBlQQs7uwvsao6t2n-KvW3Ax8J8uRRfZPq1zPbXgKc/edit?usp=sharing"",""ระยอง!L541"")+IMPORTRANGE(""https://docs.google.com/spreadsheets/d/1jQ6P4QcrGM89YfqcC_PxOHGCMq5ezhucwJd8ci-NHng/edit?usp=sharing"",""ราชบุรี!L54"&amp;"1"")+IMPORTRANGE(""https://docs.google.com/spreadsheets/d/1lufeA2cfFqM-elVq2hznhDzC6Pr7wkJ9ZG_sYNGCMCU/edit?usp=sharing"",""ลพบุรี!L541"")+IMPORTRANGE(""https://docs.google.com/spreadsheets/d/10oOiF7loTyfsTkbd4MpaIm0HQ9SwB7IYHdIUvt-U1Uc/edit?usp=sharing"""&amp;",""สระแก้ว!L541"")+IMPORTRANGE(""https://docs.google.com/spreadsheets/d/1xmPlrr1QbdSIKvl1dWUl9K4PjAfSL9oeMr_37QVzcxc/edit?usp=sharing"",""สระบุรี!L541"")+IMPORTRANGE(""https://docs.google.com/spreadsheets/d/1j51vR6CYVGhABJpv6tkstgok82RLpXieLzW1yOY5rHw/edi"&amp;"t?usp=sharing"",""สิงห์บุรี!L541"")+IMPORTRANGE(""https://docs.google.com/spreadsheets/d/1H1EalTWKUSzO4Z1-1CwzoDUaVffgrThEBe2sl74kKG0/edit?usp=sharing"",""สุพรรณบุรี!L541"")+IMPORTRANGE(""https://docs.google.com/spreadsheets/d/1BmIruG_sIrJLYao_Pdr7zVArWsf"&amp;"oBt2692TMi6x_854/edit?usp=sharing"",""อ่างทอง!L541"")"),0)</f>
        <v>0</v>
      </c>
      <c r="M541" s="75">
        <f ca="1">IFERROR(__xludf.DUMMYFUNCTION("IMPORTRANGE(""https://docs.google.com/spreadsheets/d/13wPX838HrBrQMCywv1BsuMkt4PEKTChp52zj44s2izQ/edit?usp=sharing"",""กาญจนบุรี!M541"")+IMPORTRANGE(""https://docs.google.com/spreadsheets/d/1ddFKvqj1W1NEiWytbGlB1zMx_ykJDVtmfEQ-6-lIUBA/edit?usp=sharing"","&amp;"""จันทบุรี!M541"")+IMPORTRANGE(""https://docs.google.com/spreadsheets/d/1T1PQvRODqOBZk8BRht_U031fIS1beLA0Ub2CEytj2q0/edit?usp=sharing"",""ฉะเชิงเทรา!M541"")+IMPORTRANGE(""https://docs.google.com/spreadsheets/d/11tr1B-Bhyr79v2bkwVh5h_fR-PStkgjlZtkrZpYurG0/"&amp;"edit?usp=sharing"",""ชลบุรี!M541"")+IMPORTRANGE(""https://docs.google.com/spreadsheets/d/1hh-FVnSX0vozXhGluamEcS54Dw9_zqW0N7qJUWgJ0Sw/edit?usp=sharing"",""ชัยนาท!M541"")+IMPORTRANGE(""https://docs.google.com/spreadsheets/d/1jkqa6GXxSacMcY1eN8AHjMNJ_7dDXMJ"&amp;"VRLDlaFSOdPM/edit?usp=sharing"",""ตราด!M541"")+IMPORTRANGE(""https://docs.google.com/spreadsheets/d/18hSgUJ3VwClqi_qtULmmW3cLr0oe3OKaSYoKzdpTsYQ/edit?usp=sharing"",""นครนายก!M541"")+IMPORTRANGE(""https://docs.google.com/spreadsheets/d/1YTZo6WM2dQ6Ix6FSdnL"&amp;"5P7uVnVKu40sxZu975tgG10E/edit?usp=sharing"",""นครปฐม!M541"")+IMPORTRANGE(""https://docs.google.com/spreadsheets/d/1OYoGg4WDg5RIzwGeB10padOxJF9E_Vljuvvct_M7RDo/edit?usp=sharing"",""ปทุมธานี!M541"")+IMPORTRANGE(""https://docs.google.com/spreadsheets/d/1GbCI"&amp;"E4D4wk9FUozzqk7SxfDMxDVBwVmI5zcaVUSzKAc/edit?usp=sharing"",""ประจวบคีรีขันธ์!M541"")+IMPORTRANGE(""https://docs.google.com/spreadsheets/d/1vVf6wykvW_lAyu7Yo9L4hUTqHqIeP_qcVuxCtosJEbg/edit?usp=sharing"",""ปราจีนบุรี!M541"")+IMPORTRANGE(""https://docs.googl"&amp;"e.com/spreadsheets/d/1BIDqLLg5jk3v59G8NlR8rk5xfQDKne0sAvZHSj7TI6I/edit?usp=sharing"",""พระนครศรีอยุธยา!M541"")+IMPORTRANGE(""https://docs.google.com/spreadsheets/d/1YXvxf8Yu6_rV4hTBrwMqAcAnv6DfhUxh5emyM3CJp_w/edit?usp=sharing"",""เพชรบุรี!M541"")+IMPORTRA"&amp;"NGE(""https://docs.google.com/spreadsheets/d/19KBlQQs7uwvsao6t2n-KvW3Ax8J8uRRfZPq1zPbXgKc/edit?usp=sharing"",""ระยอง!M541"")+IMPORTRANGE(""https://docs.google.com/spreadsheets/d/1jQ6P4QcrGM89YfqcC_PxOHGCMq5ezhucwJd8ci-NHng/edit?usp=sharing"",""ราชบุรี!M54"&amp;"1"")+IMPORTRANGE(""https://docs.google.com/spreadsheets/d/1lufeA2cfFqM-elVq2hznhDzC6Pr7wkJ9ZG_sYNGCMCU/edit?usp=sharing"",""ลพบุรี!M541"")+IMPORTRANGE(""https://docs.google.com/spreadsheets/d/10oOiF7loTyfsTkbd4MpaIm0HQ9SwB7IYHdIUvt-U1Uc/edit?usp=sharing"""&amp;",""สระแก้ว!M541"")+IMPORTRANGE(""https://docs.google.com/spreadsheets/d/1xmPlrr1QbdSIKvl1dWUl9K4PjAfSL9oeMr_37QVzcxc/edit?usp=sharing"",""สระบุรี!M541"")+IMPORTRANGE(""https://docs.google.com/spreadsheets/d/1j51vR6CYVGhABJpv6tkstgok82RLpXieLzW1yOY5rHw/edi"&amp;"t?usp=sharing"",""สิงห์บุรี!M541"")+IMPORTRANGE(""https://docs.google.com/spreadsheets/d/1H1EalTWKUSzO4Z1-1CwzoDUaVffgrThEBe2sl74kKG0/edit?usp=sharing"",""สุพรรณบุรี!M541"")+IMPORTRANGE(""https://docs.google.com/spreadsheets/d/1BmIruG_sIrJLYao_Pdr7zVArWsf"&amp;"oBt2692TMi6x_854/edit?usp=sharing"",""อ่างทอง!M541"")"),0)</f>
        <v>0</v>
      </c>
      <c r="N541" s="75">
        <f ca="1">IFERROR(__xludf.DUMMYFUNCTION("IMPORTRANGE(""https://docs.google.com/spreadsheets/d/13wPX838HrBrQMCywv1BsuMkt4PEKTChp52zj44s2izQ/edit?usp=sharing"",""กาญจนบุรี!N541"")+IMPORTRANGE(""https://docs.google.com/spreadsheets/d/1ddFKvqj1W1NEiWytbGlB1zMx_ykJDVtmfEQ-6-lIUBA/edit?usp=sharing"","&amp;"""จันทบุรี!N541"")+IMPORTRANGE(""https://docs.google.com/spreadsheets/d/1T1PQvRODqOBZk8BRht_U031fIS1beLA0Ub2CEytj2q0/edit?usp=sharing"",""ฉะเชิงเทรา!N541"")+IMPORTRANGE(""https://docs.google.com/spreadsheets/d/11tr1B-Bhyr79v2bkwVh5h_fR-PStkgjlZtkrZpYurG0/"&amp;"edit?usp=sharing"",""ชลบุรี!N541"")+IMPORTRANGE(""https://docs.google.com/spreadsheets/d/1hh-FVnSX0vozXhGluamEcS54Dw9_zqW0N7qJUWgJ0Sw/edit?usp=sharing"",""ชัยนาท!N541"")+IMPORTRANGE(""https://docs.google.com/spreadsheets/d/1jkqa6GXxSacMcY1eN8AHjMNJ_7dDXMJ"&amp;"VRLDlaFSOdPM/edit?usp=sharing"",""ตราด!N541"")+IMPORTRANGE(""https://docs.google.com/spreadsheets/d/18hSgUJ3VwClqi_qtULmmW3cLr0oe3OKaSYoKzdpTsYQ/edit?usp=sharing"",""นครนายก!N541"")+IMPORTRANGE(""https://docs.google.com/spreadsheets/d/1YTZo6WM2dQ6Ix6FSdnL"&amp;"5P7uVnVKu40sxZu975tgG10E/edit?usp=sharing"",""นครปฐม!N541"")+IMPORTRANGE(""https://docs.google.com/spreadsheets/d/1OYoGg4WDg5RIzwGeB10padOxJF9E_Vljuvvct_M7RDo/edit?usp=sharing"",""ปทุมธานี!N541"")+IMPORTRANGE(""https://docs.google.com/spreadsheets/d/1GbCI"&amp;"E4D4wk9FUozzqk7SxfDMxDVBwVmI5zcaVUSzKAc/edit?usp=sharing"",""ประจวบคีรีขันธ์!N541"")+IMPORTRANGE(""https://docs.google.com/spreadsheets/d/1vVf6wykvW_lAyu7Yo9L4hUTqHqIeP_qcVuxCtosJEbg/edit?usp=sharing"",""ปราจีนบุรี!N541"")+IMPORTRANGE(""https://docs.googl"&amp;"e.com/spreadsheets/d/1BIDqLLg5jk3v59G8NlR8rk5xfQDKne0sAvZHSj7TI6I/edit?usp=sharing"",""พระนครศรีอยุธยา!N541"")+IMPORTRANGE(""https://docs.google.com/spreadsheets/d/1YXvxf8Yu6_rV4hTBrwMqAcAnv6DfhUxh5emyM3CJp_w/edit?usp=sharing"",""เพชรบุรี!N541"")+IMPORTRA"&amp;"NGE(""https://docs.google.com/spreadsheets/d/19KBlQQs7uwvsao6t2n-KvW3Ax8J8uRRfZPq1zPbXgKc/edit?usp=sharing"",""ระยอง!N541"")+IMPORTRANGE(""https://docs.google.com/spreadsheets/d/1jQ6P4QcrGM89YfqcC_PxOHGCMq5ezhucwJd8ci-NHng/edit?usp=sharing"",""ราชบุรี!N54"&amp;"1"")+IMPORTRANGE(""https://docs.google.com/spreadsheets/d/1lufeA2cfFqM-elVq2hznhDzC6Pr7wkJ9ZG_sYNGCMCU/edit?usp=sharing"",""ลพบุรี!N541"")+IMPORTRANGE(""https://docs.google.com/spreadsheets/d/10oOiF7loTyfsTkbd4MpaIm0HQ9SwB7IYHdIUvt-U1Uc/edit?usp=sharing"""&amp;",""สระแก้ว!N541"")+IMPORTRANGE(""https://docs.google.com/spreadsheets/d/1xmPlrr1QbdSIKvl1dWUl9K4PjAfSL9oeMr_37QVzcxc/edit?usp=sharing"",""สระบุรี!N541"")+IMPORTRANGE(""https://docs.google.com/spreadsheets/d/1j51vR6CYVGhABJpv6tkstgok82RLpXieLzW1yOY5rHw/edi"&amp;"t?usp=sharing"",""สิงห์บุรี!N541"")+IMPORTRANGE(""https://docs.google.com/spreadsheets/d/1H1EalTWKUSzO4Z1-1CwzoDUaVffgrThEBe2sl74kKG0/edit?usp=sharing"",""สุพรรณบุรี!N541"")+IMPORTRANGE(""https://docs.google.com/spreadsheets/d/1BmIruG_sIrJLYao_Pdr7zVArWsf"&amp;"oBt2692TMi6x_854/edit?usp=sharing"",""อ่างทอง!N541"")"),0)</f>
        <v>0</v>
      </c>
      <c r="O541" s="75">
        <f t="shared" ca="1" si="371"/>
        <v>0</v>
      </c>
      <c r="P541" s="75">
        <f t="shared" ca="1" si="372"/>
        <v>0</v>
      </c>
      <c r="Q541" s="74">
        <f ca="1">IFERROR(__xludf.DUMMYFUNCTION("IMPORTRANGE(""https://docs.google.com/spreadsheets/d/13wPX838HrBrQMCywv1BsuMkt4PEKTChp52zj44s2izQ/edit?usp=sharing"",""กาญจนบุรี!Q541"")+IMPORTRANGE(""https://docs.google.com/spreadsheets/d/1ddFKvqj1W1NEiWytbGlB1zMx_ykJDVtmfEQ-6-lIUBA/edit?usp=sharing"","&amp;"""จันทบุรี!Q541"")+IMPORTRANGE(""https://docs.google.com/spreadsheets/d/1T1PQvRODqOBZk8BRht_U031fIS1beLA0Ub2CEytj2q0/edit?usp=sharing"",""ฉะเชิงเทรา!Q541"")+IMPORTRANGE(""https://docs.google.com/spreadsheets/d/11tr1B-Bhyr79v2bkwVh5h_fR-PStkgjlZtkrZpYurG0/"&amp;"edit?usp=sharing"",""ชลบุรี!Q541"")+IMPORTRANGE(""https://docs.google.com/spreadsheets/d/1hh-FVnSX0vozXhGluamEcS54Dw9_zqW0N7qJUWgJ0Sw/edit?usp=sharing"",""ชัยนาท!Q541"")+IMPORTRANGE(""https://docs.google.com/spreadsheets/d/1jkqa6GXxSacMcY1eN8AHjMNJ_7dDXMJ"&amp;"VRLDlaFSOdPM/edit?usp=sharing"",""ตราด!Q541"")+IMPORTRANGE(""https://docs.google.com/spreadsheets/d/18hSgUJ3VwClqi_qtULmmW3cLr0oe3OKaSYoKzdpTsYQ/edit?usp=sharing"",""นครนายก!Q541"")+IMPORTRANGE(""https://docs.google.com/spreadsheets/d/1YTZo6WM2dQ6Ix6FSdnL"&amp;"5P7uVnVKu40sxZu975tgG10E/edit?usp=sharing"",""นครปฐม!Q541"")+IMPORTRANGE(""https://docs.google.com/spreadsheets/d/1OYoGg4WDg5RIzwGeB10padOxJF9E_Vljuvvct_M7RDo/edit?usp=sharing"",""ปทุมธานี!Q541"")+IMPORTRANGE(""https://docs.google.com/spreadsheets/d/1GbCI"&amp;"E4D4wk9FUozzqk7SxfDMxDVBwVmI5zcaVUSzKAc/edit?usp=sharing"",""ประจวบคีรีขันธ์!Q541"")+IMPORTRANGE(""https://docs.google.com/spreadsheets/d/1vVf6wykvW_lAyu7Yo9L4hUTqHqIeP_qcVuxCtosJEbg/edit?usp=sharing"",""ปราจีนบุรี!Q541"")+IMPORTRANGE(""https://docs.googl"&amp;"e.com/spreadsheets/d/1BIDqLLg5jk3v59G8NlR8rk5xfQDKne0sAvZHSj7TI6I/edit?usp=sharing"",""พระนครศรีอยุธยา!Q541"")+IMPORTRANGE(""https://docs.google.com/spreadsheets/d/1YXvxf8Yu6_rV4hTBrwMqAcAnv6DfhUxh5emyM3CJp_w/edit?usp=sharing"",""เพชรบุรี!Q541"")+IMPORTRA"&amp;"NGE(""https://docs.google.com/spreadsheets/d/19KBlQQs7uwvsao6t2n-KvW3Ax8J8uRRfZPq1zPbXgKc/edit?usp=sharing"",""ระยอง!Q541"")+IMPORTRANGE(""https://docs.google.com/spreadsheets/d/1jQ6P4QcrGM89YfqcC_PxOHGCMq5ezhucwJd8ci-NHng/edit?usp=sharing"",""ราชบุรี!Q54"&amp;"1"")+IMPORTRANGE(""https://docs.google.com/spreadsheets/d/1lufeA2cfFqM-elVq2hznhDzC6Pr7wkJ9ZG_sYNGCMCU/edit?usp=sharing"",""ลพบุรี!Q541"")+IMPORTRANGE(""https://docs.google.com/spreadsheets/d/10oOiF7loTyfsTkbd4MpaIm0HQ9SwB7IYHdIUvt-U1Uc/edit?usp=sharing"""&amp;",""สระแก้ว!Q541"")+IMPORTRANGE(""https://docs.google.com/spreadsheets/d/1xmPlrr1QbdSIKvl1dWUl9K4PjAfSL9oeMr_37QVzcxc/edit?usp=sharing"",""สระบุรี!Q541"")+IMPORTRANGE(""https://docs.google.com/spreadsheets/d/1j51vR6CYVGhABJpv6tkstgok82RLpXieLzW1yOY5rHw/edi"&amp;"t?usp=sharing"",""สิงห์บุรี!Q541"")+IMPORTRANGE(""https://docs.google.com/spreadsheets/d/1H1EalTWKUSzO4Z1-1CwzoDUaVffgrThEBe2sl74kKG0/edit?usp=sharing"",""สุพรรณบุรี!Q541"")+IMPORTRANGE(""https://docs.google.com/spreadsheets/d/1BmIruG_sIrJLYao_Pdr7zVArWsf"&amp;"oBt2692TMi6x_854/edit?usp=sharing"",""อ่างทอง!Q541"")"),0)</f>
        <v>0</v>
      </c>
      <c r="R541" s="75">
        <f ca="1">IFERROR(__xludf.DUMMYFUNCTION("IMPORTRANGE(""https://docs.google.com/spreadsheets/d/13wPX838HrBrQMCywv1BsuMkt4PEKTChp52zj44s2izQ/edit?usp=sharing"",""กาญจนบุรี!R541"")+IMPORTRANGE(""https://docs.google.com/spreadsheets/d/1ddFKvqj1W1NEiWytbGlB1zMx_ykJDVtmfEQ-6-lIUBA/edit?usp=sharing"","&amp;"""จันทบุรี!R541"")+IMPORTRANGE(""https://docs.google.com/spreadsheets/d/1T1PQvRODqOBZk8BRht_U031fIS1beLA0Ub2CEytj2q0/edit?usp=sharing"",""ฉะเชิงเทรา!R541"")+IMPORTRANGE(""https://docs.google.com/spreadsheets/d/11tr1B-Bhyr79v2bkwVh5h_fR-PStkgjlZtkrZpYurG0/"&amp;"edit?usp=sharing"",""ชลบุรี!R541"")+IMPORTRANGE(""https://docs.google.com/spreadsheets/d/1hh-FVnSX0vozXhGluamEcS54Dw9_zqW0N7qJUWgJ0Sw/edit?usp=sharing"",""ชัยนาท!R541"")+IMPORTRANGE(""https://docs.google.com/spreadsheets/d/1jkqa6GXxSacMcY1eN8AHjMNJ_7dDXMJ"&amp;"VRLDlaFSOdPM/edit?usp=sharing"",""ตราด!R541"")+IMPORTRANGE(""https://docs.google.com/spreadsheets/d/18hSgUJ3VwClqi_qtULmmW3cLr0oe3OKaSYoKzdpTsYQ/edit?usp=sharing"",""นครนายก!R541"")+IMPORTRANGE(""https://docs.google.com/spreadsheets/d/1YTZo6WM2dQ6Ix6FSdnL"&amp;"5P7uVnVKu40sxZu975tgG10E/edit?usp=sharing"",""นครปฐม!R541"")+IMPORTRANGE(""https://docs.google.com/spreadsheets/d/1OYoGg4WDg5RIzwGeB10padOxJF9E_Vljuvvct_M7RDo/edit?usp=sharing"",""ปทุมธานี!R541"")+IMPORTRANGE(""https://docs.google.com/spreadsheets/d/1GbCI"&amp;"E4D4wk9FUozzqk7SxfDMxDVBwVmI5zcaVUSzKAc/edit?usp=sharing"",""ประจวบคีรีขันธ์!R541"")+IMPORTRANGE(""https://docs.google.com/spreadsheets/d/1vVf6wykvW_lAyu7Yo9L4hUTqHqIeP_qcVuxCtosJEbg/edit?usp=sharing"",""ปราจีนบุรี!R541"")+IMPORTRANGE(""https://docs.googl"&amp;"e.com/spreadsheets/d/1BIDqLLg5jk3v59G8NlR8rk5xfQDKne0sAvZHSj7TI6I/edit?usp=sharing"",""พระนครศรีอยุธยา!R541"")+IMPORTRANGE(""https://docs.google.com/spreadsheets/d/1YXvxf8Yu6_rV4hTBrwMqAcAnv6DfhUxh5emyM3CJp_w/edit?usp=sharing"",""เพชรบุรี!R541"")+IMPORTRA"&amp;"NGE(""https://docs.google.com/spreadsheets/d/19KBlQQs7uwvsao6t2n-KvW3Ax8J8uRRfZPq1zPbXgKc/edit?usp=sharing"",""ระยอง!R541"")+IMPORTRANGE(""https://docs.google.com/spreadsheets/d/1jQ6P4QcrGM89YfqcC_PxOHGCMq5ezhucwJd8ci-NHng/edit?usp=sharing"",""ราชบุรี!R54"&amp;"1"")+IMPORTRANGE(""https://docs.google.com/spreadsheets/d/1lufeA2cfFqM-elVq2hznhDzC6Pr7wkJ9ZG_sYNGCMCU/edit?usp=sharing"",""ลพบุรี!R541"")+IMPORTRANGE(""https://docs.google.com/spreadsheets/d/10oOiF7loTyfsTkbd4MpaIm0HQ9SwB7IYHdIUvt-U1Uc/edit?usp=sharing"""&amp;",""สระแก้ว!R541"")+IMPORTRANGE(""https://docs.google.com/spreadsheets/d/1xmPlrr1QbdSIKvl1dWUl9K4PjAfSL9oeMr_37QVzcxc/edit?usp=sharing"",""สระบุรี!R541"")+IMPORTRANGE(""https://docs.google.com/spreadsheets/d/1j51vR6CYVGhABJpv6tkstgok82RLpXieLzW1yOY5rHw/edi"&amp;"t?usp=sharing"",""สิงห์บุรี!R541"")+IMPORTRANGE(""https://docs.google.com/spreadsheets/d/1H1EalTWKUSzO4Z1-1CwzoDUaVffgrThEBe2sl74kKG0/edit?usp=sharing"",""สุพรรณบุรี!R541"")+IMPORTRANGE(""https://docs.google.com/spreadsheets/d/1BmIruG_sIrJLYao_Pdr7zVArWsf"&amp;"oBt2692TMi6x_854/edit?usp=sharing"",""อ่างทอง!R541"")"),0)</f>
        <v>0</v>
      </c>
      <c r="S541" s="75">
        <f ca="1">IFERROR(__xludf.DUMMYFUNCTION("IMPORTRANGE(""https://docs.google.com/spreadsheets/d/13wPX838HrBrQMCywv1BsuMkt4PEKTChp52zj44s2izQ/edit?usp=sharing"",""กาญจนบุรี!S541"")+IMPORTRANGE(""https://docs.google.com/spreadsheets/d/1ddFKvqj1W1NEiWytbGlB1zMx_ykJDVtmfEQ-6-lIUBA/edit?usp=sharing"","&amp;"""จันทบุรี!S541"")+IMPORTRANGE(""https://docs.google.com/spreadsheets/d/1T1PQvRODqOBZk8BRht_U031fIS1beLA0Ub2CEytj2q0/edit?usp=sharing"",""ฉะเชิงเทรา!S541"")+IMPORTRANGE(""https://docs.google.com/spreadsheets/d/11tr1B-Bhyr79v2bkwVh5h_fR-PStkgjlZtkrZpYurG0/"&amp;"edit?usp=sharing"",""ชลบุรี!S541"")+IMPORTRANGE(""https://docs.google.com/spreadsheets/d/1hh-FVnSX0vozXhGluamEcS54Dw9_zqW0N7qJUWgJ0Sw/edit?usp=sharing"",""ชัยนาท!S541"")+IMPORTRANGE(""https://docs.google.com/spreadsheets/d/1jkqa6GXxSacMcY1eN8AHjMNJ_7dDXMJ"&amp;"VRLDlaFSOdPM/edit?usp=sharing"",""ตราด!S541"")+IMPORTRANGE(""https://docs.google.com/spreadsheets/d/18hSgUJ3VwClqi_qtULmmW3cLr0oe3OKaSYoKzdpTsYQ/edit?usp=sharing"",""นครนายก!S541"")+IMPORTRANGE(""https://docs.google.com/spreadsheets/d/1YTZo6WM2dQ6Ix6FSdnL"&amp;"5P7uVnVKu40sxZu975tgG10E/edit?usp=sharing"",""นครปฐม!S541"")+IMPORTRANGE(""https://docs.google.com/spreadsheets/d/1OYoGg4WDg5RIzwGeB10padOxJF9E_Vljuvvct_M7RDo/edit?usp=sharing"",""ปทุมธานี!S541"")+IMPORTRANGE(""https://docs.google.com/spreadsheets/d/1GbCI"&amp;"E4D4wk9FUozzqk7SxfDMxDVBwVmI5zcaVUSzKAc/edit?usp=sharing"",""ประจวบคีรีขันธ์!S541"")+IMPORTRANGE(""https://docs.google.com/spreadsheets/d/1vVf6wykvW_lAyu7Yo9L4hUTqHqIeP_qcVuxCtosJEbg/edit?usp=sharing"",""ปราจีนบุรี!S541"")+IMPORTRANGE(""https://docs.googl"&amp;"e.com/spreadsheets/d/1BIDqLLg5jk3v59G8NlR8rk5xfQDKne0sAvZHSj7TI6I/edit?usp=sharing"",""พระนครศรีอยุธยา!S541"")+IMPORTRANGE(""https://docs.google.com/spreadsheets/d/1YXvxf8Yu6_rV4hTBrwMqAcAnv6DfhUxh5emyM3CJp_w/edit?usp=sharing"",""เพชรบุรี!S541"")+IMPORTRA"&amp;"NGE(""https://docs.google.com/spreadsheets/d/19KBlQQs7uwvsao6t2n-KvW3Ax8J8uRRfZPq1zPbXgKc/edit?usp=sharing"",""ระยอง!S541"")+IMPORTRANGE(""https://docs.google.com/spreadsheets/d/1jQ6P4QcrGM89YfqcC_PxOHGCMq5ezhucwJd8ci-NHng/edit?usp=sharing"",""ราชบุรี!S54"&amp;"1"")+IMPORTRANGE(""https://docs.google.com/spreadsheets/d/1lufeA2cfFqM-elVq2hznhDzC6Pr7wkJ9ZG_sYNGCMCU/edit?usp=sharing"",""ลพบุรี!S541"")+IMPORTRANGE(""https://docs.google.com/spreadsheets/d/10oOiF7loTyfsTkbd4MpaIm0HQ9SwB7IYHdIUvt-U1Uc/edit?usp=sharing"""&amp;",""สระแก้ว!S541"")+IMPORTRANGE(""https://docs.google.com/spreadsheets/d/1xmPlrr1QbdSIKvl1dWUl9K4PjAfSL9oeMr_37QVzcxc/edit?usp=sharing"",""สระบุรี!S541"")+IMPORTRANGE(""https://docs.google.com/spreadsheets/d/1j51vR6CYVGhABJpv6tkstgok82RLpXieLzW1yOY5rHw/edi"&amp;"t?usp=sharing"",""สิงห์บุรี!S541"")+IMPORTRANGE(""https://docs.google.com/spreadsheets/d/1H1EalTWKUSzO4Z1-1CwzoDUaVffgrThEBe2sl74kKG0/edit?usp=sharing"",""สุพรรณบุรี!S541"")+IMPORTRANGE(""https://docs.google.com/spreadsheets/d/1BmIruG_sIrJLYao_Pdr7zVArWsf"&amp;"oBt2692TMi6x_854/edit?usp=sharing"",""อ่างทอง!S541"")"),0)</f>
        <v>0</v>
      </c>
      <c r="T541" s="131">
        <f t="shared" ca="1" si="374"/>
        <v>0</v>
      </c>
      <c r="U541" s="131">
        <f t="shared" ca="1" si="375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13wPX838HrBrQMCywv1BsuMkt4PEKTChp52zj44s2izQ/edit?usp=sharing"",""กาญจนบุรี!L542"")+IMPORTRANGE(""https://docs.google.com/spreadsheets/d/1ddFKvqj1W1NEiWytbGlB1zMx_ykJDVtmfEQ-6-lIUBA/edit?usp=sharing"","&amp;"""จันทบุรี!L542"")+IMPORTRANGE(""https://docs.google.com/spreadsheets/d/1T1PQvRODqOBZk8BRht_U031fIS1beLA0Ub2CEytj2q0/edit?usp=sharing"",""ฉะเชิงเทรา!L542"")+IMPORTRANGE(""https://docs.google.com/spreadsheets/d/11tr1B-Bhyr79v2bkwVh5h_fR-PStkgjlZtkrZpYurG0/"&amp;"edit?usp=sharing"",""ชลบุรี!L542"")+IMPORTRANGE(""https://docs.google.com/spreadsheets/d/1hh-FVnSX0vozXhGluamEcS54Dw9_zqW0N7qJUWgJ0Sw/edit?usp=sharing"",""ชัยนาท!L542"")+IMPORTRANGE(""https://docs.google.com/spreadsheets/d/1jkqa6GXxSacMcY1eN8AHjMNJ_7dDXMJ"&amp;"VRLDlaFSOdPM/edit?usp=sharing"",""ตราด!L542"")+IMPORTRANGE(""https://docs.google.com/spreadsheets/d/18hSgUJ3VwClqi_qtULmmW3cLr0oe3OKaSYoKzdpTsYQ/edit?usp=sharing"",""นครนายก!L542"")+IMPORTRANGE(""https://docs.google.com/spreadsheets/d/1YTZo6WM2dQ6Ix6FSdnL"&amp;"5P7uVnVKu40sxZu975tgG10E/edit?usp=sharing"",""นครปฐม!L542"")+IMPORTRANGE(""https://docs.google.com/spreadsheets/d/1OYoGg4WDg5RIzwGeB10padOxJF9E_Vljuvvct_M7RDo/edit?usp=sharing"",""ปทุมธานี!L542"")+IMPORTRANGE(""https://docs.google.com/spreadsheets/d/1GbCI"&amp;"E4D4wk9FUozzqk7SxfDMxDVBwVmI5zcaVUSzKAc/edit?usp=sharing"",""ประจวบคีรีขันธ์!L542"")+IMPORTRANGE(""https://docs.google.com/spreadsheets/d/1vVf6wykvW_lAyu7Yo9L4hUTqHqIeP_qcVuxCtosJEbg/edit?usp=sharing"",""ปราจีนบุรี!L542"")+IMPORTRANGE(""https://docs.googl"&amp;"e.com/spreadsheets/d/1BIDqLLg5jk3v59G8NlR8rk5xfQDKne0sAvZHSj7TI6I/edit?usp=sharing"",""พระนครศรีอยุธยา!L542"")+IMPORTRANGE(""https://docs.google.com/spreadsheets/d/1YXvxf8Yu6_rV4hTBrwMqAcAnv6DfhUxh5emyM3CJp_w/edit?usp=sharing"",""เพชรบุรี!L542"")+IMPORTRA"&amp;"NGE(""https://docs.google.com/spreadsheets/d/19KBlQQs7uwvsao6t2n-KvW3Ax8J8uRRfZPq1zPbXgKc/edit?usp=sharing"",""ระยอง!L542"")+IMPORTRANGE(""https://docs.google.com/spreadsheets/d/1jQ6P4QcrGM89YfqcC_PxOHGCMq5ezhucwJd8ci-NHng/edit?usp=sharing"",""ราชบุรี!L54"&amp;"2"")+IMPORTRANGE(""https://docs.google.com/spreadsheets/d/1lufeA2cfFqM-elVq2hznhDzC6Pr7wkJ9ZG_sYNGCMCU/edit?usp=sharing"",""ลพบุรี!L542"")+IMPORTRANGE(""https://docs.google.com/spreadsheets/d/10oOiF7loTyfsTkbd4MpaIm0HQ9SwB7IYHdIUvt-U1Uc/edit?usp=sharing"""&amp;",""สระแก้ว!L542"")+IMPORTRANGE(""https://docs.google.com/spreadsheets/d/1xmPlrr1QbdSIKvl1dWUl9K4PjAfSL9oeMr_37QVzcxc/edit?usp=sharing"",""สระบุรี!L542"")+IMPORTRANGE(""https://docs.google.com/spreadsheets/d/1j51vR6CYVGhABJpv6tkstgok82RLpXieLzW1yOY5rHw/edi"&amp;"t?usp=sharing"",""สิงห์บุรี!L542"")+IMPORTRANGE(""https://docs.google.com/spreadsheets/d/1H1EalTWKUSzO4Z1-1CwzoDUaVffgrThEBe2sl74kKG0/edit?usp=sharing"",""สุพรรณบุรี!L542"")+IMPORTRANGE(""https://docs.google.com/spreadsheets/d/1BmIruG_sIrJLYao_Pdr7zVArWsf"&amp;"oBt2692TMi6x_854/edit?usp=sharing"",""อ่างทอง!L542"")"),0)</f>
        <v>0</v>
      </c>
      <c r="M542" s="72">
        <f ca="1">IFERROR(__xludf.DUMMYFUNCTION("IMPORTRANGE(""https://docs.google.com/spreadsheets/d/13wPX838HrBrQMCywv1BsuMkt4PEKTChp52zj44s2izQ/edit?usp=sharing"",""กาญจนบุรี!M542"")+IMPORTRANGE(""https://docs.google.com/spreadsheets/d/1ddFKvqj1W1NEiWytbGlB1zMx_ykJDVtmfEQ-6-lIUBA/edit?usp=sharing"","&amp;"""จันทบุรี!M542"")+IMPORTRANGE(""https://docs.google.com/spreadsheets/d/1T1PQvRODqOBZk8BRht_U031fIS1beLA0Ub2CEytj2q0/edit?usp=sharing"",""ฉะเชิงเทรา!M542"")+IMPORTRANGE(""https://docs.google.com/spreadsheets/d/11tr1B-Bhyr79v2bkwVh5h_fR-PStkgjlZtkrZpYurG0/"&amp;"edit?usp=sharing"",""ชลบุรี!M542"")+IMPORTRANGE(""https://docs.google.com/spreadsheets/d/1hh-FVnSX0vozXhGluamEcS54Dw9_zqW0N7qJUWgJ0Sw/edit?usp=sharing"",""ชัยนาท!M542"")+IMPORTRANGE(""https://docs.google.com/spreadsheets/d/1jkqa6GXxSacMcY1eN8AHjMNJ_7dDXMJ"&amp;"VRLDlaFSOdPM/edit?usp=sharing"",""ตราด!M542"")+IMPORTRANGE(""https://docs.google.com/spreadsheets/d/18hSgUJ3VwClqi_qtULmmW3cLr0oe3OKaSYoKzdpTsYQ/edit?usp=sharing"",""นครนายก!M542"")+IMPORTRANGE(""https://docs.google.com/spreadsheets/d/1YTZo6WM2dQ6Ix6FSdnL"&amp;"5P7uVnVKu40sxZu975tgG10E/edit?usp=sharing"",""นครปฐม!M542"")+IMPORTRANGE(""https://docs.google.com/spreadsheets/d/1OYoGg4WDg5RIzwGeB10padOxJF9E_Vljuvvct_M7RDo/edit?usp=sharing"",""ปทุมธานี!M542"")+IMPORTRANGE(""https://docs.google.com/spreadsheets/d/1GbCI"&amp;"E4D4wk9FUozzqk7SxfDMxDVBwVmI5zcaVUSzKAc/edit?usp=sharing"",""ประจวบคีรีขันธ์!M542"")+IMPORTRANGE(""https://docs.google.com/spreadsheets/d/1vVf6wykvW_lAyu7Yo9L4hUTqHqIeP_qcVuxCtosJEbg/edit?usp=sharing"",""ปราจีนบุรี!M542"")+IMPORTRANGE(""https://docs.googl"&amp;"e.com/spreadsheets/d/1BIDqLLg5jk3v59G8NlR8rk5xfQDKne0sAvZHSj7TI6I/edit?usp=sharing"",""พระนครศรีอยุธยา!M542"")+IMPORTRANGE(""https://docs.google.com/spreadsheets/d/1YXvxf8Yu6_rV4hTBrwMqAcAnv6DfhUxh5emyM3CJp_w/edit?usp=sharing"",""เพชรบุรี!M542"")+IMPORTRA"&amp;"NGE(""https://docs.google.com/spreadsheets/d/19KBlQQs7uwvsao6t2n-KvW3Ax8J8uRRfZPq1zPbXgKc/edit?usp=sharing"",""ระยอง!M542"")+IMPORTRANGE(""https://docs.google.com/spreadsheets/d/1jQ6P4QcrGM89YfqcC_PxOHGCMq5ezhucwJd8ci-NHng/edit?usp=sharing"",""ราชบุรี!M54"&amp;"2"")+IMPORTRANGE(""https://docs.google.com/spreadsheets/d/1lufeA2cfFqM-elVq2hznhDzC6Pr7wkJ9ZG_sYNGCMCU/edit?usp=sharing"",""ลพบุรี!M542"")+IMPORTRANGE(""https://docs.google.com/spreadsheets/d/10oOiF7loTyfsTkbd4MpaIm0HQ9SwB7IYHdIUvt-U1Uc/edit?usp=sharing"""&amp;",""สระแก้ว!M542"")+IMPORTRANGE(""https://docs.google.com/spreadsheets/d/1xmPlrr1QbdSIKvl1dWUl9K4PjAfSL9oeMr_37QVzcxc/edit?usp=sharing"",""สระบุรี!M542"")+IMPORTRANGE(""https://docs.google.com/spreadsheets/d/1j51vR6CYVGhABJpv6tkstgok82RLpXieLzW1yOY5rHw/edi"&amp;"t?usp=sharing"",""สิงห์บุรี!M542"")+IMPORTRANGE(""https://docs.google.com/spreadsheets/d/1H1EalTWKUSzO4Z1-1CwzoDUaVffgrThEBe2sl74kKG0/edit?usp=sharing"",""สุพรรณบุรี!M542"")+IMPORTRANGE(""https://docs.google.com/spreadsheets/d/1BmIruG_sIrJLYao_Pdr7zVArWsf"&amp;"oBt2692TMi6x_854/edit?usp=sharing"",""อ่างทอง!M542"")"),0)</f>
        <v>0</v>
      </c>
      <c r="N542" s="72">
        <f ca="1">IFERROR(__xludf.DUMMYFUNCTION("IMPORTRANGE(""https://docs.google.com/spreadsheets/d/13wPX838HrBrQMCywv1BsuMkt4PEKTChp52zj44s2izQ/edit?usp=sharing"",""กาญจนบุรี!N542"")+IMPORTRANGE(""https://docs.google.com/spreadsheets/d/1ddFKvqj1W1NEiWytbGlB1zMx_ykJDVtmfEQ-6-lIUBA/edit?usp=sharing"","&amp;"""จันทบุรี!N542"")+IMPORTRANGE(""https://docs.google.com/spreadsheets/d/1T1PQvRODqOBZk8BRht_U031fIS1beLA0Ub2CEytj2q0/edit?usp=sharing"",""ฉะเชิงเทรา!N542"")+IMPORTRANGE(""https://docs.google.com/spreadsheets/d/11tr1B-Bhyr79v2bkwVh5h_fR-PStkgjlZtkrZpYurG0/"&amp;"edit?usp=sharing"",""ชลบุรี!N542"")+IMPORTRANGE(""https://docs.google.com/spreadsheets/d/1hh-FVnSX0vozXhGluamEcS54Dw9_zqW0N7qJUWgJ0Sw/edit?usp=sharing"",""ชัยนาท!N542"")+IMPORTRANGE(""https://docs.google.com/spreadsheets/d/1jkqa6GXxSacMcY1eN8AHjMNJ_7dDXMJ"&amp;"VRLDlaFSOdPM/edit?usp=sharing"",""ตราด!N542"")+IMPORTRANGE(""https://docs.google.com/spreadsheets/d/18hSgUJ3VwClqi_qtULmmW3cLr0oe3OKaSYoKzdpTsYQ/edit?usp=sharing"",""นครนายก!N542"")+IMPORTRANGE(""https://docs.google.com/spreadsheets/d/1YTZo6WM2dQ6Ix6FSdnL"&amp;"5P7uVnVKu40sxZu975tgG10E/edit?usp=sharing"",""นครปฐม!N542"")+IMPORTRANGE(""https://docs.google.com/spreadsheets/d/1OYoGg4WDg5RIzwGeB10padOxJF9E_Vljuvvct_M7RDo/edit?usp=sharing"",""ปทุมธานี!N542"")+IMPORTRANGE(""https://docs.google.com/spreadsheets/d/1GbCI"&amp;"E4D4wk9FUozzqk7SxfDMxDVBwVmI5zcaVUSzKAc/edit?usp=sharing"",""ประจวบคีรีขันธ์!N542"")+IMPORTRANGE(""https://docs.google.com/spreadsheets/d/1vVf6wykvW_lAyu7Yo9L4hUTqHqIeP_qcVuxCtosJEbg/edit?usp=sharing"",""ปราจีนบุรี!N542"")+IMPORTRANGE(""https://docs.googl"&amp;"e.com/spreadsheets/d/1BIDqLLg5jk3v59G8NlR8rk5xfQDKne0sAvZHSj7TI6I/edit?usp=sharing"",""พระนครศรีอยุธยา!N542"")+IMPORTRANGE(""https://docs.google.com/spreadsheets/d/1YXvxf8Yu6_rV4hTBrwMqAcAnv6DfhUxh5emyM3CJp_w/edit?usp=sharing"",""เพชรบุรี!N542"")+IMPORTRA"&amp;"NGE(""https://docs.google.com/spreadsheets/d/19KBlQQs7uwvsao6t2n-KvW3Ax8J8uRRfZPq1zPbXgKc/edit?usp=sharing"",""ระยอง!N542"")+IMPORTRANGE(""https://docs.google.com/spreadsheets/d/1jQ6P4QcrGM89YfqcC_PxOHGCMq5ezhucwJd8ci-NHng/edit?usp=sharing"",""ราชบุรี!N54"&amp;"2"")+IMPORTRANGE(""https://docs.google.com/spreadsheets/d/1lufeA2cfFqM-elVq2hznhDzC6Pr7wkJ9ZG_sYNGCMCU/edit?usp=sharing"",""ลพบุรี!N542"")+IMPORTRANGE(""https://docs.google.com/spreadsheets/d/10oOiF7loTyfsTkbd4MpaIm0HQ9SwB7IYHdIUvt-U1Uc/edit?usp=sharing"""&amp;",""สระแก้ว!N542"")+IMPORTRANGE(""https://docs.google.com/spreadsheets/d/1xmPlrr1QbdSIKvl1dWUl9K4PjAfSL9oeMr_37QVzcxc/edit?usp=sharing"",""สระบุรี!N542"")+IMPORTRANGE(""https://docs.google.com/spreadsheets/d/1j51vR6CYVGhABJpv6tkstgok82RLpXieLzW1yOY5rHw/edi"&amp;"t?usp=sharing"",""สิงห์บุรี!N542"")+IMPORTRANGE(""https://docs.google.com/spreadsheets/d/1H1EalTWKUSzO4Z1-1CwzoDUaVffgrThEBe2sl74kKG0/edit?usp=sharing"",""สุพรรณบุรี!N542"")+IMPORTRANGE(""https://docs.google.com/spreadsheets/d/1BmIruG_sIrJLYao_Pdr7zVArWsf"&amp;"oBt2692TMi6x_854/edit?usp=sharing"",""อ่างทอง!N542"")"),0)</f>
        <v>0</v>
      </c>
      <c r="O542" s="72">
        <f t="shared" ca="1" si="371"/>
        <v>0</v>
      </c>
      <c r="P542" s="72">
        <f t="shared" ca="1" si="372"/>
        <v>0</v>
      </c>
      <c r="Q542" s="71">
        <f ca="1">IFERROR(__xludf.DUMMYFUNCTION("IMPORTRANGE(""https://docs.google.com/spreadsheets/d/13wPX838HrBrQMCywv1BsuMkt4PEKTChp52zj44s2izQ/edit?usp=sharing"",""กาญจนบุรี!Q542"")+IMPORTRANGE(""https://docs.google.com/spreadsheets/d/1ddFKvqj1W1NEiWytbGlB1zMx_ykJDVtmfEQ-6-lIUBA/edit?usp=sharing"","&amp;"""จันทบุรี!Q542"")+IMPORTRANGE(""https://docs.google.com/spreadsheets/d/1T1PQvRODqOBZk8BRht_U031fIS1beLA0Ub2CEytj2q0/edit?usp=sharing"",""ฉะเชิงเทรา!Q542"")+IMPORTRANGE(""https://docs.google.com/spreadsheets/d/11tr1B-Bhyr79v2bkwVh5h_fR-PStkgjlZtkrZpYurG0/"&amp;"edit?usp=sharing"",""ชลบุรี!Q542"")+IMPORTRANGE(""https://docs.google.com/spreadsheets/d/1hh-FVnSX0vozXhGluamEcS54Dw9_zqW0N7qJUWgJ0Sw/edit?usp=sharing"",""ชัยนาท!Q542"")+IMPORTRANGE(""https://docs.google.com/spreadsheets/d/1jkqa6GXxSacMcY1eN8AHjMNJ_7dDXMJ"&amp;"VRLDlaFSOdPM/edit?usp=sharing"",""ตราด!Q542"")+IMPORTRANGE(""https://docs.google.com/spreadsheets/d/18hSgUJ3VwClqi_qtULmmW3cLr0oe3OKaSYoKzdpTsYQ/edit?usp=sharing"",""นครนายก!Q542"")+IMPORTRANGE(""https://docs.google.com/spreadsheets/d/1YTZo6WM2dQ6Ix6FSdnL"&amp;"5P7uVnVKu40sxZu975tgG10E/edit?usp=sharing"",""นครปฐม!Q542"")+IMPORTRANGE(""https://docs.google.com/spreadsheets/d/1OYoGg4WDg5RIzwGeB10padOxJF9E_Vljuvvct_M7RDo/edit?usp=sharing"",""ปทุมธานี!Q542"")+IMPORTRANGE(""https://docs.google.com/spreadsheets/d/1GbCI"&amp;"E4D4wk9FUozzqk7SxfDMxDVBwVmI5zcaVUSzKAc/edit?usp=sharing"",""ประจวบคีรีขันธ์!Q542"")+IMPORTRANGE(""https://docs.google.com/spreadsheets/d/1vVf6wykvW_lAyu7Yo9L4hUTqHqIeP_qcVuxCtosJEbg/edit?usp=sharing"",""ปราจีนบุรี!Q542"")+IMPORTRANGE(""https://docs.googl"&amp;"e.com/spreadsheets/d/1BIDqLLg5jk3v59G8NlR8rk5xfQDKne0sAvZHSj7TI6I/edit?usp=sharing"",""พระนครศรีอยุธยา!Q542"")+IMPORTRANGE(""https://docs.google.com/spreadsheets/d/1YXvxf8Yu6_rV4hTBrwMqAcAnv6DfhUxh5emyM3CJp_w/edit?usp=sharing"",""เพชรบุรี!Q542"")+IMPORTRA"&amp;"NGE(""https://docs.google.com/spreadsheets/d/19KBlQQs7uwvsao6t2n-KvW3Ax8J8uRRfZPq1zPbXgKc/edit?usp=sharing"",""ระยอง!Q542"")+IMPORTRANGE(""https://docs.google.com/spreadsheets/d/1jQ6P4QcrGM89YfqcC_PxOHGCMq5ezhucwJd8ci-NHng/edit?usp=sharing"",""ราชบุรี!Q54"&amp;"2"")+IMPORTRANGE(""https://docs.google.com/spreadsheets/d/1lufeA2cfFqM-elVq2hznhDzC6Pr7wkJ9ZG_sYNGCMCU/edit?usp=sharing"",""ลพบุรี!Q542"")+IMPORTRANGE(""https://docs.google.com/spreadsheets/d/10oOiF7loTyfsTkbd4MpaIm0HQ9SwB7IYHdIUvt-U1Uc/edit?usp=sharing"""&amp;",""สระแก้ว!Q542"")+IMPORTRANGE(""https://docs.google.com/spreadsheets/d/1xmPlrr1QbdSIKvl1dWUl9K4PjAfSL9oeMr_37QVzcxc/edit?usp=sharing"",""สระบุรี!Q542"")+IMPORTRANGE(""https://docs.google.com/spreadsheets/d/1j51vR6CYVGhABJpv6tkstgok82RLpXieLzW1yOY5rHw/edi"&amp;"t?usp=sharing"",""สิงห์บุรี!Q542"")+IMPORTRANGE(""https://docs.google.com/spreadsheets/d/1H1EalTWKUSzO4Z1-1CwzoDUaVffgrThEBe2sl74kKG0/edit?usp=sharing"",""สุพรรณบุรี!Q542"")+IMPORTRANGE(""https://docs.google.com/spreadsheets/d/1BmIruG_sIrJLYao_Pdr7zVArWsf"&amp;"oBt2692TMi6x_854/edit?usp=sharing"",""อ่างทอง!Q542"")"),0)</f>
        <v>0</v>
      </c>
      <c r="R542" s="72">
        <f ca="1">IFERROR(__xludf.DUMMYFUNCTION("IMPORTRANGE(""https://docs.google.com/spreadsheets/d/13wPX838HrBrQMCywv1BsuMkt4PEKTChp52zj44s2izQ/edit?usp=sharing"",""กาญจนบุรี!R542"")+IMPORTRANGE(""https://docs.google.com/spreadsheets/d/1ddFKvqj1W1NEiWytbGlB1zMx_ykJDVtmfEQ-6-lIUBA/edit?usp=sharing"","&amp;"""จันทบุรี!R542"")+IMPORTRANGE(""https://docs.google.com/spreadsheets/d/1T1PQvRODqOBZk8BRht_U031fIS1beLA0Ub2CEytj2q0/edit?usp=sharing"",""ฉะเชิงเทรา!R542"")+IMPORTRANGE(""https://docs.google.com/spreadsheets/d/11tr1B-Bhyr79v2bkwVh5h_fR-PStkgjlZtkrZpYurG0/"&amp;"edit?usp=sharing"",""ชลบุรี!R542"")+IMPORTRANGE(""https://docs.google.com/spreadsheets/d/1hh-FVnSX0vozXhGluamEcS54Dw9_zqW0N7qJUWgJ0Sw/edit?usp=sharing"",""ชัยนาท!R542"")+IMPORTRANGE(""https://docs.google.com/spreadsheets/d/1jkqa6GXxSacMcY1eN8AHjMNJ_7dDXMJ"&amp;"VRLDlaFSOdPM/edit?usp=sharing"",""ตราด!R542"")+IMPORTRANGE(""https://docs.google.com/spreadsheets/d/18hSgUJ3VwClqi_qtULmmW3cLr0oe3OKaSYoKzdpTsYQ/edit?usp=sharing"",""นครนายก!R542"")+IMPORTRANGE(""https://docs.google.com/spreadsheets/d/1YTZo6WM2dQ6Ix6FSdnL"&amp;"5P7uVnVKu40sxZu975tgG10E/edit?usp=sharing"",""นครปฐม!R542"")+IMPORTRANGE(""https://docs.google.com/spreadsheets/d/1OYoGg4WDg5RIzwGeB10padOxJF9E_Vljuvvct_M7RDo/edit?usp=sharing"",""ปทุมธานี!R542"")+IMPORTRANGE(""https://docs.google.com/spreadsheets/d/1GbCI"&amp;"E4D4wk9FUozzqk7SxfDMxDVBwVmI5zcaVUSzKAc/edit?usp=sharing"",""ประจวบคีรีขันธ์!R542"")+IMPORTRANGE(""https://docs.google.com/spreadsheets/d/1vVf6wykvW_lAyu7Yo9L4hUTqHqIeP_qcVuxCtosJEbg/edit?usp=sharing"",""ปราจีนบุรี!R542"")+IMPORTRANGE(""https://docs.googl"&amp;"e.com/spreadsheets/d/1BIDqLLg5jk3v59G8NlR8rk5xfQDKne0sAvZHSj7TI6I/edit?usp=sharing"",""พระนครศรีอยุธยา!R542"")+IMPORTRANGE(""https://docs.google.com/spreadsheets/d/1YXvxf8Yu6_rV4hTBrwMqAcAnv6DfhUxh5emyM3CJp_w/edit?usp=sharing"",""เพชรบุรี!R542"")+IMPORTRA"&amp;"NGE(""https://docs.google.com/spreadsheets/d/19KBlQQs7uwvsao6t2n-KvW3Ax8J8uRRfZPq1zPbXgKc/edit?usp=sharing"",""ระยอง!R542"")+IMPORTRANGE(""https://docs.google.com/spreadsheets/d/1jQ6P4QcrGM89YfqcC_PxOHGCMq5ezhucwJd8ci-NHng/edit?usp=sharing"",""ราชบุรี!R54"&amp;"2"")+IMPORTRANGE(""https://docs.google.com/spreadsheets/d/1lufeA2cfFqM-elVq2hznhDzC6Pr7wkJ9ZG_sYNGCMCU/edit?usp=sharing"",""ลพบุรี!R542"")+IMPORTRANGE(""https://docs.google.com/spreadsheets/d/10oOiF7loTyfsTkbd4MpaIm0HQ9SwB7IYHdIUvt-U1Uc/edit?usp=sharing"""&amp;",""สระแก้ว!R542"")+IMPORTRANGE(""https://docs.google.com/spreadsheets/d/1xmPlrr1QbdSIKvl1dWUl9K4PjAfSL9oeMr_37QVzcxc/edit?usp=sharing"",""สระบุรี!R542"")+IMPORTRANGE(""https://docs.google.com/spreadsheets/d/1j51vR6CYVGhABJpv6tkstgok82RLpXieLzW1yOY5rHw/edi"&amp;"t?usp=sharing"",""สิงห์บุรี!R542"")+IMPORTRANGE(""https://docs.google.com/spreadsheets/d/1H1EalTWKUSzO4Z1-1CwzoDUaVffgrThEBe2sl74kKG0/edit?usp=sharing"",""สุพรรณบุรี!R542"")+IMPORTRANGE(""https://docs.google.com/spreadsheets/d/1BmIruG_sIrJLYao_Pdr7zVArWsf"&amp;"oBt2692TMi6x_854/edit?usp=sharing"",""อ่างทอง!R542"")"),0)</f>
        <v>0</v>
      </c>
      <c r="S542" s="72">
        <f ca="1">IFERROR(__xludf.DUMMYFUNCTION("IMPORTRANGE(""https://docs.google.com/spreadsheets/d/13wPX838HrBrQMCywv1BsuMkt4PEKTChp52zj44s2izQ/edit?usp=sharing"",""กาญจนบุรี!S542"")+IMPORTRANGE(""https://docs.google.com/spreadsheets/d/1ddFKvqj1W1NEiWytbGlB1zMx_ykJDVtmfEQ-6-lIUBA/edit?usp=sharing"","&amp;"""จันทบุรี!S542"")+IMPORTRANGE(""https://docs.google.com/spreadsheets/d/1T1PQvRODqOBZk8BRht_U031fIS1beLA0Ub2CEytj2q0/edit?usp=sharing"",""ฉะเชิงเทรา!S542"")+IMPORTRANGE(""https://docs.google.com/spreadsheets/d/11tr1B-Bhyr79v2bkwVh5h_fR-PStkgjlZtkrZpYurG0/"&amp;"edit?usp=sharing"",""ชลบุรี!S542"")+IMPORTRANGE(""https://docs.google.com/spreadsheets/d/1hh-FVnSX0vozXhGluamEcS54Dw9_zqW0N7qJUWgJ0Sw/edit?usp=sharing"",""ชัยนาท!S542"")+IMPORTRANGE(""https://docs.google.com/spreadsheets/d/1jkqa6GXxSacMcY1eN8AHjMNJ_7dDXMJ"&amp;"VRLDlaFSOdPM/edit?usp=sharing"",""ตราด!S542"")+IMPORTRANGE(""https://docs.google.com/spreadsheets/d/18hSgUJ3VwClqi_qtULmmW3cLr0oe3OKaSYoKzdpTsYQ/edit?usp=sharing"",""นครนายก!S542"")+IMPORTRANGE(""https://docs.google.com/spreadsheets/d/1YTZo6WM2dQ6Ix6FSdnL"&amp;"5P7uVnVKu40sxZu975tgG10E/edit?usp=sharing"",""นครปฐม!S542"")+IMPORTRANGE(""https://docs.google.com/spreadsheets/d/1OYoGg4WDg5RIzwGeB10padOxJF9E_Vljuvvct_M7RDo/edit?usp=sharing"",""ปทุมธานี!S542"")+IMPORTRANGE(""https://docs.google.com/spreadsheets/d/1GbCI"&amp;"E4D4wk9FUozzqk7SxfDMxDVBwVmI5zcaVUSzKAc/edit?usp=sharing"",""ประจวบคีรีขันธ์!S542"")+IMPORTRANGE(""https://docs.google.com/spreadsheets/d/1vVf6wykvW_lAyu7Yo9L4hUTqHqIeP_qcVuxCtosJEbg/edit?usp=sharing"",""ปราจีนบุรี!S542"")+IMPORTRANGE(""https://docs.googl"&amp;"e.com/spreadsheets/d/1BIDqLLg5jk3v59G8NlR8rk5xfQDKne0sAvZHSj7TI6I/edit?usp=sharing"",""พระนครศรีอยุธยา!S542"")+IMPORTRANGE(""https://docs.google.com/spreadsheets/d/1YXvxf8Yu6_rV4hTBrwMqAcAnv6DfhUxh5emyM3CJp_w/edit?usp=sharing"",""เพชรบุรี!S542"")+IMPORTRA"&amp;"NGE(""https://docs.google.com/spreadsheets/d/19KBlQQs7uwvsao6t2n-KvW3Ax8J8uRRfZPq1zPbXgKc/edit?usp=sharing"",""ระยอง!S542"")+IMPORTRANGE(""https://docs.google.com/spreadsheets/d/1jQ6P4QcrGM89YfqcC_PxOHGCMq5ezhucwJd8ci-NHng/edit?usp=sharing"",""ราชบุรี!S54"&amp;"2"")+IMPORTRANGE(""https://docs.google.com/spreadsheets/d/1lufeA2cfFqM-elVq2hznhDzC6Pr7wkJ9ZG_sYNGCMCU/edit?usp=sharing"",""ลพบุรี!S542"")+IMPORTRANGE(""https://docs.google.com/spreadsheets/d/10oOiF7loTyfsTkbd4MpaIm0HQ9SwB7IYHdIUvt-U1Uc/edit?usp=sharing"""&amp;",""สระแก้ว!S542"")+IMPORTRANGE(""https://docs.google.com/spreadsheets/d/1xmPlrr1QbdSIKvl1dWUl9K4PjAfSL9oeMr_37QVzcxc/edit?usp=sharing"",""สระบุรี!S542"")+IMPORTRANGE(""https://docs.google.com/spreadsheets/d/1j51vR6CYVGhABJpv6tkstgok82RLpXieLzW1yOY5rHw/edi"&amp;"t?usp=sharing"",""สิงห์บุรี!S542"")+IMPORTRANGE(""https://docs.google.com/spreadsheets/d/1H1EalTWKUSzO4Z1-1CwzoDUaVffgrThEBe2sl74kKG0/edit?usp=sharing"",""สุพรรณบุรี!S542"")+IMPORTRANGE(""https://docs.google.com/spreadsheets/d/1BmIruG_sIrJLYao_Pdr7zVArWsf"&amp;"oBt2692TMi6x_854/edit?usp=sharing"",""อ่างทอง!S542"")"),0)</f>
        <v>0</v>
      </c>
      <c r="T542" s="130">
        <f t="shared" ca="1" si="374"/>
        <v>0</v>
      </c>
      <c r="U542" s="130">
        <f t="shared" ca="1" si="375"/>
        <v>0</v>
      </c>
    </row>
    <row r="543" spans="1:21" ht="19.5" hidden="1" x14ac:dyDescent="0.3">
      <c r="A543" s="274"/>
      <c r="B543" s="275"/>
      <c r="C543" s="668" t="s">
        <v>18</v>
      </c>
      <c r="D543" s="277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8.75" hidden="1" x14ac:dyDescent="0.25">
      <c r="A544" s="669"/>
      <c r="B544" s="427"/>
      <c r="C544" s="425"/>
      <c r="D544" s="540" t="s">
        <v>210</v>
      </c>
      <c r="E544" s="425"/>
      <c r="F544" s="427"/>
      <c r="G544" s="428"/>
      <c r="H544" s="670" t="s">
        <v>61</v>
      </c>
      <c r="I544" s="431">
        <v>0</v>
      </c>
      <c r="J544" s="431">
        <v>0</v>
      </c>
      <c r="K544" s="671">
        <f>IF(I544&gt;0,J544*100/I544,0)</f>
        <v>0</v>
      </c>
      <c r="L544" s="384"/>
      <c r="M544" s="384"/>
      <c r="N544" s="384"/>
      <c r="O544" s="384"/>
      <c r="P544" s="384"/>
      <c r="Q544" s="384"/>
      <c r="R544" s="384"/>
      <c r="S544" s="384"/>
      <c r="T544" s="384"/>
      <c r="U544" s="38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4"/>
      <c r="M545" s="574"/>
      <c r="N545" s="574"/>
      <c r="O545" s="574"/>
      <c r="P545" s="574"/>
      <c r="Q545" s="575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4"/>
      <c r="M546" s="574"/>
      <c r="N546" s="574"/>
      <c r="O546" s="574"/>
      <c r="P546" s="574"/>
      <c r="Q546" s="575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4"/>
      <c r="M547" s="574"/>
      <c r="N547" s="574"/>
      <c r="O547" s="574"/>
      <c r="P547" s="574"/>
      <c r="Q547" s="575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4"/>
      <c r="M548" s="574"/>
      <c r="N548" s="574"/>
      <c r="O548" s="574"/>
      <c r="P548" s="574"/>
      <c r="Q548" s="575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4"/>
      <c r="M549" s="574"/>
      <c r="N549" s="574"/>
      <c r="O549" s="574"/>
      <c r="P549" s="574"/>
      <c r="Q549" s="575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4"/>
      <c r="M550" s="574"/>
      <c r="N550" s="574"/>
      <c r="O550" s="574"/>
      <c r="P550" s="574"/>
      <c r="Q550" s="575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4"/>
      <c r="M551" s="574"/>
      <c r="N551" s="574"/>
      <c r="O551" s="574"/>
      <c r="P551" s="574"/>
      <c r="Q551" s="575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4"/>
      <c r="M552" s="574"/>
      <c r="N552" s="574"/>
      <c r="O552" s="574"/>
      <c r="P552" s="574"/>
      <c r="Q552" s="575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79"/>
      <c r="M553" s="579"/>
      <c r="N553" s="579"/>
      <c r="O553" s="579"/>
      <c r="P553" s="579"/>
      <c r="Q553" s="580"/>
      <c r="R553" s="579"/>
      <c r="S553" s="579"/>
      <c r="T553" s="579"/>
      <c r="U553" s="579"/>
    </row>
    <row r="554" spans="1:21" ht="19.5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666">
        <f t="shared" ref="I554:J554" ca="1" si="384">I565</f>
        <v>7</v>
      </c>
      <c r="J554" s="666">
        <f t="shared" ca="1" si="384"/>
        <v>3</v>
      </c>
      <c r="K554" s="667">
        <f ca="1">IF(I554&gt;0,J554*100/I554,0)</f>
        <v>42.857142857142854</v>
      </c>
      <c r="L554" s="643"/>
      <c r="M554" s="643"/>
      <c r="N554" s="643"/>
      <c r="O554" s="643"/>
      <c r="P554" s="643"/>
      <c r="Q554" s="642"/>
      <c r="R554" s="643"/>
      <c r="S554" s="643"/>
      <c r="T554" s="643"/>
      <c r="U554" s="643"/>
    </row>
    <row r="555" spans="1:21" ht="19.5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t="shared" ref="L555:N555" ca="1" si="385">L556+L557</f>
        <v>7199600</v>
      </c>
      <c r="M555" s="262">
        <f t="shared" ca="1" si="385"/>
        <v>5867638</v>
      </c>
      <c r="N555" s="262">
        <f t="shared" ca="1" si="385"/>
        <v>4690138</v>
      </c>
      <c r="O555" s="262">
        <f t="shared" ref="O555:O563" ca="1" si="386">IF(L555&gt;0,N555*100/L555,0)</f>
        <v>65.144424690260564</v>
      </c>
      <c r="P555" s="262">
        <f t="shared" ref="P555:P563" ca="1" si="387">IF(M555&gt;0,N555*100/M555,0)</f>
        <v>79.932299845355146</v>
      </c>
      <c r="Q555" s="212">
        <f t="shared" ref="Q555:S555" ca="1" si="388">Q556+Q557</f>
        <v>0</v>
      </c>
      <c r="R555" s="213">
        <f t="shared" ca="1" si="388"/>
        <v>0</v>
      </c>
      <c r="S555" s="213">
        <f t="shared" ca="1" si="388"/>
        <v>0</v>
      </c>
      <c r="T555" s="213">
        <f t="shared" ref="T555:T563" ca="1" si="389">IF(Q555&gt;0,S555*100/Q555,0)</f>
        <v>0</v>
      </c>
      <c r="U555" s="213">
        <f t="shared" ref="U555:U563" ca="1" si="39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 t="shared" ref="L556:N556" ca="1" si="391">L559+L562</f>
        <v>0</v>
      </c>
      <c r="M556" s="75">
        <f t="shared" ca="1" si="391"/>
        <v>0</v>
      </c>
      <c r="N556" s="75">
        <f t="shared" ca="1" si="391"/>
        <v>0</v>
      </c>
      <c r="O556" s="75">
        <f t="shared" ca="1" si="386"/>
        <v>0</v>
      </c>
      <c r="P556" s="75">
        <f t="shared" ca="1" si="387"/>
        <v>0</v>
      </c>
      <c r="Q556" s="215">
        <f t="shared" ref="Q556:S556" ca="1" si="392">Q559+Q562</f>
        <v>0</v>
      </c>
      <c r="R556" s="131">
        <f t="shared" ca="1" si="392"/>
        <v>0</v>
      </c>
      <c r="S556" s="131">
        <f t="shared" ca="1" si="392"/>
        <v>0</v>
      </c>
      <c r="T556" s="131">
        <f t="shared" ca="1" si="389"/>
        <v>0</v>
      </c>
      <c r="U556" s="131">
        <f t="shared" ca="1" si="39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2">
        <f t="shared" ref="L557:N557" ca="1" si="393">L560+L563</f>
        <v>7199600</v>
      </c>
      <c r="M557" s="72">
        <f t="shared" ca="1" si="393"/>
        <v>5867638</v>
      </c>
      <c r="N557" s="72">
        <f t="shared" ca="1" si="393"/>
        <v>4690138</v>
      </c>
      <c r="O557" s="72">
        <f t="shared" ca="1" si="386"/>
        <v>65.144424690260564</v>
      </c>
      <c r="P557" s="72">
        <f t="shared" ca="1" si="387"/>
        <v>79.932299845355146</v>
      </c>
      <c r="Q557" s="129">
        <f t="shared" ref="Q557:S557" ca="1" si="394">Q560+Q563</f>
        <v>0</v>
      </c>
      <c r="R557" s="130">
        <f t="shared" ca="1" si="394"/>
        <v>0</v>
      </c>
      <c r="S557" s="130">
        <f t="shared" ca="1" si="394"/>
        <v>0</v>
      </c>
      <c r="T557" s="130">
        <f t="shared" ca="1" si="389"/>
        <v>0</v>
      </c>
      <c r="U557" s="130">
        <f t="shared" ca="1" si="390"/>
        <v>0</v>
      </c>
    </row>
    <row r="558" spans="1:21" ht="18.75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t="shared" ref="L558:N558" ca="1" si="395">L559+L560</f>
        <v>0</v>
      </c>
      <c r="M558" s="72">
        <f t="shared" ca="1" si="395"/>
        <v>0</v>
      </c>
      <c r="N558" s="72">
        <f t="shared" ca="1" si="395"/>
        <v>0</v>
      </c>
      <c r="O558" s="72">
        <f t="shared" ca="1" si="386"/>
        <v>0</v>
      </c>
      <c r="P558" s="72">
        <f t="shared" ca="1" si="387"/>
        <v>0</v>
      </c>
      <c r="Q558" s="129">
        <f t="shared" ref="Q558:S558" ca="1" si="396">Q559+Q560</f>
        <v>0</v>
      </c>
      <c r="R558" s="130">
        <f t="shared" ca="1" si="396"/>
        <v>0</v>
      </c>
      <c r="S558" s="130">
        <f t="shared" ca="1" si="396"/>
        <v>0</v>
      </c>
      <c r="T558" s="130">
        <f t="shared" ca="1" si="389"/>
        <v>0</v>
      </c>
      <c r="U558" s="130">
        <f t="shared" ca="1" si="39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f ca="1">IFERROR(__xludf.DUMMYFUNCTION("IMPORTRANGE(""https://docs.google.com/spreadsheets/d/13wPX838HrBrQMCywv1BsuMkt4PEKTChp52zj44s2izQ/edit?usp=sharing"",""กาญจนบุรี!L559"")+IMPORTRANGE(""https://docs.google.com/spreadsheets/d/1ddFKvqj1W1NEiWytbGlB1zMx_ykJDVtmfEQ-6-lIUBA/edit?usp=sharing"","&amp;"""จันทบุรี!L559"")+IMPORTRANGE(""https://docs.google.com/spreadsheets/d/1T1PQvRODqOBZk8BRht_U031fIS1beLA0Ub2CEytj2q0/edit?usp=sharing"",""ฉะเชิงเทรา!L559"")+IMPORTRANGE(""https://docs.google.com/spreadsheets/d/11tr1B-Bhyr79v2bkwVh5h_fR-PStkgjlZtkrZpYurG0/"&amp;"edit?usp=sharing"",""ชลบุรี!L559"")+IMPORTRANGE(""https://docs.google.com/spreadsheets/d/1hh-FVnSX0vozXhGluamEcS54Dw9_zqW0N7qJUWgJ0Sw/edit?usp=sharing"",""ชัยนาท!L559"")+IMPORTRANGE(""https://docs.google.com/spreadsheets/d/1jkqa6GXxSacMcY1eN8AHjMNJ_7dDXMJ"&amp;"VRLDlaFSOdPM/edit?usp=sharing"",""ตราด!L559"")+IMPORTRANGE(""https://docs.google.com/spreadsheets/d/18hSgUJ3VwClqi_qtULmmW3cLr0oe3OKaSYoKzdpTsYQ/edit?usp=sharing"",""นครนายก!L559"")+IMPORTRANGE(""https://docs.google.com/spreadsheets/d/1YTZo6WM2dQ6Ix6FSdnL"&amp;"5P7uVnVKu40sxZu975tgG10E/edit?usp=sharing"",""นครปฐม!L559"")+IMPORTRANGE(""https://docs.google.com/spreadsheets/d/1OYoGg4WDg5RIzwGeB10padOxJF9E_Vljuvvct_M7RDo/edit?usp=sharing"",""ปทุมธานี!L559"")+IMPORTRANGE(""https://docs.google.com/spreadsheets/d/1GbCI"&amp;"E4D4wk9FUozzqk7SxfDMxDVBwVmI5zcaVUSzKAc/edit?usp=sharing"",""ประจวบคีรีขันธ์!L559"")+IMPORTRANGE(""https://docs.google.com/spreadsheets/d/1vVf6wykvW_lAyu7Yo9L4hUTqHqIeP_qcVuxCtosJEbg/edit?usp=sharing"",""ปราจีนบุรี!L559"")+IMPORTRANGE(""https://docs.googl"&amp;"e.com/spreadsheets/d/1BIDqLLg5jk3v59G8NlR8rk5xfQDKne0sAvZHSj7TI6I/edit?usp=sharing"",""พระนครศรีอยุธยา!L559"")+IMPORTRANGE(""https://docs.google.com/spreadsheets/d/1YXvxf8Yu6_rV4hTBrwMqAcAnv6DfhUxh5emyM3CJp_w/edit?usp=sharing"",""เพชรบุรี!L559"")+IMPORTRA"&amp;"NGE(""https://docs.google.com/spreadsheets/d/19KBlQQs7uwvsao6t2n-KvW3Ax8J8uRRfZPq1zPbXgKc/edit?usp=sharing"",""ระยอง!L559"")+IMPORTRANGE(""https://docs.google.com/spreadsheets/d/1jQ6P4QcrGM89YfqcC_PxOHGCMq5ezhucwJd8ci-NHng/edit?usp=sharing"",""ราชบุรี!L55"&amp;"9"")+IMPORTRANGE(""https://docs.google.com/spreadsheets/d/1lufeA2cfFqM-elVq2hznhDzC6Pr7wkJ9ZG_sYNGCMCU/edit?usp=sharing"",""ลพบุรี!L559"")+IMPORTRANGE(""https://docs.google.com/spreadsheets/d/10oOiF7loTyfsTkbd4MpaIm0HQ9SwB7IYHdIUvt-U1Uc/edit?usp=sharing"""&amp;",""สระแก้ว!L559"")+IMPORTRANGE(""https://docs.google.com/spreadsheets/d/1xmPlrr1QbdSIKvl1dWUl9K4PjAfSL9oeMr_37QVzcxc/edit?usp=sharing"",""สระบุรี!L559"")+IMPORTRANGE(""https://docs.google.com/spreadsheets/d/1j51vR6CYVGhABJpv6tkstgok82RLpXieLzW1yOY5rHw/edi"&amp;"t?usp=sharing"",""สิงห์บุรี!L559"")+IMPORTRANGE(""https://docs.google.com/spreadsheets/d/1H1EalTWKUSzO4Z1-1CwzoDUaVffgrThEBe2sl74kKG0/edit?usp=sharing"",""สุพรรณบุรี!L559"")+IMPORTRANGE(""https://docs.google.com/spreadsheets/d/1BmIruG_sIrJLYao_Pdr7zVArWsf"&amp;"oBt2692TMi6x_854/edit?usp=sharing"",""อ่างทอง!L559"")"),0)</f>
        <v>0</v>
      </c>
      <c r="M559" s="75">
        <f ca="1">IFERROR(__xludf.DUMMYFUNCTION("IMPORTRANGE(""https://docs.google.com/spreadsheets/d/13wPX838HrBrQMCywv1BsuMkt4PEKTChp52zj44s2izQ/edit?usp=sharing"",""กาญจนบุรี!M559"")+IMPORTRANGE(""https://docs.google.com/spreadsheets/d/1ddFKvqj1W1NEiWytbGlB1zMx_ykJDVtmfEQ-6-lIUBA/edit?usp=sharing"","&amp;"""จันทบุรี!M559"")+IMPORTRANGE(""https://docs.google.com/spreadsheets/d/1T1PQvRODqOBZk8BRht_U031fIS1beLA0Ub2CEytj2q0/edit?usp=sharing"",""ฉะเชิงเทรา!M559"")+IMPORTRANGE(""https://docs.google.com/spreadsheets/d/11tr1B-Bhyr79v2bkwVh5h_fR-PStkgjlZtkrZpYurG0/"&amp;"edit?usp=sharing"",""ชลบุรี!M559"")+IMPORTRANGE(""https://docs.google.com/spreadsheets/d/1hh-FVnSX0vozXhGluamEcS54Dw9_zqW0N7qJUWgJ0Sw/edit?usp=sharing"",""ชัยนาท!M559"")+IMPORTRANGE(""https://docs.google.com/spreadsheets/d/1jkqa6GXxSacMcY1eN8AHjMNJ_7dDXMJ"&amp;"VRLDlaFSOdPM/edit?usp=sharing"",""ตราด!M559"")+IMPORTRANGE(""https://docs.google.com/spreadsheets/d/18hSgUJ3VwClqi_qtULmmW3cLr0oe3OKaSYoKzdpTsYQ/edit?usp=sharing"",""นครนายก!M559"")+IMPORTRANGE(""https://docs.google.com/spreadsheets/d/1YTZo6WM2dQ6Ix6FSdnL"&amp;"5P7uVnVKu40sxZu975tgG10E/edit?usp=sharing"",""นครปฐม!M559"")+IMPORTRANGE(""https://docs.google.com/spreadsheets/d/1OYoGg4WDg5RIzwGeB10padOxJF9E_Vljuvvct_M7RDo/edit?usp=sharing"",""ปทุมธานี!M559"")+IMPORTRANGE(""https://docs.google.com/spreadsheets/d/1GbCI"&amp;"E4D4wk9FUozzqk7SxfDMxDVBwVmI5zcaVUSzKAc/edit?usp=sharing"",""ประจวบคีรีขันธ์!M559"")+IMPORTRANGE(""https://docs.google.com/spreadsheets/d/1vVf6wykvW_lAyu7Yo9L4hUTqHqIeP_qcVuxCtosJEbg/edit?usp=sharing"",""ปราจีนบุรี!M559"")+IMPORTRANGE(""https://docs.googl"&amp;"e.com/spreadsheets/d/1BIDqLLg5jk3v59G8NlR8rk5xfQDKne0sAvZHSj7TI6I/edit?usp=sharing"",""พระนครศรีอยุธยา!M559"")+IMPORTRANGE(""https://docs.google.com/spreadsheets/d/1YXvxf8Yu6_rV4hTBrwMqAcAnv6DfhUxh5emyM3CJp_w/edit?usp=sharing"",""เพชรบุรี!M559"")+IMPORTRA"&amp;"NGE(""https://docs.google.com/spreadsheets/d/19KBlQQs7uwvsao6t2n-KvW3Ax8J8uRRfZPq1zPbXgKc/edit?usp=sharing"",""ระยอง!M559"")+IMPORTRANGE(""https://docs.google.com/spreadsheets/d/1jQ6P4QcrGM89YfqcC_PxOHGCMq5ezhucwJd8ci-NHng/edit?usp=sharing"",""ราชบุรี!M55"&amp;"9"")+IMPORTRANGE(""https://docs.google.com/spreadsheets/d/1lufeA2cfFqM-elVq2hznhDzC6Pr7wkJ9ZG_sYNGCMCU/edit?usp=sharing"",""ลพบุรี!M559"")+IMPORTRANGE(""https://docs.google.com/spreadsheets/d/10oOiF7loTyfsTkbd4MpaIm0HQ9SwB7IYHdIUvt-U1Uc/edit?usp=sharing"""&amp;",""สระแก้ว!M559"")+IMPORTRANGE(""https://docs.google.com/spreadsheets/d/1xmPlrr1QbdSIKvl1dWUl9K4PjAfSL9oeMr_37QVzcxc/edit?usp=sharing"",""สระบุรี!M559"")+IMPORTRANGE(""https://docs.google.com/spreadsheets/d/1j51vR6CYVGhABJpv6tkstgok82RLpXieLzW1yOY5rHw/edi"&amp;"t?usp=sharing"",""สิงห์บุรี!M559"")+IMPORTRANGE(""https://docs.google.com/spreadsheets/d/1H1EalTWKUSzO4Z1-1CwzoDUaVffgrThEBe2sl74kKG0/edit?usp=sharing"",""สุพรรณบุรี!M559"")+IMPORTRANGE(""https://docs.google.com/spreadsheets/d/1BmIruG_sIrJLYao_Pdr7zVArWsf"&amp;"oBt2692TMi6x_854/edit?usp=sharing"",""อ่างทอง!M559"")"),0)</f>
        <v>0</v>
      </c>
      <c r="N559" s="75">
        <f ca="1">IFERROR(__xludf.DUMMYFUNCTION("IMPORTRANGE(""https://docs.google.com/spreadsheets/d/13wPX838HrBrQMCywv1BsuMkt4PEKTChp52zj44s2izQ/edit?usp=sharing"",""กาญจนบุรี!N559"")+IMPORTRANGE(""https://docs.google.com/spreadsheets/d/1ddFKvqj1W1NEiWytbGlB1zMx_ykJDVtmfEQ-6-lIUBA/edit?usp=sharing"","&amp;"""จันทบุรี!N559"")+IMPORTRANGE(""https://docs.google.com/spreadsheets/d/1T1PQvRODqOBZk8BRht_U031fIS1beLA0Ub2CEytj2q0/edit?usp=sharing"",""ฉะเชิงเทรา!N559"")+IMPORTRANGE(""https://docs.google.com/spreadsheets/d/11tr1B-Bhyr79v2bkwVh5h_fR-PStkgjlZtkrZpYurG0/"&amp;"edit?usp=sharing"",""ชลบุรี!N559"")+IMPORTRANGE(""https://docs.google.com/spreadsheets/d/1hh-FVnSX0vozXhGluamEcS54Dw9_zqW0N7qJUWgJ0Sw/edit?usp=sharing"",""ชัยนาท!N559"")+IMPORTRANGE(""https://docs.google.com/spreadsheets/d/1jkqa6GXxSacMcY1eN8AHjMNJ_7dDXMJ"&amp;"VRLDlaFSOdPM/edit?usp=sharing"",""ตราด!N559"")+IMPORTRANGE(""https://docs.google.com/spreadsheets/d/18hSgUJ3VwClqi_qtULmmW3cLr0oe3OKaSYoKzdpTsYQ/edit?usp=sharing"",""นครนายก!N559"")+IMPORTRANGE(""https://docs.google.com/spreadsheets/d/1YTZo6WM2dQ6Ix6FSdnL"&amp;"5P7uVnVKu40sxZu975tgG10E/edit?usp=sharing"",""นครปฐม!N559"")+IMPORTRANGE(""https://docs.google.com/spreadsheets/d/1OYoGg4WDg5RIzwGeB10padOxJF9E_Vljuvvct_M7RDo/edit?usp=sharing"",""ปทุมธานี!N559"")+IMPORTRANGE(""https://docs.google.com/spreadsheets/d/1GbCI"&amp;"E4D4wk9FUozzqk7SxfDMxDVBwVmI5zcaVUSzKAc/edit?usp=sharing"",""ประจวบคีรีขันธ์!N559"")+IMPORTRANGE(""https://docs.google.com/spreadsheets/d/1vVf6wykvW_lAyu7Yo9L4hUTqHqIeP_qcVuxCtosJEbg/edit?usp=sharing"",""ปราจีนบุรี!N559"")+IMPORTRANGE(""https://docs.googl"&amp;"e.com/spreadsheets/d/1BIDqLLg5jk3v59G8NlR8rk5xfQDKne0sAvZHSj7TI6I/edit?usp=sharing"",""พระนครศรีอยุธยา!N559"")+IMPORTRANGE(""https://docs.google.com/spreadsheets/d/1YXvxf8Yu6_rV4hTBrwMqAcAnv6DfhUxh5emyM3CJp_w/edit?usp=sharing"",""เพชรบุรี!N559"")+IMPORTRA"&amp;"NGE(""https://docs.google.com/spreadsheets/d/19KBlQQs7uwvsao6t2n-KvW3Ax8J8uRRfZPq1zPbXgKc/edit?usp=sharing"",""ระยอง!N559"")+IMPORTRANGE(""https://docs.google.com/spreadsheets/d/1jQ6P4QcrGM89YfqcC_PxOHGCMq5ezhucwJd8ci-NHng/edit?usp=sharing"",""ราชบุรี!N55"&amp;"9"")+IMPORTRANGE(""https://docs.google.com/spreadsheets/d/1lufeA2cfFqM-elVq2hznhDzC6Pr7wkJ9ZG_sYNGCMCU/edit?usp=sharing"",""ลพบุรี!N559"")+IMPORTRANGE(""https://docs.google.com/spreadsheets/d/10oOiF7loTyfsTkbd4MpaIm0HQ9SwB7IYHdIUvt-U1Uc/edit?usp=sharing"""&amp;",""สระแก้ว!N559"")+IMPORTRANGE(""https://docs.google.com/spreadsheets/d/1xmPlrr1QbdSIKvl1dWUl9K4PjAfSL9oeMr_37QVzcxc/edit?usp=sharing"",""สระบุรี!N559"")+IMPORTRANGE(""https://docs.google.com/spreadsheets/d/1j51vR6CYVGhABJpv6tkstgok82RLpXieLzW1yOY5rHw/edi"&amp;"t?usp=sharing"",""สิงห์บุรี!N559"")+IMPORTRANGE(""https://docs.google.com/spreadsheets/d/1H1EalTWKUSzO4Z1-1CwzoDUaVffgrThEBe2sl74kKG0/edit?usp=sharing"",""สุพรรณบุรี!N559"")+IMPORTRANGE(""https://docs.google.com/spreadsheets/d/1BmIruG_sIrJLYao_Pdr7zVArWsf"&amp;"oBt2692TMi6x_854/edit?usp=sharing"",""อ่างทอง!N559"")"),0)</f>
        <v>0</v>
      </c>
      <c r="O559" s="75">
        <f t="shared" ca="1" si="386"/>
        <v>0</v>
      </c>
      <c r="P559" s="75">
        <f t="shared" ca="1" si="387"/>
        <v>0</v>
      </c>
      <c r="Q559" s="74">
        <f ca="1">IFERROR(__xludf.DUMMYFUNCTION("IMPORTRANGE(""https://docs.google.com/spreadsheets/d/13wPX838HrBrQMCywv1BsuMkt4PEKTChp52zj44s2izQ/edit?usp=sharing"",""กาญจนบุรี!Q559"")+IMPORTRANGE(""https://docs.google.com/spreadsheets/d/1ddFKvqj1W1NEiWytbGlB1zMx_ykJDVtmfEQ-6-lIUBA/edit?usp=sharing"","&amp;"""จันทบุรี!Q559"")+IMPORTRANGE(""https://docs.google.com/spreadsheets/d/1T1PQvRODqOBZk8BRht_U031fIS1beLA0Ub2CEytj2q0/edit?usp=sharing"",""ฉะเชิงเทรา!Q559"")+IMPORTRANGE(""https://docs.google.com/spreadsheets/d/11tr1B-Bhyr79v2bkwVh5h_fR-PStkgjlZtkrZpYurG0/"&amp;"edit?usp=sharing"",""ชลบุรี!Q559"")+IMPORTRANGE(""https://docs.google.com/spreadsheets/d/1hh-FVnSX0vozXhGluamEcS54Dw9_zqW0N7qJUWgJ0Sw/edit?usp=sharing"",""ชัยนาท!Q559"")+IMPORTRANGE(""https://docs.google.com/spreadsheets/d/1jkqa6GXxSacMcY1eN8AHjMNJ_7dDXMJ"&amp;"VRLDlaFSOdPM/edit?usp=sharing"",""ตราด!Q559"")+IMPORTRANGE(""https://docs.google.com/spreadsheets/d/18hSgUJ3VwClqi_qtULmmW3cLr0oe3OKaSYoKzdpTsYQ/edit?usp=sharing"",""นครนายก!Q559"")+IMPORTRANGE(""https://docs.google.com/spreadsheets/d/1YTZo6WM2dQ6Ix6FSdnL"&amp;"5P7uVnVKu40sxZu975tgG10E/edit?usp=sharing"",""นครปฐม!Q559"")+IMPORTRANGE(""https://docs.google.com/spreadsheets/d/1OYoGg4WDg5RIzwGeB10padOxJF9E_Vljuvvct_M7RDo/edit?usp=sharing"",""ปทุมธานี!Q559"")+IMPORTRANGE(""https://docs.google.com/spreadsheets/d/1GbCI"&amp;"E4D4wk9FUozzqk7SxfDMxDVBwVmI5zcaVUSzKAc/edit?usp=sharing"",""ประจวบคีรีขันธ์!Q559"")+IMPORTRANGE(""https://docs.google.com/spreadsheets/d/1vVf6wykvW_lAyu7Yo9L4hUTqHqIeP_qcVuxCtosJEbg/edit?usp=sharing"",""ปราจีนบุรี!Q559"")+IMPORTRANGE(""https://docs.googl"&amp;"e.com/spreadsheets/d/1BIDqLLg5jk3v59G8NlR8rk5xfQDKne0sAvZHSj7TI6I/edit?usp=sharing"",""พระนครศรีอยุธยา!Q559"")+IMPORTRANGE(""https://docs.google.com/spreadsheets/d/1YXvxf8Yu6_rV4hTBrwMqAcAnv6DfhUxh5emyM3CJp_w/edit?usp=sharing"",""เพชรบุรี!Q559"")+IMPORTRA"&amp;"NGE(""https://docs.google.com/spreadsheets/d/19KBlQQs7uwvsao6t2n-KvW3Ax8J8uRRfZPq1zPbXgKc/edit?usp=sharing"",""ระยอง!Q559"")+IMPORTRANGE(""https://docs.google.com/spreadsheets/d/1jQ6P4QcrGM89YfqcC_PxOHGCMq5ezhucwJd8ci-NHng/edit?usp=sharing"",""ราชบุรี!Q55"&amp;"9"")+IMPORTRANGE(""https://docs.google.com/spreadsheets/d/1lufeA2cfFqM-elVq2hznhDzC6Pr7wkJ9ZG_sYNGCMCU/edit?usp=sharing"",""ลพบุรี!Q559"")+IMPORTRANGE(""https://docs.google.com/spreadsheets/d/10oOiF7loTyfsTkbd4MpaIm0HQ9SwB7IYHdIUvt-U1Uc/edit?usp=sharing"""&amp;",""สระแก้ว!Q559"")+IMPORTRANGE(""https://docs.google.com/spreadsheets/d/1xmPlrr1QbdSIKvl1dWUl9K4PjAfSL9oeMr_37QVzcxc/edit?usp=sharing"",""สระบุรี!Q559"")+IMPORTRANGE(""https://docs.google.com/spreadsheets/d/1j51vR6CYVGhABJpv6tkstgok82RLpXieLzW1yOY5rHw/edi"&amp;"t?usp=sharing"",""สิงห์บุรี!Q559"")+IMPORTRANGE(""https://docs.google.com/spreadsheets/d/1H1EalTWKUSzO4Z1-1CwzoDUaVffgrThEBe2sl74kKG0/edit?usp=sharing"",""สุพรรณบุรี!Q559"")+IMPORTRANGE(""https://docs.google.com/spreadsheets/d/1BmIruG_sIrJLYao_Pdr7zVArWsf"&amp;"oBt2692TMi6x_854/edit?usp=sharing"",""อ่างทอง!Q559"")"),0)</f>
        <v>0</v>
      </c>
      <c r="R559" s="75">
        <f ca="1">IFERROR(__xludf.DUMMYFUNCTION("IMPORTRANGE(""https://docs.google.com/spreadsheets/d/13wPX838HrBrQMCywv1BsuMkt4PEKTChp52zj44s2izQ/edit?usp=sharing"",""กาญจนบุรี!R559"")+IMPORTRANGE(""https://docs.google.com/spreadsheets/d/1ddFKvqj1W1NEiWytbGlB1zMx_ykJDVtmfEQ-6-lIUBA/edit?usp=sharing"","&amp;"""จันทบุรี!R559"")+IMPORTRANGE(""https://docs.google.com/spreadsheets/d/1T1PQvRODqOBZk8BRht_U031fIS1beLA0Ub2CEytj2q0/edit?usp=sharing"",""ฉะเชิงเทรา!R559"")+IMPORTRANGE(""https://docs.google.com/spreadsheets/d/11tr1B-Bhyr79v2bkwVh5h_fR-PStkgjlZtkrZpYurG0/"&amp;"edit?usp=sharing"",""ชลบุรี!R559"")+IMPORTRANGE(""https://docs.google.com/spreadsheets/d/1hh-FVnSX0vozXhGluamEcS54Dw9_zqW0N7qJUWgJ0Sw/edit?usp=sharing"",""ชัยนาท!R559"")+IMPORTRANGE(""https://docs.google.com/spreadsheets/d/1jkqa6GXxSacMcY1eN8AHjMNJ_7dDXMJ"&amp;"VRLDlaFSOdPM/edit?usp=sharing"",""ตราด!R559"")+IMPORTRANGE(""https://docs.google.com/spreadsheets/d/18hSgUJ3VwClqi_qtULmmW3cLr0oe3OKaSYoKzdpTsYQ/edit?usp=sharing"",""นครนายก!R559"")+IMPORTRANGE(""https://docs.google.com/spreadsheets/d/1YTZo6WM2dQ6Ix6FSdnL"&amp;"5P7uVnVKu40sxZu975tgG10E/edit?usp=sharing"",""นครปฐม!R559"")+IMPORTRANGE(""https://docs.google.com/spreadsheets/d/1OYoGg4WDg5RIzwGeB10padOxJF9E_Vljuvvct_M7RDo/edit?usp=sharing"",""ปทุมธานี!R559"")+IMPORTRANGE(""https://docs.google.com/spreadsheets/d/1GbCI"&amp;"E4D4wk9FUozzqk7SxfDMxDVBwVmI5zcaVUSzKAc/edit?usp=sharing"",""ประจวบคีรีขันธ์!R559"")+IMPORTRANGE(""https://docs.google.com/spreadsheets/d/1vVf6wykvW_lAyu7Yo9L4hUTqHqIeP_qcVuxCtosJEbg/edit?usp=sharing"",""ปราจีนบุรี!R559"")+IMPORTRANGE(""https://docs.googl"&amp;"e.com/spreadsheets/d/1BIDqLLg5jk3v59G8NlR8rk5xfQDKne0sAvZHSj7TI6I/edit?usp=sharing"",""พระนครศรีอยุธยา!R559"")+IMPORTRANGE(""https://docs.google.com/spreadsheets/d/1YXvxf8Yu6_rV4hTBrwMqAcAnv6DfhUxh5emyM3CJp_w/edit?usp=sharing"",""เพชรบุรี!R559"")+IMPORTRA"&amp;"NGE(""https://docs.google.com/spreadsheets/d/19KBlQQs7uwvsao6t2n-KvW3Ax8J8uRRfZPq1zPbXgKc/edit?usp=sharing"",""ระยอง!R559"")+IMPORTRANGE(""https://docs.google.com/spreadsheets/d/1jQ6P4QcrGM89YfqcC_PxOHGCMq5ezhucwJd8ci-NHng/edit?usp=sharing"",""ราชบุรี!R55"&amp;"9"")+IMPORTRANGE(""https://docs.google.com/spreadsheets/d/1lufeA2cfFqM-elVq2hznhDzC6Pr7wkJ9ZG_sYNGCMCU/edit?usp=sharing"",""ลพบุรี!R559"")+IMPORTRANGE(""https://docs.google.com/spreadsheets/d/10oOiF7loTyfsTkbd4MpaIm0HQ9SwB7IYHdIUvt-U1Uc/edit?usp=sharing"""&amp;",""สระแก้ว!R559"")+IMPORTRANGE(""https://docs.google.com/spreadsheets/d/1xmPlrr1QbdSIKvl1dWUl9K4PjAfSL9oeMr_37QVzcxc/edit?usp=sharing"",""สระบุรี!R559"")+IMPORTRANGE(""https://docs.google.com/spreadsheets/d/1j51vR6CYVGhABJpv6tkstgok82RLpXieLzW1yOY5rHw/edi"&amp;"t?usp=sharing"",""สิงห์บุรี!R559"")+IMPORTRANGE(""https://docs.google.com/spreadsheets/d/1H1EalTWKUSzO4Z1-1CwzoDUaVffgrThEBe2sl74kKG0/edit?usp=sharing"",""สุพรรณบุรี!R559"")+IMPORTRANGE(""https://docs.google.com/spreadsheets/d/1BmIruG_sIrJLYao_Pdr7zVArWsf"&amp;"oBt2692TMi6x_854/edit?usp=sharing"",""อ่างทอง!R559"")"),0)</f>
        <v>0</v>
      </c>
      <c r="S559" s="75">
        <f ca="1">IFERROR(__xludf.DUMMYFUNCTION("IMPORTRANGE(""https://docs.google.com/spreadsheets/d/13wPX838HrBrQMCywv1BsuMkt4PEKTChp52zj44s2izQ/edit?usp=sharing"",""กาญจนบุรี!S559"")+IMPORTRANGE(""https://docs.google.com/spreadsheets/d/1ddFKvqj1W1NEiWytbGlB1zMx_ykJDVtmfEQ-6-lIUBA/edit?usp=sharing"","&amp;"""จันทบุรี!S559"")+IMPORTRANGE(""https://docs.google.com/spreadsheets/d/1T1PQvRODqOBZk8BRht_U031fIS1beLA0Ub2CEytj2q0/edit?usp=sharing"",""ฉะเชิงเทรา!S559"")+IMPORTRANGE(""https://docs.google.com/spreadsheets/d/11tr1B-Bhyr79v2bkwVh5h_fR-PStkgjlZtkrZpYurG0/"&amp;"edit?usp=sharing"",""ชลบุรี!S559"")+IMPORTRANGE(""https://docs.google.com/spreadsheets/d/1hh-FVnSX0vozXhGluamEcS54Dw9_zqW0N7qJUWgJ0Sw/edit?usp=sharing"",""ชัยนาท!S559"")+IMPORTRANGE(""https://docs.google.com/spreadsheets/d/1jkqa6GXxSacMcY1eN8AHjMNJ_7dDXMJ"&amp;"VRLDlaFSOdPM/edit?usp=sharing"",""ตราด!S559"")+IMPORTRANGE(""https://docs.google.com/spreadsheets/d/18hSgUJ3VwClqi_qtULmmW3cLr0oe3OKaSYoKzdpTsYQ/edit?usp=sharing"",""นครนายก!S559"")+IMPORTRANGE(""https://docs.google.com/spreadsheets/d/1YTZo6WM2dQ6Ix6FSdnL"&amp;"5P7uVnVKu40sxZu975tgG10E/edit?usp=sharing"",""นครปฐม!S559"")+IMPORTRANGE(""https://docs.google.com/spreadsheets/d/1OYoGg4WDg5RIzwGeB10padOxJF9E_Vljuvvct_M7RDo/edit?usp=sharing"",""ปทุมธานี!S559"")+IMPORTRANGE(""https://docs.google.com/spreadsheets/d/1GbCI"&amp;"E4D4wk9FUozzqk7SxfDMxDVBwVmI5zcaVUSzKAc/edit?usp=sharing"",""ประจวบคีรีขันธ์!S559"")+IMPORTRANGE(""https://docs.google.com/spreadsheets/d/1vVf6wykvW_lAyu7Yo9L4hUTqHqIeP_qcVuxCtosJEbg/edit?usp=sharing"",""ปราจีนบุรี!S559"")+IMPORTRANGE(""https://docs.googl"&amp;"e.com/spreadsheets/d/1BIDqLLg5jk3v59G8NlR8rk5xfQDKne0sAvZHSj7TI6I/edit?usp=sharing"",""พระนครศรีอยุธยา!S559"")+IMPORTRANGE(""https://docs.google.com/spreadsheets/d/1YXvxf8Yu6_rV4hTBrwMqAcAnv6DfhUxh5emyM3CJp_w/edit?usp=sharing"",""เพชรบุรี!S559"")+IMPORTRA"&amp;"NGE(""https://docs.google.com/spreadsheets/d/19KBlQQs7uwvsao6t2n-KvW3Ax8J8uRRfZPq1zPbXgKc/edit?usp=sharing"",""ระยอง!S559"")+IMPORTRANGE(""https://docs.google.com/spreadsheets/d/1jQ6P4QcrGM89YfqcC_PxOHGCMq5ezhucwJd8ci-NHng/edit?usp=sharing"",""ราชบุรี!S55"&amp;"9"")+IMPORTRANGE(""https://docs.google.com/spreadsheets/d/1lufeA2cfFqM-elVq2hznhDzC6Pr7wkJ9ZG_sYNGCMCU/edit?usp=sharing"",""ลพบุรี!S559"")+IMPORTRANGE(""https://docs.google.com/spreadsheets/d/10oOiF7loTyfsTkbd4MpaIm0HQ9SwB7IYHdIUvt-U1Uc/edit?usp=sharing"""&amp;",""สระแก้ว!S559"")+IMPORTRANGE(""https://docs.google.com/spreadsheets/d/1xmPlrr1QbdSIKvl1dWUl9K4PjAfSL9oeMr_37QVzcxc/edit?usp=sharing"",""สระบุรี!S559"")+IMPORTRANGE(""https://docs.google.com/spreadsheets/d/1j51vR6CYVGhABJpv6tkstgok82RLpXieLzW1yOY5rHw/edi"&amp;"t?usp=sharing"",""สิงห์บุรี!S559"")+IMPORTRANGE(""https://docs.google.com/spreadsheets/d/1H1EalTWKUSzO4Z1-1CwzoDUaVffgrThEBe2sl74kKG0/edit?usp=sharing"",""สุพรรณบุรี!S559"")+IMPORTRANGE(""https://docs.google.com/spreadsheets/d/1BmIruG_sIrJLYao_Pdr7zVArWsf"&amp;"oBt2692TMi6x_854/edit?usp=sharing"",""อ่างทอง!S559"")"),0)</f>
        <v>0</v>
      </c>
      <c r="T559" s="131">
        <f t="shared" ca="1" si="389"/>
        <v>0</v>
      </c>
      <c r="U559" s="131">
        <f t="shared" ca="1" si="39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13wPX838HrBrQMCywv1BsuMkt4PEKTChp52zj44s2izQ/edit?usp=sharing"",""กาญจนบุรี!L560"")+IMPORTRANGE(""https://docs.google.com/spreadsheets/d/1ddFKvqj1W1NEiWytbGlB1zMx_ykJDVtmfEQ-6-lIUBA/edit?usp=sharing"","&amp;"""จันทบุรี!L560"")+IMPORTRANGE(""https://docs.google.com/spreadsheets/d/1T1PQvRODqOBZk8BRht_U031fIS1beLA0Ub2CEytj2q0/edit?usp=sharing"",""ฉะเชิงเทรา!L560"")+IMPORTRANGE(""https://docs.google.com/spreadsheets/d/11tr1B-Bhyr79v2bkwVh5h_fR-PStkgjlZtkrZpYurG0/"&amp;"edit?usp=sharing"",""ชลบุรี!L560"")+IMPORTRANGE(""https://docs.google.com/spreadsheets/d/1hh-FVnSX0vozXhGluamEcS54Dw9_zqW0N7qJUWgJ0Sw/edit?usp=sharing"",""ชัยนาท!L560"")+IMPORTRANGE(""https://docs.google.com/spreadsheets/d/1jkqa6GXxSacMcY1eN8AHjMNJ_7dDXMJ"&amp;"VRLDlaFSOdPM/edit?usp=sharing"",""ตราด!L560"")+IMPORTRANGE(""https://docs.google.com/spreadsheets/d/18hSgUJ3VwClqi_qtULmmW3cLr0oe3OKaSYoKzdpTsYQ/edit?usp=sharing"",""นครนายก!L560"")+IMPORTRANGE(""https://docs.google.com/spreadsheets/d/1YTZo6WM2dQ6Ix6FSdnL"&amp;"5P7uVnVKu40sxZu975tgG10E/edit?usp=sharing"",""นครปฐม!L560"")+IMPORTRANGE(""https://docs.google.com/spreadsheets/d/1OYoGg4WDg5RIzwGeB10padOxJF9E_Vljuvvct_M7RDo/edit?usp=sharing"",""ปทุมธานี!L560"")+IMPORTRANGE(""https://docs.google.com/spreadsheets/d/1GbCI"&amp;"E4D4wk9FUozzqk7SxfDMxDVBwVmI5zcaVUSzKAc/edit?usp=sharing"",""ประจวบคีรีขันธ์!L560"")+IMPORTRANGE(""https://docs.google.com/spreadsheets/d/1vVf6wykvW_lAyu7Yo9L4hUTqHqIeP_qcVuxCtosJEbg/edit?usp=sharing"",""ปราจีนบุรี!L560"")+IMPORTRANGE(""https://docs.googl"&amp;"e.com/spreadsheets/d/1BIDqLLg5jk3v59G8NlR8rk5xfQDKne0sAvZHSj7TI6I/edit?usp=sharing"",""พระนครศรีอยุธยา!L560"")+IMPORTRANGE(""https://docs.google.com/spreadsheets/d/1YXvxf8Yu6_rV4hTBrwMqAcAnv6DfhUxh5emyM3CJp_w/edit?usp=sharing"",""เพชรบุรี!L560"")+IMPORTRA"&amp;"NGE(""https://docs.google.com/spreadsheets/d/19KBlQQs7uwvsao6t2n-KvW3Ax8J8uRRfZPq1zPbXgKc/edit?usp=sharing"",""ระยอง!L560"")+IMPORTRANGE(""https://docs.google.com/spreadsheets/d/1jQ6P4QcrGM89YfqcC_PxOHGCMq5ezhucwJd8ci-NHng/edit?usp=sharing"",""ราชบุรี!L56"&amp;"0"")+IMPORTRANGE(""https://docs.google.com/spreadsheets/d/1lufeA2cfFqM-elVq2hznhDzC6Pr7wkJ9ZG_sYNGCMCU/edit?usp=sharing"",""ลพบุรี!L560"")+IMPORTRANGE(""https://docs.google.com/spreadsheets/d/10oOiF7loTyfsTkbd4MpaIm0HQ9SwB7IYHdIUvt-U1Uc/edit?usp=sharing"""&amp;",""สระแก้ว!L560"")+IMPORTRANGE(""https://docs.google.com/spreadsheets/d/1xmPlrr1QbdSIKvl1dWUl9K4PjAfSL9oeMr_37QVzcxc/edit?usp=sharing"",""สระบุรี!L560"")+IMPORTRANGE(""https://docs.google.com/spreadsheets/d/1j51vR6CYVGhABJpv6tkstgok82RLpXieLzW1yOY5rHw/edi"&amp;"t?usp=sharing"",""สิงห์บุรี!L560"")+IMPORTRANGE(""https://docs.google.com/spreadsheets/d/1H1EalTWKUSzO4Z1-1CwzoDUaVffgrThEBe2sl74kKG0/edit?usp=sharing"",""สุพรรณบุรี!L560"")+IMPORTRANGE(""https://docs.google.com/spreadsheets/d/1BmIruG_sIrJLYao_Pdr7zVArWsf"&amp;"oBt2692TMi6x_854/edit?usp=sharing"",""อ่างทอง!L560"")"),0)</f>
        <v>0</v>
      </c>
      <c r="M560" s="72">
        <f ca="1">IFERROR(__xludf.DUMMYFUNCTION("IMPORTRANGE(""https://docs.google.com/spreadsheets/d/13wPX838HrBrQMCywv1BsuMkt4PEKTChp52zj44s2izQ/edit?usp=sharing"",""กาญจนบุรี!M560"")+IMPORTRANGE(""https://docs.google.com/spreadsheets/d/1ddFKvqj1W1NEiWytbGlB1zMx_ykJDVtmfEQ-6-lIUBA/edit?usp=sharing"","&amp;"""จันทบุรี!M560"")+IMPORTRANGE(""https://docs.google.com/spreadsheets/d/1T1PQvRODqOBZk8BRht_U031fIS1beLA0Ub2CEytj2q0/edit?usp=sharing"",""ฉะเชิงเทรา!M560"")+IMPORTRANGE(""https://docs.google.com/spreadsheets/d/11tr1B-Bhyr79v2bkwVh5h_fR-PStkgjlZtkrZpYurG0/"&amp;"edit?usp=sharing"",""ชลบุรี!M560"")+IMPORTRANGE(""https://docs.google.com/spreadsheets/d/1hh-FVnSX0vozXhGluamEcS54Dw9_zqW0N7qJUWgJ0Sw/edit?usp=sharing"",""ชัยนาท!M560"")+IMPORTRANGE(""https://docs.google.com/spreadsheets/d/1jkqa6GXxSacMcY1eN8AHjMNJ_7dDXMJ"&amp;"VRLDlaFSOdPM/edit?usp=sharing"",""ตราด!M560"")+IMPORTRANGE(""https://docs.google.com/spreadsheets/d/18hSgUJ3VwClqi_qtULmmW3cLr0oe3OKaSYoKzdpTsYQ/edit?usp=sharing"",""นครนายก!M560"")+IMPORTRANGE(""https://docs.google.com/spreadsheets/d/1YTZo6WM2dQ6Ix6FSdnL"&amp;"5P7uVnVKu40sxZu975tgG10E/edit?usp=sharing"",""นครปฐม!M560"")+IMPORTRANGE(""https://docs.google.com/spreadsheets/d/1OYoGg4WDg5RIzwGeB10padOxJF9E_Vljuvvct_M7RDo/edit?usp=sharing"",""ปทุมธานี!M560"")+IMPORTRANGE(""https://docs.google.com/spreadsheets/d/1GbCI"&amp;"E4D4wk9FUozzqk7SxfDMxDVBwVmI5zcaVUSzKAc/edit?usp=sharing"",""ประจวบคีรีขันธ์!M560"")+IMPORTRANGE(""https://docs.google.com/spreadsheets/d/1vVf6wykvW_lAyu7Yo9L4hUTqHqIeP_qcVuxCtosJEbg/edit?usp=sharing"",""ปราจีนบุรี!M560"")+IMPORTRANGE(""https://docs.googl"&amp;"e.com/spreadsheets/d/1BIDqLLg5jk3v59G8NlR8rk5xfQDKne0sAvZHSj7TI6I/edit?usp=sharing"",""พระนครศรีอยุธยา!M560"")+IMPORTRANGE(""https://docs.google.com/spreadsheets/d/1YXvxf8Yu6_rV4hTBrwMqAcAnv6DfhUxh5emyM3CJp_w/edit?usp=sharing"",""เพชรบุรี!M560"")+IMPORTRA"&amp;"NGE(""https://docs.google.com/spreadsheets/d/19KBlQQs7uwvsao6t2n-KvW3Ax8J8uRRfZPq1zPbXgKc/edit?usp=sharing"",""ระยอง!M560"")+IMPORTRANGE(""https://docs.google.com/spreadsheets/d/1jQ6P4QcrGM89YfqcC_PxOHGCMq5ezhucwJd8ci-NHng/edit?usp=sharing"",""ราชบุรี!M56"&amp;"0"")+IMPORTRANGE(""https://docs.google.com/spreadsheets/d/1lufeA2cfFqM-elVq2hznhDzC6Pr7wkJ9ZG_sYNGCMCU/edit?usp=sharing"",""ลพบุรี!M560"")+IMPORTRANGE(""https://docs.google.com/spreadsheets/d/10oOiF7loTyfsTkbd4MpaIm0HQ9SwB7IYHdIUvt-U1Uc/edit?usp=sharing"""&amp;",""สระแก้ว!M560"")+IMPORTRANGE(""https://docs.google.com/spreadsheets/d/1xmPlrr1QbdSIKvl1dWUl9K4PjAfSL9oeMr_37QVzcxc/edit?usp=sharing"",""สระบุรี!M560"")+IMPORTRANGE(""https://docs.google.com/spreadsheets/d/1j51vR6CYVGhABJpv6tkstgok82RLpXieLzW1yOY5rHw/edi"&amp;"t?usp=sharing"",""สิงห์บุรี!M560"")+IMPORTRANGE(""https://docs.google.com/spreadsheets/d/1H1EalTWKUSzO4Z1-1CwzoDUaVffgrThEBe2sl74kKG0/edit?usp=sharing"",""สุพรรณบุรี!M560"")+IMPORTRANGE(""https://docs.google.com/spreadsheets/d/1BmIruG_sIrJLYao_Pdr7zVArWsf"&amp;"oBt2692TMi6x_854/edit?usp=sharing"",""อ่างทอง!M560"")"),0)</f>
        <v>0</v>
      </c>
      <c r="N560" s="72">
        <f ca="1">IFERROR(__xludf.DUMMYFUNCTION("IMPORTRANGE(""https://docs.google.com/spreadsheets/d/13wPX838HrBrQMCywv1BsuMkt4PEKTChp52zj44s2izQ/edit?usp=sharing"",""กาญจนบุรี!N560"")+IMPORTRANGE(""https://docs.google.com/spreadsheets/d/1ddFKvqj1W1NEiWytbGlB1zMx_ykJDVtmfEQ-6-lIUBA/edit?usp=sharing"","&amp;"""จันทบุรี!N560"")+IMPORTRANGE(""https://docs.google.com/spreadsheets/d/1T1PQvRODqOBZk8BRht_U031fIS1beLA0Ub2CEytj2q0/edit?usp=sharing"",""ฉะเชิงเทรา!N560"")+IMPORTRANGE(""https://docs.google.com/spreadsheets/d/11tr1B-Bhyr79v2bkwVh5h_fR-PStkgjlZtkrZpYurG0/"&amp;"edit?usp=sharing"",""ชลบุรี!N560"")+IMPORTRANGE(""https://docs.google.com/spreadsheets/d/1hh-FVnSX0vozXhGluamEcS54Dw9_zqW0N7qJUWgJ0Sw/edit?usp=sharing"",""ชัยนาท!N560"")+IMPORTRANGE(""https://docs.google.com/spreadsheets/d/1jkqa6GXxSacMcY1eN8AHjMNJ_7dDXMJ"&amp;"VRLDlaFSOdPM/edit?usp=sharing"",""ตราด!N560"")+IMPORTRANGE(""https://docs.google.com/spreadsheets/d/18hSgUJ3VwClqi_qtULmmW3cLr0oe3OKaSYoKzdpTsYQ/edit?usp=sharing"",""นครนายก!N560"")+IMPORTRANGE(""https://docs.google.com/spreadsheets/d/1YTZo6WM2dQ6Ix6FSdnL"&amp;"5P7uVnVKu40sxZu975tgG10E/edit?usp=sharing"",""นครปฐม!N560"")+IMPORTRANGE(""https://docs.google.com/spreadsheets/d/1OYoGg4WDg5RIzwGeB10padOxJF9E_Vljuvvct_M7RDo/edit?usp=sharing"",""ปทุมธานี!N560"")+IMPORTRANGE(""https://docs.google.com/spreadsheets/d/1GbCI"&amp;"E4D4wk9FUozzqk7SxfDMxDVBwVmI5zcaVUSzKAc/edit?usp=sharing"",""ประจวบคีรีขันธ์!N560"")+IMPORTRANGE(""https://docs.google.com/spreadsheets/d/1vVf6wykvW_lAyu7Yo9L4hUTqHqIeP_qcVuxCtosJEbg/edit?usp=sharing"",""ปราจีนบุรี!N560"")+IMPORTRANGE(""https://docs.googl"&amp;"e.com/spreadsheets/d/1BIDqLLg5jk3v59G8NlR8rk5xfQDKne0sAvZHSj7TI6I/edit?usp=sharing"",""พระนครศรีอยุธยา!N560"")+IMPORTRANGE(""https://docs.google.com/spreadsheets/d/1YXvxf8Yu6_rV4hTBrwMqAcAnv6DfhUxh5emyM3CJp_w/edit?usp=sharing"",""เพชรบุรี!N560"")+IMPORTRA"&amp;"NGE(""https://docs.google.com/spreadsheets/d/19KBlQQs7uwvsao6t2n-KvW3Ax8J8uRRfZPq1zPbXgKc/edit?usp=sharing"",""ระยอง!N560"")+IMPORTRANGE(""https://docs.google.com/spreadsheets/d/1jQ6P4QcrGM89YfqcC_PxOHGCMq5ezhucwJd8ci-NHng/edit?usp=sharing"",""ราชบุรี!N56"&amp;"0"")+IMPORTRANGE(""https://docs.google.com/spreadsheets/d/1lufeA2cfFqM-elVq2hznhDzC6Pr7wkJ9ZG_sYNGCMCU/edit?usp=sharing"",""ลพบุรี!N560"")+IMPORTRANGE(""https://docs.google.com/spreadsheets/d/10oOiF7loTyfsTkbd4MpaIm0HQ9SwB7IYHdIUvt-U1Uc/edit?usp=sharing"""&amp;",""สระแก้ว!N560"")+IMPORTRANGE(""https://docs.google.com/spreadsheets/d/1xmPlrr1QbdSIKvl1dWUl9K4PjAfSL9oeMr_37QVzcxc/edit?usp=sharing"",""สระบุรี!N560"")+IMPORTRANGE(""https://docs.google.com/spreadsheets/d/1j51vR6CYVGhABJpv6tkstgok82RLpXieLzW1yOY5rHw/edi"&amp;"t?usp=sharing"",""สิงห์บุรี!N560"")+IMPORTRANGE(""https://docs.google.com/spreadsheets/d/1H1EalTWKUSzO4Z1-1CwzoDUaVffgrThEBe2sl74kKG0/edit?usp=sharing"",""สุพรรณบุรี!N560"")+IMPORTRANGE(""https://docs.google.com/spreadsheets/d/1BmIruG_sIrJLYao_Pdr7zVArWsf"&amp;"oBt2692TMi6x_854/edit?usp=sharing"",""อ่างทอง!N560"")"),0)</f>
        <v>0</v>
      </c>
      <c r="O560" s="72">
        <f t="shared" ca="1" si="386"/>
        <v>0</v>
      </c>
      <c r="P560" s="72">
        <f t="shared" ca="1" si="387"/>
        <v>0</v>
      </c>
      <c r="Q560" s="71">
        <f ca="1">IFERROR(__xludf.DUMMYFUNCTION("IMPORTRANGE(""https://docs.google.com/spreadsheets/d/13wPX838HrBrQMCywv1BsuMkt4PEKTChp52zj44s2izQ/edit?usp=sharing"",""กาญจนบุรี!Q560"")+IMPORTRANGE(""https://docs.google.com/spreadsheets/d/1ddFKvqj1W1NEiWytbGlB1zMx_ykJDVtmfEQ-6-lIUBA/edit?usp=sharing"","&amp;"""จันทบุรี!Q560"")+IMPORTRANGE(""https://docs.google.com/spreadsheets/d/1T1PQvRODqOBZk8BRht_U031fIS1beLA0Ub2CEytj2q0/edit?usp=sharing"",""ฉะเชิงเทรา!Q560"")+IMPORTRANGE(""https://docs.google.com/spreadsheets/d/11tr1B-Bhyr79v2bkwVh5h_fR-PStkgjlZtkrZpYurG0/"&amp;"edit?usp=sharing"",""ชลบุรี!Q560"")+IMPORTRANGE(""https://docs.google.com/spreadsheets/d/1hh-FVnSX0vozXhGluamEcS54Dw9_zqW0N7qJUWgJ0Sw/edit?usp=sharing"",""ชัยนาท!Q560"")+IMPORTRANGE(""https://docs.google.com/spreadsheets/d/1jkqa6GXxSacMcY1eN8AHjMNJ_7dDXMJ"&amp;"VRLDlaFSOdPM/edit?usp=sharing"",""ตราด!Q560"")+IMPORTRANGE(""https://docs.google.com/spreadsheets/d/18hSgUJ3VwClqi_qtULmmW3cLr0oe3OKaSYoKzdpTsYQ/edit?usp=sharing"",""นครนายก!Q560"")+IMPORTRANGE(""https://docs.google.com/spreadsheets/d/1YTZo6WM2dQ6Ix6FSdnL"&amp;"5P7uVnVKu40sxZu975tgG10E/edit?usp=sharing"",""นครปฐม!Q560"")+IMPORTRANGE(""https://docs.google.com/spreadsheets/d/1OYoGg4WDg5RIzwGeB10padOxJF9E_Vljuvvct_M7RDo/edit?usp=sharing"",""ปทุมธานี!Q560"")+IMPORTRANGE(""https://docs.google.com/spreadsheets/d/1GbCI"&amp;"E4D4wk9FUozzqk7SxfDMxDVBwVmI5zcaVUSzKAc/edit?usp=sharing"",""ประจวบคีรีขันธ์!Q560"")+IMPORTRANGE(""https://docs.google.com/spreadsheets/d/1vVf6wykvW_lAyu7Yo9L4hUTqHqIeP_qcVuxCtosJEbg/edit?usp=sharing"",""ปราจีนบุรี!Q560"")+IMPORTRANGE(""https://docs.googl"&amp;"e.com/spreadsheets/d/1BIDqLLg5jk3v59G8NlR8rk5xfQDKne0sAvZHSj7TI6I/edit?usp=sharing"",""พระนครศรีอยุธยา!Q560"")+IMPORTRANGE(""https://docs.google.com/spreadsheets/d/1YXvxf8Yu6_rV4hTBrwMqAcAnv6DfhUxh5emyM3CJp_w/edit?usp=sharing"",""เพชรบุรี!Q560"")+IMPORTRA"&amp;"NGE(""https://docs.google.com/spreadsheets/d/19KBlQQs7uwvsao6t2n-KvW3Ax8J8uRRfZPq1zPbXgKc/edit?usp=sharing"",""ระยอง!Q560"")+IMPORTRANGE(""https://docs.google.com/spreadsheets/d/1jQ6P4QcrGM89YfqcC_PxOHGCMq5ezhucwJd8ci-NHng/edit?usp=sharing"",""ราชบุรี!Q56"&amp;"0"")+IMPORTRANGE(""https://docs.google.com/spreadsheets/d/1lufeA2cfFqM-elVq2hznhDzC6Pr7wkJ9ZG_sYNGCMCU/edit?usp=sharing"",""ลพบุรี!Q560"")+IMPORTRANGE(""https://docs.google.com/spreadsheets/d/10oOiF7loTyfsTkbd4MpaIm0HQ9SwB7IYHdIUvt-U1Uc/edit?usp=sharing"""&amp;",""สระแก้ว!Q560"")+IMPORTRANGE(""https://docs.google.com/spreadsheets/d/1xmPlrr1QbdSIKvl1dWUl9K4PjAfSL9oeMr_37QVzcxc/edit?usp=sharing"",""สระบุรี!Q560"")+IMPORTRANGE(""https://docs.google.com/spreadsheets/d/1j51vR6CYVGhABJpv6tkstgok82RLpXieLzW1yOY5rHw/edi"&amp;"t?usp=sharing"",""สิงห์บุรี!Q560"")+IMPORTRANGE(""https://docs.google.com/spreadsheets/d/1H1EalTWKUSzO4Z1-1CwzoDUaVffgrThEBe2sl74kKG0/edit?usp=sharing"",""สุพรรณบุรี!Q560"")+IMPORTRANGE(""https://docs.google.com/spreadsheets/d/1BmIruG_sIrJLYao_Pdr7zVArWsf"&amp;"oBt2692TMi6x_854/edit?usp=sharing"",""อ่างทอง!Q560"")"),0)</f>
        <v>0</v>
      </c>
      <c r="R560" s="72">
        <f ca="1">IFERROR(__xludf.DUMMYFUNCTION("IMPORTRANGE(""https://docs.google.com/spreadsheets/d/13wPX838HrBrQMCywv1BsuMkt4PEKTChp52zj44s2izQ/edit?usp=sharing"",""กาญจนบุรี!R560"")+IMPORTRANGE(""https://docs.google.com/spreadsheets/d/1ddFKvqj1W1NEiWytbGlB1zMx_ykJDVtmfEQ-6-lIUBA/edit?usp=sharing"","&amp;"""จันทบุรี!R560"")+IMPORTRANGE(""https://docs.google.com/spreadsheets/d/1T1PQvRODqOBZk8BRht_U031fIS1beLA0Ub2CEytj2q0/edit?usp=sharing"",""ฉะเชิงเทรา!R560"")+IMPORTRANGE(""https://docs.google.com/spreadsheets/d/11tr1B-Bhyr79v2bkwVh5h_fR-PStkgjlZtkrZpYurG0/"&amp;"edit?usp=sharing"",""ชลบุรี!R560"")+IMPORTRANGE(""https://docs.google.com/spreadsheets/d/1hh-FVnSX0vozXhGluamEcS54Dw9_zqW0N7qJUWgJ0Sw/edit?usp=sharing"",""ชัยนาท!R560"")+IMPORTRANGE(""https://docs.google.com/spreadsheets/d/1jkqa6GXxSacMcY1eN8AHjMNJ_7dDXMJ"&amp;"VRLDlaFSOdPM/edit?usp=sharing"",""ตราด!R560"")+IMPORTRANGE(""https://docs.google.com/spreadsheets/d/18hSgUJ3VwClqi_qtULmmW3cLr0oe3OKaSYoKzdpTsYQ/edit?usp=sharing"",""นครนายก!R560"")+IMPORTRANGE(""https://docs.google.com/spreadsheets/d/1YTZo6WM2dQ6Ix6FSdnL"&amp;"5P7uVnVKu40sxZu975tgG10E/edit?usp=sharing"",""นครปฐม!R560"")+IMPORTRANGE(""https://docs.google.com/spreadsheets/d/1OYoGg4WDg5RIzwGeB10padOxJF9E_Vljuvvct_M7RDo/edit?usp=sharing"",""ปทุมธานี!R560"")+IMPORTRANGE(""https://docs.google.com/spreadsheets/d/1GbCI"&amp;"E4D4wk9FUozzqk7SxfDMxDVBwVmI5zcaVUSzKAc/edit?usp=sharing"",""ประจวบคีรีขันธ์!R560"")+IMPORTRANGE(""https://docs.google.com/spreadsheets/d/1vVf6wykvW_lAyu7Yo9L4hUTqHqIeP_qcVuxCtosJEbg/edit?usp=sharing"",""ปราจีนบุรี!R560"")+IMPORTRANGE(""https://docs.googl"&amp;"e.com/spreadsheets/d/1BIDqLLg5jk3v59G8NlR8rk5xfQDKne0sAvZHSj7TI6I/edit?usp=sharing"",""พระนครศรีอยุธยา!R560"")+IMPORTRANGE(""https://docs.google.com/spreadsheets/d/1YXvxf8Yu6_rV4hTBrwMqAcAnv6DfhUxh5emyM3CJp_w/edit?usp=sharing"",""เพชรบุรี!R560"")+IMPORTRA"&amp;"NGE(""https://docs.google.com/spreadsheets/d/19KBlQQs7uwvsao6t2n-KvW3Ax8J8uRRfZPq1zPbXgKc/edit?usp=sharing"",""ระยอง!R560"")+IMPORTRANGE(""https://docs.google.com/spreadsheets/d/1jQ6P4QcrGM89YfqcC_PxOHGCMq5ezhucwJd8ci-NHng/edit?usp=sharing"",""ราชบุรี!R56"&amp;"0"")+IMPORTRANGE(""https://docs.google.com/spreadsheets/d/1lufeA2cfFqM-elVq2hznhDzC6Pr7wkJ9ZG_sYNGCMCU/edit?usp=sharing"",""ลพบุรี!R560"")+IMPORTRANGE(""https://docs.google.com/spreadsheets/d/10oOiF7loTyfsTkbd4MpaIm0HQ9SwB7IYHdIUvt-U1Uc/edit?usp=sharing"""&amp;",""สระแก้ว!R560"")+IMPORTRANGE(""https://docs.google.com/spreadsheets/d/1xmPlrr1QbdSIKvl1dWUl9K4PjAfSL9oeMr_37QVzcxc/edit?usp=sharing"",""สระบุรี!R560"")+IMPORTRANGE(""https://docs.google.com/spreadsheets/d/1j51vR6CYVGhABJpv6tkstgok82RLpXieLzW1yOY5rHw/edi"&amp;"t?usp=sharing"",""สิงห์บุรี!R560"")+IMPORTRANGE(""https://docs.google.com/spreadsheets/d/1H1EalTWKUSzO4Z1-1CwzoDUaVffgrThEBe2sl74kKG0/edit?usp=sharing"",""สุพรรณบุรี!R560"")+IMPORTRANGE(""https://docs.google.com/spreadsheets/d/1BmIruG_sIrJLYao_Pdr7zVArWsf"&amp;"oBt2692TMi6x_854/edit?usp=sharing"",""อ่างทอง!R560"")"),0)</f>
        <v>0</v>
      </c>
      <c r="S560" s="72">
        <f ca="1">IFERROR(__xludf.DUMMYFUNCTION("IMPORTRANGE(""https://docs.google.com/spreadsheets/d/13wPX838HrBrQMCywv1BsuMkt4PEKTChp52zj44s2izQ/edit?usp=sharing"",""กาญจนบุรี!S560"")+IMPORTRANGE(""https://docs.google.com/spreadsheets/d/1ddFKvqj1W1NEiWytbGlB1zMx_ykJDVtmfEQ-6-lIUBA/edit?usp=sharing"","&amp;"""จันทบุรี!S560"")+IMPORTRANGE(""https://docs.google.com/spreadsheets/d/1T1PQvRODqOBZk8BRht_U031fIS1beLA0Ub2CEytj2q0/edit?usp=sharing"",""ฉะเชิงเทรา!S560"")+IMPORTRANGE(""https://docs.google.com/spreadsheets/d/11tr1B-Bhyr79v2bkwVh5h_fR-PStkgjlZtkrZpYurG0/"&amp;"edit?usp=sharing"",""ชลบุรี!S560"")+IMPORTRANGE(""https://docs.google.com/spreadsheets/d/1hh-FVnSX0vozXhGluamEcS54Dw9_zqW0N7qJUWgJ0Sw/edit?usp=sharing"",""ชัยนาท!S560"")+IMPORTRANGE(""https://docs.google.com/spreadsheets/d/1jkqa6GXxSacMcY1eN8AHjMNJ_7dDXMJ"&amp;"VRLDlaFSOdPM/edit?usp=sharing"",""ตราด!S560"")+IMPORTRANGE(""https://docs.google.com/spreadsheets/d/18hSgUJ3VwClqi_qtULmmW3cLr0oe3OKaSYoKzdpTsYQ/edit?usp=sharing"",""นครนายก!S560"")+IMPORTRANGE(""https://docs.google.com/spreadsheets/d/1YTZo6WM2dQ6Ix6FSdnL"&amp;"5P7uVnVKu40sxZu975tgG10E/edit?usp=sharing"",""นครปฐม!S560"")+IMPORTRANGE(""https://docs.google.com/spreadsheets/d/1OYoGg4WDg5RIzwGeB10padOxJF9E_Vljuvvct_M7RDo/edit?usp=sharing"",""ปทุมธานี!S560"")+IMPORTRANGE(""https://docs.google.com/spreadsheets/d/1GbCI"&amp;"E4D4wk9FUozzqk7SxfDMxDVBwVmI5zcaVUSzKAc/edit?usp=sharing"",""ประจวบคีรีขันธ์!S560"")+IMPORTRANGE(""https://docs.google.com/spreadsheets/d/1vVf6wykvW_lAyu7Yo9L4hUTqHqIeP_qcVuxCtosJEbg/edit?usp=sharing"",""ปราจีนบุรี!S560"")+IMPORTRANGE(""https://docs.googl"&amp;"e.com/spreadsheets/d/1BIDqLLg5jk3v59G8NlR8rk5xfQDKne0sAvZHSj7TI6I/edit?usp=sharing"",""พระนครศรีอยุธยา!S560"")+IMPORTRANGE(""https://docs.google.com/spreadsheets/d/1YXvxf8Yu6_rV4hTBrwMqAcAnv6DfhUxh5emyM3CJp_w/edit?usp=sharing"",""เพชรบุรี!S560"")+IMPORTRA"&amp;"NGE(""https://docs.google.com/spreadsheets/d/19KBlQQs7uwvsao6t2n-KvW3Ax8J8uRRfZPq1zPbXgKc/edit?usp=sharing"",""ระยอง!S560"")+IMPORTRANGE(""https://docs.google.com/spreadsheets/d/1jQ6P4QcrGM89YfqcC_PxOHGCMq5ezhucwJd8ci-NHng/edit?usp=sharing"",""ราชบุรี!S56"&amp;"0"")+IMPORTRANGE(""https://docs.google.com/spreadsheets/d/1lufeA2cfFqM-elVq2hznhDzC6Pr7wkJ9ZG_sYNGCMCU/edit?usp=sharing"",""ลพบุรี!S560"")+IMPORTRANGE(""https://docs.google.com/spreadsheets/d/10oOiF7loTyfsTkbd4MpaIm0HQ9SwB7IYHdIUvt-U1Uc/edit?usp=sharing"""&amp;",""สระแก้ว!S560"")+IMPORTRANGE(""https://docs.google.com/spreadsheets/d/1xmPlrr1QbdSIKvl1dWUl9K4PjAfSL9oeMr_37QVzcxc/edit?usp=sharing"",""สระบุรี!S560"")+IMPORTRANGE(""https://docs.google.com/spreadsheets/d/1j51vR6CYVGhABJpv6tkstgok82RLpXieLzW1yOY5rHw/edi"&amp;"t?usp=sharing"",""สิงห์บุรี!S560"")+IMPORTRANGE(""https://docs.google.com/spreadsheets/d/1H1EalTWKUSzO4Z1-1CwzoDUaVffgrThEBe2sl74kKG0/edit?usp=sharing"",""สุพรรณบุรี!S560"")+IMPORTRANGE(""https://docs.google.com/spreadsheets/d/1BmIruG_sIrJLYao_Pdr7zVArWsf"&amp;"oBt2692TMi6x_854/edit?usp=sharing"",""อ่างทอง!S560"")"),0)</f>
        <v>0</v>
      </c>
      <c r="T560" s="130">
        <f t="shared" ca="1" si="389"/>
        <v>0</v>
      </c>
      <c r="U560" s="130">
        <f t="shared" ca="1" si="390"/>
        <v>0</v>
      </c>
    </row>
    <row r="561" spans="1:21" ht="18.75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t="shared" ref="L561:N561" ca="1" si="397">L562+L563</f>
        <v>7199600</v>
      </c>
      <c r="M561" s="72">
        <f t="shared" ca="1" si="397"/>
        <v>5867638</v>
      </c>
      <c r="N561" s="72">
        <f t="shared" ca="1" si="397"/>
        <v>4690138</v>
      </c>
      <c r="O561" s="72">
        <f t="shared" ca="1" si="386"/>
        <v>65.144424690260564</v>
      </c>
      <c r="P561" s="72">
        <f t="shared" ca="1" si="387"/>
        <v>79.932299845355146</v>
      </c>
      <c r="Q561" s="129">
        <f t="shared" ref="Q561:S561" ca="1" si="398">Q562+Q563</f>
        <v>0</v>
      </c>
      <c r="R561" s="130">
        <f t="shared" ca="1" si="398"/>
        <v>0</v>
      </c>
      <c r="S561" s="130">
        <f t="shared" ca="1" si="398"/>
        <v>0</v>
      </c>
      <c r="T561" s="130">
        <f t="shared" ca="1" si="389"/>
        <v>0</v>
      </c>
      <c r="U561" s="130">
        <f t="shared" ca="1" si="39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f ca="1">IFERROR(__xludf.DUMMYFUNCTION("IMPORTRANGE(""https://docs.google.com/spreadsheets/d/13wPX838HrBrQMCywv1BsuMkt4PEKTChp52zj44s2izQ/edit?usp=sharing"",""กาญจนบุรี!L562"")+IMPORTRANGE(""https://docs.google.com/spreadsheets/d/1ddFKvqj1W1NEiWytbGlB1zMx_ykJDVtmfEQ-6-lIUBA/edit?usp=sharing"","&amp;"""จันทบุรี!L562"")+IMPORTRANGE(""https://docs.google.com/spreadsheets/d/1T1PQvRODqOBZk8BRht_U031fIS1beLA0Ub2CEytj2q0/edit?usp=sharing"",""ฉะเชิงเทรา!L562"")+IMPORTRANGE(""https://docs.google.com/spreadsheets/d/11tr1B-Bhyr79v2bkwVh5h_fR-PStkgjlZtkrZpYurG0/"&amp;"edit?usp=sharing"",""ชลบุรี!L562"")+IMPORTRANGE(""https://docs.google.com/spreadsheets/d/1hh-FVnSX0vozXhGluamEcS54Dw9_zqW0N7qJUWgJ0Sw/edit?usp=sharing"",""ชัยนาท!L562"")+IMPORTRANGE(""https://docs.google.com/spreadsheets/d/1jkqa6GXxSacMcY1eN8AHjMNJ_7dDXMJ"&amp;"VRLDlaFSOdPM/edit?usp=sharing"",""ตราด!L562"")+IMPORTRANGE(""https://docs.google.com/spreadsheets/d/18hSgUJ3VwClqi_qtULmmW3cLr0oe3OKaSYoKzdpTsYQ/edit?usp=sharing"",""นครนายก!L562"")+IMPORTRANGE(""https://docs.google.com/spreadsheets/d/1YTZo6WM2dQ6Ix6FSdnL"&amp;"5P7uVnVKu40sxZu975tgG10E/edit?usp=sharing"",""นครปฐม!L562"")+IMPORTRANGE(""https://docs.google.com/spreadsheets/d/1OYoGg4WDg5RIzwGeB10padOxJF9E_Vljuvvct_M7RDo/edit?usp=sharing"",""ปทุมธานี!L562"")+IMPORTRANGE(""https://docs.google.com/spreadsheets/d/1GbCI"&amp;"E4D4wk9FUozzqk7SxfDMxDVBwVmI5zcaVUSzKAc/edit?usp=sharing"",""ประจวบคีรีขันธ์!L562"")+IMPORTRANGE(""https://docs.google.com/spreadsheets/d/1vVf6wykvW_lAyu7Yo9L4hUTqHqIeP_qcVuxCtosJEbg/edit?usp=sharing"",""ปราจีนบุรี!L562"")+IMPORTRANGE(""https://docs.googl"&amp;"e.com/spreadsheets/d/1BIDqLLg5jk3v59G8NlR8rk5xfQDKne0sAvZHSj7TI6I/edit?usp=sharing"",""พระนครศรีอยุธยา!L562"")+IMPORTRANGE(""https://docs.google.com/spreadsheets/d/1YXvxf8Yu6_rV4hTBrwMqAcAnv6DfhUxh5emyM3CJp_w/edit?usp=sharing"",""เพชรบุรี!L562"")+IMPORTRA"&amp;"NGE(""https://docs.google.com/spreadsheets/d/19KBlQQs7uwvsao6t2n-KvW3Ax8J8uRRfZPq1zPbXgKc/edit?usp=sharing"",""ระยอง!L562"")+IMPORTRANGE(""https://docs.google.com/spreadsheets/d/1jQ6P4QcrGM89YfqcC_PxOHGCMq5ezhucwJd8ci-NHng/edit?usp=sharing"",""ราชบุรี!L56"&amp;"2"")+IMPORTRANGE(""https://docs.google.com/spreadsheets/d/1lufeA2cfFqM-elVq2hznhDzC6Pr7wkJ9ZG_sYNGCMCU/edit?usp=sharing"",""ลพบุรี!L562"")+IMPORTRANGE(""https://docs.google.com/spreadsheets/d/10oOiF7loTyfsTkbd4MpaIm0HQ9SwB7IYHdIUvt-U1Uc/edit?usp=sharing"""&amp;",""สระแก้ว!L562"")+IMPORTRANGE(""https://docs.google.com/spreadsheets/d/1xmPlrr1QbdSIKvl1dWUl9K4PjAfSL9oeMr_37QVzcxc/edit?usp=sharing"",""สระบุรี!L562"")+IMPORTRANGE(""https://docs.google.com/spreadsheets/d/1j51vR6CYVGhABJpv6tkstgok82RLpXieLzW1yOY5rHw/edi"&amp;"t?usp=sharing"",""สิงห์บุรี!L562"")+IMPORTRANGE(""https://docs.google.com/spreadsheets/d/1H1EalTWKUSzO4Z1-1CwzoDUaVffgrThEBe2sl74kKG0/edit?usp=sharing"",""สุพรรณบุรี!L562"")+IMPORTRANGE(""https://docs.google.com/spreadsheets/d/1BmIruG_sIrJLYao_Pdr7zVArWsf"&amp;"oBt2692TMi6x_854/edit?usp=sharing"",""อ่างทอง!L562"")"),0)</f>
        <v>0</v>
      </c>
      <c r="M562" s="75">
        <f ca="1">IFERROR(__xludf.DUMMYFUNCTION("IMPORTRANGE(""https://docs.google.com/spreadsheets/d/13wPX838HrBrQMCywv1BsuMkt4PEKTChp52zj44s2izQ/edit?usp=sharing"",""กาญจนบุรี!M562"")+IMPORTRANGE(""https://docs.google.com/spreadsheets/d/1ddFKvqj1W1NEiWytbGlB1zMx_ykJDVtmfEQ-6-lIUBA/edit?usp=sharing"","&amp;"""จันทบุรี!M562"")+IMPORTRANGE(""https://docs.google.com/spreadsheets/d/1T1PQvRODqOBZk8BRht_U031fIS1beLA0Ub2CEytj2q0/edit?usp=sharing"",""ฉะเชิงเทรา!M562"")+IMPORTRANGE(""https://docs.google.com/spreadsheets/d/11tr1B-Bhyr79v2bkwVh5h_fR-PStkgjlZtkrZpYurG0/"&amp;"edit?usp=sharing"",""ชลบุรี!M562"")+IMPORTRANGE(""https://docs.google.com/spreadsheets/d/1hh-FVnSX0vozXhGluamEcS54Dw9_zqW0N7qJUWgJ0Sw/edit?usp=sharing"",""ชัยนาท!M562"")+IMPORTRANGE(""https://docs.google.com/spreadsheets/d/1jkqa6GXxSacMcY1eN8AHjMNJ_7dDXMJ"&amp;"VRLDlaFSOdPM/edit?usp=sharing"",""ตราด!M562"")+IMPORTRANGE(""https://docs.google.com/spreadsheets/d/18hSgUJ3VwClqi_qtULmmW3cLr0oe3OKaSYoKzdpTsYQ/edit?usp=sharing"",""นครนายก!M562"")+IMPORTRANGE(""https://docs.google.com/spreadsheets/d/1YTZo6WM2dQ6Ix6FSdnL"&amp;"5P7uVnVKu40sxZu975tgG10E/edit?usp=sharing"",""นครปฐม!M562"")+IMPORTRANGE(""https://docs.google.com/spreadsheets/d/1OYoGg4WDg5RIzwGeB10padOxJF9E_Vljuvvct_M7RDo/edit?usp=sharing"",""ปทุมธานี!M562"")+IMPORTRANGE(""https://docs.google.com/spreadsheets/d/1GbCI"&amp;"E4D4wk9FUozzqk7SxfDMxDVBwVmI5zcaVUSzKAc/edit?usp=sharing"",""ประจวบคีรีขันธ์!M562"")+IMPORTRANGE(""https://docs.google.com/spreadsheets/d/1vVf6wykvW_lAyu7Yo9L4hUTqHqIeP_qcVuxCtosJEbg/edit?usp=sharing"",""ปราจีนบุรี!M562"")+IMPORTRANGE(""https://docs.googl"&amp;"e.com/spreadsheets/d/1BIDqLLg5jk3v59G8NlR8rk5xfQDKne0sAvZHSj7TI6I/edit?usp=sharing"",""พระนครศรีอยุธยา!M562"")+IMPORTRANGE(""https://docs.google.com/spreadsheets/d/1YXvxf8Yu6_rV4hTBrwMqAcAnv6DfhUxh5emyM3CJp_w/edit?usp=sharing"",""เพชรบุรี!M562"")+IMPORTRA"&amp;"NGE(""https://docs.google.com/spreadsheets/d/19KBlQQs7uwvsao6t2n-KvW3Ax8J8uRRfZPq1zPbXgKc/edit?usp=sharing"",""ระยอง!M562"")+IMPORTRANGE(""https://docs.google.com/spreadsheets/d/1jQ6P4QcrGM89YfqcC_PxOHGCMq5ezhucwJd8ci-NHng/edit?usp=sharing"",""ราชบุรี!M56"&amp;"2"")+IMPORTRANGE(""https://docs.google.com/spreadsheets/d/1lufeA2cfFqM-elVq2hznhDzC6Pr7wkJ9ZG_sYNGCMCU/edit?usp=sharing"",""ลพบุรี!M562"")+IMPORTRANGE(""https://docs.google.com/spreadsheets/d/10oOiF7loTyfsTkbd4MpaIm0HQ9SwB7IYHdIUvt-U1Uc/edit?usp=sharing"""&amp;",""สระแก้ว!M562"")+IMPORTRANGE(""https://docs.google.com/spreadsheets/d/1xmPlrr1QbdSIKvl1dWUl9K4PjAfSL9oeMr_37QVzcxc/edit?usp=sharing"",""สระบุรี!M562"")+IMPORTRANGE(""https://docs.google.com/spreadsheets/d/1j51vR6CYVGhABJpv6tkstgok82RLpXieLzW1yOY5rHw/edi"&amp;"t?usp=sharing"",""สิงห์บุรี!M562"")+IMPORTRANGE(""https://docs.google.com/spreadsheets/d/1H1EalTWKUSzO4Z1-1CwzoDUaVffgrThEBe2sl74kKG0/edit?usp=sharing"",""สุพรรณบุรี!M562"")+IMPORTRANGE(""https://docs.google.com/spreadsheets/d/1BmIruG_sIrJLYao_Pdr7zVArWsf"&amp;"oBt2692TMi6x_854/edit?usp=sharing"",""อ่างทอง!M562"")"),0)</f>
        <v>0</v>
      </c>
      <c r="N562" s="75">
        <f ca="1">IFERROR(__xludf.DUMMYFUNCTION("IMPORTRANGE(""https://docs.google.com/spreadsheets/d/13wPX838HrBrQMCywv1BsuMkt4PEKTChp52zj44s2izQ/edit?usp=sharing"",""กาญจนบุรี!N562"")+IMPORTRANGE(""https://docs.google.com/spreadsheets/d/1ddFKvqj1W1NEiWytbGlB1zMx_ykJDVtmfEQ-6-lIUBA/edit?usp=sharing"","&amp;"""จันทบุรี!N562"")+IMPORTRANGE(""https://docs.google.com/spreadsheets/d/1T1PQvRODqOBZk8BRht_U031fIS1beLA0Ub2CEytj2q0/edit?usp=sharing"",""ฉะเชิงเทรา!N562"")+IMPORTRANGE(""https://docs.google.com/spreadsheets/d/11tr1B-Bhyr79v2bkwVh5h_fR-PStkgjlZtkrZpYurG0/"&amp;"edit?usp=sharing"",""ชลบุรี!N562"")+IMPORTRANGE(""https://docs.google.com/spreadsheets/d/1hh-FVnSX0vozXhGluamEcS54Dw9_zqW0N7qJUWgJ0Sw/edit?usp=sharing"",""ชัยนาท!N562"")+IMPORTRANGE(""https://docs.google.com/spreadsheets/d/1jkqa6GXxSacMcY1eN8AHjMNJ_7dDXMJ"&amp;"VRLDlaFSOdPM/edit?usp=sharing"",""ตราด!N562"")+IMPORTRANGE(""https://docs.google.com/spreadsheets/d/18hSgUJ3VwClqi_qtULmmW3cLr0oe3OKaSYoKzdpTsYQ/edit?usp=sharing"",""นครนายก!N562"")+IMPORTRANGE(""https://docs.google.com/spreadsheets/d/1YTZo6WM2dQ6Ix6FSdnL"&amp;"5P7uVnVKu40sxZu975tgG10E/edit?usp=sharing"",""นครปฐม!N562"")+IMPORTRANGE(""https://docs.google.com/spreadsheets/d/1OYoGg4WDg5RIzwGeB10padOxJF9E_Vljuvvct_M7RDo/edit?usp=sharing"",""ปทุมธานี!N562"")+IMPORTRANGE(""https://docs.google.com/spreadsheets/d/1GbCI"&amp;"E4D4wk9FUozzqk7SxfDMxDVBwVmI5zcaVUSzKAc/edit?usp=sharing"",""ประจวบคีรีขันธ์!N562"")+IMPORTRANGE(""https://docs.google.com/spreadsheets/d/1vVf6wykvW_lAyu7Yo9L4hUTqHqIeP_qcVuxCtosJEbg/edit?usp=sharing"",""ปราจีนบุรี!N562"")+IMPORTRANGE(""https://docs.googl"&amp;"e.com/spreadsheets/d/1BIDqLLg5jk3v59G8NlR8rk5xfQDKne0sAvZHSj7TI6I/edit?usp=sharing"",""พระนครศรีอยุธยา!N562"")+IMPORTRANGE(""https://docs.google.com/spreadsheets/d/1YXvxf8Yu6_rV4hTBrwMqAcAnv6DfhUxh5emyM3CJp_w/edit?usp=sharing"",""เพชรบุรี!N562"")+IMPORTRA"&amp;"NGE(""https://docs.google.com/spreadsheets/d/19KBlQQs7uwvsao6t2n-KvW3Ax8J8uRRfZPq1zPbXgKc/edit?usp=sharing"",""ระยอง!N562"")+IMPORTRANGE(""https://docs.google.com/spreadsheets/d/1jQ6P4QcrGM89YfqcC_PxOHGCMq5ezhucwJd8ci-NHng/edit?usp=sharing"",""ราชบุรี!N56"&amp;"2"")+IMPORTRANGE(""https://docs.google.com/spreadsheets/d/1lufeA2cfFqM-elVq2hznhDzC6Pr7wkJ9ZG_sYNGCMCU/edit?usp=sharing"",""ลพบุรี!N562"")+IMPORTRANGE(""https://docs.google.com/spreadsheets/d/10oOiF7loTyfsTkbd4MpaIm0HQ9SwB7IYHdIUvt-U1Uc/edit?usp=sharing"""&amp;",""สระแก้ว!N562"")+IMPORTRANGE(""https://docs.google.com/spreadsheets/d/1xmPlrr1QbdSIKvl1dWUl9K4PjAfSL9oeMr_37QVzcxc/edit?usp=sharing"",""สระบุรี!N562"")+IMPORTRANGE(""https://docs.google.com/spreadsheets/d/1j51vR6CYVGhABJpv6tkstgok82RLpXieLzW1yOY5rHw/edi"&amp;"t?usp=sharing"",""สิงห์บุรี!N562"")+IMPORTRANGE(""https://docs.google.com/spreadsheets/d/1H1EalTWKUSzO4Z1-1CwzoDUaVffgrThEBe2sl74kKG0/edit?usp=sharing"",""สุพรรณบุรี!N562"")+IMPORTRANGE(""https://docs.google.com/spreadsheets/d/1BmIruG_sIrJLYao_Pdr7zVArWsf"&amp;"oBt2692TMi6x_854/edit?usp=sharing"",""อ่างทอง!N562"")"),0)</f>
        <v>0</v>
      </c>
      <c r="O562" s="75">
        <f t="shared" ca="1" si="386"/>
        <v>0</v>
      </c>
      <c r="P562" s="75">
        <f t="shared" ca="1" si="387"/>
        <v>0</v>
      </c>
      <c r="Q562" s="74">
        <f ca="1">IFERROR(__xludf.DUMMYFUNCTION("IMPORTRANGE(""https://docs.google.com/spreadsheets/d/13wPX838HrBrQMCywv1BsuMkt4PEKTChp52zj44s2izQ/edit?usp=sharing"",""กาญจนบุรี!Q562"")+IMPORTRANGE(""https://docs.google.com/spreadsheets/d/1ddFKvqj1W1NEiWytbGlB1zMx_ykJDVtmfEQ-6-lIUBA/edit?usp=sharing"","&amp;"""จันทบุรี!Q562"")+IMPORTRANGE(""https://docs.google.com/spreadsheets/d/1T1PQvRODqOBZk8BRht_U031fIS1beLA0Ub2CEytj2q0/edit?usp=sharing"",""ฉะเชิงเทรา!Q562"")+IMPORTRANGE(""https://docs.google.com/spreadsheets/d/11tr1B-Bhyr79v2bkwVh5h_fR-PStkgjlZtkrZpYurG0/"&amp;"edit?usp=sharing"",""ชลบุรี!Q562"")+IMPORTRANGE(""https://docs.google.com/spreadsheets/d/1hh-FVnSX0vozXhGluamEcS54Dw9_zqW0N7qJUWgJ0Sw/edit?usp=sharing"",""ชัยนาท!Q562"")+IMPORTRANGE(""https://docs.google.com/spreadsheets/d/1jkqa6GXxSacMcY1eN8AHjMNJ_7dDXMJ"&amp;"VRLDlaFSOdPM/edit?usp=sharing"",""ตราด!Q562"")+IMPORTRANGE(""https://docs.google.com/spreadsheets/d/18hSgUJ3VwClqi_qtULmmW3cLr0oe3OKaSYoKzdpTsYQ/edit?usp=sharing"",""นครนายก!Q562"")+IMPORTRANGE(""https://docs.google.com/spreadsheets/d/1YTZo6WM2dQ6Ix6FSdnL"&amp;"5P7uVnVKu40sxZu975tgG10E/edit?usp=sharing"",""นครปฐม!Q562"")+IMPORTRANGE(""https://docs.google.com/spreadsheets/d/1OYoGg4WDg5RIzwGeB10padOxJF9E_Vljuvvct_M7RDo/edit?usp=sharing"",""ปทุมธานี!Q562"")+IMPORTRANGE(""https://docs.google.com/spreadsheets/d/1GbCI"&amp;"E4D4wk9FUozzqk7SxfDMxDVBwVmI5zcaVUSzKAc/edit?usp=sharing"",""ประจวบคีรีขันธ์!Q562"")+IMPORTRANGE(""https://docs.google.com/spreadsheets/d/1vVf6wykvW_lAyu7Yo9L4hUTqHqIeP_qcVuxCtosJEbg/edit?usp=sharing"",""ปราจีนบุรี!Q562"")+IMPORTRANGE(""https://docs.googl"&amp;"e.com/spreadsheets/d/1BIDqLLg5jk3v59G8NlR8rk5xfQDKne0sAvZHSj7TI6I/edit?usp=sharing"",""พระนครศรีอยุธยา!Q562"")+IMPORTRANGE(""https://docs.google.com/spreadsheets/d/1YXvxf8Yu6_rV4hTBrwMqAcAnv6DfhUxh5emyM3CJp_w/edit?usp=sharing"",""เพชรบุรี!Q562"")+IMPORTRA"&amp;"NGE(""https://docs.google.com/spreadsheets/d/19KBlQQs7uwvsao6t2n-KvW3Ax8J8uRRfZPq1zPbXgKc/edit?usp=sharing"",""ระยอง!Q562"")+IMPORTRANGE(""https://docs.google.com/spreadsheets/d/1jQ6P4QcrGM89YfqcC_PxOHGCMq5ezhucwJd8ci-NHng/edit?usp=sharing"",""ราชบุรี!Q56"&amp;"2"")+IMPORTRANGE(""https://docs.google.com/spreadsheets/d/1lufeA2cfFqM-elVq2hznhDzC6Pr7wkJ9ZG_sYNGCMCU/edit?usp=sharing"",""ลพบุรี!Q562"")+IMPORTRANGE(""https://docs.google.com/spreadsheets/d/10oOiF7loTyfsTkbd4MpaIm0HQ9SwB7IYHdIUvt-U1Uc/edit?usp=sharing"""&amp;",""สระแก้ว!Q562"")+IMPORTRANGE(""https://docs.google.com/spreadsheets/d/1xmPlrr1QbdSIKvl1dWUl9K4PjAfSL9oeMr_37QVzcxc/edit?usp=sharing"",""สระบุรี!Q562"")+IMPORTRANGE(""https://docs.google.com/spreadsheets/d/1j51vR6CYVGhABJpv6tkstgok82RLpXieLzW1yOY5rHw/edi"&amp;"t?usp=sharing"",""สิงห์บุรี!Q562"")+IMPORTRANGE(""https://docs.google.com/spreadsheets/d/1H1EalTWKUSzO4Z1-1CwzoDUaVffgrThEBe2sl74kKG0/edit?usp=sharing"",""สุพรรณบุรี!Q562"")+IMPORTRANGE(""https://docs.google.com/spreadsheets/d/1BmIruG_sIrJLYao_Pdr7zVArWsf"&amp;"oBt2692TMi6x_854/edit?usp=sharing"",""อ่างทอง!Q562"")"),0)</f>
        <v>0</v>
      </c>
      <c r="R562" s="75">
        <f ca="1">IFERROR(__xludf.DUMMYFUNCTION("IMPORTRANGE(""https://docs.google.com/spreadsheets/d/13wPX838HrBrQMCywv1BsuMkt4PEKTChp52zj44s2izQ/edit?usp=sharing"",""กาญจนบุรี!R562"")+IMPORTRANGE(""https://docs.google.com/spreadsheets/d/1ddFKvqj1W1NEiWytbGlB1zMx_ykJDVtmfEQ-6-lIUBA/edit?usp=sharing"","&amp;"""จันทบุรี!R562"")+IMPORTRANGE(""https://docs.google.com/spreadsheets/d/1T1PQvRODqOBZk8BRht_U031fIS1beLA0Ub2CEytj2q0/edit?usp=sharing"",""ฉะเชิงเทรา!R562"")+IMPORTRANGE(""https://docs.google.com/spreadsheets/d/11tr1B-Bhyr79v2bkwVh5h_fR-PStkgjlZtkrZpYurG0/"&amp;"edit?usp=sharing"",""ชลบุรี!R562"")+IMPORTRANGE(""https://docs.google.com/spreadsheets/d/1hh-FVnSX0vozXhGluamEcS54Dw9_zqW0N7qJUWgJ0Sw/edit?usp=sharing"",""ชัยนาท!R562"")+IMPORTRANGE(""https://docs.google.com/spreadsheets/d/1jkqa6GXxSacMcY1eN8AHjMNJ_7dDXMJ"&amp;"VRLDlaFSOdPM/edit?usp=sharing"",""ตราด!R562"")+IMPORTRANGE(""https://docs.google.com/spreadsheets/d/18hSgUJ3VwClqi_qtULmmW3cLr0oe3OKaSYoKzdpTsYQ/edit?usp=sharing"",""นครนายก!R562"")+IMPORTRANGE(""https://docs.google.com/spreadsheets/d/1YTZo6WM2dQ6Ix6FSdnL"&amp;"5P7uVnVKu40sxZu975tgG10E/edit?usp=sharing"",""นครปฐม!R562"")+IMPORTRANGE(""https://docs.google.com/spreadsheets/d/1OYoGg4WDg5RIzwGeB10padOxJF9E_Vljuvvct_M7RDo/edit?usp=sharing"",""ปทุมธานี!R562"")+IMPORTRANGE(""https://docs.google.com/spreadsheets/d/1GbCI"&amp;"E4D4wk9FUozzqk7SxfDMxDVBwVmI5zcaVUSzKAc/edit?usp=sharing"",""ประจวบคีรีขันธ์!R562"")+IMPORTRANGE(""https://docs.google.com/spreadsheets/d/1vVf6wykvW_lAyu7Yo9L4hUTqHqIeP_qcVuxCtosJEbg/edit?usp=sharing"",""ปราจีนบุรี!R562"")+IMPORTRANGE(""https://docs.googl"&amp;"e.com/spreadsheets/d/1BIDqLLg5jk3v59G8NlR8rk5xfQDKne0sAvZHSj7TI6I/edit?usp=sharing"",""พระนครศรีอยุธยา!R562"")+IMPORTRANGE(""https://docs.google.com/spreadsheets/d/1YXvxf8Yu6_rV4hTBrwMqAcAnv6DfhUxh5emyM3CJp_w/edit?usp=sharing"",""เพชรบุรี!R562"")+IMPORTRA"&amp;"NGE(""https://docs.google.com/spreadsheets/d/19KBlQQs7uwvsao6t2n-KvW3Ax8J8uRRfZPq1zPbXgKc/edit?usp=sharing"",""ระยอง!R562"")+IMPORTRANGE(""https://docs.google.com/spreadsheets/d/1jQ6P4QcrGM89YfqcC_PxOHGCMq5ezhucwJd8ci-NHng/edit?usp=sharing"",""ราชบุรี!R56"&amp;"2"")+IMPORTRANGE(""https://docs.google.com/spreadsheets/d/1lufeA2cfFqM-elVq2hznhDzC6Pr7wkJ9ZG_sYNGCMCU/edit?usp=sharing"",""ลพบุรี!R562"")+IMPORTRANGE(""https://docs.google.com/spreadsheets/d/10oOiF7loTyfsTkbd4MpaIm0HQ9SwB7IYHdIUvt-U1Uc/edit?usp=sharing"""&amp;",""สระแก้ว!R562"")+IMPORTRANGE(""https://docs.google.com/spreadsheets/d/1xmPlrr1QbdSIKvl1dWUl9K4PjAfSL9oeMr_37QVzcxc/edit?usp=sharing"",""สระบุรี!R562"")+IMPORTRANGE(""https://docs.google.com/spreadsheets/d/1j51vR6CYVGhABJpv6tkstgok82RLpXieLzW1yOY5rHw/edi"&amp;"t?usp=sharing"",""สิงห์บุรี!R562"")+IMPORTRANGE(""https://docs.google.com/spreadsheets/d/1H1EalTWKUSzO4Z1-1CwzoDUaVffgrThEBe2sl74kKG0/edit?usp=sharing"",""สุพรรณบุรี!R562"")+IMPORTRANGE(""https://docs.google.com/spreadsheets/d/1BmIruG_sIrJLYao_Pdr7zVArWsf"&amp;"oBt2692TMi6x_854/edit?usp=sharing"",""อ่างทอง!R562"")"),0)</f>
        <v>0</v>
      </c>
      <c r="S562" s="75">
        <f ca="1">IFERROR(__xludf.DUMMYFUNCTION("IMPORTRANGE(""https://docs.google.com/spreadsheets/d/13wPX838HrBrQMCywv1BsuMkt4PEKTChp52zj44s2izQ/edit?usp=sharing"",""กาญจนบุรี!S562"")+IMPORTRANGE(""https://docs.google.com/spreadsheets/d/1ddFKvqj1W1NEiWytbGlB1zMx_ykJDVtmfEQ-6-lIUBA/edit?usp=sharing"","&amp;"""จันทบุรี!S562"")+IMPORTRANGE(""https://docs.google.com/spreadsheets/d/1T1PQvRODqOBZk8BRht_U031fIS1beLA0Ub2CEytj2q0/edit?usp=sharing"",""ฉะเชิงเทรา!S562"")+IMPORTRANGE(""https://docs.google.com/spreadsheets/d/11tr1B-Bhyr79v2bkwVh5h_fR-PStkgjlZtkrZpYurG0/"&amp;"edit?usp=sharing"",""ชลบุรี!S562"")+IMPORTRANGE(""https://docs.google.com/spreadsheets/d/1hh-FVnSX0vozXhGluamEcS54Dw9_zqW0N7qJUWgJ0Sw/edit?usp=sharing"",""ชัยนาท!S562"")+IMPORTRANGE(""https://docs.google.com/spreadsheets/d/1jkqa6GXxSacMcY1eN8AHjMNJ_7dDXMJ"&amp;"VRLDlaFSOdPM/edit?usp=sharing"",""ตราด!S562"")+IMPORTRANGE(""https://docs.google.com/spreadsheets/d/18hSgUJ3VwClqi_qtULmmW3cLr0oe3OKaSYoKzdpTsYQ/edit?usp=sharing"",""นครนายก!S562"")+IMPORTRANGE(""https://docs.google.com/spreadsheets/d/1YTZo6WM2dQ6Ix6FSdnL"&amp;"5P7uVnVKu40sxZu975tgG10E/edit?usp=sharing"",""นครปฐม!S562"")+IMPORTRANGE(""https://docs.google.com/spreadsheets/d/1OYoGg4WDg5RIzwGeB10padOxJF9E_Vljuvvct_M7RDo/edit?usp=sharing"",""ปทุมธานี!S562"")+IMPORTRANGE(""https://docs.google.com/spreadsheets/d/1GbCI"&amp;"E4D4wk9FUozzqk7SxfDMxDVBwVmI5zcaVUSzKAc/edit?usp=sharing"",""ประจวบคีรีขันธ์!S562"")+IMPORTRANGE(""https://docs.google.com/spreadsheets/d/1vVf6wykvW_lAyu7Yo9L4hUTqHqIeP_qcVuxCtosJEbg/edit?usp=sharing"",""ปราจีนบุรี!S562"")+IMPORTRANGE(""https://docs.googl"&amp;"e.com/spreadsheets/d/1BIDqLLg5jk3v59G8NlR8rk5xfQDKne0sAvZHSj7TI6I/edit?usp=sharing"",""พระนครศรีอยุธยา!S562"")+IMPORTRANGE(""https://docs.google.com/spreadsheets/d/1YXvxf8Yu6_rV4hTBrwMqAcAnv6DfhUxh5emyM3CJp_w/edit?usp=sharing"",""เพชรบุรี!S562"")+IMPORTRA"&amp;"NGE(""https://docs.google.com/spreadsheets/d/19KBlQQs7uwvsao6t2n-KvW3Ax8J8uRRfZPq1zPbXgKc/edit?usp=sharing"",""ระยอง!S562"")+IMPORTRANGE(""https://docs.google.com/spreadsheets/d/1jQ6P4QcrGM89YfqcC_PxOHGCMq5ezhucwJd8ci-NHng/edit?usp=sharing"",""ราชบุรี!S56"&amp;"2"")+IMPORTRANGE(""https://docs.google.com/spreadsheets/d/1lufeA2cfFqM-elVq2hznhDzC6Pr7wkJ9ZG_sYNGCMCU/edit?usp=sharing"",""ลพบุรี!S562"")+IMPORTRANGE(""https://docs.google.com/spreadsheets/d/10oOiF7loTyfsTkbd4MpaIm0HQ9SwB7IYHdIUvt-U1Uc/edit?usp=sharing"""&amp;",""สระแก้ว!S562"")+IMPORTRANGE(""https://docs.google.com/spreadsheets/d/1xmPlrr1QbdSIKvl1dWUl9K4PjAfSL9oeMr_37QVzcxc/edit?usp=sharing"",""สระบุรี!S562"")+IMPORTRANGE(""https://docs.google.com/spreadsheets/d/1j51vR6CYVGhABJpv6tkstgok82RLpXieLzW1yOY5rHw/edi"&amp;"t?usp=sharing"",""สิงห์บุรี!S562"")+IMPORTRANGE(""https://docs.google.com/spreadsheets/d/1H1EalTWKUSzO4Z1-1CwzoDUaVffgrThEBe2sl74kKG0/edit?usp=sharing"",""สุพรรณบุรี!S562"")+IMPORTRANGE(""https://docs.google.com/spreadsheets/d/1BmIruG_sIrJLYao_Pdr7zVArWsf"&amp;"oBt2692TMi6x_854/edit?usp=sharing"",""อ่างทอง!S562"")"),0)</f>
        <v>0</v>
      </c>
      <c r="T562" s="131">
        <f t="shared" ca="1" si="389"/>
        <v>0</v>
      </c>
      <c r="U562" s="131">
        <f t="shared" ca="1" si="39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13wPX838HrBrQMCywv1BsuMkt4PEKTChp52zj44s2izQ/edit?usp=sharing"",""กาญจนบุรี!L563"")+IMPORTRANGE(""https://docs.google.com/spreadsheets/d/1ddFKvqj1W1NEiWytbGlB1zMx_ykJDVtmfEQ-6-lIUBA/edit?usp=sharing"","&amp;"""จันทบุรี!L563"")+IMPORTRANGE(""https://docs.google.com/spreadsheets/d/1T1PQvRODqOBZk8BRht_U031fIS1beLA0Ub2CEytj2q0/edit?usp=sharing"",""ฉะเชิงเทรา!L563"")+IMPORTRANGE(""https://docs.google.com/spreadsheets/d/11tr1B-Bhyr79v2bkwVh5h_fR-PStkgjlZtkrZpYurG0/"&amp;"edit?usp=sharing"",""ชลบุรี!L563"")+IMPORTRANGE(""https://docs.google.com/spreadsheets/d/1hh-FVnSX0vozXhGluamEcS54Dw9_zqW0N7qJUWgJ0Sw/edit?usp=sharing"",""ชัยนาท!L563"")+IMPORTRANGE(""https://docs.google.com/spreadsheets/d/1jkqa6GXxSacMcY1eN8AHjMNJ_7dDXMJ"&amp;"VRLDlaFSOdPM/edit?usp=sharing"",""ตราด!L563"")+IMPORTRANGE(""https://docs.google.com/spreadsheets/d/18hSgUJ3VwClqi_qtULmmW3cLr0oe3OKaSYoKzdpTsYQ/edit?usp=sharing"",""นครนายก!L563"")+IMPORTRANGE(""https://docs.google.com/spreadsheets/d/1YTZo6WM2dQ6Ix6FSdnL"&amp;"5P7uVnVKu40sxZu975tgG10E/edit?usp=sharing"",""นครปฐม!L563"")+IMPORTRANGE(""https://docs.google.com/spreadsheets/d/1OYoGg4WDg5RIzwGeB10padOxJF9E_Vljuvvct_M7RDo/edit?usp=sharing"",""ปทุมธานี!L563"")+IMPORTRANGE(""https://docs.google.com/spreadsheets/d/1GbCI"&amp;"E4D4wk9FUozzqk7SxfDMxDVBwVmI5zcaVUSzKAc/edit?usp=sharing"",""ประจวบคีรีขันธ์!L563"")+IMPORTRANGE(""https://docs.google.com/spreadsheets/d/1vVf6wykvW_lAyu7Yo9L4hUTqHqIeP_qcVuxCtosJEbg/edit?usp=sharing"",""ปราจีนบุรี!L563"")+IMPORTRANGE(""https://docs.googl"&amp;"e.com/spreadsheets/d/1BIDqLLg5jk3v59G8NlR8rk5xfQDKne0sAvZHSj7TI6I/edit?usp=sharing"",""พระนครศรีอยุธยา!L563"")+IMPORTRANGE(""https://docs.google.com/spreadsheets/d/1YXvxf8Yu6_rV4hTBrwMqAcAnv6DfhUxh5emyM3CJp_w/edit?usp=sharing"",""เพชรบุรี!L563"")+IMPORTRA"&amp;"NGE(""https://docs.google.com/spreadsheets/d/19KBlQQs7uwvsao6t2n-KvW3Ax8J8uRRfZPq1zPbXgKc/edit?usp=sharing"",""ระยอง!L563"")+IMPORTRANGE(""https://docs.google.com/spreadsheets/d/1jQ6P4QcrGM89YfqcC_PxOHGCMq5ezhucwJd8ci-NHng/edit?usp=sharing"",""ราชบุรี!L56"&amp;"3"")+IMPORTRANGE(""https://docs.google.com/spreadsheets/d/1lufeA2cfFqM-elVq2hznhDzC6Pr7wkJ9ZG_sYNGCMCU/edit?usp=sharing"",""ลพบุรี!L563"")+IMPORTRANGE(""https://docs.google.com/spreadsheets/d/10oOiF7loTyfsTkbd4MpaIm0HQ9SwB7IYHdIUvt-U1Uc/edit?usp=sharing"""&amp;",""สระแก้ว!L563"")+IMPORTRANGE(""https://docs.google.com/spreadsheets/d/1xmPlrr1QbdSIKvl1dWUl9K4PjAfSL9oeMr_37QVzcxc/edit?usp=sharing"",""สระบุรี!L563"")+IMPORTRANGE(""https://docs.google.com/spreadsheets/d/1j51vR6CYVGhABJpv6tkstgok82RLpXieLzW1yOY5rHw/edi"&amp;"t?usp=sharing"",""สิงห์บุรี!L563"")+IMPORTRANGE(""https://docs.google.com/spreadsheets/d/1H1EalTWKUSzO4Z1-1CwzoDUaVffgrThEBe2sl74kKG0/edit?usp=sharing"",""สุพรรณบุรี!L563"")+IMPORTRANGE(""https://docs.google.com/spreadsheets/d/1BmIruG_sIrJLYao_Pdr7zVArWsf"&amp;"oBt2692TMi6x_854/edit?usp=sharing"",""อ่างทอง!L563"")"),7199600)</f>
        <v>7199600</v>
      </c>
      <c r="M563" s="72">
        <f ca="1">IFERROR(__xludf.DUMMYFUNCTION("IMPORTRANGE(""https://docs.google.com/spreadsheets/d/13wPX838HrBrQMCywv1BsuMkt4PEKTChp52zj44s2izQ/edit?usp=sharing"",""กาญจนบุรี!M563"")+IMPORTRANGE(""https://docs.google.com/spreadsheets/d/1ddFKvqj1W1NEiWytbGlB1zMx_ykJDVtmfEQ-6-lIUBA/edit?usp=sharing"","&amp;"""จันทบุรี!M563"")+IMPORTRANGE(""https://docs.google.com/spreadsheets/d/1T1PQvRODqOBZk8BRht_U031fIS1beLA0Ub2CEytj2q0/edit?usp=sharing"",""ฉะเชิงเทรา!M563"")+IMPORTRANGE(""https://docs.google.com/spreadsheets/d/11tr1B-Bhyr79v2bkwVh5h_fR-PStkgjlZtkrZpYurG0/"&amp;"edit?usp=sharing"",""ชลบุรี!M563"")+IMPORTRANGE(""https://docs.google.com/spreadsheets/d/1hh-FVnSX0vozXhGluamEcS54Dw9_zqW0N7qJUWgJ0Sw/edit?usp=sharing"",""ชัยนาท!M563"")+IMPORTRANGE(""https://docs.google.com/spreadsheets/d/1jkqa6GXxSacMcY1eN8AHjMNJ_7dDXMJ"&amp;"VRLDlaFSOdPM/edit?usp=sharing"",""ตราด!M563"")+IMPORTRANGE(""https://docs.google.com/spreadsheets/d/18hSgUJ3VwClqi_qtULmmW3cLr0oe3OKaSYoKzdpTsYQ/edit?usp=sharing"",""นครนายก!M563"")+IMPORTRANGE(""https://docs.google.com/spreadsheets/d/1YTZo6WM2dQ6Ix6FSdnL"&amp;"5P7uVnVKu40sxZu975tgG10E/edit?usp=sharing"",""นครปฐม!M563"")+IMPORTRANGE(""https://docs.google.com/spreadsheets/d/1OYoGg4WDg5RIzwGeB10padOxJF9E_Vljuvvct_M7RDo/edit?usp=sharing"",""ปทุมธานี!M563"")+IMPORTRANGE(""https://docs.google.com/spreadsheets/d/1GbCI"&amp;"E4D4wk9FUozzqk7SxfDMxDVBwVmI5zcaVUSzKAc/edit?usp=sharing"",""ประจวบคีรีขันธ์!M563"")+IMPORTRANGE(""https://docs.google.com/spreadsheets/d/1vVf6wykvW_lAyu7Yo9L4hUTqHqIeP_qcVuxCtosJEbg/edit?usp=sharing"",""ปราจีนบุรี!M563"")+IMPORTRANGE(""https://docs.googl"&amp;"e.com/spreadsheets/d/1BIDqLLg5jk3v59G8NlR8rk5xfQDKne0sAvZHSj7TI6I/edit?usp=sharing"",""พระนครศรีอยุธยา!M563"")+IMPORTRANGE(""https://docs.google.com/spreadsheets/d/1YXvxf8Yu6_rV4hTBrwMqAcAnv6DfhUxh5emyM3CJp_w/edit?usp=sharing"",""เพชรบุรี!M563"")+IMPORTRA"&amp;"NGE(""https://docs.google.com/spreadsheets/d/19KBlQQs7uwvsao6t2n-KvW3Ax8J8uRRfZPq1zPbXgKc/edit?usp=sharing"",""ระยอง!M563"")+IMPORTRANGE(""https://docs.google.com/spreadsheets/d/1jQ6P4QcrGM89YfqcC_PxOHGCMq5ezhucwJd8ci-NHng/edit?usp=sharing"",""ราชบุรี!M56"&amp;"3"")+IMPORTRANGE(""https://docs.google.com/spreadsheets/d/1lufeA2cfFqM-elVq2hznhDzC6Pr7wkJ9ZG_sYNGCMCU/edit?usp=sharing"",""ลพบุรี!M563"")+IMPORTRANGE(""https://docs.google.com/spreadsheets/d/10oOiF7loTyfsTkbd4MpaIm0HQ9SwB7IYHdIUvt-U1Uc/edit?usp=sharing"""&amp;",""สระแก้ว!M563"")+IMPORTRANGE(""https://docs.google.com/spreadsheets/d/1xmPlrr1QbdSIKvl1dWUl9K4PjAfSL9oeMr_37QVzcxc/edit?usp=sharing"",""สระบุรี!M563"")+IMPORTRANGE(""https://docs.google.com/spreadsheets/d/1j51vR6CYVGhABJpv6tkstgok82RLpXieLzW1yOY5rHw/edi"&amp;"t?usp=sharing"",""สิงห์บุรี!M563"")+IMPORTRANGE(""https://docs.google.com/spreadsheets/d/1H1EalTWKUSzO4Z1-1CwzoDUaVffgrThEBe2sl74kKG0/edit?usp=sharing"",""สุพรรณบุรี!M563"")+IMPORTRANGE(""https://docs.google.com/spreadsheets/d/1BmIruG_sIrJLYao_Pdr7zVArWsf"&amp;"oBt2692TMi6x_854/edit?usp=sharing"",""อ่างทอง!M563"")"),5867638)</f>
        <v>5867638</v>
      </c>
      <c r="N563" s="72">
        <f ca="1">IFERROR(__xludf.DUMMYFUNCTION("IMPORTRANGE(""https://docs.google.com/spreadsheets/d/13wPX838HrBrQMCywv1BsuMkt4PEKTChp52zj44s2izQ/edit?usp=sharing"",""กาญจนบุรี!N563"")+IMPORTRANGE(""https://docs.google.com/spreadsheets/d/1ddFKvqj1W1NEiWytbGlB1zMx_ykJDVtmfEQ-6-lIUBA/edit?usp=sharing"","&amp;"""จันทบุรี!N563"")+IMPORTRANGE(""https://docs.google.com/spreadsheets/d/1T1PQvRODqOBZk8BRht_U031fIS1beLA0Ub2CEytj2q0/edit?usp=sharing"",""ฉะเชิงเทรา!N563"")+IMPORTRANGE(""https://docs.google.com/spreadsheets/d/11tr1B-Bhyr79v2bkwVh5h_fR-PStkgjlZtkrZpYurG0/"&amp;"edit?usp=sharing"",""ชลบุรี!N563"")+IMPORTRANGE(""https://docs.google.com/spreadsheets/d/1hh-FVnSX0vozXhGluamEcS54Dw9_zqW0N7qJUWgJ0Sw/edit?usp=sharing"",""ชัยนาท!N563"")+IMPORTRANGE(""https://docs.google.com/spreadsheets/d/1jkqa6GXxSacMcY1eN8AHjMNJ_7dDXMJ"&amp;"VRLDlaFSOdPM/edit?usp=sharing"",""ตราด!N563"")+IMPORTRANGE(""https://docs.google.com/spreadsheets/d/18hSgUJ3VwClqi_qtULmmW3cLr0oe3OKaSYoKzdpTsYQ/edit?usp=sharing"",""นครนายก!N563"")+IMPORTRANGE(""https://docs.google.com/spreadsheets/d/1YTZo6WM2dQ6Ix6FSdnL"&amp;"5P7uVnVKu40sxZu975tgG10E/edit?usp=sharing"",""นครปฐม!N563"")+IMPORTRANGE(""https://docs.google.com/spreadsheets/d/1OYoGg4WDg5RIzwGeB10padOxJF9E_Vljuvvct_M7RDo/edit?usp=sharing"",""ปทุมธานี!N563"")+IMPORTRANGE(""https://docs.google.com/spreadsheets/d/1GbCI"&amp;"E4D4wk9FUozzqk7SxfDMxDVBwVmI5zcaVUSzKAc/edit?usp=sharing"",""ประจวบคีรีขันธ์!N563"")+IMPORTRANGE(""https://docs.google.com/spreadsheets/d/1vVf6wykvW_lAyu7Yo9L4hUTqHqIeP_qcVuxCtosJEbg/edit?usp=sharing"",""ปราจีนบุรี!N563"")+IMPORTRANGE(""https://docs.googl"&amp;"e.com/spreadsheets/d/1BIDqLLg5jk3v59G8NlR8rk5xfQDKne0sAvZHSj7TI6I/edit?usp=sharing"",""พระนครศรีอยุธยา!N563"")+IMPORTRANGE(""https://docs.google.com/spreadsheets/d/1YXvxf8Yu6_rV4hTBrwMqAcAnv6DfhUxh5emyM3CJp_w/edit?usp=sharing"",""เพชรบุรี!N563"")+IMPORTRA"&amp;"NGE(""https://docs.google.com/spreadsheets/d/19KBlQQs7uwvsao6t2n-KvW3Ax8J8uRRfZPq1zPbXgKc/edit?usp=sharing"",""ระยอง!N563"")+IMPORTRANGE(""https://docs.google.com/spreadsheets/d/1jQ6P4QcrGM89YfqcC_PxOHGCMq5ezhucwJd8ci-NHng/edit?usp=sharing"",""ราชบุรี!N56"&amp;"3"")+IMPORTRANGE(""https://docs.google.com/spreadsheets/d/1lufeA2cfFqM-elVq2hznhDzC6Pr7wkJ9ZG_sYNGCMCU/edit?usp=sharing"",""ลพบุรี!N563"")+IMPORTRANGE(""https://docs.google.com/spreadsheets/d/10oOiF7loTyfsTkbd4MpaIm0HQ9SwB7IYHdIUvt-U1Uc/edit?usp=sharing"""&amp;",""สระแก้ว!N563"")+IMPORTRANGE(""https://docs.google.com/spreadsheets/d/1xmPlrr1QbdSIKvl1dWUl9K4PjAfSL9oeMr_37QVzcxc/edit?usp=sharing"",""สระบุรี!N563"")+IMPORTRANGE(""https://docs.google.com/spreadsheets/d/1j51vR6CYVGhABJpv6tkstgok82RLpXieLzW1yOY5rHw/edi"&amp;"t?usp=sharing"",""สิงห์บุรี!N563"")+IMPORTRANGE(""https://docs.google.com/spreadsheets/d/1H1EalTWKUSzO4Z1-1CwzoDUaVffgrThEBe2sl74kKG0/edit?usp=sharing"",""สุพรรณบุรี!N563"")+IMPORTRANGE(""https://docs.google.com/spreadsheets/d/1BmIruG_sIrJLYao_Pdr7zVArWsf"&amp;"oBt2692TMi6x_854/edit?usp=sharing"",""อ่างทอง!N563"")"),4690138)</f>
        <v>4690138</v>
      </c>
      <c r="O563" s="72">
        <f t="shared" ca="1" si="386"/>
        <v>65.144424690260564</v>
      </c>
      <c r="P563" s="72">
        <f t="shared" ca="1" si="387"/>
        <v>79.932299845355146</v>
      </c>
      <c r="Q563" s="71">
        <f ca="1">IFERROR(__xludf.DUMMYFUNCTION("IMPORTRANGE(""https://docs.google.com/spreadsheets/d/13wPX838HrBrQMCywv1BsuMkt4PEKTChp52zj44s2izQ/edit?usp=sharing"",""กาญจนบุรี!Q563"")+IMPORTRANGE(""https://docs.google.com/spreadsheets/d/1ddFKvqj1W1NEiWytbGlB1zMx_ykJDVtmfEQ-6-lIUBA/edit?usp=sharing"","&amp;"""จันทบุรี!Q563"")+IMPORTRANGE(""https://docs.google.com/spreadsheets/d/1T1PQvRODqOBZk8BRht_U031fIS1beLA0Ub2CEytj2q0/edit?usp=sharing"",""ฉะเชิงเทรา!Q563"")+IMPORTRANGE(""https://docs.google.com/spreadsheets/d/11tr1B-Bhyr79v2bkwVh5h_fR-PStkgjlZtkrZpYurG0/"&amp;"edit?usp=sharing"",""ชลบุรี!Q563"")+IMPORTRANGE(""https://docs.google.com/spreadsheets/d/1hh-FVnSX0vozXhGluamEcS54Dw9_zqW0N7qJUWgJ0Sw/edit?usp=sharing"",""ชัยนาท!Q563"")+IMPORTRANGE(""https://docs.google.com/spreadsheets/d/1jkqa6GXxSacMcY1eN8AHjMNJ_7dDXMJ"&amp;"VRLDlaFSOdPM/edit?usp=sharing"",""ตราด!Q563"")+IMPORTRANGE(""https://docs.google.com/spreadsheets/d/18hSgUJ3VwClqi_qtULmmW3cLr0oe3OKaSYoKzdpTsYQ/edit?usp=sharing"",""นครนายก!Q563"")+IMPORTRANGE(""https://docs.google.com/spreadsheets/d/1YTZo6WM2dQ6Ix6FSdnL"&amp;"5P7uVnVKu40sxZu975tgG10E/edit?usp=sharing"",""นครปฐม!Q563"")+IMPORTRANGE(""https://docs.google.com/spreadsheets/d/1OYoGg4WDg5RIzwGeB10padOxJF9E_Vljuvvct_M7RDo/edit?usp=sharing"",""ปทุมธานี!Q563"")+IMPORTRANGE(""https://docs.google.com/spreadsheets/d/1GbCI"&amp;"E4D4wk9FUozzqk7SxfDMxDVBwVmI5zcaVUSzKAc/edit?usp=sharing"",""ประจวบคีรีขันธ์!Q563"")+IMPORTRANGE(""https://docs.google.com/spreadsheets/d/1vVf6wykvW_lAyu7Yo9L4hUTqHqIeP_qcVuxCtosJEbg/edit?usp=sharing"",""ปราจีนบุรี!Q563"")+IMPORTRANGE(""https://docs.googl"&amp;"e.com/spreadsheets/d/1BIDqLLg5jk3v59G8NlR8rk5xfQDKne0sAvZHSj7TI6I/edit?usp=sharing"",""พระนครศรีอยุธยา!Q563"")+IMPORTRANGE(""https://docs.google.com/spreadsheets/d/1YXvxf8Yu6_rV4hTBrwMqAcAnv6DfhUxh5emyM3CJp_w/edit?usp=sharing"",""เพชรบุรี!Q563"")+IMPORTRA"&amp;"NGE(""https://docs.google.com/spreadsheets/d/19KBlQQs7uwvsao6t2n-KvW3Ax8J8uRRfZPq1zPbXgKc/edit?usp=sharing"",""ระยอง!Q563"")+IMPORTRANGE(""https://docs.google.com/spreadsheets/d/1jQ6P4QcrGM89YfqcC_PxOHGCMq5ezhucwJd8ci-NHng/edit?usp=sharing"",""ราชบุรี!Q56"&amp;"3"")+IMPORTRANGE(""https://docs.google.com/spreadsheets/d/1lufeA2cfFqM-elVq2hznhDzC6Pr7wkJ9ZG_sYNGCMCU/edit?usp=sharing"",""ลพบุรี!Q563"")+IMPORTRANGE(""https://docs.google.com/spreadsheets/d/10oOiF7loTyfsTkbd4MpaIm0HQ9SwB7IYHdIUvt-U1Uc/edit?usp=sharing"""&amp;",""สระแก้ว!Q563"")+IMPORTRANGE(""https://docs.google.com/spreadsheets/d/1xmPlrr1QbdSIKvl1dWUl9K4PjAfSL9oeMr_37QVzcxc/edit?usp=sharing"",""สระบุรี!Q563"")+IMPORTRANGE(""https://docs.google.com/spreadsheets/d/1j51vR6CYVGhABJpv6tkstgok82RLpXieLzW1yOY5rHw/edi"&amp;"t?usp=sharing"",""สิงห์บุรี!Q563"")+IMPORTRANGE(""https://docs.google.com/spreadsheets/d/1H1EalTWKUSzO4Z1-1CwzoDUaVffgrThEBe2sl74kKG0/edit?usp=sharing"",""สุพรรณบุรี!Q563"")+IMPORTRANGE(""https://docs.google.com/spreadsheets/d/1BmIruG_sIrJLYao_Pdr7zVArWsf"&amp;"oBt2692TMi6x_854/edit?usp=sharing"",""อ่างทอง!Q563"")"),0)</f>
        <v>0</v>
      </c>
      <c r="R563" s="72">
        <f ca="1">IFERROR(__xludf.DUMMYFUNCTION("IMPORTRANGE(""https://docs.google.com/spreadsheets/d/13wPX838HrBrQMCywv1BsuMkt4PEKTChp52zj44s2izQ/edit?usp=sharing"",""กาญจนบุรี!R563"")+IMPORTRANGE(""https://docs.google.com/spreadsheets/d/1ddFKvqj1W1NEiWytbGlB1zMx_ykJDVtmfEQ-6-lIUBA/edit?usp=sharing"","&amp;"""จันทบุรี!R563"")+IMPORTRANGE(""https://docs.google.com/spreadsheets/d/1T1PQvRODqOBZk8BRht_U031fIS1beLA0Ub2CEytj2q0/edit?usp=sharing"",""ฉะเชิงเทรา!R563"")+IMPORTRANGE(""https://docs.google.com/spreadsheets/d/11tr1B-Bhyr79v2bkwVh5h_fR-PStkgjlZtkrZpYurG0/"&amp;"edit?usp=sharing"",""ชลบุรี!R563"")+IMPORTRANGE(""https://docs.google.com/spreadsheets/d/1hh-FVnSX0vozXhGluamEcS54Dw9_zqW0N7qJUWgJ0Sw/edit?usp=sharing"",""ชัยนาท!R563"")+IMPORTRANGE(""https://docs.google.com/spreadsheets/d/1jkqa6GXxSacMcY1eN8AHjMNJ_7dDXMJ"&amp;"VRLDlaFSOdPM/edit?usp=sharing"",""ตราด!R563"")+IMPORTRANGE(""https://docs.google.com/spreadsheets/d/18hSgUJ3VwClqi_qtULmmW3cLr0oe3OKaSYoKzdpTsYQ/edit?usp=sharing"",""นครนายก!R563"")+IMPORTRANGE(""https://docs.google.com/spreadsheets/d/1YTZo6WM2dQ6Ix6FSdnL"&amp;"5P7uVnVKu40sxZu975tgG10E/edit?usp=sharing"",""นครปฐม!R563"")+IMPORTRANGE(""https://docs.google.com/spreadsheets/d/1OYoGg4WDg5RIzwGeB10padOxJF9E_Vljuvvct_M7RDo/edit?usp=sharing"",""ปทุมธานี!R563"")+IMPORTRANGE(""https://docs.google.com/spreadsheets/d/1GbCI"&amp;"E4D4wk9FUozzqk7SxfDMxDVBwVmI5zcaVUSzKAc/edit?usp=sharing"",""ประจวบคีรีขันธ์!R563"")+IMPORTRANGE(""https://docs.google.com/spreadsheets/d/1vVf6wykvW_lAyu7Yo9L4hUTqHqIeP_qcVuxCtosJEbg/edit?usp=sharing"",""ปราจีนบุรี!R563"")+IMPORTRANGE(""https://docs.googl"&amp;"e.com/spreadsheets/d/1BIDqLLg5jk3v59G8NlR8rk5xfQDKne0sAvZHSj7TI6I/edit?usp=sharing"",""พระนครศรีอยุธยา!R563"")+IMPORTRANGE(""https://docs.google.com/spreadsheets/d/1YXvxf8Yu6_rV4hTBrwMqAcAnv6DfhUxh5emyM3CJp_w/edit?usp=sharing"",""เพชรบุรี!R563"")+IMPORTRA"&amp;"NGE(""https://docs.google.com/spreadsheets/d/19KBlQQs7uwvsao6t2n-KvW3Ax8J8uRRfZPq1zPbXgKc/edit?usp=sharing"",""ระยอง!R563"")+IMPORTRANGE(""https://docs.google.com/spreadsheets/d/1jQ6P4QcrGM89YfqcC_PxOHGCMq5ezhucwJd8ci-NHng/edit?usp=sharing"",""ราชบุรี!R56"&amp;"3"")+IMPORTRANGE(""https://docs.google.com/spreadsheets/d/1lufeA2cfFqM-elVq2hznhDzC6Pr7wkJ9ZG_sYNGCMCU/edit?usp=sharing"",""ลพบุรี!R563"")+IMPORTRANGE(""https://docs.google.com/spreadsheets/d/10oOiF7loTyfsTkbd4MpaIm0HQ9SwB7IYHdIUvt-U1Uc/edit?usp=sharing"""&amp;",""สระแก้ว!R563"")+IMPORTRANGE(""https://docs.google.com/spreadsheets/d/1xmPlrr1QbdSIKvl1dWUl9K4PjAfSL9oeMr_37QVzcxc/edit?usp=sharing"",""สระบุรี!R563"")+IMPORTRANGE(""https://docs.google.com/spreadsheets/d/1j51vR6CYVGhABJpv6tkstgok82RLpXieLzW1yOY5rHw/edi"&amp;"t?usp=sharing"",""สิงห์บุรี!R563"")+IMPORTRANGE(""https://docs.google.com/spreadsheets/d/1H1EalTWKUSzO4Z1-1CwzoDUaVffgrThEBe2sl74kKG0/edit?usp=sharing"",""สุพรรณบุรี!R563"")+IMPORTRANGE(""https://docs.google.com/spreadsheets/d/1BmIruG_sIrJLYao_Pdr7zVArWsf"&amp;"oBt2692TMi6x_854/edit?usp=sharing"",""อ่างทอง!R563"")"),0)</f>
        <v>0</v>
      </c>
      <c r="S563" s="72">
        <f ca="1">IFERROR(__xludf.DUMMYFUNCTION("IMPORTRANGE(""https://docs.google.com/spreadsheets/d/13wPX838HrBrQMCywv1BsuMkt4PEKTChp52zj44s2izQ/edit?usp=sharing"",""กาญจนบุรี!S563"")+IMPORTRANGE(""https://docs.google.com/spreadsheets/d/1ddFKvqj1W1NEiWytbGlB1zMx_ykJDVtmfEQ-6-lIUBA/edit?usp=sharing"","&amp;"""จันทบุรี!S563"")+IMPORTRANGE(""https://docs.google.com/spreadsheets/d/1T1PQvRODqOBZk8BRht_U031fIS1beLA0Ub2CEytj2q0/edit?usp=sharing"",""ฉะเชิงเทรา!S563"")+IMPORTRANGE(""https://docs.google.com/spreadsheets/d/11tr1B-Bhyr79v2bkwVh5h_fR-PStkgjlZtkrZpYurG0/"&amp;"edit?usp=sharing"",""ชลบุรี!S563"")+IMPORTRANGE(""https://docs.google.com/spreadsheets/d/1hh-FVnSX0vozXhGluamEcS54Dw9_zqW0N7qJUWgJ0Sw/edit?usp=sharing"",""ชัยนาท!S563"")+IMPORTRANGE(""https://docs.google.com/spreadsheets/d/1jkqa6GXxSacMcY1eN8AHjMNJ_7dDXMJ"&amp;"VRLDlaFSOdPM/edit?usp=sharing"",""ตราด!S563"")+IMPORTRANGE(""https://docs.google.com/spreadsheets/d/18hSgUJ3VwClqi_qtULmmW3cLr0oe3OKaSYoKzdpTsYQ/edit?usp=sharing"",""นครนายก!S563"")+IMPORTRANGE(""https://docs.google.com/spreadsheets/d/1YTZo6WM2dQ6Ix6FSdnL"&amp;"5P7uVnVKu40sxZu975tgG10E/edit?usp=sharing"",""นครปฐม!S563"")+IMPORTRANGE(""https://docs.google.com/spreadsheets/d/1OYoGg4WDg5RIzwGeB10padOxJF9E_Vljuvvct_M7RDo/edit?usp=sharing"",""ปทุมธานี!S563"")+IMPORTRANGE(""https://docs.google.com/spreadsheets/d/1GbCI"&amp;"E4D4wk9FUozzqk7SxfDMxDVBwVmI5zcaVUSzKAc/edit?usp=sharing"",""ประจวบคีรีขันธ์!S563"")+IMPORTRANGE(""https://docs.google.com/spreadsheets/d/1vVf6wykvW_lAyu7Yo9L4hUTqHqIeP_qcVuxCtosJEbg/edit?usp=sharing"",""ปราจีนบุรี!S563"")+IMPORTRANGE(""https://docs.googl"&amp;"e.com/spreadsheets/d/1BIDqLLg5jk3v59G8NlR8rk5xfQDKne0sAvZHSj7TI6I/edit?usp=sharing"",""พระนครศรีอยุธยา!S563"")+IMPORTRANGE(""https://docs.google.com/spreadsheets/d/1YXvxf8Yu6_rV4hTBrwMqAcAnv6DfhUxh5emyM3CJp_w/edit?usp=sharing"",""เพชรบุรี!S563"")+IMPORTRA"&amp;"NGE(""https://docs.google.com/spreadsheets/d/19KBlQQs7uwvsao6t2n-KvW3Ax8J8uRRfZPq1zPbXgKc/edit?usp=sharing"",""ระยอง!S563"")+IMPORTRANGE(""https://docs.google.com/spreadsheets/d/1jQ6P4QcrGM89YfqcC_PxOHGCMq5ezhucwJd8ci-NHng/edit?usp=sharing"",""ราชบุรี!S56"&amp;"3"")+IMPORTRANGE(""https://docs.google.com/spreadsheets/d/1lufeA2cfFqM-elVq2hznhDzC6Pr7wkJ9ZG_sYNGCMCU/edit?usp=sharing"",""ลพบุรี!S563"")+IMPORTRANGE(""https://docs.google.com/spreadsheets/d/10oOiF7loTyfsTkbd4MpaIm0HQ9SwB7IYHdIUvt-U1Uc/edit?usp=sharing"""&amp;",""สระแก้ว!S563"")+IMPORTRANGE(""https://docs.google.com/spreadsheets/d/1xmPlrr1QbdSIKvl1dWUl9K4PjAfSL9oeMr_37QVzcxc/edit?usp=sharing"",""สระบุรี!S563"")+IMPORTRANGE(""https://docs.google.com/spreadsheets/d/1j51vR6CYVGhABJpv6tkstgok82RLpXieLzW1yOY5rHw/edi"&amp;"t?usp=sharing"",""สิงห์บุรี!S563"")+IMPORTRANGE(""https://docs.google.com/spreadsheets/d/1H1EalTWKUSzO4Z1-1CwzoDUaVffgrThEBe2sl74kKG0/edit?usp=sharing"",""สุพรรณบุรี!S563"")+IMPORTRANGE(""https://docs.google.com/spreadsheets/d/1BmIruG_sIrJLYao_Pdr7zVArWsf"&amp;"oBt2692TMi6x_854/edit?usp=sharing"",""อ่างทอง!S563"")"),0)</f>
        <v>0</v>
      </c>
      <c r="T563" s="130">
        <f t="shared" ca="1" si="389"/>
        <v>0</v>
      </c>
      <c r="U563" s="130">
        <f t="shared" ca="1" si="390"/>
        <v>0</v>
      </c>
    </row>
    <row r="564" spans="1:21" ht="19.5" x14ac:dyDescent="0.3">
      <c r="A564" s="274"/>
      <c r="B564" s="275"/>
      <c r="C564" s="668" t="s">
        <v>18</v>
      </c>
      <c r="D564" s="277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8.75" x14ac:dyDescent="0.25">
      <c r="A565" s="669"/>
      <c r="B565" s="427"/>
      <c r="C565" s="425"/>
      <c r="D565" s="540" t="s">
        <v>213</v>
      </c>
      <c r="E565" s="425"/>
      <c r="F565" s="427"/>
      <c r="G565" s="428"/>
      <c r="H565" s="429" t="s">
        <v>14</v>
      </c>
      <c r="I565" s="431">
        <f ca="1">IFERROR(__xludf.DUMMYFUNCTION("IMPORTRANGE(""https://docs.google.com/spreadsheets/d/13wPX838HrBrQMCywv1BsuMkt4PEKTChp52zj44s2izQ/edit?usp=sharing"",""กาญจนบุรี!I565"")+IMPORTRANGE(""https://docs.google.com/spreadsheets/d/1T1PQvRODqOBZk8BRht_U031fIS1beLA0Ub2CEytj2q0/edit?usp=sharing"","&amp;"""ฉะเชิงเทรา!I565"")+IMPORTRANGE(""https://docs.google.com/spreadsheets/d/1YXvxf8Yu6_rV4hTBrwMqAcAnv6DfhUxh5emyM3CJp_w/edit?usp=sharing"",""เพชรบุรี!I565"")"),7)</f>
        <v>7</v>
      </c>
      <c r="J565" s="672">
        <f ca="1">IFERROR(__xludf.DUMMYFUNCTION("IMPORTRANGE(""https://docs.google.com/spreadsheets/d/13wPX838HrBrQMCywv1BsuMkt4PEKTChp52zj44s2izQ/edit?usp=sharing"",""กาญจนบุรี!J565"")+IMPORTRANGE(""https://docs.google.com/spreadsheets/d/1T1PQvRODqOBZk8BRht_U031fIS1beLA0Ub2CEytj2q0/edit?usp=sharing"","&amp;"""ฉะเชิงเทรา!J565"")+IMPORTRANGE(""https://docs.google.com/spreadsheets/d/1YXvxf8Yu6_rV4hTBrwMqAcAnv6DfhUxh5emyM3CJp_w/edit?usp=sharing"",""เพชรบุรี!J565"")"),3)</f>
        <v>3</v>
      </c>
      <c r="K565" s="671">
        <f ca="1">IF(I565&gt;0,J565*100/I565,0)</f>
        <v>42.857142857142854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4"/>
      <c r="M566" s="574"/>
      <c r="N566" s="574"/>
      <c r="O566" s="574"/>
      <c r="P566" s="574"/>
      <c r="Q566" s="575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4"/>
      <c r="M567" s="574"/>
      <c r="N567" s="574"/>
      <c r="O567" s="574"/>
      <c r="P567" s="574"/>
      <c r="Q567" s="575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4"/>
      <c r="M568" s="574"/>
      <c r="N568" s="574"/>
      <c r="O568" s="574"/>
      <c r="P568" s="574"/>
      <c r="Q568" s="575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4"/>
      <c r="M569" s="574"/>
      <c r="N569" s="574"/>
      <c r="O569" s="574"/>
      <c r="P569" s="574"/>
      <c r="Q569" s="575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4"/>
      <c r="M570" s="574"/>
      <c r="N570" s="574"/>
      <c r="O570" s="574"/>
      <c r="P570" s="574"/>
      <c r="Q570" s="575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4"/>
      <c r="M571" s="574"/>
      <c r="N571" s="574"/>
      <c r="O571" s="574"/>
      <c r="P571" s="574"/>
      <c r="Q571" s="575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4"/>
      <c r="M572" s="574"/>
      <c r="N572" s="574"/>
      <c r="O572" s="574"/>
      <c r="P572" s="574"/>
      <c r="Q572" s="575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4"/>
      <c r="M573" s="574"/>
      <c r="N573" s="574"/>
      <c r="O573" s="574"/>
      <c r="P573" s="574"/>
      <c r="Q573" s="575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79"/>
      <c r="M574" s="579"/>
      <c r="N574" s="579"/>
      <c r="O574" s="579"/>
      <c r="P574" s="579"/>
      <c r="Q574" s="580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 t="shared" ref="I575:J575" ca="1" si="399">I587</f>
        <v>19</v>
      </c>
      <c r="J575" s="666">
        <f t="shared" ca="1" si="399"/>
        <v>0</v>
      </c>
      <c r="K575" s="667">
        <f ca="1">IF(I575&gt;0,J575*100/I575,0)</f>
        <v>0</v>
      </c>
      <c r="L575" s="643"/>
      <c r="M575" s="643"/>
      <c r="N575" s="643"/>
      <c r="O575" s="643"/>
      <c r="P575" s="643"/>
      <c r="Q575" s="642"/>
      <c r="R575" s="643"/>
      <c r="S575" s="643"/>
      <c r="T575" s="643"/>
      <c r="U575" s="643"/>
    </row>
    <row r="576" spans="1:21" ht="19.5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t="shared" ref="L576:N576" ca="1" si="400">L577+L578</f>
        <v>1018780</v>
      </c>
      <c r="M576" s="262">
        <f t="shared" ca="1" si="400"/>
        <v>1018780</v>
      </c>
      <c r="N576" s="262">
        <f t="shared" ca="1" si="400"/>
        <v>23650</v>
      </c>
      <c r="O576" s="262">
        <f t="shared" ref="O576:O584" ca="1" si="401">IF(L576&gt;0,N576*100/L576,0)</f>
        <v>2.3214040322738962</v>
      </c>
      <c r="P576" s="262">
        <f t="shared" ref="P576:P584" ca="1" si="402">IF(M576&gt;0,N576*100/M576,0)</f>
        <v>2.3214040322738962</v>
      </c>
      <c r="Q576" s="212">
        <f t="shared" ref="Q576:S576" ca="1" si="403">Q577+Q578</f>
        <v>0</v>
      </c>
      <c r="R576" s="213">
        <f t="shared" ca="1" si="403"/>
        <v>0</v>
      </c>
      <c r="S576" s="213">
        <f t="shared" ca="1" si="403"/>
        <v>0</v>
      </c>
      <c r="T576" s="213">
        <f t="shared" ref="T576:T584" ca="1" si="404">IF(Q576&gt;0,S576*100/Q576,0)</f>
        <v>0</v>
      </c>
      <c r="U576" s="213">
        <f t="shared" ref="U576:U584" ca="1" si="405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 t="shared" ref="L577:N577" ca="1" si="406">L580+L583</f>
        <v>0</v>
      </c>
      <c r="M577" s="75">
        <f t="shared" ca="1" si="406"/>
        <v>0</v>
      </c>
      <c r="N577" s="75">
        <f t="shared" ca="1" si="406"/>
        <v>0</v>
      </c>
      <c r="O577" s="75">
        <f t="shared" ca="1" si="401"/>
        <v>0</v>
      </c>
      <c r="P577" s="75">
        <f t="shared" ca="1" si="402"/>
        <v>0</v>
      </c>
      <c r="Q577" s="215">
        <f t="shared" ref="Q577:S577" ca="1" si="407">Q580+Q583</f>
        <v>0</v>
      </c>
      <c r="R577" s="131">
        <f t="shared" ca="1" si="407"/>
        <v>0</v>
      </c>
      <c r="S577" s="131">
        <f t="shared" ca="1" si="407"/>
        <v>0</v>
      </c>
      <c r="T577" s="131">
        <f t="shared" ca="1" si="404"/>
        <v>0</v>
      </c>
      <c r="U577" s="131">
        <f t="shared" ca="1" si="405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2">
        <f t="shared" ref="L578:N578" ca="1" si="408">L581+L584</f>
        <v>1018780</v>
      </c>
      <c r="M578" s="72">
        <f t="shared" ca="1" si="408"/>
        <v>1018780</v>
      </c>
      <c r="N578" s="72">
        <f t="shared" ca="1" si="408"/>
        <v>23650</v>
      </c>
      <c r="O578" s="72">
        <f t="shared" ca="1" si="401"/>
        <v>2.3214040322738962</v>
      </c>
      <c r="P578" s="72">
        <f t="shared" ca="1" si="402"/>
        <v>2.3214040322738962</v>
      </c>
      <c r="Q578" s="129">
        <f t="shared" ref="Q578:S578" ca="1" si="409">Q581+Q584</f>
        <v>0</v>
      </c>
      <c r="R578" s="130">
        <f t="shared" ca="1" si="409"/>
        <v>0</v>
      </c>
      <c r="S578" s="130">
        <f t="shared" ca="1" si="409"/>
        <v>0</v>
      </c>
      <c r="T578" s="130">
        <f t="shared" ca="1" si="404"/>
        <v>0</v>
      </c>
      <c r="U578" s="130">
        <f t="shared" ca="1" si="405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t="shared" ref="L579:N579" ca="1" si="410">L580+L581</f>
        <v>1018780</v>
      </c>
      <c r="M579" s="72">
        <f t="shared" ca="1" si="410"/>
        <v>1018780</v>
      </c>
      <c r="N579" s="72">
        <f t="shared" ca="1" si="410"/>
        <v>23650</v>
      </c>
      <c r="O579" s="72">
        <f t="shared" ca="1" si="401"/>
        <v>2.3214040322738962</v>
      </c>
      <c r="P579" s="72">
        <f t="shared" ca="1" si="402"/>
        <v>2.3214040322738962</v>
      </c>
      <c r="Q579" s="129">
        <f t="shared" ref="Q579:S579" ca="1" si="411">Q580+Q581</f>
        <v>0</v>
      </c>
      <c r="R579" s="130">
        <f t="shared" ca="1" si="411"/>
        <v>0</v>
      </c>
      <c r="S579" s="130">
        <f t="shared" ca="1" si="411"/>
        <v>0</v>
      </c>
      <c r="T579" s="130">
        <f t="shared" ca="1" si="404"/>
        <v>0</v>
      </c>
      <c r="U579" s="130">
        <f t="shared" ca="1" si="405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f ca="1">IFERROR(__xludf.DUMMYFUNCTION("IMPORTRANGE(""https://docs.google.com/spreadsheets/d/13wPX838HrBrQMCywv1BsuMkt4PEKTChp52zj44s2izQ/edit?usp=sharing"",""กาญจนบุรี!L580"")+IMPORTRANGE(""https://docs.google.com/spreadsheets/d/1ddFKvqj1W1NEiWytbGlB1zMx_ykJDVtmfEQ-6-lIUBA/edit?usp=sharing"","&amp;"""จันทบุรี!L580"")+IMPORTRANGE(""https://docs.google.com/spreadsheets/d/1T1PQvRODqOBZk8BRht_U031fIS1beLA0Ub2CEytj2q0/edit?usp=sharing"",""ฉะเชิงเทรา!L580"")+IMPORTRANGE(""https://docs.google.com/spreadsheets/d/11tr1B-Bhyr79v2bkwVh5h_fR-PStkgjlZtkrZpYurG0/"&amp;"edit?usp=sharing"",""ชลบุรี!L580"")+IMPORTRANGE(""https://docs.google.com/spreadsheets/d/1hh-FVnSX0vozXhGluamEcS54Dw9_zqW0N7qJUWgJ0Sw/edit?usp=sharing"",""ชัยนาท!L580"")+IMPORTRANGE(""https://docs.google.com/spreadsheets/d/1jkqa6GXxSacMcY1eN8AHjMNJ_7dDXMJ"&amp;"VRLDlaFSOdPM/edit?usp=sharing"",""ตราด!L580"")+IMPORTRANGE(""https://docs.google.com/spreadsheets/d/18hSgUJ3VwClqi_qtULmmW3cLr0oe3OKaSYoKzdpTsYQ/edit?usp=sharing"",""นครนายก!L580"")+IMPORTRANGE(""https://docs.google.com/spreadsheets/d/1YTZo6WM2dQ6Ix6FSdnL"&amp;"5P7uVnVKu40sxZu975tgG10E/edit?usp=sharing"",""นครปฐม!L580"")+IMPORTRANGE(""https://docs.google.com/spreadsheets/d/1OYoGg4WDg5RIzwGeB10padOxJF9E_Vljuvvct_M7RDo/edit?usp=sharing"",""ปทุมธานี!L580"")+IMPORTRANGE(""https://docs.google.com/spreadsheets/d/1GbCI"&amp;"E4D4wk9FUozzqk7SxfDMxDVBwVmI5zcaVUSzKAc/edit?usp=sharing"",""ประจวบคีรีขันธ์!L580"")+IMPORTRANGE(""https://docs.google.com/spreadsheets/d/1vVf6wykvW_lAyu7Yo9L4hUTqHqIeP_qcVuxCtosJEbg/edit?usp=sharing"",""ปราจีนบุรี!L580"")+IMPORTRANGE(""https://docs.googl"&amp;"e.com/spreadsheets/d/1BIDqLLg5jk3v59G8NlR8rk5xfQDKne0sAvZHSj7TI6I/edit?usp=sharing"",""พระนครศรีอยุธยา!L580"")+IMPORTRANGE(""https://docs.google.com/spreadsheets/d/1YXvxf8Yu6_rV4hTBrwMqAcAnv6DfhUxh5emyM3CJp_w/edit?usp=sharing"",""เพชรบุรี!L580"")+IMPORTRA"&amp;"NGE(""https://docs.google.com/spreadsheets/d/19KBlQQs7uwvsao6t2n-KvW3Ax8J8uRRfZPq1zPbXgKc/edit?usp=sharing"",""ระยอง!L580"")+IMPORTRANGE(""https://docs.google.com/spreadsheets/d/1jQ6P4QcrGM89YfqcC_PxOHGCMq5ezhucwJd8ci-NHng/edit?usp=sharing"",""ราชบุรี!L58"&amp;"0"")+IMPORTRANGE(""https://docs.google.com/spreadsheets/d/1lufeA2cfFqM-elVq2hznhDzC6Pr7wkJ9ZG_sYNGCMCU/edit?usp=sharing"",""ลพบุรี!L580"")+IMPORTRANGE(""https://docs.google.com/spreadsheets/d/10oOiF7loTyfsTkbd4MpaIm0HQ9SwB7IYHdIUvt-U1Uc/edit?usp=sharing"""&amp;",""สระแก้ว!L580"")+IMPORTRANGE(""https://docs.google.com/spreadsheets/d/1xmPlrr1QbdSIKvl1dWUl9K4PjAfSL9oeMr_37QVzcxc/edit?usp=sharing"",""สระบุรี!L580"")+IMPORTRANGE(""https://docs.google.com/spreadsheets/d/1j51vR6CYVGhABJpv6tkstgok82RLpXieLzW1yOY5rHw/edi"&amp;"t?usp=sharing"",""สิงห์บุรี!L580"")+IMPORTRANGE(""https://docs.google.com/spreadsheets/d/1H1EalTWKUSzO4Z1-1CwzoDUaVffgrThEBe2sl74kKG0/edit?usp=sharing"",""สุพรรณบุรี!L580"")+IMPORTRANGE(""https://docs.google.com/spreadsheets/d/1BmIruG_sIrJLYao_Pdr7zVArWsf"&amp;"oBt2692TMi6x_854/edit?usp=sharing"",""อ่างทอง!L580"")"),0)</f>
        <v>0</v>
      </c>
      <c r="M580" s="75">
        <f ca="1">IFERROR(__xludf.DUMMYFUNCTION("IMPORTRANGE(""https://docs.google.com/spreadsheets/d/13wPX838HrBrQMCywv1BsuMkt4PEKTChp52zj44s2izQ/edit?usp=sharing"",""กาญจนบุรี!M580"")+IMPORTRANGE(""https://docs.google.com/spreadsheets/d/1ddFKvqj1W1NEiWytbGlB1zMx_ykJDVtmfEQ-6-lIUBA/edit?usp=sharing"","&amp;"""จันทบุรี!M580"")+IMPORTRANGE(""https://docs.google.com/spreadsheets/d/1T1PQvRODqOBZk8BRht_U031fIS1beLA0Ub2CEytj2q0/edit?usp=sharing"",""ฉะเชิงเทรา!M580"")+IMPORTRANGE(""https://docs.google.com/spreadsheets/d/11tr1B-Bhyr79v2bkwVh5h_fR-PStkgjlZtkrZpYurG0/"&amp;"edit?usp=sharing"",""ชลบุรี!M580"")+IMPORTRANGE(""https://docs.google.com/spreadsheets/d/1hh-FVnSX0vozXhGluamEcS54Dw9_zqW0N7qJUWgJ0Sw/edit?usp=sharing"",""ชัยนาท!M580"")+IMPORTRANGE(""https://docs.google.com/spreadsheets/d/1jkqa6GXxSacMcY1eN8AHjMNJ_7dDXMJ"&amp;"VRLDlaFSOdPM/edit?usp=sharing"",""ตราด!M580"")+IMPORTRANGE(""https://docs.google.com/spreadsheets/d/18hSgUJ3VwClqi_qtULmmW3cLr0oe3OKaSYoKzdpTsYQ/edit?usp=sharing"",""นครนายก!M580"")+IMPORTRANGE(""https://docs.google.com/spreadsheets/d/1YTZo6WM2dQ6Ix6FSdnL"&amp;"5P7uVnVKu40sxZu975tgG10E/edit?usp=sharing"",""นครปฐม!M580"")+IMPORTRANGE(""https://docs.google.com/spreadsheets/d/1OYoGg4WDg5RIzwGeB10padOxJF9E_Vljuvvct_M7RDo/edit?usp=sharing"",""ปทุมธานี!M580"")+IMPORTRANGE(""https://docs.google.com/spreadsheets/d/1GbCI"&amp;"E4D4wk9FUozzqk7SxfDMxDVBwVmI5zcaVUSzKAc/edit?usp=sharing"",""ประจวบคีรีขันธ์!M580"")+IMPORTRANGE(""https://docs.google.com/spreadsheets/d/1vVf6wykvW_lAyu7Yo9L4hUTqHqIeP_qcVuxCtosJEbg/edit?usp=sharing"",""ปราจีนบุรี!M580"")+IMPORTRANGE(""https://docs.googl"&amp;"e.com/spreadsheets/d/1BIDqLLg5jk3v59G8NlR8rk5xfQDKne0sAvZHSj7TI6I/edit?usp=sharing"",""พระนครศรีอยุธยา!M580"")+IMPORTRANGE(""https://docs.google.com/spreadsheets/d/1YXvxf8Yu6_rV4hTBrwMqAcAnv6DfhUxh5emyM3CJp_w/edit?usp=sharing"",""เพชรบุรี!M580"")+IMPORTRA"&amp;"NGE(""https://docs.google.com/spreadsheets/d/19KBlQQs7uwvsao6t2n-KvW3Ax8J8uRRfZPq1zPbXgKc/edit?usp=sharing"",""ระยอง!M580"")+IMPORTRANGE(""https://docs.google.com/spreadsheets/d/1jQ6P4QcrGM89YfqcC_PxOHGCMq5ezhucwJd8ci-NHng/edit?usp=sharing"",""ราชบุรี!M58"&amp;"0"")+IMPORTRANGE(""https://docs.google.com/spreadsheets/d/1lufeA2cfFqM-elVq2hznhDzC6Pr7wkJ9ZG_sYNGCMCU/edit?usp=sharing"",""ลพบุรี!M580"")+IMPORTRANGE(""https://docs.google.com/spreadsheets/d/10oOiF7loTyfsTkbd4MpaIm0HQ9SwB7IYHdIUvt-U1Uc/edit?usp=sharing"""&amp;",""สระแก้ว!M580"")+IMPORTRANGE(""https://docs.google.com/spreadsheets/d/1xmPlrr1QbdSIKvl1dWUl9K4PjAfSL9oeMr_37QVzcxc/edit?usp=sharing"",""สระบุรี!M580"")+IMPORTRANGE(""https://docs.google.com/spreadsheets/d/1j51vR6CYVGhABJpv6tkstgok82RLpXieLzW1yOY5rHw/edi"&amp;"t?usp=sharing"",""สิงห์บุรี!M580"")+IMPORTRANGE(""https://docs.google.com/spreadsheets/d/1H1EalTWKUSzO4Z1-1CwzoDUaVffgrThEBe2sl74kKG0/edit?usp=sharing"",""สุพรรณบุรี!M580"")+IMPORTRANGE(""https://docs.google.com/spreadsheets/d/1BmIruG_sIrJLYao_Pdr7zVArWsf"&amp;"oBt2692TMi6x_854/edit?usp=sharing"",""อ่างทอง!M580"")"),0)</f>
        <v>0</v>
      </c>
      <c r="N580" s="75">
        <f ca="1">IFERROR(__xludf.DUMMYFUNCTION("IMPORTRANGE(""https://docs.google.com/spreadsheets/d/13wPX838HrBrQMCywv1BsuMkt4PEKTChp52zj44s2izQ/edit?usp=sharing"",""กาญจนบุรี!N580"")+IMPORTRANGE(""https://docs.google.com/spreadsheets/d/1ddFKvqj1W1NEiWytbGlB1zMx_ykJDVtmfEQ-6-lIUBA/edit?usp=sharing"","&amp;"""จันทบุรี!N580"")+IMPORTRANGE(""https://docs.google.com/spreadsheets/d/1T1PQvRODqOBZk8BRht_U031fIS1beLA0Ub2CEytj2q0/edit?usp=sharing"",""ฉะเชิงเทรา!N580"")+IMPORTRANGE(""https://docs.google.com/spreadsheets/d/11tr1B-Bhyr79v2bkwVh5h_fR-PStkgjlZtkrZpYurG0/"&amp;"edit?usp=sharing"",""ชลบุรี!N580"")+IMPORTRANGE(""https://docs.google.com/spreadsheets/d/1hh-FVnSX0vozXhGluamEcS54Dw9_zqW0N7qJUWgJ0Sw/edit?usp=sharing"",""ชัยนาท!N580"")+IMPORTRANGE(""https://docs.google.com/spreadsheets/d/1jkqa6GXxSacMcY1eN8AHjMNJ_7dDXMJ"&amp;"VRLDlaFSOdPM/edit?usp=sharing"",""ตราด!N580"")+IMPORTRANGE(""https://docs.google.com/spreadsheets/d/18hSgUJ3VwClqi_qtULmmW3cLr0oe3OKaSYoKzdpTsYQ/edit?usp=sharing"",""นครนายก!N580"")+IMPORTRANGE(""https://docs.google.com/spreadsheets/d/1YTZo6WM2dQ6Ix6FSdnL"&amp;"5P7uVnVKu40sxZu975tgG10E/edit?usp=sharing"",""นครปฐม!N580"")+IMPORTRANGE(""https://docs.google.com/spreadsheets/d/1OYoGg4WDg5RIzwGeB10padOxJF9E_Vljuvvct_M7RDo/edit?usp=sharing"",""ปทุมธานี!N580"")+IMPORTRANGE(""https://docs.google.com/spreadsheets/d/1GbCI"&amp;"E4D4wk9FUozzqk7SxfDMxDVBwVmI5zcaVUSzKAc/edit?usp=sharing"",""ประจวบคีรีขันธ์!N580"")+IMPORTRANGE(""https://docs.google.com/spreadsheets/d/1vVf6wykvW_lAyu7Yo9L4hUTqHqIeP_qcVuxCtosJEbg/edit?usp=sharing"",""ปราจีนบุรี!N580"")+IMPORTRANGE(""https://docs.googl"&amp;"e.com/spreadsheets/d/1BIDqLLg5jk3v59G8NlR8rk5xfQDKne0sAvZHSj7TI6I/edit?usp=sharing"",""พระนครศรีอยุธยา!N580"")+IMPORTRANGE(""https://docs.google.com/spreadsheets/d/1YXvxf8Yu6_rV4hTBrwMqAcAnv6DfhUxh5emyM3CJp_w/edit?usp=sharing"",""เพชรบุรี!N580"")+IMPORTRA"&amp;"NGE(""https://docs.google.com/spreadsheets/d/19KBlQQs7uwvsao6t2n-KvW3Ax8J8uRRfZPq1zPbXgKc/edit?usp=sharing"",""ระยอง!N580"")+IMPORTRANGE(""https://docs.google.com/spreadsheets/d/1jQ6P4QcrGM89YfqcC_PxOHGCMq5ezhucwJd8ci-NHng/edit?usp=sharing"",""ราชบุรี!N58"&amp;"0"")+IMPORTRANGE(""https://docs.google.com/spreadsheets/d/1lufeA2cfFqM-elVq2hznhDzC6Pr7wkJ9ZG_sYNGCMCU/edit?usp=sharing"",""ลพบุรี!N580"")+IMPORTRANGE(""https://docs.google.com/spreadsheets/d/10oOiF7loTyfsTkbd4MpaIm0HQ9SwB7IYHdIUvt-U1Uc/edit?usp=sharing"""&amp;",""สระแก้ว!N580"")+IMPORTRANGE(""https://docs.google.com/spreadsheets/d/1xmPlrr1QbdSIKvl1dWUl9K4PjAfSL9oeMr_37QVzcxc/edit?usp=sharing"",""สระบุรี!N580"")+IMPORTRANGE(""https://docs.google.com/spreadsheets/d/1j51vR6CYVGhABJpv6tkstgok82RLpXieLzW1yOY5rHw/edi"&amp;"t?usp=sharing"",""สิงห์บุรี!N580"")+IMPORTRANGE(""https://docs.google.com/spreadsheets/d/1H1EalTWKUSzO4Z1-1CwzoDUaVffgrThEBe2sl74kKG0/edit?usp=sharing"",""สุพรรณบุรี!N580"")+IMPORTRANGE(""https://docs.google.com/spreadsheets/d/1BmIruG_sIrJLYao_Pdr7zVArWsf"&amp;"oBt2692TMi6x_854/edit?usp=sharing"",""อ่างทอง!N580"")"),0)</f>
        <v>0</v>
      </c>
      <c r="O580" s="75">
        <f t="shared" ca="1" si="401"/>
        <v>0</v>
      </c>
      <c r="P580" s="75">
        <f t="shared" ca="1" si="402"/>
        <v>0</v>
      </c>
      <c r="Q580" s="74">
        <f ca="1">IFERROR(__xludf.DUMMYFUNCTION("IMPORTRANGE(""https://docs.google.com/spreadsheets/d/13wPX838HrBrQMCywv1BsuMkt4PEKTChp52zj44s2izQ/edit?usp=sharing"",""กาญจนบุรี!Q580"")+IMPORTRANGE(""https://docs.google.com/spreadsheets/d/1ddFKvqj1W1NEiWytbGlB1zMx_ykJDVtmfEQ-6-lIUBA/edit?usp=sharing"","&amp;"""จันทบุรี!Q580"")+IMPORTRANGE(""https://docs.google.com/spreadsheets/d/1T1PQvRODqOBZk8BRht_U031fIS1beLA0Ub2CEytj2q0/edit?usp=sharing"",""ฉะเชิงเทรา!Q580"")+IMPORTRANGE(""https://docs.google.com/spreadsheets/d/11tr1B-Bhyr79v2bkwVh5h_fR-PStkgjlZtkrZpYurG0/"&amp;"edit?usp=sharing"",""ชลบุรี!Q580"")+IMPORTRANGE(""https://docs.google.com/spreadsheets/d/1hh-FVnSX0vozXhGluamEcS54Dw9_zqW0N7qJUWgJ0Sw/edit?usp=sharing"",""ชัยนาท!Q580"")+IMPORTRANGE(""https://docs.google.com/spreadsheets/d/1jkqa6GXxSacMcY1eN8AHjMNJ_7dDXMJ"&amp;"VRLDlaFSOdPM/edit?usp=sharing"",""ตราด!Q580"")+IMPORTRANGE(""https://docs.google.com/spreadsheets/d/18hSgUJ3VwClqi_qtULmmW3cLr0oe3OKaSYoKzdpTsYQ/edit?usp=sharing"",""นครนายก!Q580"")+IMPORTRANGE(""https://docs.google.com/spreadsheets/d/1YTZo6WM2dQ6Ix6FSdnL"&amp;"5P7uVnVKu40sxZu975tgG10E/edit?usp=sharing"",""นครปฐม!Q580"")+IMPORTRANGE(""https://docs.google.com/spreadsheets/d/1OYoGg4WDg5RIzwGeB10padOxJF9E_Vljuvvct_M7RDo/edit?usp=sharing"",""ปทุมธานี!Q580"")+IMPORTRANGE(""https://docs.google.com/spreadsheets/d/1GbCI"&amp;"E4D4wk9FUozzqk7SxfDMxDVBwVmI5zcaVUSzKAc/edit?usp=sharing"",""ประจวบคีรีขันธ์!Q580"")+IMPORTRANGE(""https://docs.google.com/spreadsheets/d/1vVf6wykvW_lAyu7Yo9L4hUTqHqIeP_qcVuxCtosJEbg/edit?usp=sharing"",""ปราจีนบุรี!Q580"")+IMPORTRANGE(""https://docs.googl"&amp;"e.com/spreadsheets/d/1BIDqLLg5jk3v59G8NlR8rk5xfQDKne0sAvZHSj7TI6I/edit?usp=sharing"",""พระนครศรีอยุธยา!Q580"")+IMPORTRANGE(""https://docs.google.com/spreadsheets/d/1YXvxf8Yu6_rV4hTBrwMqAcAnv6DfhUxh5emyM3CJp_w/edit?usp=sharing"",""เพชรบุรี!Q580"")+IMPORTRA"&amp;"NGE(""https://docs.google.com/spreadsheets/d/19KBlQQs7uwvsao6t2n-KvW3Ax8J8uRRfZPq1zPbXgKc/edit?usp=sharing"",""ระยอง!Q580"")+IMPORTRANGE(""https://docs.google.com/spreadsheets/d/1jQ6P4QcrGM89YfqcC_PxOHGCMq5ezhucwJd8ci-NHng/edit?usp=sharing"",""ราชบุรี!Q58"&amp;"0"")+IMPORTRANGE(""https://docs.google.com/spreadsheets/d/1lufeA2cfFqM-elVq2hznhDzC6Pr7wkJ9ZG_sYNGCMCU/edit?usp=sharing"",""ลพบุรี!Q580"")+IMPORTRANGE(""https://docs.google.com/spreadsheets/d/10oOiF7loTyfsTkbd4MpaIm0HQ9SwB7IYHdIUvt-U1Uc/edit?usp=sharing"""&amp;",""สระแก้ว!Q580"")+IMPORTRANGE(""https://docs.google.com/spreadsheets/d/1xmPlrr1QbdSIKvl1dWUl9K4PjAfSL9oeMr_37QVzcxc/edit?usp=sharing"",""สระบุรี!Q580"")+IMPORTRANGE(""https://docs.google.com/spreadsheets/d/1j51vR6CYVGhABJpv6tkstgok82RLpXieLzW1yOY5rHw/edi"&amp;"t?usp=sharing"",""สิงห์บุรี!Q580"")+IMPORTRANGE(""https://docs.google.com/spreadsheets/d/1H1EalTWKUSzO4Z1-1CwzoDUaVffgrThEBe2sl74kKG0/edit?usp=sharing"",""สุพรรณบุรี!Q580"")+IMPORTRANGE(""https://docs.google.com/spreadsheets/d/1BmIruG_sIrJLYao_Pdr7zVArWsf"&amp;"oBt2692TMi6x_854/edit?usp=sharing"",""อ่างทอง!Q580"")"),0)</f>
        <v>0</v>
      </c>
      <c r="R580" s="75">
        <f ca="1">IFERROR(__xludf.DUMMYFUNCTION("IMPORTRANGE(""https://docs.google.com/spreadsheets/d/13wPX838HrBrQMCywv1BsuMkt4PEKTChp52zj44s2izQ/edit?usp=sharing"",""กาญจนบุรี!R580"")+IMPORTRANGE(""https://docs.google.com/spreadsheets/d/1ddFKvqj1W1NEiWytbGlB1zMx_ykJDVtmfEQ-6-lIUBA/edit?usp=sharing"","&amp;"""จันทบุรี!R580"")+IMPORTRANGE(""https://docs.google.com/spreadsheets/d/1T1PQvRODqOBZk8BRht_U031fIS1beLA0Ub2CEytj2q0/edit?usp=sharing"",""ฉะเชิงเทรา!R580"")+IMPORTRANGE(""https://docs.google.com/spreadsheets/d/11tr1B-Bhyr79v2bkwVh5h_fR-PStkgjlZtkrZpYurG0/"&amp;"edit?usp=sharing"",""ชลบุรี!R580"")+IMPORTRANGE(""https://docs.google.com/spreadsheets/d/1hh-FVnSX0vozXhGluamEcS54Dw9_zqW0N7qJUWgJ0Sw/edit?usp=sharing"",""ชัยนาท!R580"")+IMPORTRANGE(""https://docs.google.com/spreadsheets/d/1jkqa6GXxSacMcY1eN8AHjMNJ_7dDXMJ"&amp;"VRLDlaFSOdPM/edit?usp=sharing"",""ตราด!R580"")+IMPORTRANGE(""https://docs.google.com/spreadsheets/d/18hSgUJ3VwClqi_qtULmmW3cLr0oe3OKaSYoKzdpTsYQ/edit?usp=sharing"",""นครนายก!R580"")+IMPORTRANGE(""https://docs.google.com/spreadsheets/d/1YTZo6WM2dQ6Ix6FSdnL"&amp;"5P7uVnVKu40sxZu975tgG10E/edit?usp=sharing"",""นครปฐม!R580"")+IMPORTRANGE(""https://docs.google.com/spreadsheets/d/1OYoGg4WDg5RIzwGeB10padOxJF9E_Vljuvvct_M7RDo/edit?usp=sharing"",""ปทุมธานี!R580"")+IMPORTRANGE(""https://docs.google.com/spreadsheets/d/1GbCI"&amp;"E4D4wk9FUozzqk7SxfDMxDVBwVmI5zcaVUSzKAc/edit?usp=sharing"",""ประจวบคีรีขันธ์!R580"")+IMPORTRANGE(""https://docs.google.com/spreadsheets/d/1vVf6wykvW_lAyu7Yo9L4hUTqHqIeP_qcVuxCtosJEbg/edit?usp=sharing"",""ปราจีนบุรี!R580"")+IMPORTRANGE(""https://docs.googl"&amp;"e.com/spreadsheets/d/1BIDqLLg5jk3v59G8NlR8rk5xfQDKne0sAvZHSj7TI6I/edit?usp=sharing"",""พระนครศรีอยุธยา!R580"")+IMPORTRANGE(""https://docs.google.com/spreadsheets/d/1YXvxf8Yu6_rV4hTBrwMqAcAnv6DfhUxh5emyM3CJp_w/edit?usp=sharing"",""เพชรบุรี!R580"")+IMPORTRA"&amp;"NGE(""https://docs.google.com/spreadsheets/d/19KBlQQs7uwvsao6t2n-KvW3Ax8J8uRRfZPq1zPbXgKc/edit?usp=sharing"",""ระยอง!R580"")+IMPORTRANGE(""https://docs.google.com/spreadsheets/d/1jQ6P4QcrGM89YfqcC_PxOHGCMq5ezhucwJd8ci-NHng/edit?usp=sharing"",""ราชบุรี!R58"&amp;"0"")+IMPORTRANGE(""https://docs.google.com/spreadsheets/d/1lufeA2cfFqM-elVq2hznhDzC6Pr7wkJ9ZG_sYNGCMCU/edit?usp=sharing"",""ลพบุรี!R580"")+IMPORTRANGE(""https://docs.google.com/spreadsheets/d/10oOiF7loTyfsTkbd4MpaIm0HQ9SwB7IYHdIUvt-U1Uc/edit?usp=sharing"""&amp;",""สระแก้ว!R580"")+IMPORTRANGE(""https://docs.google.com/spreadsheets/d/1xmPlrr1QbdSIKvl1dWUl9K4PjAfSL9oeMr_37QVzcxc/edit?usp=sharing"",""สระบุรี!R580"")+IMPORTRANGE(""https://docs.google.com/spreadsheets/d/1j51vR6CYVGhABJpv6tkstgok82RLpXieLzW1yOY5rHw/edi"&amp;"t?usp=sharing"",""สิงห์บุรี!R580"")+IMPORTRANGE(""https://docs.google.com/spreadsheets/d/1H1EalTWKUSzO4Z1-1CwzoDUaVffgrThEBe2sl74kKG0/edit?usp=sharing"",""สุพรรณบุรี!R580"")+IMPORTRANGE(""https://docs.google.com/spreadsheets/d/1BmIruG_sIrJLYao_Pdr7zVArWsf"&amp;"oBt2692TMi6x_854/edit?usp=sharing"",""อ่างทอง!R580"")"),0)</f>
        <v>0</v>
      </c>
      <c r="S580" s="75">
        <f ca="1">IFERROR(__xludf.DUMMYFUNCTION("IMPORTRANGE(""https://docs.google.com/spreadsheets/d/13wPX838HrBrQMCywv1BsuMkt4PEKTChp52zj44s2izQ/edit?usp=sharing"",""กาญจนบุรี!S580"")+IMPORTRANGE(""https://docs.google.com/spreadsheets/d/1ddFKvqj1W1NEiWytbGlB1zMx_ykJDVtmfEQ-6-lIUBA/edit?usp=sharing"","&amp;"""จันทบุรี!S580"")+IMPORTRANGE(""https://docs.google.com/spreadsheets/d/1T1PQvRODqOBZk8BRht_U031fIS1beLA0Ub2CEytj2q0/edit?usp=sharing"",""ฉะเชิงเทรา!S580"")+IMPORTRANGE(""https://docs.google.com/spreadsheets/d/11tr1B-Bhyr79v2bkwVh5h_fR-PStkgjlZtkrZpYurG0/"&amp;"edit?usp=sharing"",""ชลบุรี!S580"")+IMPORTRANGE(""https://docs.google.com/spreadsheets/d/1hh-FVnSX0vozXhGluamEcS54Dw9_zqW0N7qJUWgJ0Sw/edit?usp=sharing"",""ชัยนาท!S580"")+IMPORTRANGE(""https://docs.google.com/spreadsheets/d/1jkqa6GXxSacMcY1eN8AHjMNJ_7dDXMJ"&amp;"VRLDlaFSOdPM/edit?usp=sharing"",""ตราด!S580"")+IMPORTRANGE(""https://docs.google.com/spreadsheets/d/18hSgUJ3VwClqi_qtULmmW3cLr0oe3OKaSYoKzdpTsYQ/edit?usp=sharing"",""นครนายก!S580"")+IMPORTRANGE(""https://docs.google.com/spreadsheets/d/1YTZo6WM2dQ6Ix6FSdnL"&amp;"5P7uVnVKu40sxZu975tgG10E/edit?usp=sharing"",""นครปฐม!S580"")+IMPORTRANGE(""https://docs.google.com/spreadsheets/d/1OYoGg4WDg5RIzwGeB10padOxJF9E_Vljuvvct_M7RDo/edit?usp=sharing"",""ปทุมธานี!S580"")+IMPORTRANGE(""https://docs.google.com/spreadsheets/d/1GbCI"&amp;"E4D4wk9FUozzqk7SxfDMxDVBwVmI5zcaVUSzKAc/edit?usp=sharing"",""ประจวบคีรีขันธ์!S580"")+IMPORTRANGE(""https://docs.google.com/spreadsheets/d/1vVf6wykvW_lAyu7Yo9L4hUTqHqIeP_qcVuxCtosJEbg/edit?usp=sharing"",""ปราจีนบุรี!S580"")+IMPORTRANGE(""https://docs.googl"&amp;"e.com/spreadsheets/d/1BIDqLLg5jk3v59G8NlR8rk5xfQDKne0sAvZHSj7TI6I/edit?usp=sharing"",""พระนครศรีอยุธยา!S580"")+IMPORTRANGE(""https://docs.google.com/spreadsheets/d/1YXvxf8Yu6_rV4hTBrwMqAcAnv6DfhUxh5emyM3CJp_w/edit?usp=sharing"",""เพชรบุรี!S580"")+IMPORTRA"&amp;"NGE(""https://docs.google.com/spreadsheets/d/19KBlQQs7uwvsao6t2n-KvW3Ax8J8uRRfZPq1zPbXgKc/edit?usp=sharing"",""ระยอง!S580"")+IMPORTRANGE(""https://docs.google.com/spreadsheets/d/1jQ6P4QcrGM89YfqcC_PxOHGCMq5ezhucwJd8ci-NHng/edit?usp=sharing"",""ราชบุรี!S58"&amp;"0"")+IMPORTRANGE(""https://docs.google.com/spreadsheets/d/1lufeA2cfFqM-elVq2hznhDzC6Pr7wkJ9ZG_sYNGCMCU/edit?usp=sharing"",""ลพบุรี!S580"")+IMPORTRANGE(""https://docs.google.com/spreadsheets/d/10oOiF7loTyfsTkbd4MpaIm0HQ9SwB7IYHdIUvt-U1Uc/edit?usp=sharing"""&amp;",""สระแก้ว!S580"")+IMPORTRANGE(""https://docs.google.com/spreadsheets/d/1xmPlrr1QbdSIKvl1dWUl9K4PjAfSL9oeMr_37QVzcxc/edit?usp=sharing"",""สระบุรี!S580"")+IMPORTRANGE(""https://docs.google.com/spreadsheets/d/1j51vR6CYVGhABJpv6tkstgok82RLpXieLzW1yOY5rHw/edi"&amp;"t?usp=sharing"",""สิงห์บุรี!S580"")+IMPORTRANGE(""https://docs.google.com/spreadsheets/d/1H1EalTWKUSzO4Z1-1CwzoDUaVffgrThEBe2sl74kKG0/edit?usp=sharing"",""สุพรรณบุรี!S580"")+IMPORTRANGE(""https://docs.google.com/spreadsheets/d/1BmIruG_sIrJLYao_Pdr7zVArWsf"&amp;"oBt2692TMi6x_854/edit?usp=sharing"",""อ่างทอง!S580"")"),0)</f>
        <v>0</v>
      </c>
      <c r="T580" s="131">
        <f t="shared" ca="1" si="404"/>
        <v>0</v>
      </c>
      <c r="U580" s="131">
        <f t="shared" ca="1" si="405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13wPX838HrBrQMCywv1BsuMkt4PEKTChp52zj44s2izQ/edit?usp=sharing"",""กาญจนบุรี!L581"")+IMPORTRANGE(""https://docs.google.com/spreadsheets/d/1ddFKvqj1W1NEiWytbGlB1zMx_ykJDVtmfEQ-6-lIUBA/edit?usp=sharing"","&amp;"""จันทบุรี!L581"")+IMPORTRANGE(""https://docs.google.com/spreadsheets/d/1T1PQvRODqOBZk8BRht_U031fIS1beLA0Ub2CEytj2q0/edit?usp=sharing"",""ฉะเชิงเทรา!L581"")+IMPORTRANGE(""https://docs.google.com/spreadsheets/d/11tr1B-Bhyr79v2bkwVh5h_fR-PStkgjlZtkrZpYurG0/"&amp;"edit?usp=sharing"",""ชลบุรี!L581"")+IMPORTRANGE(""https://docs.google.com/spreadsheets/d/1hh-FVnSX0vozXhGluamEcS54Dw9_zqW0N7qJUWgJ0Sw/edit?usp=sharing"",""ชัยนาท!L581"")+IMPORTRANGE(""https://docs.google.com/spreadsheets/d/1jkqa6GXxSacMcY1eN8AHjMNJ_7dDXMJ"&amp;"VRLDlaFSOdPM/edit?usp=sharing"",""ตราด!L581"")+IMPORTRANGE(""https://docs.google.com/spreadsheets/d/18hSgUJ3VwClqi_qtULmmW3cLr0oe3OKaSYoKzdpTsYQ/edit?usp=sharing"",""นครนายก!L581"")+IMPORTRANGE(""https://docs.google.com/spreadsheets/d/1YTZo6WM2dQ6Ix6FSdnL"&amp;"5P7uVnVKu40sxZu975tgG10E/edit?usp=sharing"",""นครปฐม!L581"")+IMPORTRANGE(""https://docs.google.com/spreadsheets/d/1OYoGg4WDg5RIzwGeB10padOxJF9E_Vljuvvct_M7RDo/edit?usp=sharing"",""ปทุมธานี!L581"")+IMPORTRANGE(""https://docs.google.com/spreadsheets/d/1GbCI"&amp;"E4D4wk9FUozzqk7SxfDMxDVBwVmI5zcaVUSzKAc/edit?usp=sharing"",""ประจวบคีรีขันธ์!L581"")+IMPORTRANGE(""https://docs.google.com/spreadsheets/d/1vVf6wykvW_lAyu7Yo9L4hUTqHqIeP_qcVuxCtosJEbg/edit?usp=sharing"",""ปราจีนบุรี!L581"")+IMPORTRANGE(""https://docs.googl"&amp;"e.com/spreadsheets/d/1BIDqLLg5jk3v59G8NlR8rk5xfQDKne0sAvZHSj7TI6I/edit?usp=sharing"",""พระนครศรีอยุธยา!L581"")+IMPORTRANGE(""https://docs.google.com/spreadsheets/d/1YXvxf8Yu6_rV4hTBrwMqAcAnv6DfhUxh5emyM3CJp_w/edit?usp=sharing"",""เพชรบุรี!L581"")+IMPORTRA"&amp;"NGE(""https://docs.google.com/spreadsheets/d/19KBlQQs7uwvsao6t2n-KvW3Ax8J8uRRfZPq1zPbXgKc/edit?usp=sharing"",""ระยอง!L581"")+IMPORTRANGE(""https://docs.google.com/spreadsheets/d/1jQ6P4QcrGM89YfqcC_PxOHGCMq5ezhucwJd8ci-NHng/edit?usp=sharing"",""ราชบุรี!L58"&amp;"1"")+IMPORTRANGE(""https://docs.google.com/spreadsheets/d/1lufeA2cfFqM-elVq2hznhDzC6Pr7wkJ9ZG_sYNGCMCU/edit?usp=sharing"",""ลพบุรี!L581"")+IMPORTRANGE(""https://docs.google.com/spreadsheets/d/10oOiF7loTyfsTkbd4MpaIm0HQ9SwB7IYHdIUvt-U1Uc/edit?usp=sharing"""&amp;",""สระแก้ว!L581"")+IMPORTRANGE(""https://docs.google.com/spreadsheets/d/1xmPlrr1QbdSIKvl1dWUl9K4PjAfSL9oeMr_37QVzcxc/edit?usp=sharing"",""สระบุรี!L581"")+IMPORTRANGE(""https://docs.google.com/spreadsheets/d/1j51vR6CYVGhABJpv6tkstgok82RLpXieLzW1yOY5rHw/edi"&amp;"t?usp=sharing"",""สิงห์บุรี!L581"")+IMPORTRANGE(""https://docs.google.com/spreadsheets/d/1H1EalTWKUSzO4Z1-1CwzoDUaVffgrThEBe2sl74kKG0/edit?usp=sharing"",""สุพรรณบุรี!L581"")+IMPORTRANGE(""https://docs.google.com/spreadsheets/d/1BmIruG_sIrJLYao_Pdr7zVArWsf"&amp;"oBt2692TMi6x_854/edit?usp=sharing"",""อ่างทอง!L581"")"),1018780)</f>
        <v>1018780</v>
      </c>
      <c r="M581" s="72">
        <f ca="1">IFERROR(__xludf.DUMMYFUNCTION("IMPORTRANGE(""https://docs.google.com/spreadsheets/d/13wPX838HrBrQMCywv1BsuMkt4PEKTChp52zj44s2izQ/edit?usp=sharing"",""กาญจนบุรี!M581"")+IMPORTRANGE(""https://docs.google.com/spreadsheets/d/1ddFKvqj1W1NEiWytbGlB1zMx_ykJDVtmfEQ-6-lIUBA/edit?usp=sharing"","&amp;"""จันทบุรี!M581"")+IMPORTRANGE(""https://docs.google.com/spreadsheets/d/1T1PQvRODqOBZk8BRht_U031fIS1beLA0Ub2CEytj2q0/edit?usp=sharing"",""ฉะเชิงเทรา!M581"")+IMPORTRANGE(""https://docs.google.com/spreadsheets/d/11tr1B-Bhyr79v2bkwVh5h_fR-PStkgjlZtkrZpYurG0/"&amp;"edit?usp=sharing"",""ชลบุรี!M581"")+IMPORTRANGE(""https://docs.google.com/spreadsheets/d/1hh-FVnSX0vozXhGluamEcS54Dw9_zqW0N7qJUWgJ0Sw/edit?usp=sharing"",""ชัยนาท!M581"")+IMPORTRANGE(""https://docs.google.com/spreadsheets/d/1jkqa6GXxSacMcY1eN8AHjMNJ_7dDXMJ"&amp;"VRLDlaFSOdPM/edit?usp=sharing"",""ตราด!M581"")+IMPORTRANGE(""https://docs.google.com/spreadsheets/d/18hSgUJ3VwClqi_qtULmmW3cLr0oe3OKaSYoKzdpTsYQ/edit?usp=sharing"",""นครนายก!M581"")+IMPORTRANGE(""https://docs.google.com/spreadsheets/d/1YTZo6WM2dQ6Ix6FSdnL"&amp;"5P7uVnVKu40sxZu975tgG10E/edit?usp=sharing"",""นครปฐม!M581"")+IMPORTRANGE(""https://docs.google.com/spreadsheets/d/1OYoGg4WDg5RIzwGeB10padOxJF9E_Vljuvvct_M7RDo/edit?usp=sharing"",""ปทุมธานี!M581"")+IMPORTRANGE(""https://docs.google.com/spreadsheets/d/1GbCI"&amp;"E4D4wk9FUozzqk7SxfDMxDVBwVmI5zcaVUSzKAc/edit?usp=sharing"",""ประจวบคีรีขันธ์!M581"")+IMPORTRANGE(""https://docs.google.com/spreadsheets/d/1vVf6wykvW_lAyu7Yo9L4hUTqHqIeP_qcVuxCtosJEbg/edit?usp=sharing"",""ปราจีนบุรี!M581"")+IMPORTRANGE(""https://docs.googl"&amp;"e.com/spreadsheets/d/1BIDqLLg5jk3v59G8NlR8rk5xfQDKne0sAvZHSj7TI6I/edit?usp=sharing"",""พระนครศรีอยุธยา!M581"")+IMPORTRANGE(""https://docs.google.com/spreadsheets/d/1YXvxf8Yu6_rV4hTBrwMqAcAnv6DfhUxh5emyM3CJp_w/edit?usp=sharing"",""เพชรบุรี!M581"")+IMPORTRA"&amp;"NGE(""https://docs.google.com/spreadsheets/d/19KBlQQs7uwvsao6t2n-KvW3Ax8J8uRRfZPq1zPbXgKc/edit?usp=sharing"",""ระยอง!M581"")+IMPORTRANGE(""https://docs.google.com/spreadsheets/d/1jQ6P4QcrGM89YfqcC_PxOHGCMq5ezhucwJd8ci-NHng/edit?usp=sharing"",""ราชบุรี!M58"&amp;"1"")+IMPORTRANGE(""https://docs.google.com/spreadsheets/d/1lufeA2cfFqM-elVq2hznhDzC6Pr7wkJ9ZG_sYNGCMCU/edit?usp=sharing"",""ลพบุรี!M581"")+IMPORTRANGE(""https://docs.google.com/spreadsheets/d/10oOiF7loTyfsTkbd4MpaIm0HQ9SwB7IYHdIUvt-U1Uc/edit?usp=sharing"""&amp;",""สระแก้ว!M581"")+IMPORTRANGE(""https://docs.google.com/spreadsheets/d/1xmPlrr1QbdSIKvl1dWUl9K4PjAfSL9oeMr_37QVzcxc/edit?usp=sharing"",""สระบุรี!M581"")+IMPORTRANGE(""https://docs.google.com/spreadsheets/d/1j51vR6CYVGhABJpv6tkstgok82RLpXieLzW1yOY5rHw/edi"&amp;"t?usp=sharing"",""สิงห์บุรี!M581"")+IMPORTRANGE(""https://docs.google.com/spreadsheets/d/1H1EalTWKUSzO4Z1-1CwzoDUaVffgrThEBe2sl74kKG0/edit?usp=sharing"",""สุพรรณบุรี!M581"")+IMPORTRANGE(""https://docs.google.com/spreadsheets/d/1BmIruG_sIrJLYao_Pdr7zVArWsf"&amp;"oBt2692TMi6x_854/edit?usp=sharing"",""อ่างทอง!M581"")"),1018780)</f>
        <v>1018780</v>
      </c>
      <c r="N581" s="72">
        <f ca="1">IFERROR(__xludf.DUMMYFUNCTION("IMPORTRANGE(""https://docs.google.com/spreadsheets/d/13wPX838HrBrQMCywv1BsuMkt4PEKTChp52zj44s2izQ/edit?usp=sharing"",""กาญจนบุรี!N581"")+IMPORTRANGE(""https://docs.google.com/spreadsheets/d/1ddFKvqj1W1NEiWytbGlB1zMx_ykJDVtmfEQ-6-lIUBA/edit?usp=sharing"","&amp;"""จันทบุรี!N581"")+IMPORTRANGE(""https://docs.google.com/spreadsheets/d/1T1PQvRODqOBZk8BRht_U031fIS1beLA0Ub2CEytj2q0/edit?usp=sharing"",""ฉะเชิงเทรา!N581"")+IMPORTRANGE(""https://docs.google.com/spreadsheets/d/11tr1B-Bhyr79v2bkwVh5h_fR-PStkgjlZtkrZpYurG0/"&amp;"edit?usp=sharing"",""ชลบุรี!N581"")+IMPORTRANGE(""https://docs.google.com/spreadsheets/d/1hh-FVnSX0vozXhGluamEcS54Dw9_zqW0N7qJUWgJ0Sw/edit?usp=sharing"",""ชัยนาท!N581"")+IMPORTRANGE(""https://docs.google.com/spreadsheets/d/1jkqa6GXxSacMcY1eN8AHjMNJ_7dDXMJ"&amp;"VRLDlaFSOdPM/edit?usp=sharing"",""ตราด!N581"")+IMPORTRANGE(""https://docs.google.com/spreadsheets/d/18hSgUJ3VwClqi_qtULmmW3cLr0oe3OKaSYoKzdpTsYQ/edit?usp=sharing"",""นครนายก!N581"")+IMPORTRANGE(""https://docs.google.com/spreadsheets/d/1YTZo6WM2dQ6Ix6FSdnL"&amp;"5P7uVnVKu40sxZu975tgG10E/edit?usp=sharing"",""นครปฐม!N581"")+IMPORTRANGE(""https://docs.google.com/spreadsheets/d/1OYoGg4WDg5RIzwGeB10padOxJF9E_Vljuvvct_M7RDo/edit?usp=sharing"",""ปทุมธานี!N581"")+IMPORTRANGE(""https://docs.google.com/spreadsheets/d/1GbCI"&amp;"E4D4wk9FUozzqk7SxfDMxDVBwVmI5zcaVUSzKAc/edit?usp=sharing"",""ประจวบคีรีขันธ์!N581"")+IMPORTRANGE(""https://docs.google.com/spreadsheets/d/1vVf6wykvW_lAyu7Yo9L4hUTqHqIeP_qcVuxCtosJEbg/edit?usp=sharing"",""ปราจีนบุรี!N581"")+IMPORTRANGE(""https://docs.googl"&amp;"e.com/spreadsheets/d/1BIDqLLg5jk3v59G8NlR8rk5xfQDKne0sAvZHSj7TI6I/edit?usp=sharing"",""พระนครศรีอยุธยา!N581"")+IMPORTRANGE(""https://docs.google.com/spreadsheets/d/1YXvxf8Yu6_rV4hTBrwMqAcAnv6DfhUxh5emyM3CJp_w/edit?usp=sharing"",""เพชรบุรี!N581"")+IMPORTRA"&amp;"NGE(""https://docs.google.com/spreadsheets/d/19KBlQQs7uwvsao6t2n-KvW3Ax8J8uRRfZPq1zPbXgKc/edit?usp=sharing"",""ระยอง!N581"")+IMPORTRANGE(""https://docs.google.com/spreadsheets/d/1jQ6P4QcrGM89YfqcC_PxOHGCMq5ezhucwJd8ci-NHng/edit?usp=sharing"",""ราชบุรี!N58"&amp;"1"")+IMPORTRANGE(""https://docs.google.com/spreadsheets/d/1lufeA2cfFqM-elVq2hznhDzC6Pr7wkJ9ZG_sYNGCMCU/edit?usp=sharing"",""ลพบุรี!N581"")+IMPORTRANGE(""https://docs.google.com/spreadsheets/d/10oOiF7loTyfsTkbd4MpaIm0HQ9SwB7IYHdIUvt-U1Uc/edit?usp=sharing"""&amp;",""สระแก้ว!N581"")+IMPORTRANGE(""https://docs.google.com/spreadsheets/d/1xmPlrr1QbdSIKvl1dWUl9K4PjAfSL9oeMr_37QVzcxc/edit?usp=sharing"",""สระบุรี!N581"")+IMPORTRANGE(""https://docs.google.com/spreadsheets/d/1j51vR6CYVGhABJpv6tkstgok82RLpXieLzW1yOY5rHw/edi"&amp;"t?usp=sharing"",""สิงห์บุรี!N581"")+IMPORTRANGE(""https://docs.google.com/spreadsheets/d/1H1EalTWKUSzO4Z1-1CwzoDUaVffgrThEBe2sl74kKG0/edit?usp=sharing"",""สุพรรณบุรี!N581"")+IMPORTRANGE(""https://docs.google.com/spreadsheets/d/1BmIruG_sIrJLYao_Pdr7zVArWsf"&amp;"oBt2692TMi6x_854/edit?usp=sharing"",""อ่างทอง!N581"")"),23650)</f>
        <v>23650</v>
      </c>
      <c r="O581" s="72">
        <f t="shared" ca="1" si="401"/>
        <v>2.3214040322738962</v>
      </c>
      <c r="P581" s="72">
        <f t="shared" ca="1" si="402"/>
        <v>2.3214040322738962</v>
      </c>
      <c r="Q581" s="71">
        <f ca="1">IFERROR(__xludf.DUMMYFUNCTION("IMPORTRANGE(""https://docs.google.com/spreadsheets/d/13wPX838HrBrQMCywv1BsuMkt4PEKTChp52zj44s2izQ/edit?usp=sharing"",""กาญจนบุรี!Q581"")+IMPORTRANGE(""https://docs.google.com/spreadsheets/d/1ddFKvqj1W1NEiWytbGlB1zMx_ykJDVtmfEQ-6-lIUBA/edit?usp=sharing"","&amp;"""จันทบุรี!Q581"")+IMPORTRANGE(""https://docs.google.com/spreadsheets/d/1T1PQvRODqOBZk8BRht_U031fIS1beLA0Ub2CEytj2q0/edit?usp=sharing"",""ฉะเชิงเทรา!Q581"")+IMPORTRANGE(""https://docs.google.com/spreadsheets/d/11tr1B-Bhyr79v2bkwVh5h_fR-PStkgjlZtkrZpYurG0/"&amp;"edit?usp=sharing"",""ชลบุรี!Q581"")+IMPORTRANGE(""https://docs.google.com/spreadsheets/d/1hh-FVnSX0vozXhGluamEcS54Dw9_zqW0N7qJUWgJ0Sw/edit?usp=sharing"",""ชัยนาท!Q581"")+IMPORTRANGE(""https://docs.google.com/spreadsheets/d/1jkqa6GXxSacMcY1eN8AHjMNJ_7dDXMJ"&amp;"VRLDlaFSOdPM/edit?usp=sharing"",""ตราด!Q581"")+IMPORTRANGE(""https://docs.google.com/spreadsheets/d/18hSgUJ3VwClqi_qtULmmW3cLr0oe3OKaSYoKzdpTsYQ/edit?usp=sharing"",""นครนายก!Q581"")+IMPORTRANGE(""https://docs.google.com/spreadsheets/d/1YTZo6WM2dQ6Ix6FSdnL"&amp;"5P7uVnVKu40sxZu975tgG10E/edit?usp=sharing"",""นครปฐม!Q581"")+IMPORTRANGE(""https://docs.google.com/spreadsheets/d/1OYoGg4WDg5RIzwGeB10padOxJF9E_Vljuvvct_M7RDo/edit?usp=sharing"",""ปทุมธานี!Q581"")+IMPORTRANGE(""https://docs.google.com/spreadsheets/d/1GbCI"&amp;"E4D4wk9FUozzqk7SxfDMxDVBwVmI5zcaVUSzKAc/edit?usp=sharing"",""ประจวบคีรีขันธ์!Q581"")+IMPORTRANGE(""https://docs.google.com/spreadsheets/d/1vVf6wykvW_lAyu7Yo9L4hUTqHqIeP_qcVuxCtosJEbg/edit?usp=sharing"",""ปราจีนบุรี!Q581"")+IMPORTRANGE(""https://docs.googl"&amp;"e.com/spreadsheets/d/1BIDqLLg5jk3v59G8NlR8rk5xfQDKne0sAvZHSj7TI6I/edit?usp=sharing"",""พระนครศรีอยุธยา!Q581"")+IMPORTRANGE(""https://docs.google.com/spreadsheets/d/1YXvxf8Yu6_rV4hTBrwMqAcAnv6DfhUxh5emyM3CJp_w/edit?usp=sharing"",""เพชรบุรี!Q581"")+IMPORTRA"&amp;"NGE(""https://docs.google.com/spreadsheets/d/19KBlQQs7uwvsao6t2n-KvW3Ax8J8uRRfZPq1zPbXgKc/edit?usp=sharing"",""ระยอง!Q581"")+IMPORTRANGE(""https://docs.google.com/spreadsheets/d/1jQ6P4QcrGM89YfqcC_PxOHGCMq5ezhucwJd8ci-NHng/edit?usp=sharing"",""ราชบุรี!Q58"&amp;"1"")+IMPORTRANGE(""https://docs.google.com/spreadsheets/d/1lufeA2cfFqM-elVq2hznhDzC6Pr7wkJ9ZG_sYNGCMCU/edit?usp=sharing"",""ลพบุรี!Q581"")+IMPORTRANGE(""https://docs.google.com/spreadsheets/d/10oOiF7loTyfsTkbd4MpaIm0HQ9SwB7IYHdIUvt-U1Uc/edit?usp=sharing"""&amp;",""สระแก้ว!Q581"")+IMPORTRANGE(""https://docs.google.com/spreadsheets/d/1xmPlrr1QbdSIKvl1dWUl9K4PjAfSL9oeMr_37QVzcxc/edit?usp=sharing"",""สระบุรี!Q581"")+IMPORTRANGE(""https://docs.google.com/spreadsheets/d/1j51vR6CYVGhABJpv6tkstgok82RLpXieLzW1yOY5rHw/edi"&amp;"t?usp=sharing"",""สิงห์บุรี!Q581"")+IMPORTRANGE(""https://docs.google.com/spreadsheets/d/1H1EalTWKUSzO4Z1-1CwzoDUaVffgrThEBe2sl74kKG0/edit?usp=sharing"",""สุพรรณบุรี!Q581"")+IMPORTRANGE(""https://docs.google.com/spreadsheets/d/1BmIruG_sIrJLYao_Pdr7zVArWsf"&amp;"oBt2692TMi6x_854/edit?usp=sharing"",""อ่างทอง!Q581"")"),0)</f>
        <v>0</v>
      </c>
      <c r="R581" s="72">
        <f ca="1">IFERROR(__xludf.DUMMYFUNCTION("IMPORTRANGE(""https://docs.google.com/spreadsheets/d/13wPX838HrBrQMCywv1BsuMkt4PEKTChp52zj44s2izQ/edit?usp=sharing"",""กาญจนบุรี!R581"")+IMPORTRANGE(""https://docs.google.com/spreadsheets/d/1ddFKvqj1W1NEiWytbGlB1zMx_ykJDVtmfEQ-6-lIUBA/edit?usp=sharing"","&amp;"""จันทบุรี!R581"")+IMPORTRANGE(""https://docs.google.com/spreadsheets/d/1T1PQvRODqOBZk8BRht_U031fIS1beLA0Ub2CEytj2q0/edit?usp=sharing"",""ฉะเชิงเทรา!R581"")+IMPORTRANGE(""https://docs.google.com/spreadsheets/d/11tr1B-Bhyr79v2bkwVh5h_fR-PStkgjlZtkrZpYurG0/"&amp;"edit?usp=sharing"",""ชลบุรี!R581"")+IMPORTRANGE(""https://docs.google.com/spreadsheets/d/1hh-FVnSX0vozXhGluamEcS54Dw9_zqW0N7qJUWgJ0Sw/edit?usp=sharing"",""ชัยนาท!R581"")+IMPORTRANGE(""https://docs.google.com/spreadsheets/d/1jkqa6GXxSacMcY1eN8AHjMNJ_7dDXMJ"&amp;"VRLDlaFSOdPM/edit?usp=sharing"",""ตราด!R581"")+IMPORTRANGE(""https://docs.google.com/spreadsheets/d/18hSgUJ3VwClqi_qtULmmW3cLr0oe3OKaSYoKzdpTsYQ/edit?usp=sharing"",""นครนายก!R581"")+IMPORTRANGE(""https://docs.google.com/spreadsheets/d/1YTZo6WM2dQ6Ix6FSdnL"&amp;"5P7uVnVKu40sxZu975tgG10E/edit?usp=sharing"",""นครปฐม!R581"")+IMPORTRANGE(""https://docs.google.com/spreadsheets/d/1OYoGg4WDg5RIzwGeB10padOxJF9E_Vljuvvct_M7RDo/edit?usp=sharing"",""ปทุมธานี!R581"")+IMPORTRANGE(""https://docs.google.com/spreadsheets/d/1GbCI"&amp;"E4D4wk9FUozzqk7SxfDMxDVBwVmI5zcaVUSzKAc/edit?usp=sharing"",""ประจวบคีรีขันธ์!R581"")+IMPORTRANGE(""https://docs.google.com/spreadsheets/d/1vVf6wykvW_lAyu7Yo9L4hUTqHqIeP_qcVuxCtosJEbg/edit?usp=sharing"",""ปราจีนบุรี!R581"")+IMPORTRANGE(""https://docs.googl"&amp;"e.com/spreadsheets/d/1BIDqLLg5jk3v59G8NlR8rk5xfQDKne0sAvZHSj7TI6I/edit?usp=sharing"",""พระนครศรีอยุธยา!R581"")+IMPORTRANGE(""https://docs.google.com/spreadsheets/d/1YXvxf8Yu6_rV4hTBrwMqAcAnv6DfhUxh5emyM3CJp_w/edit?usp=sharing"",""เพชรบุรี!R581"")+IMPORTRA"&amp;"NGE(""https://docs.google.com/spreadsheets/d/19KBlQQs7uwvsao6t2n-KvW3Ax8J8uRRfZPq1zPbXgKc/edit?usp=sharing"",""ระยอง!R581"")+IMPORTRANGE(""https://docs.google.com/spreadsheets/d/1jQ6P4QcrGM89YfqcC_PxOHGCMq5ezhucwJd8ci-NHng/edit?usp=sharing"",""ราชบุรี!R58"&amp;"1"")+IMPORTRANGE(""https://docs.google.com/spreadsheets/d/1lufeA2cfFqM-elVq2hznhDzC6Pr7wkJ9ZG_sYNGCMCU/edit?usp=sharing"",""ลพบุรี!R581"")+IMPORTRANGE(""https://docs.google.com/spreadsheets/d/10oOiF7loTyfsTkbd4MpaIm0HQ9SwB7IYHdIUvt-U1Uc/edit?usp=sharing"""&amp;",""สระแก้ว!R581"")+IMPORTRANGE(""https://docs.google.com/spreadsheets/d/1xmPlrr1QbdSIKvl1dWUl9K4PjAfSL9oeMr_37QVzcxc/edit?usp=sharing"",""สระบุรี!R581"")+IMPORTRANGE(""https://docs.google.com/spreadsheets/d/1j51vR6CYVGhABJpv6tkstgok82RLpXieLzW1yOY5rHw/edi"&amp;"t?usp=sharing"",""สิงห์บุรี!R581"")+IMPORTRANGE(""https://docs.google.com/spreadsheets/d/1H1EalTWKUSzO4Z1-1CwzoDUaVffgrThEBe2sl74kKG0/edit?usp=sharing"",""สุพรรณบุรี!R581"")+IMPORTRANGE(""https://docs.google.com/spreadsheets/d/1BmIruG_sIrJLYao_Pdr7zVArWsf"&amp;"oBt2692TMi6x_854/edit?usp=sharing"",""อ่างทอง!R581"")"),0)</f>
        <v>0</v>
      </c>
      <c r="S581" s="72">
        <f ca="1">IFERROR(__xludf.DUMMYFUNCTION("IMPORTRANGE(""https://docs.google.com/spreadsheets/d/13wPX838HrBrQMCywv1BsuMkt4PEKTChp52zj44s2izQ/edit?usp=sharing"",""กาญจนบุรี!S581"")+IMPORTRANGE(""https://docs.google.com/spreadsheets/d/1ddFKvqj1W1NEiWytbGlB1zMx_ykJDVtmfEQ-6-lIUBA/edit?usp=sharing"","&amp;"""จันทบุรี!S581"")+IMPORTRANGE(""https://docs.google.com/spreadsheets/d/1T1PQvRODqOBZk8BRht_U031fIS1beLA0Ub2CEytj2q0/edit?usp=sharing"",""ฉะเชิงเทรา!S581"")+IMPORTRANGE(""https://docs.google.com/spreadsheets/d/11tr1B-Bhyr79v2bkwVh5h_fR-PStkgjlZtkrZpYurG0/"&amp;"edit?usp=sharing"",""ชลบุรี!S581"")+IMPORTRANGE(""https://docs.google.com/spreadsheets/d/1hh-FVnSX0vozXhGluamEcS54Dw9_zqW0N7qJUWgJ0Sw/edit?usp=sharing"",""ชัยนาท!S581"")+IMPORTRANGE(""https://docs.google.com/spreadsheets/d/1jkqa6GXxSacMcY1eN8AHjMNJ_7dDXMJ"&amp;"VRLDlaFSOdPM/edit?usp=sharing"",""ตราด!S581"")+IMPORTRANGE(""https://docs.google.com/spreadsheets/d/18hSgUJ3VwClqi_qtULmmW3cLr0oe3OKaSYoKzdpTsYQ/edit?usp=sharing"",""นครนายก!S581"")+IMPORTRANGE(""https://docs.google.com/spreadsheets/d/1YTZo6WM2dQ6Ix6FSdnL"&amp;"5P7uVnVKu40sxZu975tgG10E/edit?usp=sharing"",""นครปฐม!S581"")+IMPORTRANGE(""https://docs.google.com/spreadsheets/d/1OYoGg4WDg5RIzwGeB10padOxJF9E_Vljuvvct_M7RDo/edit?usp=sharing"",""ปทุมธานี!S581"")+IMPORTRANGE(""https://docs.google.com/spreadsheets/d/1GbCI"&amp;"E4D4wk9FUozzqk7SxfDMxDVBwVmI5zcaVUSzKAc/edit?usp=sharing"",""ประจวบคีรีขันธ์!S581"")+IMPORTRANGE(""https://docs.google.com/spreadsheets/d/1vVf6wykvW_lAyu7Yo9L4hUTqHqIeP_qcVuxCtosJEbg/edit?usp=sharing"",""ปราจีนบุรี!S581"")+IMPORTRANGE(""https://docs.googl"&amp;"e.com/spreadsheets/d/1BIDqLLg5jk3v59G8NlR8rk5xfQDKne0sAvZHSj7TI6I/edit?usp=sharing"",""พระนครศรีอยุธยา!S581"")+IMPORTRANGE(""https://docs.google.com/spreadsheets/d/1YXvxf8Yu6_rV4hTBrwMqAcAnv6DfhUxh5emyM3CJp_w/edit?usp=sharing"",""เพชรบุรี!S581"")+IMPORTRA"&amp;"NGE(""https://docs.google.com/spreadsheets/d/19KBlQQs7uwvsao6t2n-KvW3Ax8J8uRRfZPq1zPbXgKc/edit?usp=sharing"",""ระยอง!S581"")+IMPORTRANGE(""https://docs.google.com/spreadsheets/d/1jQ6P4QcrGM89YfqcC_PxOHGCMq5ezhucwJd8ci-NHng/edit?usp=sharing"",""ราชบุรี!S58"&amp;"1"")+IMPORTRANGE(""https://docs.google.com/spreadsheets/d/1lufeA2cfFqM-elVq2hznhDzC6Pr7wkJ9ZG_sYNGCMCU/edit?usp=sharing"",""ลพบุรี!S581"")+IMPORTRANGE(""https://docs.google.com/spreadsheets/d/10oOiF7loTyfsTkbd4MpaIm0HQ9SwB7IYHdIUvt-U1Uc/edit?usp=sharing"""&amp;",""สระแก้ว!S581"")+IMPORTRANGE(""https://docs.google.com/spreadsheets/d/1xmPlrr1QbdSIKvl1dWUl9K4PjAfSL9oeMr_37QVzcxc/edit?usp=sharing"",""สระบุรี!S581"")+IMPORTRANGE(""https://docs.google.com/spreadsheets/d/1j51vR6CYVGhABJpv6tkstgok82RLpXieLzW1yOY5rHw/edi"&amp;"t?usp=sharing"",""สิงห์บุรี!S581"")+IMPORTRANGE(""https://docs.google.com/spreadsheets/d/1H1EalTWKUSzO4Z1-1CwzoDUaVffgrThEBe2sl74kKG0/edit?usp=sharing"",""สุพรรณบุรี!S581"")+IMPORTRANGE(""https://docs.google.com/spreadsheets/d/1BmIruG_sIrJLYao_Pdr7zVArWsf"&amp;"oBt2692TMi6x_854/edit?usp=sharing"",""อ่างทอง!S581"")"),0)</f>
        <v>0</v>
      </c>
      <c r="T581" s="130">
        <f t="shared" ca="1" si="404"/>
        <v>0</v>
      </c>
      <c r="U581" s="130">
        <f t="shared" ca="1" si="405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t="shared" ref="L582:N582" ca="1" si="412">L583+L584</f>
        <v>0</v>
      </c>
      <c r="M582" s="72">
        <f t="shared" ca="1" si="412"/>
        <v>0</v>
      </c>
      <c r="N582" s="72">
        <f t="shared" ca="1" si="412"/>
        <v>0</v>
      </c>
      <c r="O582" s="72">
        <f t="shared" ca="1" si="401"/>
        <v>0</v>
      </c>
      <c r="P582" s="72">
        <f t="shared" ca="1" si="402"/>
        <v>0</v>
      </c>
      <c r="Q582" s="129">
        <f t="shared" ref="Q582:S582" ca="1" si="413">Q583+Q584</f>
        <v>0</v>
      </c>
      <c r="R582" s="130">
        <f t="shared" ca="1" si="413"/>
        <v>0</v>
      </c>
      <c r="S582" s="130">
        <f t="shared" ca="1" si="413"/>
        <v>0</v>
      </c>
      <c r="T582" s="130">
        <f t="shared" ca="1" si="404"/>
        <v>0</v>
      </c>
      <c r="U582" s="130">
        <f t="shared" ca="1" si="405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f ca="1">IFERROR(__xludf.DUMMYFUNCTION("IMPORTRANGE(""https://docs.google.com/spreadsheets/d/13wPX838HrBrQMCywv1BsuMkt4PEKTChp52zj44s2izQ/edit?usp=sharing"",""กาญจนบุรี!L583"")+IMPORTRANGE(""https://docs.google.com/spreadsheets/d/1ddFKvqj1W1NEiWytbGlB1zMx_ykJDVtmfEQ-6-lIUBA/edit?usp=sharing"","&amp;"""จันทบุรี!L583"")+IMPORTRANGE(""https://docs.google.com/spreadsheets/d/1T1PQvRODqOBZk8BRht_U031fIS1beLA0Ub2CEytj2q0/edit?usp=sharing"",""ฉะเชิงเทรา!L583"")+IMPORTRANGE(""https://docs.google.com/spreadsheets/d/11tr1B-Bhyr79v2bkwVh5h_fR-PStkgjlZtkrZpYurG0/"&amp;"edit?usp=sharing"",""ชลบุรี!L583"")+IMPORTRANGE(""https://docs.google.com/spreadsheets/d/1hh-FVnSX0vozXhGluamEcS54Dw9_zqW0N7qJUWgJ0Sw/edit?usp=sharing"",""ชัยนาท!L583"")+IMPORTRANGE(""https://docs.google.com/spreadsheets/d/1jkqa6GXxSacMcY1eN8AHjMNJ_7dDXMJ"&amp;"VRLDlaFSOdPM/edit?usp=sharing"",""ตราด!L583"")+IMPORTRANGE(""https://docs.google.com/spreadsheets/d/18hSgUJ3VwClqi_qtULmmW3cLr0oe3OKaSYoKzdpTsYQ/edit?usp=sharing"",""นครนายก!L583"")+IMPORTRANGE(""https://docs.google.com/spreadsheets/d/1YTZo6WM2dQ6Ix6FSdnL"&amp;"5P7uVnVKu40sxZu975tgG10E/edit?usp=sharing"",""นครปฐม!L583"")+IMPORTRANGE(""https://docs.google.com/spreadsheets/d/1OYoGg4WDg5RIzwGeB10padOxJF9E_Vljuvvct_M7RDo/edit?usp=sharing"",""ปทุมธานี!L583"")+IMPORTRANGE(""https://docs.google.com/spreadsheets/d/1GbCI"&amp;"E4D4wk9FUozzqk7SxfDMxDVBwVmI5zcaVUSzKAc/edit?usp=sharing"",""ประจวบคีรีขันธ์!L583"")+IMPORTRANGE(""https://docs.google.com/spreadsheets/d/1vVf6wykvW_lAyu7Yo9L4hUTqHqIeP_qcVuxCtosJEbg/edit?usp=sharing"",""ปราจีนบุรี!L583"")+IMPORTRANGE(""https://docs.googl"&amp;"e.com/spreadsheets/d/1BIDqLLg5jk3v59G8NlR8rk5xfQDKne0sAvZHSj7TI6I/edit?usp=sharing"",""พระนครศรีอยุธยา!L583"")+IMPORTRANGE(""https://docs.google.com/spreadsheets/d/1YXvxf8Yu6_rV4hTBrwMqAcAnv6DfhUxh5emyM3CJp_w/edit?usp=sharing"",""เพชรบุรี!L583"")+IMPORTRA"&amp;"NGE(""https://docs.google.com/spreadsheets/d/19KBlQQs7uwvsao6t2n-KvW3Ax8J8uRRfZPq1zPbXgKc/edit?usp=sharing"",""ระยอง!L583"")+IMPORTRANGE(""https://docs.google.com/spreadsheets/d/1jQ6P4QcrGM89YfqcC_PxOHGCMq5ezhucwJd8ci-NHng/edit?usp=sharing"",""ราชบุรี!L58"&amp;"3"")+IMPORTRANGE(""https://docs.google.com/spreadsheets/d/1lufeA2cfFqM-elVq2hznhDzC6Pr7wkJ9ZG_sYNGCMCU/edit?usp=sharing"",""ลพบุรี!L583"")+IMPORTRANGE(""https://docs.google.com/spreadsheets/d/10oOiF7loTyfsTkbd4MpaIm0HQ9SwB7IYHdIUvt-U1Uc/edit?usp=sharing"""&amp;",""สระแก้ว!L583"")+IMPORTRANGE(""https://docs.google.com/spreadsheets/d/1xmPlrr1QbdSIKvl1dWUl9K4PjAfSL9oeMr_37QVzcxc/edit?usp=sharing"",""สระบุรี!L583"")+IMPORTRANGE(""https://docs.google.com/spreadsheets/d/1j51vR6CYVGhABJpv6tkstgok82RLpXieLzW1yOY5rHw/edi"&amp;"t?usp=sharing"",""สิงห์บุรี!L583"")+IMPORTRANGE(""https://docs.google.com/spreadsheets/d/1H1EalTWKUSzO4Z1-1CwzoDUaVffgrThEBe2sl74kKG0/edit?usp=sharing"",""สุพรรณบุรี!L583"")+IMPORTRANGE(""https://docs.google.com/spreadsheets/d/1BmIruG_sIrJLYao_Pdr7zVArWsf"&amp;"oBt2692TMi6x_854/edit?usp=sharing"",""อ่างทอง!L583"")"),0)</f>
        <v>0</v>
      </c>
      <c r="M583" s="75">
        <f ca="1">IFERROR(__xludf.DUMMYFUNCTION("IMPORTRANGE(""https://docs.google.com/spreadsheets/d/13wPX838HrBrQMCywv1BsuMkt4PEKTChp52zj44s2izQ/edit?usp=sharing"",""กาญจนบุรี!M583"")+IMPORTRANGE(""https://docs.google.com/spreadsheets/d/1ddFKvqj1W1NEiWytbGlB1zMx_ykJDVtmfEQ-6-lIUBA/edit?usp=sharing"","&amp;"""จันทบุรี!M583"")+IMPORTRANGE(""https://docs.google.com/spreadsheets/d/1T1PQvRODqOBZk8BRht_U031fIS1beLA0Ub2CEytj2q0/edit?usp=sharing"",""ฉะเชิงเทรา!M583"")+IMPORTRANGE(""https://docs.google.com/spreadsheets/d/11tr1B-Bhyr79v2bkwVh5h_fR-PStkgjlZtkrZpYurG0/"&amp;"edit?usp=sharing"",""ชลบุรี!M583"")+IMPORTRANGE(""https://docs.google.com/spreadsheets/d/1hh-FVnSX0vozXhGluamEcS54Dw9_zqW0N7qJUWgJ0Sw/edit?usp=sharing"",""ชัยนาท!M583"")+IMPORTRANGE(""https://docs.google.com/spreadsheets/d/1jkqa6GXxSacMcY1eN8AHjMNJ_7dDXMJ"&amp;"VRLDlaFSOdPM/edit?usp=sharing"",""ตราด!M583"")+IMPORTRANGE(""https://docs.google.com/spreadsheets/d/18hSgUJ3VwClqi_qtULmmW3cLr0oe3OKaSYoKzdpTsYQ/edit?usp=sharing"",""นครนายก!M583"")+IMPORTRANGE(""https://docs.google.com/spreadsheets/d/1YTZo6WM2dQ6Ix6FSdnL"&amp;"5P7uVnVKu40sxZu975tgG10E/edit?usp=sharing"",""นครปฐม!M583"")+IMPORTRANGE(""https://docs.google.com/spreadsheets/d/1OYoGg4WDg5RIzwGeB10padOxJF9E_Vljuvvct_M7RDo/edit?usp=sharing"",""ปทุมธานี!M583"")+IMPORTRANGE(""https://docs.google.com/spreadsheets/d/1GbCI"&amp;"E4D4wk9FUozzqk7SxfDMxDVBwVmI5zcaVUSzKAc/edit?usp=sharing"",""ประจวบคีรีขันธ์!M583"")+IMPORTRANGE(""https://docs.google.com/spreadsheets/d/1vVf6wykvW_lAyu7Yo9L4hUTqHqIeP_qcVuxCtosJEbg/edit?usp=sharing"",""ปราจีนบุรี!M583"")+IMPORTRANGE(""https://docs.googl"&amp;"e.com/spreadsheets/d/1BIDqLLg5jk3v59G8NlR8rk5xfQDKne0sAvZHSj7TI6I/edit?usp=sharing"",""พระนครศรีอยุธยา!M583"")+IMPORTRANGE(""https://docs.google.com/spreadsheets/d/1YXvxf8Yu6_rV4hTBrwMqAcAnv6DfhUxh5emyM3CJp_w/edit?usp=sharing"",""เพชรบุรี!M583"")+IMPORTRA"&amp;"NGE(""https://docs.google.com/spreadsheets/d/19KBlQQs7uwvsao6t2n-KvW3Ax8J8uRRfZPq1zPbXgKc/edit?usp=sharing"",""ระยอง!M583"")+IMPORTRANGE(""https://docs.google.com/spreadsheets/d/1jQ6P4QcrGM89YfqcC_PxOHGCMq5ezhucwJd8ci-NHng/edit?usp=sharing"",""ราชบุรี!M58"&amp;"3"")+IMPORTRANGE(""https://docs.google.com/spreadsheets/d/1lufeA2cfFqM-elVq2hznhDzC6Pr7wkJ9ZG_sYNGCMCU/edit?usp=sharing"",""ลพบุรี!M583"")+IMPORTRANGE(""https://docs.google.com/spreadsheets/d/10oOiF7loTyfsTkbd4MpaIm0HQ9SwB7IYHdIUvt-U1Uc/edit?usp=sharing"""&amp;",""สระแก้ว!M583"")+IMPORTRANGE(""https://docs.google.com/spreadsheets/d/1xmPlrr1QbdSIKvl1dWUl9K4PjAfSL9oeMr_37QVzcxc/edit?usp=sharing"",""สระบุรี!M583"")+IMPORTRANGE(""https://docs.google.com/spreadsheets/d/1j51vR6CYVGhABJpv6tkstgok82RLpXieLzW1yOY5rHw/edi"&amp;"t?usp=sharing"",""สิงห์บุรี!M583"")+IMPORTRANGE(""https://docs.google.com/spreadsheets/d/1H1EalTWKUSzO4Z1-1CwzoDUaVffgrThEBe2sl74kKG0/edit?usp=sharing"",""สุพรรณบุรี!M583"")+IMPORTRANGE(""https://docs.google.com/spreadsheets/d/1BmIruG_sIrJLYao_Pdr7zVArWsf"&amp;"oBt2692TMi6x_854/edit?usp=sharing"",""อ่างทอง!M583"")"),0)</f>
        <v>0</v>
      </c>
      <c r="N583" s="75">
        <f ca="1">IFERROR(__xludf.DUMMYFUNCTION("IMPORTRANGE(""https://docs.google.com/spreadsheets/d/13wPX838HrBrQMCywv1BsuMkt4PEKTChp52zj44s2izQ/edit?usp=sharing"",""กาญจนบุรี!N583"")+IMPORTRANGE(""https://docs.google.com/spreadsheets/d/1ddFKvqj1W1NEiWytbGlB1zMx_ykJDVtmfEQ-6-lIUBA/edit?usp=sharing"","&amp;"""จันทบุรี!N583"")+IMPORTRANGE(""https://docs.google.com/spreadsheets/d/1T1PQvRODqOBZk8BRht_U031fIS1beLA0Ub2CEytj2q0/edit?usp=sharing"",""ฉะเชิงเทรา!N583"")+IMPORTRANGE(""https://docs.google.com/spreadsheets/d/11tr1B-Bhyr79v2bkwVh5h_fR-PStkgjlZtkrZpYurG0/"&amp;"edit?usp=sharing"",""ชลบุรี!N583"")+IMPORTRANGE(""https://docs.google.com/spreadsheets/d/1hh-FVnSX0vozXhGluamEcS54Dw9_zqW0N7qJUWgJ0Sw/edit?usp=sharing"",""ชัยนาท!N583"")+IMPORTRANGE(""https://docs.google.com/spreadsheets/d/1jkqa6GXxSacMcY1eN8AHjMNJ_7dDXMJ"&amp;"VRLDlaFSOdPM/edit?usp=sharing"",""ตราด!N583"")+IMPORTRANGE(""https://docs.google.com/spreadsheets/d/18hSgUJ3VwClqi_qtULmmW3cLr0oe3OKaSYoKzdpTsYQ/edit?usp=sharing"",""นครนายก!N583"")+IMPORTRANGE(""https://docs.google.com/spreadsheets/d/1YTZo6WM2dQ6Ix6FSdnL"&amp;"5P7uVnVKu40sxZu975tgG10E/edit?usp=sharing"",""นครปฐม!N583"")+IMPORTRANGE(""https://docs.google.com/spreadsheets/d/1OYoGg4WDg5RIzwGeB10padOxJF9E_Vljuvvct_M7RDo/edit?usp=sharing"",""ปทุมธานี!N583"")+IMPORTRANGE(""https://docs.google.com/spreadsheets/d/1GbCI"&amp;"E4D4wk9FUozzqk7SxfDMxDVBwVmI5zcaVUSzKAc/edit?usp=sharing"",""ประจวบคีรีขันธ์!N583"")+IMPORTRANGE(""https://docs.google.com/spreadsheets/d/1vVf6wykvW_lAyu7Yo9L4hUTqHqIeP_qcVuxCtosJEbg/edit?usp=sharing"",""ปราจีนบุรี!N583"")+IMPORTRANGE(""https://docs.googl"&amp;"e.com/spreadsheets/d/1BIDqLLg5jk3v59G8NlR8rk5xfQDKne0sAvZHSj7TI6I/edit?usp=sharing"",""พระนครศรีอยุธยา!N583"")+IMPORTRANGE(""https://docs.google.com/spreadsheets/d/1YXvxf8Yu6_rV4hTBrwMqAcAnv6DfhUxh5emyM3CJp_w/edit?usp=sharing"",""เพชรบุรี!N583"")+IMPORTRA"&amp;"NGE(""https://docs.google.com/spreadsheets/d/19KBlQQs7uwvsao6t2n-KvW3Ax8J8uRRfZPq1zPbXgKc/edit?usp=sharing"",""ระยอง!N583"")+IMPORTRANGE(""https://docs.google.com/spreadsheets/d/1jQ6P4QcrGM89YfqcC_PxOHGCMq5ezhucwJd8ci-NHng/edit?usp=sharing"",""ราชบุรี!N58"&amp;"3"")+IMPORTRANGE(""https://docs.google.com/spreadsheets/d/1lufeA2cfFqM-elVq2hznhDzC6Pr7wkJ9ZG_sYNGCMCU/edit?usp=sharing"",""ลพบุรี!N583"")+IMPORTRANGE(""https://docs.google.com/spreadsheets/d/10oOiF7loTyfsTkbd4MpaIm0HQ9SwB7IYHdIUvt-U1Uc/edit?usp=sharing"""&amp;",""สระแก้ว!N583"")+IMPORTRANGE(""https://docs.google.com/spreadsheets/d/1xmPlrr1QbdSIKvl1dWUl9K4PjAfSL9oeMr_37QVzcxc/edit?usp=sharing"",""สระบุรี!N583"")+IMPORTRANGE(""https://docs.google.com/spreadsheets/d/1j51vR6CYVGhABJpv6tkstgok82RLpXieLzW1yOY5rHw/edi"&amp;"t?usp=sharing"",""สิงห์บุรี!N583"")+IMPORTRANGE(""https://docs.google.com/spreadsheets/d/1H1EalTWKUSzO4Z1-1CwzoDUaVffgrThEBe2sl74kKG0/edit?usp=sharing"",""สุพรรณบุรี!N583"")+IMPORTRANGE(""https://docs.google.com/spreadsheets/d/1BmIruG_sIrJLYao_Pdr7zVArWsf"&amp;"oBt2692TMi6x_854/edit?usp=sharing"",""อ่างทอง!N583"")"),0)</f>
        <v>0</v>
      </c>
      <c r="O583" s="75">
        <f t="shared" ca="1" si="401"/>
        <v>0</v>
      </c>
      <c r="P583" s="75">
        <f t="shared" ca="1" si="402"/>
        <v>0</v>
      </c>
      <c r="Q583" s="74">
        <f ca="1">IFERROR(__xludf.DUMMYFUNCTION("IMPORTRANGE(""https://docs.google.com/spreadsheets/d/13wPX838HrBrQMCywv1BsuMkt4PEKTChp52zj44s2izQ/edit?usp=sharing"",""กาญจนบุรี!Q583"")+IMPORTRANGE(""https://docs.google.com/spreadsheets/d/1ddFKvqj1W1NEiWytbGlB1zMx_ykJDVtmfEQ-6-lIUBA/edit?usp=sharing"","&amp;"""จันทบุรี!Q583"")+IMPORTRANGE(""https://docs.google.com/spreadsheets/d/1T1PQvRODqOBZk8BRht_U031fIS1beLA0Ub2CEytj2q0/edit?usp=sharing"",""ฉะเชิงเทรา!Q583"")+IMPORTRANGE(""https://docs.google.com/spreadsheets/d/11tr1B-Bhyr79v2bkwVh5h_fR-PStkgjlZtkrZpYurG0/"&amp;"edit?usp=sharing"",""ชลบุรี!Q583"")+IMPORTRANGE(""https://docs.google.com/spreadsheets/d/1hh-FVnSX0vozXhGluamEcS54Dw9_zqW0N7qJUWgJ0Sw/edit?usp=sharing"",""ชัยนาท!Q583"")+IMPORTRANGE(""https://docs.google.com/spreadsheets/d/1jkqa6GXxSacMcY1eN8AHjMNJ_7dDXMJ"&amp;"VRLDlaFSOdPM/edit?usp=sharing"",""ตราด!Q583"")+IMPORTRANGE(""https://docs.google.com/spreadsheets/d/18hSgUJ3VwClqi_qtULmmW3cLr0oe3OKaSYoKzdpTsYQ/edit?usp=sharing"",""นครนายก!Q583"")+IMPORTRANGE(""https://docs.google.com/spreadsheets/d/1YTZo6WM2dQ6Ix6FSdnL"&amp;"5P7uVnVKu40sxZu975tgG10E/edit?usp=sharing"",""นครปฐม!Q583"")+IMPORTRANGE(""https://docs.google.com/spreadsheets/d/1OYoGg4WDg5RIzwGeB10padOxJF9E_Vljuvvct_M7RDo/edit?usp=sharing"",""ปทุมธานี!Q583"")+IMPORTRANGE(""https://docs.google.com/spreadsheets/d/1GbCI"&amp;"E4D4wk9FUozzqk7SxfDMxDVBwVmI5zcaVUSzKAc/edit?usp=sharing"",""ประจวบคีรีขันธ์!Q583"")+IMPORTRANGE(""https://docs.google.com/spreadsheets/d/1vVf6wykvW_lAyu7Yo9L4hUTqHqIeP_qcVuxCtosJEbg/edit?usp=sharing"",""ปราจีนบุรี!Q583"")+IMPORTRANGE(""https://docs.googl"&amp;"e.com/spreadsheets/d/1BIDqLLg5jk3v59G8NlR8rk5xfQDKne0sAvZHSj7TI6I/edit?usp=sharing"",""พระนครศรีอยุธยา!Q583"")+IMPORTRANGE(""https://docs.google.com/spreadsheets/d/1YXvxf8Yu6_rV4hTBrwMqAcAnv6DfhUxh5emyM3CJp_w/edit?usp=sharing"",""เพชรบุรี!Q583"")+IMPORTRA"&amp;"NGE(""https://docs.google.com/spreadsheets/d/19KBlQQs7uwvsao6t2n-KvW3Ax8J8uRRfZPq1zPbXgKc/edit?usp=sharing"",""ระยอง!Q583"")+IMPORTRANGE(""https://docs.google.com/spreadsheets/d/1jQ6P4QcrGM89YfqcC_PxOHGCMq5ezhucwJd8ci-NHng/edit?usp=sharing"",""ราชบุรี!Q58"&amp;"3"")+IMPORTRANGE(""https://docs.google.com/spreadsheets/d/1lufeA2cfFqM-elVq2hznhDzC6Pr7wkJ9ZG_sYNGCMCU/edit?usp=sharing"",""ลพบุรี!Q583"")+IMPORTRANGE(""https://docs.google.com/spreadsheets/d/10oOiF7loTyfsTkbd4MpaIm0HQ9SwB7IYHdIUvt-U1Uc/edit?usp=sharing"""&amp;",""สระแก้ว!Q583"")+IMPORTRANGE(""https://docs.google.com/spreadsheets/d/1xmPlrr1QbdSIKvl1dWUl9K4PjAfSL9oeMr_37QVzcxc/edit?usp=sharing"",""สระบุรี!Q583"")+IMPORTRANGE(""https://docs.google.com/spreadsheets/d/1j51vR6CYVGhABJpv6tkstgok82RLpXieLzW1yOY5rHw/edi"&amp;"t?usp=sharing"",""สิงห์บุรี!Q583"")+IMPORTRANGE(""https://docs.google.com/spreadsheets/d/1H1EalTWKUSzO4Z1-1CwzoDUaVffgrThEBe2sl74kKG0/edit?usp=sharing"",""สุพรรณบุรี!Q583"")+IMPORTRANGE(""https://docs.google.com/spreadsheets/d/1BmIruG_sIrJLYao_Pdr7zVArWsf"&amp;"oBt2692TMi6x_854/edit?usp=sharing"",""อ่างทอง!Q583"")"),0)</f>
        <v>0</v>
      </c>
      <c r="R583" s="75">
        <f ca="1">IFERROR(__xludf.DUMMYFUNCTION("IMPORTRANGE(""https://docs.google.com/spreadsheets/d/13wPX838HrBrQMCywv1BsuMkt4PEKTChp52zj44s2izQ/edit?usp=sharing"",""กาญจนบุรี!R583"")+IMPORTRANGE(""https://docs.google.com/spreadsheets/d/1ddFKvqj1W1NEiWytbGlB1zMx_ykJDVtmfEQ-6-lIUBA/edit?usp=sharing"","&amp;"""จันทบุรี!R583"")+IMPORTRANGE(""https://docs.google.com/spreadsheets/d/1T1PQvRODqOBZk8BRht_U031fIS1beLA0Ub2CEytj2q0/edit?usp=sharing"",""ฉะเชิงเทรา!R583"")+IMPORTRANGE(""https://docs.google.com/spreadsheets/d/11tr1B-Bhyr79v2bkwVh5h_fR-PStkgjlZtkrZpYurG0/"&amp;"edit?usp=sharing"",""ชลบุรี!R583"")+IMPORTRANGE(""https://docs.google.com/spreadsheets/d/1hh-FVnSX0vozXhGluamEcS54Dw9_zqW0N7qJUWgJ0Sw/edit?usp=sharing"",""ชัยนาท!R583"")+IMPORTRANGE(""https://docs.google.com/spreadsheets/d/1jkqa6GXxSacMcY1eN8AHjMNJ_7dDXMJ"&amp;"VRLDlaFSOdPM/edit?usp=sharing"",""ตราด!R583"")+IMPORTRANGE(""https://docs.google.com/spreadsheets/d/18hSgUJ3VwClqi_qtULmmW3cLr0oe3OKaSYoKzdpTsYQ/edit?usp=sharing"",""นครนายก!R583"")+IMPORTRANGE(""https://docs.google.com/spreadsheets/d/1YTZo6WM2dQ6Ix6FSdnL"&amp;"5P7uVnVKu40sxZu975tgG10E/edit?usp=sharing"",""นครปฐม!R583"")+IMPORTRANGE(""https://docs.google.com/spreadsheets/d/1OYoGg4WDg5RIzwGeB10padOxJF9E_Vljuvvct_M7RDo/edit?usp=sharing"",""ปทุมธานี!R583"")+IMPORTRANGE(""https://docs.google.com/spreadsheets/d/1GbCI"&amp;"E4D4wk9FUozzqk7SxfDMxDVBwVmI5zcaVUSzKAc/edit?usp=sharing"",""ประจวบคีรีขันธ์!R583"")+IMPORTRANGE(""https://docs.google.com/spreadsheets/d/1vVf6wykvW_lAyu7Yo9L4hUTqHqIeP_qcVuxCtosJEbg/edit?usp=sharing"",""ปราจีนบุรี!R583"")+IMPORTRANGE(""https://docs.googl"&amp;"e.com/spreadsheets/d/1BIDqLLg5jk3v59G8NlR8rk5xfQDKne0sAvZHSj7TI6I/edit?usp=sharing"",""พระนครศรีอยุธยา!R583"")+IMPORTRANGE(""https://docs.google.com/spreadsheets/d/1YXvxf8Yu6_rV4hTBrwMqAcAnv6DfhUxh5emyM3CJp_w/edit?usp=sharing"",""เพชรบุรี!R583"")+IMPORTRA"&amp;"NGE(""https://docs.google.com/spreadsheets/d/19KBlQQs7uwvsao6t2n-KvW3Ax8J8uRRfZPq1zPbXgKc/edit?usp=sharing"",""ระยอง!R583"")+IMPORTRANGE(""https://docs.google.com/spreadsheets/d/1jQ6P4QcrGM89YfqcC_PxOHGCMq5ezhucwJd8ci-NHng/edit?usp=sharing"",""ราชบุรี!R58"&amp;"3"")+IMPORTRANGE(""https://docs.google.com/spreadsheets/d/1lufeA2cfFqM-elVq2hznhDzC6Pr7wkJ9ZG_sYNGCMCU/edit?usp=sharing"",""ลพบุรี!R583"")+IMPORTRANGE(""https://docs.google.com/spreadsheets/d/10oOiF7loTyfsTkbd4MpaIm0HQ9SwB7IYHdIUvt-U1Uc/edit?usp=sharing"""&amp;",""สระแก้ว!R583"")+IMPORTRANGE(""https://docs.google.com/spreadsheets/d/1xmPlrr1QbdSIKvl1dWUl9K4PjAfSL9oeMr_37QVzcxc/edit?usp=sharing"",""สระบุรี!R583"")+IMPORTRANGE(""https://docs.google.com/spreadsheets/d/1j51vR6CYVGhABJpv6tkstgok82RLpXieLzW1yOY5rHw/edi"&amp;"t?usp=sharing"",""สิงห์บุรี!R583"")+IMPORTRANGE(""https://docs.google.com/spreadsheets/d/1H1EalTWKUSzO4Z1-1CwzoDUaVffgrThEBe2sl74kKG0/edit?usp=sharing"",""สุพรรณบุรี!R583"")+IMPORTRANGE(""https://docs.google.com/spreadsheets/d/1BmIruG_sIrJLYao_Pdr7zVArWsf"&amp;"oBt2692TMi6x_854/edit?usp=sharing"",""อ่างทอง!R583"")"),0)</f>
        <v>0</v>
      </c>
      <c r="S583" s="75">
        <f ca="1">IFERROR(__xludf.DUMMYFUNCTION("IMPORTRANGE(""https://docs.google.com/spreadsheets/d/13wPX838HrBrQMCywv1BsuMkt4PEKTChp52zj44s2izQ/edit?usp=sharing"",""กาญจนบุรี!S583"")+IMPORTRANGE(""https://docs.google.com/spreadsheets/d/1ddFKvqj1W1NEiWytbGlB1zMx_ykJDVtmfEQ-6-lIUBA/edit?usp=sharing"","&amp;"""จันทบุรี!S583"")+IMPORTRANGE(""https://docs.google.com/spreadsheets/d/1T1PQvRODqOBZk8BRht_U031fIS1beLA0Ub2CEytj2q0/edit?usp=sharing"",""ฉะเชิงเทรา!S583"")+IMPORTRANGE(""https://docs.google.com/spreadsheets/d/11tr1B-Bhyr79v2bkwVh5h_fR-PStkgjlZtkrZpYurG0/"&amp;"edit?usp=sharing"",""ชลบุรี!S583"")+IMPORTRANGE(""https://docs.google.com/spreadsheets/d/1hh-FVnSX0vozXhGluamEcS54Dw9_zqW0N7qJUWgJ0Sw/edit?usp=sharing"",""ชัยนาท!S583"")+IMPORTRANGE(""https://docs.google.com/spreadsheets/d/1jkqa6GXxSacMcY1eN8AHjMNJ_7dDXMJ"&amp;"VRLDlaFSOdPM/edit?usp=sharing"",""ตราด!S583"")+IMPORTRANGE(""https://docs.google.com/spreadsheets/d/18hSgUJ3VwClqi_qtULmmW3cLr0oe3OKaSYoKzdpTsYQ/edit?usp=sharing"",""นครนายก!S583"")+IMPORTRANGE(""https://docs.google.com/spreadsheets/d/1YTZo6WM2dQ6Ix6FSdnL"&amp;"5P7uVnVKu40sxZu975tgG10E/edit?usp=sharing"",""นครปฐม!S583"")+IMPORTRANGE(""https://docs.google.com/spreadsheets/d/1OYoGg4WDg5RIzwGeB10padOxJF9E_Vljuvvct_M7RDo/edit?usp=sharing"",""ปทุมธานี!S583"")+IMPORTRANGE(""https://docs.google.com/spreadsheets/d/1GbCI"&amp;"E4D4wk9FUozzqk7SxfDMxDVBwVmI5zcaVUSzKAc/edit?usp=sharing"",""ประจวบคีรีขันธ์!S583"")+IMPORTRANGE(""https://docs.google.com/spreadsheets/d/1vVf6wykvW_lAyu7Yo9L4hUTqHqIeP_qcVuxCtosJEbg/edit?usp=sharing"",""ปราจีนบุรี!S583"")+IMPORTRANGE(""https://docs.googl"&amp;"e.com/spreadsheets/d/1BIDqLLg5jk3v59G8NlR8rk5xfQDKne0sAvZHSj7TI6I/edit?usp=sharing"",""พระนครศรีอยุธยา!S583"")+IMPORTRANGE(""https://docs.google.com/spreadsheets/d/1YXvxf8Yu6_rV4hTBrwMqAcAnv6DfhUxh5emyM3CJp_w/edit?usp=sharing"",""เพชรบุรี!S583"")+IMPORTRA"&amp;"NGE(""https://docs.google.com/spreadsheets/d/19KBlQQs7uwvsao6t2n-KvW3Ax8J8uRRfZPq1zPbXgKc/edit?usp=sharing"",""ระยอง!S583"")+IMPORTRANGE(""https://docs.google.com/spreadsheets/d/1jQ6P4QcrGM89YfqcC_PxOHGCMq5ezhucwJd8ci-NHng/edit?usp=sharing"",""ราชบุรี!S58"&amp;"3"")+IMPORTRANGE(""https://docs.google.com/spreadsheets/d/1lufeA2cfFqM-elVq2hznhDzC6Pr7wkJ9ZG_sYNGCMCU/edit?usp=sharing"",""ลพบุรี!S583"")+IMPORTRANGE(""https://docs.google.com/spreadsheets/d/10oOiF7loTyfsTkbd4MpaIm0HQ9SwB7IYHdIUvt-U1Uc/edit?usp=sharing"""&amp;",""สระแก้ว!S583"")+IMPORTRANGE(""https://docs.google.com/spreadsheets/d/1xmPlrr1QbdSIKvl1dWUl9K4PjAfSL9oeMr_37QVzcxc/edit?usp=sharing"",""สระบุรี!S583"")+IMPORTRANGE(""https://docs.google.com/spreadsheets/d/1j51vR6CYVGhABJpv6tkstgok82RLpXieLzW1yOY5rHw/edi"&amp;"t?usp=sharing"",""สิงห์บุรี!S583"")+IMPORTRANGE(""https://docs.google.com/spreadsheets/d/1H1EalTWKUSzO4Z1-1CwzoDUaVffgrThEBe2sl74kKG0/edit?usp=sharing"",""สุพรรณบุรี!S583"")+IMPORTRANGE(""https://docs.google.com/spreadsheets/d/1BmIruG_sIrJLYao_Pdr7zVArWsf"&amp;"oBt2692TMi6x_854/edit?usp=sharing"",""อ่างทอง!S583"")"),0)</f>
        <v>0</v>
      </c>
      <c r="T583" s="131">
        <f t="shared" ca="1" si="404"/>
        <v>0</v>
      </c>
      <c r="U583" s="131">
        <f t="shared" ca="1" si="405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13wPX838HrBrQMCywv1BsuMkt4PEKTChp52zj44s2izQ/edit?usp=sharing"",""กาญจนบุรี!L584"")+IMPORTRANGE(""https://docs.google.com/spreadsheets/d/1ddFKvqj1W1NEiWytbGlB1zMx_ykJDVtmfEQ-6-lIUBA/edit?usp=sharing"","&amp;"""จันทบุรี!L584"")+IMPORTRANGE(""https://docs.google.com/spreadsheets/d/1T1PQvRODqOBZk8BRht_U031fIS1beLA0Ub2CEytj2q0/edit?usp=sharing"",""ฉะเชิงเทรา!L584"")+IMPORTRANGE(""https://docs.google.com/spreadsheets/d/11tr1B-Bhyr79v2bkwVh5h_fR-PStkgjlZtkrZpYurG0/"&amp;"edit?usp=sharing"",""ชลบุรี!L584"")+IMPORTRANGE(""https://docs.google.com/spreadsheets/d/1hh-FVnSX0vozXhGluamEcS54Dw9_zqW0N7qJUWgJ0Sw/edit?usp=sharing"",""ชัยนาท!L584"")+IMPORTRANGE(""https://docs.google.com/spreadsheets/d/1jkqa6GXxSacMcY1eN8AHjMNJ_7dDXMJ"&amp;"VRLDlaFSOdPM/edit?usp=sharing"",""ตราด!L584"")+IMPORTRANGE(""https://docs.google.com/spreadsheets/d/18hSgUJ3VwClqi_qtULmmW3cLr0oe3OKaSYoKzdpTsYQ/edit?usp=sharing"",""นครนายก!L584"")+IMPORTRANGE(""https://docs.google.com/spreadsheets/d/1YTZo6WM2dQ6Ix6FSdnL"&amp;"5P7uVnVKu40sxZu975tgG10E/edit?usp=sharing"",""นครปฐม!L584"")+IMPORTRANGE(""https://docs.google.com/spreadsheets/d/1OYoGg4WDg5RIzwGeB10padOxJF9E_Vljuvvct_M7RDo/edit?usp=sharing"",""ปทุมธานี!L584"")+IMPORTRANGE(""https://docs.google.com/spreadsheets/d/1GbCI"&amp;"E4D4wk9FUozzqk7SxfDMxDVBwVmI5zcaVUSzKAc/edit?usp=sharing"",""ประจวบคีรีขันธ์!L584"")+IMPORTRANGE(""https://docs.google.com/spreadsheets/d/1vVf6wykvW_lAyu7Yo9L4hUTqHqIeP_qcVuxCtosJEbg/edit?usp=sharing"",""ปราจีนบุรี!L584"")+IMPORTRANGE(""https://docs.googl"&amp;"e.com/spreadsheets/d/1BIDqLLg5jk3v59G8NlR8rk5xfQDKne0sAvZHSj7TI6I/edit?usp=sharing"",""พระนครศรีอยุธยา!L584"")+IMPORTRANGE(""https://docs.google.com/spreadsheets/d/1YXvxf8Yu6_rV4hTBrwMqAcAnv6DfhUxh5emyM3CJp_w/edit?usp=sharing"",""เพชรบุรี!L584"")+IMPORTRA"&amp;"NGE(""https://docs.google.com/spreadsheets/d/19KBlQQs7uwvsao6t2n-KvW3Ax8J8uRRfZPq1zPbXgKc/edit?usp=sharing"",""ระยอง!L584"")+IMPORTRANGE(""https://docs.google.com/spreadsheets/d/1jQ6P4QcrGM89YfqcC_PxOHGCMq5ezhucwJd8ci-NHng/edit?usp=sharing"",""ราชบุรี!L58"&amp;"4"")+IMPORTRANGE(""https://docs.google.com/spreadsheets/d/1lufeA2cfFqM-elVq2hznhDzC6Pr7wkJ9ZG_sYNGCMCU/edit?usp=sharing"",""ลพบุรี!L584"")+IMPORTRANGE(""https://docs.google.com/spreadsheets/d/10oOiF7loTyfsTkbd4MpaIm0HQ9SwB7IYHdIUvt-U1Uc/edit?usp=sharing"""&amp;",""สระแก้ว!L584"")+IMPORTRANGE(""https://docs.google.com/spreadsheets/d/1xmPlrr1QbdSIKvl1dWUl9K4PjAfSL9oeMr_37QVzcxc/edit?usp=sharing"",""สระบุรี!L584"")+IMPORTRANGE(""https://docs.google.com/spreadsheets/d/1j51vR6CYVGhABJpv6tkstgok82RLpXieLzW1yOY5rHw/edi"&amp;"t?usp=sharing"",""สิงห์บุรี!L584"")+IMPORTRANGE(""https://docs.google.com/spreadsheets/d/1H1EalTWKUSzO4Z1-1CwzoDUaVffgrThEBe2sl74kKG0/edit?usp=sharing"",""สุพรรณบุรี!L584"")+IMPORTRANGE(""https://docs.google.com/spreadsheets/d/1BmIruG_sIrJLYao_Pdr7zVArWsf"&amp;"oBt2692TMi6x_854/edit?usp=sharing"",""อ่างทอง!L584"")"),0)</f>
        <v>0</v>
      </c>
      <c r="M584" s="72">
        <f ca="1">IFERROR(__xludf.DUMMYFUNCTION("IMPORTRANGE(""https://docs.google.com/spreadsheets/d/13wPX838HrBrQMCywv1BsuMkt4PEKTChp52zj44s2izQ/edit?usp=sharing"",""กาญจนบุรี!M584"")+IMPORTRANGE(""https://docs.google.com/spreadsheets/d/1ddFKvqj1W1NEiWytbGlB1zMx_ykJDVtmfEQ-6-lIUBA/edit?usp=sharing"","&amp;"""จันทบุรี!M584"")+IMPORTRANGE(""https://docs.google.com/spreadsheets/d/1T1PQvRODqOBZk8BRht_U031fIS1beLA0Ub2CEytj2q0/edit?usp=sharing"",""ฉะเชิงเทรา!M584"")+IMPORTRANGE(""https://docs.google.com/spreadsheets/d/11tr1B-Bhyr79v2bkwVh5h_fR-PStkgjlZtkrZpYurG0/"&amp;"edit?usp=sharing"",""ชลบุรี!M584"")+IMPORTRANGE(""https://docs.google.com/spreadsheets/d/1hh-FVnSX0vozXhGluamEcS54Dw9_zqW0N7qJUWgJ0Sw/edit?usp=sharing"",""ชัยนาท!M584"")+IMPORTRANGE(""https://docs.google.com/spreadsheets/d/1jkqa6GXxSacMcY1eN8AHjMNJ_7dDXMJ"&amp;"VRLDlaFSOdPM/edit?usp=sharing"",""ตราด!M584"")+IMPORTRANGE(""https://docs.google.com/spreadsheets/d/18hSgUJ3VwClqi_qtULmmW3cLr0oe3OKaSYoKzdpTsYQ/edit?usp=sharing"",""นครนายก!M584"")+IMPORTRANGE(""https://docs.google.com/spreadsheets/d/1YTZo6WM2dQ6Ix6FSdnL"&amp;"5P7uVnVKu40sxZu975tgG10E/edit?usp=sharing"",""นครปฐม!M584"")+IMPORTRANGE(""https://docs.google.com/spreadsheets/d/1OYoGg4WDg5RIzwGeB10padOxJF9E_Vljuvvct_M7RDo/edit?usp=sharing"",""ปทุมธานี!M584"")+IMPORTRANGE(""https://docs.google.com/spreadsheets/d/1GbCI"&amp;"E4D4wk9FUozzqk7SxfDMxDVBwVmI5zcaVUSzKAc/edit?usp=sharing"",""ประจวบคีรีขันธ์!M584"")+IMPORTRANGE(""https://docs.google.com/spreadsheets/d/1vVf6wykvW_lAyu7Yo9L4hUTqHqIeP_qcVuxCtosJEbg/edit?usp=sharing"",""ปราจีนบุรี!M584"")+IMPORTRANGE(""https://docs.googl"&amp;"e.com/spreadsheets/d/1BIDqLLg5jk3v59G8NlR8rk5xfQDKne0sAvZHSj7TI6I/edit?usp=sharing"",""พระนครศรีอยุธยา!M584"")+IMPORTRANGE(""https://docs.google.com/spreadsheets/d/1YXvxf8Yu6_rV4hTBrwMqAcAnv6DfhUxh5emyM3CJp_w/edit?usp=sharing"",""เพชรบุรี!M584"")+IMPORTRA"&amp;"NGE(""https://docs.google.com/spreadsheets/d/19KBlQQs7uwvsao6t2n-KvW3Ax8J8uRRfZPq1zPbXgKc/edit?usp=sharing"",""ระยอง!M584"")+IMPORTRANGE(""https://docs.google.com/spreadsheets/d/1jQ6P4QcrGM89YfqcC_PxOHGCMq5ezhucwJd8ci-NHng/edit?usp=sharing"",""ราชบุรี!M58"&amp;"4"")+IMPORTRANGE(""https://docs.google.com/spreadsheets/d/1lufeA2cfFqM-elVq2hznhDzC6Pr7wkJ9ZG_sYNGCMCU/edit?usp=sharing"",""ลพบุรี!M584"")+IMPORTRANGE(""https://docs.google.com/spreadsheets/d/10oOiF7loTyfsTkbd4MpaIm0HQ9SwB7IYHdIUvt-U1Uc/edit?usp=sharing"""&amp;",""สระแก้ว!M584"")+IMPORTRANGE(""https://docs.google.com/spreadsheets/d/1xmPlrr1QbdSIKvl1dWUl9K4PjAfSL9oeMr_37QVzcxc/edit?usp=sharing"",""สระบุรี!M584"")+IMPORTRANGE(""https://docs.google.com/spreadsheets/d/1j51vR6CYVGhABJpv6tkstgok82RLpXieLzW1yOY5rHw/edi"&amp;"t?usp=sharing"",""สิงห์บุรี!M584"")+IMPORTRANGE(""https://docs.google.com/spreadsheets/d/1H1EalTWKUSzO4Z1-1CwzoDUaVffgrThEBe2sl74kKG0/edit?usp=sharing"",""สุพรรณบุรี!M584"")+IMPORTRANGE(""https://docs.google.com/spreadsheets/d/1BmIruG_sIrJLYao_Pdr7zVArWsf"&amp;"oBt2692TMi6x_854/edit?usp=sharing"",""อ่างทอง!M584"")"),0)</f>
        <v>0</v>
      </c>
      <c r="N584" s="72">
        <f ca="1">IFERROR(__xludf.DUMMYFUNCTION("IMPORTRANGE(""https://docs.google.com/spreadsheets/d/13wPX838HrBrQMCywv1BsuMkt4PEKTChp52zj44s2izQ/edit?usp=sharing"",""กาญจนบุรี!N584"")+IMPORTRANGE(""https://docs.google.com/spreadsheets/d/1ddFKvqj1W1NEiWytbGlB1zMx_ykJDVtmfEQ-6-lIUBA/edit?usp=sharing"","&amp;"""จันทบุรี!N584"")+IMPORTRANGE(""https://docs.google.com/spreadsheets/d/1T1PQvRODqOBZk8BRht_U031fIS1beLA0Ub2CEytj2q0/edit?usp=sharing"",""ฉะเชิงเทรา!N584"")+IMPORTRANGE(""https://docs.google.com/spreadsheets/d/11tr1B-Bhyr79v2bkwVh5h_fR-PStkgjlZtkrZpYurG0/"&amp;"edit?usp=sharing"",""ชลบุรี!N584"")+IMPORTRANGE(""https://docs.google.com/spreadsheets/d/1hh-FVnSX0vozXhGluamEcS54Dw9_zqW0N7qJUWgJ0Sw/edit?usp=sharing"",""ชัยนาท!N584"")+IMPORTRANGE(""https://docs.google.com/spreadsheets/d/1jkqa6GXxSacMcY1eN8AHjMNJ_7dDXMJ"&amp;"VRLDlaFSOdPM/edit?usp=sharing"",""ตราด!N584"")+IMPORTRANGE(""https://docs.google.com/spreadsheets/d/18hSgUJ3VwClqi_qtULmmW3cLr0oe3OKaSYoKzdpTsYQ/edit?usp=sharing"",""นครนายก!N584"")+IMPORTRANGE(""https://docs.google.com/spreadsheets/d/1YTZo6WM2dQ6Ix6FSdnL"&amp;"5P7uVnVKu40sxZu975tgG10E/edit?usp=sharing"",""นครปฐม!N584"")+IMPORTRANGE(""https://docs.google.com/spreadsheets/d/1OYoGg4WDg5RIzwGeB10padOxJF9E_Vljuvvct_M7RDo/edit?usp=sharing"",""ปทุมธานี!N584"")+IMPORTRANGE(""https://docs.google.com/spreadsheets/d/1GbCI"&amp;"E4D4wk9FUozzqk7SxfDMxDVBwVmI5zcaVUSzKAc/edit?usp=sharing"",""ประจวบคีรีขันธ์!N584"")+IMPORTRANGE(""https://docs.google.com/spreadsheets/d/1vVf6wykvW_lAyu7Yo9L4hUTqHqIeP_qcVuxCtosJEbg/edit?usp=sharing"",""ปราจีนบุรี!N584"")+IMPORTRANGE(""https://docs.googl"&amp;"e.com/spreadsheets/d/1BIDqLLg5jk3v59G8NlR8rk5xfQDKne0sAvZHSj7TI6I/edit?usp=sharing"",""พระนครศรีอยุธยา!N584"")+IMPORTRANGE(""https://docs.google.com/spreadsheets/d/1YXvxf8Yu6_rV4hTBrwMqAcAnv6DfhUxh5emyM3CJp_w/edit?usp=sharing"",""เพชรบุรี!N584"")+IMPORTRA"&amp;"NGE(""https://docs.google.com/spreadsheets/d/19KBlQQs7uwvsao6t2n-KvW3Ax8J8uRRfZPq1zPbXgKc/edit?usp=sharing"",""ระยอง!N584"")+IMPORTRANGE(""https://docs.google.com/spreadsheets/d/1jQ6P4QcrGM89YfqcC_PxOHGCMq5ezhucwJd8ci-NHng/edit?usp=sharing"",""ราชบุรี!N58"&amp;"4"")+IMPORTRANGE(""https://docs.google.com/spreadsheets/d/1lufeA2cfFqM-elVq2hznhDzC6Pr7wkJ9ZG_sYNGCMCU/edit?usp=sharing"",""ลพบุรี!N584"")+IMPORTRANGE(""https://docs.google.com/spreadsheets/d/10oOiF7loTyfsTkbd4MpaIm0HQ9SwB7IYHdIUvt-U1Uc/edit?usp=sharing"""&amp;",""สระแก้ว!N584"")+IMPORTRANGE(""https://docs.google.com/spreadsheets/d/1xmPlrr1QbdSIKvl1dWUl9K4PjAfSL9oeMr_37QVzcxc/edit?usp=sharing"",""สระบุรี!N584"")+IMPORTRANGE(""https://docs.google.com/spreadsheets/d/1j51vR6CYVGhABJpv6tkstgok82RLpXieLzW1yOY5rHw/edi"&amp;"t?usp=sharing"",""สิงห์บุรี!N584"")+IMPORTRANGE(""https://docs.google.com/spreadsheets/d/1H1EalTWKUSzO4Z1-1CwzoDUaVffgrThEBe2sl74kKG0/edit?usp=sharing"",""สุพรรณบุรี!N584"")+IMPORTRANGE(""https://docs.google.com/spreadsheets/d/1BmIruG_sIrJLYao_Pdr7zVArWsf"&amp;"oBt2692TMi6x_854/edit?usp=sharing"",""อ่างทอง!N584"")"),0)</f>
        <v>0</v>
      </c>
      <c r="O584" s="72">
        <f t="shared" ca="1" si="401"/>
        <v>0</v>
      </c>
      <c r="P584" s="72">
        <f t="shared" ca="1" si="402"/>
        <v>0</v>
      </c>
      <c r="Q584" s="71">
        <f ca="1">IFERROR(__xludf.DUMMYFUNCTION("IMPORTRANGE(""https://docs.google.com/spreadsheets/d/13wPX838HrBrQMCywv1BsuMkt4PEKTChp52zj44s2izQ/edit?usp=sharing"",""กาญจนบุรี!Q584"")+IMPORTRANGE(""https://docs.google.com/spreadsheets/d/1ddFKvqj1W1NEiWytbGlB1zMx_ykJDVtmfEQ-6-lIUBA/edit?usp=sharing"","&amp;"""จันทบุรี!Q584"")+IMPORTRANGE(""https://docs.google.com/spreadsheets/d/1T1PQvRODqOBZk8BRht_U031fIS1beLA0Ub2CEytj2q0/edit?usp=sharing"",""ฉะเชิงเทรา!Q584"")+IMPORTRANGE(""https://docs.google.com/spreadsheets/d/11tr1B-Bhyr79v2bkwVh5h_fR-PStkgjlZtkrZpYurG0/"&amp;"edit?usp=sharing"",""ชลบุรี!Q584"")+IMPORTRANGE(""https://docs.google.com/spreadsheets/d/1hh-FVnSX0vozXhGluamEcS54Dw9_zqW0N7qJUWgJ0Sw/edit?usp=sharing"",""ชัยนาท!Q584"")+IMPORTRANGE(""https://docs.google.com/spreadsheets/d/1jkqa6GXxSacMcY1eN8AHjMNJ_7dDXMJ"&amp;"VRLDlaFSOdPM/edit?usp=sharing"",""ตราด!Q584"")+IMPORTRANGE(""https://docs.google.com/spreadsheets/d/18hSgUJ3VwClqi_qtULmmW3cLr0oe3OKaSYoKzdpTsYQ/edit?usp=sharing"",""นครนายก!Q584"")+IMPORTRANGE(""https://docs.google.com/spreadsheets/d/1YTZo6WM2dQ6Ix6FSdnL"&amp;"5P7uVnVKu40sxZu975tgG10E/edit?usp=sharing"",""นครปฐม!Q584"")+IMPORTRANGE(""https://docs.google.com/spreadsheets/d/1OYoGg4WDg5RIzwGeB10padOxJF9E_Vljuvvct_M7RDo/edit?usp=sharing"",""ปทุมธานี!Q584"")+IMPORTRANGE(""https://docs.google.com/spreadsheets/d/1GbCI"&amp;"E4D4wk9FUozzqk7SxfDMxDVBwVmI5zcaVUSzKAc/edit?usp=sharing"",""ประจวบคีรีขันธ์!Q584"")+IMPORTRANGE(""https://docs.google.com/spreadsheets/d/1vVf6wykvW_lAyu7Yo9L4hUTqHqIeP_qcVuxCtosJEbg/edit?usp=sharing"",""ปราจีนบุรี!Q584"")+IMPORTRANGE(""https://docs.googl"&amp;"e.com/spreadsheets/d/1BIDqLLg5jk3v59G8NlR8rk5xfQDKne0sAvZHSj7TI6I/edit?usp=sharing"",""พระนครศรีอยุธยา!Q584"")+IMPORTRANGE(""https://docs.google.com/spreadsheets/d/1YXvxf8Yu6_rV4hTBrwMqAcAnv6DfhUxh5emyM3CJp_w/edit?usp=sharing"",""เพชรบุรี!Q584"")+IMPORTRA"&amp;"NGE(""https://docs.google.com/spreadsheets/d/19KBlQQs7uwvsao6t2n-KvW3Ax8J8uRRfZPq1zPbXgKc/edit?usp=sharing"",""ระยอง!Q584"")+IMPORTRANGE(""https://docs.google.com/spreadsheets/d/1jQ6P4QcrGM89YfqcC_PxOHGCMq5ezhucwJd8ci-NHng/edit?usp=sharing"",""ราชบุรี!Q58"&amp;"4"")+IMPORTRANGE(""https://docs.google.com/spreadsheets/d/1lufeA2cfFqM-elVq2hznhDzC6Pr7wkJ9ZG_sYNGCMCU/edit?usp=sharing"",""ลพบุรี!Q584"")+IMPORTRANGE(""https://docs.google.com/spreadsheets/d/10oOiF7loTyfsTkbd4MpaIm0HQ9SwB7IYHdIUvt-U1Uc/edit?usp=sharing"""&amp;",""สระแก้ว!Q584"")+IMPORTRANGE(""https://docs.google.com/spreadsheets/d/1xmPlrr1QbdSIKvl1dWUl9K4PjAfSL9oeMr_37QVzcxc/edit?usp=sharing"",""สระบุรี!Q584"")+IMPORTRANGE(""https://docs.google.com/spreadsheets/d/1j51vR6CYVGhABJpv6tkstgok82RLpXieLzW1yOY5rHw/edi"&amp;"t?usp=sharing"",""สิงห์บุรี!Q584"")+IMPORTRANGE(""https://docs.google.com/spreadsheets/d/1H1EalTWKUSzO4Z1-1CwzoDUaVffgrThEBe2sl74kKG0/edit?usp=sharing"",""สุพรรณบุรี!Q584"")+IMPORTRANGE(""https://docs.google.com/spreadsheets/d/1BmIruG_sIrJLYao_Pdr7zVArWsf"&amp;"oBt2692TMi6x_854/edit?usp=sharing"",""อ่างทอง!Q584"")"),0)</f>
        <v>0</v>
      </c>
      <c r="R584" s="72">
        <f ca="1">IFERROR(__xludf.DUMMYFUNCTION("IMPORTRANGE(""https://docs.google.com/spreadsheets/d/13wPX838HrBrQMCywv1BsuMkt4PEKTChp52zj44s2izQ/edit?usp=sharing"",""กาญจนบุรี!R584"")+IMPORTRANGE(""https://docs.google.com/spreadsheets/d/1ddFKvqj1W1NEiWytbGlB1zMx_ykJDVtmfEQ-6-lIUBA/edit?usp=sharing"","&amp;"""จันทบุรี!R584"")+IMPORTRANGE(""https://docs.google.com/spreadsheets/d/1T1PQvRODqOBZk8BRht_U031fIS1beLA0Ub2CEytj2q0/edit?usp=sharing"",""ฉะเชิงเทรา!R584"")+IMPORTRANGE(""https://docs.google.com/spreadsheets/d/11tr1B-Bhyr79v2bkwVh5h_fR-PStkgjlZtkrZpYurG0/"&amp;"edit?usp=sharing"",""ชลบุรี!R584"")+IMPORTRANGE(""https://docs.google.com/spreadsheets/d/1hh-FVnSX0vozXhGluamEcS54Dw9_zqW0N7qJUWgJ0Sw/edit?usp=sharing"",""ชัยนาท!R584"")+IMPORTRANGE(""https://docs.google.com/spreadsheets/d/1jkqa6GXxSacMcY1eN8AHjMNJ_7dDXMJ"&amp;"VRLDlaFSOdPM/edit?usp=sharing"",""ตราด!R584"")+IMPORTRANGE(""https://docs.google.com/spreadsheets/d/18hSgUJ3VwClqi_qtULmmW3cLr0oe3OKaSYoKzdpTsYQ/edit?usp=sharing"",""นครนายก!R584"")+IMPORTRANGE(""https://docs.google.com/spreadsheets/d/1YTZo6WM2dQ6Ix6FSdnL"&amp;"5P7uVnVKu40sxZu975tgG10E/edit?usp=sharing"",""นครปฐม!R584"")+IMPORTRANGE(""https://docs.google.com/spreadsheets/d/1OYoGg4WDg5RIzwGeB10padOxJF9E_Vljuvvct_M7RDo/edit?usp=sharing"",""ปทุมธานี!R584"")+IMPORTRANGE(""https://docs.google.com/spreadsheets/d/1GbCI"&amp;"E4D4wk9FUozzqk7SxfDMxDVBwVmI5zcaVUSzKAc/edit?usp=sharing"",""ประจวบคีรีขันธ์!R584"")+IMPORTRANGE(""https://docs.google.com/spreadsheets/d/1vVf6wykvW_lAyu7Yo9L4hUTqHqIeP_qcVuxCtosJEbg/edit?usp=sharing"",""ปราจีนบุรี!R584"")+IMPORTRANGE(""https://docs.googl"&amp;"e.com/spreadsheets/d/1BIDqLLg5jk3v59G8NlR8rk5xfQDKne0sAvZHSj7TI6I/edit?usp=sharing"",""พระนครศรีอยุธยา!R584"")+IMPORTRANGE(""https://docs.google.com/spreadsheets/d/1YXvxf8Yu6_rV4hTBrwMqAcAnv6DfhUxh5emyM3CJp_w/edit?usp=sharing"",""เพชรบุรี!R584"")+IMPORTRA"&amp;"NGE(""https://docs.google.com/spreadsheets/d/19KBlQQs7uwvsao6t2n-KvW3Ax8J8uRRfZPq1zPbXgKc/edit?usp=sharing"",""ระยอง!R584"")+IMPORTRANGE(""https://docs.google.com/spreadsheets/d/1jQ6P4QcrGM89YfqcC_PxOHGCMq5ezhucwJd8ci-NHng/edit?usp=sharing"",""ราชบุรี!R58"&amp;"4"")+IMPORTRANGE(""https://docs.google.com/spreadsheets/d/1lufeA2cfFqM-elVq2hznhDzC6Pr7wkJ9ZG_sYNGCMCU/edit?usp=sharing"",""ลพบุรี!R584"")+IMPORTRANGE(""https://docs.google.com/spreadsheets/d/10oOiF7loTyfsTkbd4MpaIm0HQ9SwB7IYHdIUvt-U1Uc/edit?usp=sharing"""&amp;",""สระแก้ว!R584"")+IMPORTRANGE(""https://docs.google.com/spreadsheets/d/1xmPlrr1QbdSIKvl1dWUl9K4PjAfSL9oeMr_37QVzcxc/edit?usp=sharing"",""สระบุรี!R584"")+IMPORTRANGE(""https://docs.google.com/spreadsheets/d/1j51vR6CYVGhABJpv6tkstgok82RLpXieLzW1yOY5rHw/edi"&amp;"t?usp=sharing"",""สิงห์บุรี!R584"")+IMPORTRANGE(""https://docs.google.com/spreadsheets/d/1H1EalTWKUSzO4Z1-1CwzoDUaVffgrThEBe2sl74kKG0/edit?usp=sharing"",""สุพรรณบุรี!R584"")+IMPORTRANGE(""https://docs.google.com/spreadsheets/d/1BmIruG_sIrJLYao_Pdr7zVArWsf"&amp;"oBt2692TMi6x_854/edit?usp=sharing"",""อ่างทอง!R584"")"),0)</f>
        <v>0</v>
      </c>
      <c r="S584" s="72">
        <f ca="1">IFERROR(__xludf.DUMMYFUNCTION("IMPORTRANGE(""https://docs.google.com/spreadsheets/d/13wPX838HrBrQMCywv1BsuMkt4PEKTChp52zj44s2izQ/edit?usp=sharing"",""กาญจนบุรี!S584"")+IMPORTRANGE(""https://docs.google.com/spreadsheets/d/1ddFKvqj1W1NEiWytbGlB1zMx_ykJDVtmfEQ-6-lIUBA/edit?usp=sharing"","&amp;"""จันทบุรี!S584"")+IMPORTRANGE(""https://docs.google.com/spreadsheets/d/1T1PQvRODqOBZk8BRht_U031fIS1beLA0Ub2CEytj2q0/edit?usp=sharing"",""ฉะเชิงเทรา!S584"")+IMPORTRANGE(""https://docs.google.com/spreadsheets/d/11tr1B-Bhyr79v2bkwVh5h_fR-PStkgjlZtkrZpYurG0/"&amp;"edit?usp=sharing"",""ชลบุรี!S584"")+IMPORTRANGE(""https://docs.google.com/spreadsheets/d/1hh-FVnSX0vozXhGluamEcS54Dw9_zqW0N7qJUWgJ0Sw/edit?usp=sharing"",""ชัยนาท!S584"")+IMPORTRANGE(""https://docs.google.com/spreadsheets/d/1jkqa6GXxSacMcY1eN8AHjMNJ_7dDXMJ"&amp;"VRLDlaFSOdPM/edit?usp=sharing"",""ตราด!S584"")+IMPORTRANGE(""https://docs.google.com/spreadsheets/d/18hSgUJ3VwClqi_qtULmmW3cLr0oe3OKaSYoKzdpTsYQ/edit?usp=sharing"",""นครนายก!S584"")+IMPORTRANGE(""https://docs.google.com/spreadsheets/d/1YTZo6WM2dQ6Ix6FSdnL"&amp;"5P7uVnVKu40sxZu975tgG10E/edit?usp=sharing"",""นครปฐม!S584"")+IMPORTRANGE(""https://docs.google.com/spreadsheets/d/1OYoGg4WDg5RIzwGeB10padOxJF9E_Vljuvvct_M7RDo/edit?usp=sharing"",""ปทุมธานี!S584"")+IMPORTRANGE(""https://docs.google.com/spreadsheets/d/1GbCI"&amp;"E4D4wk9FUozzqk7SxfDMxDVBwVmI5zcaVUSzKAc/edit?usp=sharing"",""ประจวบคีรีขันธ์!S584"")+IMPORTRANGE(""https://docs.google.com/spreadsheets/d/1vVf6wykvW_lAyu7Yo9L4hUTqHqIeP_qcVuxCtosJEbg/edit?usp=sharing"",""ปราจีนบุรี!S584"")+IMPORTRANGE(""https://docs.googl"&amp;"e.com/spreadsheets/d/1BIDqLLg5jk3v59G8NlR8rk5xfQDKne0sAvZHSj7TI6I/edit?usp=sharing"",""พระนครศรีอยุธยา!S584"")+IMPORTRANGE(""https://docs.google.com/spreadsheets/d/1YXvxf8Yu6_rV4hTBrwMqAcAnv6DfhUxh5emyM3CJp_w/edit?usp=sharing"",""เพชรบุรี!S584"")+IMPORTRA"&amp;"NGE(""https://docs.google.com/spreadsheets/d/19KBlQQs7uwvsao6t2n-KvW3Ax8J8uRRfZPq1zPbXgKc/edit?usp=sharing"",""ระยอง!S584"")+IMPORTRANGE(""https://docs.google.com/spreadsheets/d/1jQ6P4QcrGM89YfqcC_PxOHGCMq5ezhucwJd8ci-NHng/edit?usp=sharing"",""ราชบุรี!S58"&amp;"4"")+IMPORTRANGE(""https://docs.google.com/spreadsheets/d/1lufeA2cfFqM-elVq2hznhDzC6Pr7wkJ9ZG_sYNGCMCU/edit?usp=sharing"",""ลพบุรี!S584"")+IMPORTRANGE(""https://docs.google.com/spreadsheets/d/10oOiF7loTyfsTkbd4MpaIm0HQ9SwB7IYHdIUvt-U1Uc/edit?usp=sharing"""&amp;",""สระแก้ว!S584"")+IMPORTRANGE(""https://docs.google.com/spreadsheets/d/1xmPlrr1QbdSIKvl1dWUl9K4PjAfSL9oeMr_37QVzcxc/edit?usp=sharing"",""สระบุรี!S584"")+IMPORTRANGE(""https://docs.google.com/spreadsheets/d/1j51vR6CYVGhABJpv6tkstgok82RLpXieLzW1yOY5rHw/edi"&amp;"t?usp=sharing"",""สิงห์บุรี!S584"")+IMPORTRANGE(""https://docs.google.com/spreadsheets/d/1H1EalTWKUSzO4Z1-1CwzoDUaVffgrThEBe2sl74kKG0/edit?usp=sharing"",""สุพรรณบุรี!S584"")+IMPORTRANGE(""https://docs.google.com/spreadsheets/d/1BmIruG_sIrJLYao_Pdr7zVArWsf"&amp;"oBt2692TMi6x_854/edit?usp=sharing"",""อ่างทอง!S584"")"),0)</f>
        <v>0</v>
      </c>
      <c r="T584" s="130">
        <f t="shared" ca="1" si="404"/>
        <v>0</v>
      </c>
      <c r="U584" s="130">
        <f t="shared" ca="1" si="405"/>
        <v>0</v>
      </c>
    </row>
    <row r="585" spans="1:21" ht="19.5" x14ac:dyDescent="0.3">
      <c r="A585" s="274"/>
      <c r="B585" s="275"/>
      <c r="C585" s="668" t="s">
        <v>18</v>
      </c>
      <c r="D585" s="277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f ca="1">IFERROR(__xludf.DUMMYFUNCTION("IMPORTRANGE(""https://docs.google.com/spreadsheets/d/1jkqa6GXxSacMcY1eN8AHjMNJ_7dDXMJVRLDlaFSOdPM/edit?usp=sharing"",""ตราด!I586"")+IMPORTRANGE(""https://docs.google.com/spreadsheets/d/1GbCIE4D4wk9FUozzqk7SxfDMxDVBwVmI5zcaVUSzKAc/edit?usp=sharing"",""ประจ"&amp;"วบคีรีขันธ์!I586"")+IMPORTRANGE(""https://docs.google.com/spreadsheets/d/1lufeA2cfFqM-elVq2hznhDzC6Pr7wkJ9ZG_sYNGCMCU/edit?usp=sharing"",""ลพบุรี!I586"")+IMPORTRANGE(""https://docs.google.com/spreadsheets/d/1H1EalTWKUSzO4Z1-1CwzoDUaVffgrThEBe2sl74kKG0/edi"&amp;"t?usp=sharing"",""สุพรรณบุรี!I586"")"),10)</f>
        <v>10</v>
      </c>
      <c r="J586" s="672">
        <f ca="1">IFERROR(__xludf.DUMMYFUNCTION("IMPORTRANGE(""https://docs.google.com/spreadsheets/d/1jkqa6GXxSacMcY1eN8AHjMNJ_7dDXMJVRLDlaFSOdPM/edit?usp=sharing"",""ตราด!J586"")+IMPORTRANGE(""https://docs.google.com/spreadsheets/d/1GbCIE4D4wk9FUozzqk7SxfDMxDVBwVmI5zcaVUSzKAc/edit?usp=sharing"",""ประจ"&amp;"วบคีรีขันธ์!J586"")+IMPORTRANGE(""https://docs.google.com/spreadsheets/d/1lufeA2cfFqM-elVq2hznhDzC6Pr7wkJ9ZG_sYNGCMCU/edit?usp=sharing"",""ลพบุรี!J586"")+IMPORTRANGE(""https://docs.google.com/spreadsheets/d/1H1EalTWKUSzO4Z1-1CwzoDUaVffgrThEBe2sl74kKG0/edi"&amp;"t?usp=sharing"",""สุพรรณบุรี!J586"")"),0)</f>
        <v>0</v>
      </c>
      <c r="K586" s="671">
        <f t="shared" ref="K586:K587" ca="1" si="414"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f ca="1">IFERROR(__xludf.DUMMYFUNCTION("IMPORTRANGE(""https://docs.google.com/spreadsheets/d/1jkqa6GXxSacMcY1eN8AHjMNJ_7dDXMJVRLDlaFSOdPM/edit?usp=sharing"",""ตราด!I587"")+IMPORTRANGE(""https://docs.google.com/spreadsheets/d/1GbCIE4D4wk9FUozzqk7SxfDMxDVBwVmI5zcaVUSzKAc/edit?usp=sharing"",""ประจ"&amp;"วบคีรีขันธ์!I587"")+IMPORTRANGE(""https://docs.google.com/spreadsheets/d/1lufeA2cfFqM-elVq2hznhDzC6Pr7wkJ9ZG_sYNGCMCU/edit?usp=sharing"",""ลพบุรี!I587"")+IMPORTRANGE(""https://docs.google.com/spreadsheets/d/1H1EalTWKUSzO4Z1-1CwzoDUaVffgrThEBe2sl74kKG0/edi"&amp;"t?usp=sharing"",""สุพรรณบุรี!I587"")"),19)</f>
        <v>19</v>
      </c>
      <c r="J587" s="292">
        <f ca="1">IFERROR(__xludf.DUMMYFUNCTION("IMPORTRANGE(""https://docs.google.com/spreadsheets/d/1jkqa6GXxSacMcY1eN8AHjMNJ_7dDXMJVRLDlaFSOdPM/edit?usp=sharing"",""ตราด!J587"")+IMPORTRANGE(""https://docs.google.com/spreadsheets/d/1GbCIE4D4wk9FUozzqk7SxfDMxDVBwVmI5zcaVUSzKAc/edit?usp=sharing"",""ประจ"&amp;"วบคีรีขันธ์!J587"")+IMPORTRANGE(""https://docs.google.com/spreadsheets/d/1lufeA2cfFqM-elVq2hznhDzC6Pr7wkJ9ZG_sYNGCMCU/edit?usp=sharing"",""ลพบุรี!J587"")+IMPORTRANGE(""https://docs.google.com/spreadsheets/d/1H1EalTWKUSzO4Z1-1CwzoDUaVffgrThEBe2sl74kKG0/edi"&amp;"t?usp=sharing"",""สุพรรณบุรี!J587"")"),0)</f>
        <v>0</v>
      </c>
      <c r="K587" s="72">
        <f t="shared" ca="1" si="414"/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4"/>
      <c r="M588" s="574"/>
      <c r="N588" s="574"/>
      <c r="O588" s="574"/>
      <c r="P588" s="574"/>
      <c r="Q588" s="575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4"/>
      <c r="M589" s="574"/>
      <c r="N589" s="574"/>
      <c r="O589" s="574"/>
      <c r="P589" s="574"/>
      <c r="Q589" s="575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4"/>
      <c r="M590" s="574"/>
      <c r="N590" s="574"/>
      <c r="O590" s="574"/>
      <c r="P590" s="574"/>
      <c r="Q590" s="575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4"/>
      <c r="M591" s="574"/>
      <c r="N591" s="574"/>
      <c r="O591" s="574"/>
      <c r="P591" s="574"/>
      <c r="Q591" s="575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4"/>
      <c r="M592" s="574"/>
      <c r="N592" s="574"/>
      <c r="O592" s="574"/>
      <c r="P592" s="574"/>
      <c r="Q592" s="575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4"/>
      <c r="M593" s="574"/>
      <c r="N593" s="574"/>
      <c r="O593" s="574"/>
      <c r="P593" s="574"/>
      <c r="Q593" s="575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4"/>
      <c r="M594" s="574"/>
      <c r="N594" s="574"/>
      <c r="O594" s="574"/>
      <c r="P594" s="574"/>
      <c r="Q594" s="575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79"/>
      <c r="M595" s="579"/>
      <c r="N595" s="579"/>
      <c r="O595" s="579"/>
      <c r="P595" s="579"/>
      <c r="Q595" s="580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674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53"/>
      <c r="M597" s="53"/>
      <c r="N597" s="53"/>
      <c r="O597" s="53"/>
      <c r="P597" s="53"/>
      <c r="Q597" s="677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53"/>
      <c r="M598" s="53"/>
      <c r="N598" s="53"/>
      <c r="O598" s="53"/>
      <c r="P598" s="53"/>
      <c r="Q598" s="677"/>
      <c r="R598" s="53"/>
      <c r="S598" s="53"/>
      <c r="T598" s="53"/>
      <c r="U598" s="53"/>
    </row>
    <row r="599" spans="1:21" ht="19.5" x14ac:dyDescent="0.3">
      <c r="A599" s="207"/>
      <c r="B599" s="367"/>
      <c r="C599" s="680" t="s">
        <v>18</v>
      </c>
      <c r="D599" s="1422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211">
        <f t="shared" ref="L599:N599" ca="1" si="415">L600+L601</f>
        <v>474486</v>
      </c>
      <c r="M599" s="211">
        <f t="shared" ca="1" si="415"/>
        <v>474486</v>
      </c>
      <c r="N599" s="211">
        <f t="shared" ca="1" si="415"/>
        <v>115550.29</v>
      </c>
      <c r="O599" s="211">
        <f t="shared" ref="O599:O607" ca="1" si="416">IF(L599&gt;0,N599*100/L599,0)</f>
        <v>24.352729058391606</v>
      </c>
      <c r="P599" s="211">
        <f t="shared" ref="P599:P607" ca="1" si="417">IF(M599&gt;0,N599*100/M599,0)</f>
        <v>24.352729058391606</v>
      </c>
      <c r="Q599" s="681">
        <f t="shared" ref="Q599:S599" ca="1" si="418">Q600+Q601</f>
        <v>0</v>
      </c>
      <c r="R599" s="682">
        <f t="shared" ca="1" si="418"/>
        <v>0</v>
      </c>
      <c r="S599" s="682">
        <f t="shared" ca="1" si="418"/>
        <v>0</v>
      </c>
      <c r="T599" s="682">
        <f t="shared" ref="T599:T607" ca="1" si="419">IF(Q599&gt;0,S599*100/Q599,0)</f>
        <v>0</v>
      </c>
      <c r="U599" s="682">
        <f t="shared" ref="U599:U607" ca="1" si="420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86">
        <f t="shared" ref="L600:N600" ca="1" si="421">L603+L606</f>
        <v>0</v>
      </c>
      <c r="M600" s="86">
        <f t="shared" ca="1" si="421"/>
        <v>0</v>
      </c>
      <c r="N600" s="86">
        <f t="shared" ca="1" si="421"/>
        <v>0</v>
      </c>
      <c r="O600" s="86">
        <f t="shared" ca="1" si="416"/>
        <v>0</v>
      </c>
      <c r="P600" s="86">
        <f t="shared" ca="1" si="417"/>
        <v>0</v>
      </c>
      <c r="Q600" s="683">
        <f t="shared" ref="Q600:S600" ca="1" si="422">Q603+Q606</f>
        <v>0</v>
      </c>
      <c r="R600" s="684">
        <f t="shared" ca="1" si="422"/>
        <v>0</v>
      </c>
      <c r="S600" s="684">
        <f t="shared" ca="1" si="422"/>
        <v>0</v>
      </c>
      <c r="T600" s="684">
        <f t="shared" ca="1" si="419"/>
        <v>0</v>
      </c>
      <c r="U600" s="684">
        <f t="shared" ca="1" si="420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86">
        <f t="shared" ref="L601:N601" ca="1" si="423">L604+L607</f>
        <v>474486</v>
      </c>
      <c r="M601" s="86">
        <f t="shared" ca="1" si="423"/>
        <v>474486</v>
      </c>
      <c r="N601" s="86">
        <f t="shared" ca="1" si="423"/>
        <v>115550.29</v>
      </c>
      <c r="O601" s="86">
        <f t="shared" ca="1" si="416"/>
        <v>24.352729058391606</v>
      </c>
      <c r="P601" s="86">
        <f t="shared" ca="1" si="417"/>
        <v>24.352729058391606</v>
      </c>
      <c r="Q601" s="683">
        <f t="shared" ref="Q601:S601" ca="1" si="424">Q604+Q607</f>
        <v>0</v>
      </c>
      <c r="R601" s="684">
        <f t="shared" ca="1" si="424"/>
        <v>0</v>
      </c>
      <c r="S601" s="684">
        <f t="shared" ca="1" si="424"/>
        <v>0</v>
      </c>
      <c r="T601" s="684">
        <f t="shared" ca="1" si="419"/>
        <v>0</v>
      </c>
      <c r="U601" s="684">
        <f t="shared" ca="1" si="420"/>
        <v>0</v>
      </c>
    </row>
    <row r="602" spans="1:21" ht="19.5" x14ac:dyDescent="0.3">
      <c r="A602" s="207"/>
      <c r="B602" s="367"/>
      <c r="C602" s="367"/>
      <c r="D602" s="209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86">
        <f t="shared" ref="L602:N602" ca="1" si="425">L603+L604</f>
        <v>474486</v>
      </c>
      <c r="M602" s="86">
        <f t="shared" ca="1" si="425"/>
        <v>474486</v>
      </c>
      <c r="N602" s="86">
        <f t="shared" ca="1" si="425"/>
        <v>115550.29</v>
      </c>
      <c r="O602" s="86">
        <f t="shared" ca="1" si="416"/>
        <v>24.352729058391606</v>
      </c>
      <c r="P602" s="86">
        <f t="shared" ca="1" si="417"/>
        <v>24.352729058391606</v>
      </c>
      <c r="Q602" s="683">
        <f t="shared" ref="Q602:S602" ca="1" si="426">Q603+Q604</f>
        <v>0</v>
      </c>
      <c r="R602" s="684">
        <f t="shared" ca="1" si="426"/>
        <v>0</v>
      </c>
      <c r="S602" s="684">
        <f t="shared" ca="1" si="426"/>
        <v>0</v>
      </c>
      <c r="T602" s="684">
        <f t="shared" ca="1" si="419"/>
        <v>0</v>
      </c>
      <c r="U602" s="684">
        <f t="shared" ca="1" si="420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86">
        <f ca="1">IFERROR(__xludf.DUMMYFUNCTION("IMPORTRANGE(""https://docs.google.com/spreadsheets/d/13wPX838HrBrQMCywv1BsuMkt4PEKTChp52zj44s2izQ/edit?usp=sharing"",""กาญจนบุรี!L603"")+IMPORTRANGE(""https://docs.google.com/spreadsheets/d/1ddFKvqj1W1NEiWytbGlB1zMx_ykJDVtmfEQ-6-lIUBA/edit?usp=sharing"","&amp;"""จันทบุรี!L603"")+IMPORTRANGE(""https://docs.google.com/spreadsheets/d/1T1PQvRODqOBZk8BRht_U031fIS1beLA0Ub2CEytj2q0/edit?usp=sharing"",""ฉะเชิงเทรา!L603"")+IMPORTRANGE(""https://docs.google.com/spreadsheets/d/11tr1B-Bhyr79v2bkwVh5h_fR-PStkgjlZtkrZpYurG0/"&amp;"edit?usp=sharing"",""ชลบุรี!L603"")+IMPORTRANGE(""https://docs.google.com/spreadsheets/d/1hh-FVnSX0vozXhGluamEcS54Dw9_zqW0N7qJUWgJ0Sw/edit?usp=sharing"",""ชัยนาท!L603"")+IMPORTRANGE(""https://docs.google.com/spreadsheets/d/1jkqa6GXxSacMcY1eN8AHjMNJ_7dDXMJ"&amp;"VRLDlaFSOdPM/edit?usp=sharing"",""ตราด!L603"")+IMPORTRANGE(""https://docs.google.com/spreadsheets/d/18hSgUJ3VwClqi_qtULmmW3cLr0oe3OKaSYoKzdpTsYQ/edit?usp=sharing"",""นครนายก!L603"")+IMPORTRANGE(""https://docs.google.com/spreadsheets/d/1YTZo6WM2dQ6Ix6FSdnL"&amp;"5P7uVnVKu40sxZu975tgG10E/edit?usp=sharing"",""นครปฐม!L603"")+IMPORTRANGE(""https://docs.google.com/spreadsheets/d/1OYoGg4WDg5RIzwGeB10padOxJF9E_Vljuvvct_M7RDo/edit?usp=sharing"",""ปทุมธานี!L603"")+IMPORTRANGE(""https://docs.google.com/spreadsheets/d/1GbCI"&amp;"E4D4wk9FUozzqk7SxfDMxDVBwVmI5zcaVUSzKAc/edit?usp=sharing"",""ประจวบคีรีขันธ์!L603"")+IMPORTRANGE(""https://docs.google.com/spreadsheets/d/1vVf6wykvW_lAyu7Yo9L4hUTqHqIeP_qcVuxCtosJEbg/edit?usp=sharing"",""ปราจีนบุรี!L603"")+IMPORTRANGE(""https://docs.googl"&amp;"e.com/spreadsheets/d/1BIDqLLg5jk3v59G8NlR8rk5xfQDKne0sAvZHSj7TI6I/edit?usp=sharing"",""พระนครศรีอยุธยา!L603"")+IMPORTRANGE(""https://docs.google.com/spreadsheets/d/1YXvxf8Yu6_rV4hTBrwMqAcAnv6DfhUxh5emyM3CJp_w/edit?usp=sharing"",""เพชรบุรี!L603"")+IMPORTRA"&amp;"NGE(""https://docs.google.com/spreadsheets/d/19KBlQQs7uwvsao6t2n-KvW3Ax8J8uRRfZPq1zPbXgKc/edit?usp=sharing"",""ระยอง!L603"")+IMPORTRANGE(""https://docs.google.com/spreadsheets/d/1jQ6P4QcrGM89YfqcC_PxOHGCMq5ezhucwJd8ci-NHng/edit?usp=sharing"",""ราชบุรี!L60"&amp;"3"")+IMPORTRANGE(""https://docs.google.com/spreadsheets/d/1lufeA2cfFqM-elVq2hznhDzC6Pr7wkJ9ZG_sYNGCMCU/edit?usp=sharing"",""ลพบุรี!L603"")+IMPORTRANGE(""https://docs.google.com/spreadsheets/d/10oOiF7loTyfsTkbd4MpaIm0HQ9SwB7IYHdIUvt-U1Uc/edit?usp=sharing"""&amp;",""สระแก้ว!L603"")+IMPORTRANGE(""https://docs.google.com/spreadsheets/d/1xmPlrr1QbdSIKvl1dWUl9K4PjAfSL9oeMr_37QVzcxc/edit?usp=sharing"",""สระบุรี!L603"")+IMPORTRANGE(""https://docs.google.com/spreadsheets/d/1j51vR6CYVGhABJpv6tkstgok82RLpXieLzW1yOY5rHw/edi"&amp;"t?usp=sharing"",""สิงห์บุรี!L603"")+IMPORTRANGE(""https://docs.google.com/spreadsheets/d/1H1EalTWKUSzO4Z1-1CwzoDUaVffgrThEBe2sl74kKG0/edit?usp=sharing"",""สุพรรณบุรี!L603"")+IMPORTRANGE(""https://docs.google.com/spreadsheets/d/1BmIruG_sIrJLYao_Pdr7zVArWsf"&amp;"oBt2692TMi6x_854/edit?usp=sharing"",""อ่างทอง!L603"")"),0)</f>
        <v>0</v>
      </c>
      <c r="M603" s="86">
        <f ca="1">IFERROR(__xludf.DUMMYFUNCTION("IMPORTRANGE(""https://docs.google.com/spreadsheets/d/13wPX838HrBrQMCywv1BsuMkt4PEKTChp52zj44s2izQ/edit?usp=sharing"",""กาญจนบุรี!M603"")+IMPORTRANGE(""https://docs.google.com/spreadsheets/d/1ddFKvqj1W1NEiWytbGlB1zMx_ykJDVtmfEQ-6-lIUBA/edit?usp=sharing"","&amp;"""จันทบุรี!M603"")+IMPORTRANGE(""https://docs.google.com/spreadsheets/d/1T1PQvRODqOBZk8BRht_U031fIS1beLA0Ub2CEytj2q0/edit?usp=sharing"",""ฉะเชิงเทรา!M603"")+IMPORTRANGE(""https://docs.google.com/spreadsheets/d/11tr1B-Bhyr79v2bkwVh5h_fR-PStkgjlZtkrZpYurG0/"&amp;"edit?usp=sharing"",""ชลบุรี!M603"")+IMPORTRANGE(""https://docs.google.com/spreadsheets/d/1hh-FVnSX0vozXhGluamEcS54Dw9_zqW0N7qJUWgJ0Sw/edit?usp=sharing"",""ชัยนาท!M603"")+IMPORTRANGE(""https://docs.google.com/spreadsheets/d/1jkqa6GXxSacMcY1eN8AHjMNJ_7dDXMJ"&amp;"VRLDlaFSOdPM/edit?usp=sharing"",""ตราด!M603"")+IMPORTRANGE(""https://docs.google.com/spreadsheets/d/18hSgUJ3VwClqi_qtULmmW3cLr0oe3OKaSYoKzdpTsYQ/edit?usp=sharing"",""นครนายก!M603"")+IMPORTRANGE(""https://docs.google.com/spreadsheets/d/1YTZo6WM2dQ6Ix6FSdnL"&amp;"5P7uVnVKu40sxZu975tgG10E/edit?usp=sharing"",""นครปฐม!M603"")+IMPORTRANGE(""https://docs.google.com/spreadsheets/d/1OYoGg4WDg5RIzwGeB10padOxJF9E_Vljuvvct_M7RDo/edit?usp=sharing"",""ปทุมธานี!M603"")+IMPORTRANGE(""https://docs.google.com/spreadsheets/d/1GbCI"&amp;"E4D4wk9FUozzqk7SxfDMxDVBwVmI5zcaVUSzKAc/edit?usp=sharing"",""ประจวบคีรีขันธ์!M603"")+IMPORTRANGE(""https://docs.google.com/spreadsheets/d/1vVf6wykvW_lAyu7Yo9L4hUTqHqIeP_qcVuxCtosJEbg/edit?usp=sharing"",""ปราจีนบุรี!M603"")+IMPORTRANGE(""https://docs.googl"&amp;"e.com/spreadsheets/d/1BIDqLLg5jk3v59G8NlR8rk5xfQDKne0sAvZHSj7TI6I/edit?usp=sharing"",""พระนครศรีอยุธยา!M603"")+IMPORTRANGE(""https://docs.google.com/spreadsheets/d/1YXvxf8Yu6_rV4hTBrwMqAcAnv6DfhUxh5emyM3CJp_w/edit?usp=sharing"",""เพชรบุรี!M603"")+IMPORTRA"&amp;"NGE(""https://docs.google.com/spreadsheets/d/19KBlQQs7uwvsao6t2n-KvW3Ax8J8uRRfZPq1zPbXgKc/edit?usp=sharing"",""ระยอง!M603"")+IMPORTRANGE(""https://docs.google.com/spreadsheets/d/1jQ6P4QcrGM89YfqcC_PxOHGCMq5ezhucwJd8ci-NHng/edit?usp=sharing"",""ราชบุรี!M60"&amp;"3"")+IMPORTRANGE(""https://docs.google.com/spreadsheets/d/1lufeA2cfFqM-elVq2hznhDzC6Pr7wkJ9ZG_sYNGCMCU/edit?usp=sharing"",""ลพบุรี!M603"")+IMPORTRANGE(""https://docs.google.com/spreadsheets/d/10oOiF7loTyfsTkbd4MpaIm0HQ9SwB7IYHdIUvt-U1Uc/edit?usp=sharing"""&amp;",""สระแก้ว!M603"")+IMPORTRANGE(""https://docs.google.com/spreadsheets/d/1xmPlrr1QbdSIKvl1dWUl9K4PjAfSL9oeMr_37QVzcxc/edit?usp=sharing"",""สระบุรี!M603"")+IMPORTRANGE(""https://docs.google.com/spreadsheets/d/1j51vR6CYVGhABJpv6tkstgok82RLpXieLzW1yOY5rHw/edi"&amp;"t?usp=sharing"",""สิงห์บุรี!M603"")+IMPORTRANGE(""https://docs.google.com/spreadsheets/d/1H1EalTWKUSzO4Z1-1CwzoDUaVffgrThEBe2sl74kKG0/edit?usp=sharing"",""สุพรรณบุรี!M603"")+IMPORTRANGE(""https://docs.google.com/spreadsheets/d/1BmIruG_sIrJLYao_Pdr7zVArWsf"&amp;"oBt2692TMi6x_854/edit?usp=sharing"",""อ่างทอง!M603"")"),0)</f>
        <v>0</v>
      </c>
      <c r="N603" s="86">
        <f ca="1">IFERROR(__xludf.DUMMYFUNCTION("IMPORTRANGE(""https://docs.google.com/spreadsheets/d/13wPX838HrBrQMCywv1BsuMkt4PEKTChp52zj44s2izQ/edit?usp=sharing"",""กาญจนบุรี!N603"")+IMPORTRANGE(""https://docs.google.com/spreadsheets/d/1ddFKvqj1W1NEiWytbGlB1zMx_ykJDVtmfEQ-6-lIUBA/edit?usp=sharing"","&amp;"""จันทบุรี!N603"")+IMPORTRANGE(""https://docs.google.com/spreadsheets/d/1T1PQvRODqOBZk8BRht_U031fIS1beLA0Ub2CEytj2q0/edit?usp=sharing"",""ฉะเชิงเทรา!N603"")+IMPORTRANGE(""https://docs.google.com/spreadsheets/d/11tr1B-Bhyr79v2bkwVh5h_fR-PStkgjlZtkrZpYurG0/"&amp;"edit?usp=sharing"",""ชลบุรี!N603"")+IMPORTRANGE(""https://docs.google.com/spreadsheets/d/1hh-FVnSX0vozXhGluamEcS54Dw9_zqW0N7qJUWgJ0Sw/edit?usp=sharing"",""ชัยนาท!N603"")+IMPORTRANGE(""https://docs.google.com/spreadsheets/d/1jkqa6GXxSacMcY1eN8AHjMNJ_7dDXMJ"&amp;"VRLDlaFSOdPM/edit?usp=sharing"",""ตราด!N603"")+IMPORTRANGE(""https://docs.google.com/spreadsheets/d/18hSgUJ3VwClqi_qtULmmW3cLr0oe3OKaSYoKzdpTsYQ/edit?usp=sharing"",""นครนายก!N603"")+IMPORTRANGE(""https://docs.google.com/spreadsheets/d/1YTZo6WM2dQ6Ix6FSdnL"&amp;"5P7uVnVKu40sxZu975tgG10E/edit?usp=sharing"",""นครปฐม!N603"")+IMPORTRANGE(""https://docs.google.com/spreadsheets/d/1OYoGg4WDg5RIzwGeB10padOxJF9E_Vljuvvct_M7RDo/edit?usp=sharing"",""ปทุมธานี!N603"")+IMPORTRANGE(""https://docs.google.com/spreadsheets/d/1GbCI"&amp;"E4D4wk9FUozzqk7SxfDMxDVBwVmI5zcaVUSzKAc/edit?usp=sharing"",""ประจวบคีรีขันธ์!N603"")+IMPORTRANGE(""https://docs.google.com/spreadsheets/d/1vVf6wykvW_lAyu7Yo9L4hUTqHqIeP_qcVuxCtosJEbg/edit?usp=sharing"",""ปราจีนบุรี!N603"")+IMPORTRANGE(""https://docs.googl"&amp;"e.com/spreadsheets/d/1BIDqLLg5jk3v59G8NlR8rk5xfQDKne0sAvZHSj7TI6I/edit?usp=sharing"",""พระนครศรีอยุธยา!N603"")+IMPORTRANGE(""https://docs.google.com/spreadsheets/d/1YXvxf8Yu6_rV4hTBrwMqAcAnv6DfhUxh5emyM3CJp_w/edit?usp=sharing"",""เพชรบุรี!N603"")+IMPORTRA"&amp;"NGE(""https://docs.google.com/spreadsheets/d/19KBlQQs7uwvsao6t2n-KvW3Ax8J8uRRfZPq1zPbXgKc/edit?usp=sharing"",""ระยอง!N603"")+IMPORTRANGE(""https://docs.google.com/spreadsheets/d/1jQ6P4QcrGM89YfqcC_PxOHGCMq5ezhucwJd8ci-NHng/edit?usp=sharing"",""ราชบุรี!N60"&amp;"3"")+IMPORTRANGE(""https://docs.google.com/spreadsheets/d/1lufeA2cfFqM-elVq2hznhDzC6Pr7wkJ9ZG_sYNGCMCU/edit?usp=sharing"",""ลพบุรี!N603"")+IMPORTRANGE(""https://docs.google.com/spreadsheets/d/10oOiF7loTyfsTkbd4MpaIm0HQ9SwB7IYHdIUvt-U1Uc/edit?usp=sharing"""&amp;",""สระแก้ว!N603"")+IMPORTRANGE(""https://docs.google.com/spreadsheets/d/1xmPlrr1QbdSIKvl1dWUl9K4PjAfSL9oeMr_37QVzcxc/edit?usp=sharing"",""สระบุรี!N603"")+IMPORTRANGE(""https://docs.google.com/spreadsheets/d/1j51vR6CYVGhABJpv6tkstgok82RLpXieLzW1yOY5rHw/edi"&amp;"t?usp=sharing"",""สิงห์บุรี!N603"")+IMPORTRANGE(""https://docs.google.com/spreadsheets/d/1H1EalTWKUSzO4Z1-1CwzoDUaVffgrThEBe2sl74kKG0/edit?usp=sharing"",""สุพรรณบุรี!N603"")+IMPORTRANGE(""https://docs.google.com/spreadsheets/d/1BmIruG_sIrJLYao_Pdr7zVArWsf"&amp;"oBt2692TMi6x_854/edit?usp=sharing"",""อ่างทอง!N603"")"),0)</f>
        <v>0</v>
      </c>
      <c r="O603" s="86">
        <f t="shared" ca="1" si="416"/>
        <v>0</v>
      </c>
      <c r="P603" s="86">
        <f t="shared" ca="1" si="417"/>
        <v>0</v>
      </c>
      <c r="Q603" s="685">
        <f ca="1">IFERROR(__xludf.DUMMYFUNCTION("IMPORTRANGE(""https://docs.google.com/spreadsheets/d/13wPX838HrBrQMCywv1BsuMkt4PEKTChp52zj44s2izQ/edit?usp=sharing"",""กาญจนบุรี!Q603"")+IMPORTRANGE(""https://docs.google.com/spreadsheets/d/1ddFKvqj1W1NEiWytbGlB1zMx_ykJDVtmfEQ-6-lIUBA/edit?usp=sharing"","&amp;"""จันทบุรี!Q603"")+IMPORTRANGE(""https://docs.google.com/spreadsheets/d/1T1PQvRODqOBZk8BRht_U031fIS1beLA0Ub2CEytj2q0/edit?usp=sharing"",""ฉะเชิงเทรา!Q603"")+IMPORTRANGE(""https://docs.google.com/spreadsheets/d/11tr1B-Bhyr79v2bkwVh5h_fR-PStkgjlZtkrZpYurG0/"&amp;"edit?usp=sharing"",""ชลบุรี!Q603"")+IMPORTRANGE(""https://docs.google.com/spreadsheets/d/1hh-FVnSX0vozXhGluamEcS54Dw9_zqW0N7qJUWgJ0Sw/edit?usp=sharing"",""ชัยนาท!Q603"")+IMPORTRANGE(""https://docs.google.com/spreadsheets/d/1jkqa6GXxSacMcY1eN8AHjMNJ_7dDXMJ"&amp;"VRLDlaFSOdPM/edit?usp=sharing"",""ตราด!Q603"")+IMPORTRANGE(""https://docs.google.com/spreadsheets/d/18hSgUJ3VwClqi_qtULmmW3cLr0oe3OKaSYoKzdpTsYQ/edit?usp=sharing"",""นครนายก!Q603"")+IMPORTRANGE(""https://docs.google.com/spreadsheets/d/1YTZo6WM2dQ6Ix6FSdnL"&amp;"5P7uVnVKu40sxZu975tgG10E/edit?usp=sharing"",""นครปฐม!Q603"")+IMPORTRANGE(""https://docs.google.com/spreadsheets/d/1OYoGg4WDg5RIzwGeB10padOxJF9E_Vljuvvct_M7RDo/edit?usp=sharing"",""ปทุมธานี!Q603"")+IMPORTRANGE(""https://docs.google.com/spreadsheets/d/1GbCI"&amp;"E4D4wk9FUozzqk7SxfDMxDVBwVmI5zcaVUSzKAc/edit?usp=sharing"",""ประจวบคีรีขันธ์!Q603"")+IMPORTRANGE(""https://docs.google.com/spreadsheets/d/1vVf6wykvW_lAyu7Yo9L4hUTqHqIeP_qcVuxCtosJEbg/edit?usp=sharing"",""ปราจีนบุรี!Q603"")+IMPORTRANGE(""https://docs.googl"&amp;"e.com/spreadsheets/d/1BIDqLLg5jk3v59G8NlR8rk5xfQDKne0sAvZHSj7TI6I/edit?usp=sharing"",""พระนครศรีอยุธยา!Q603"")+IMPORTRANGE(""https://docs.google.com/spreadsheets/d/1YXvxf8Yu6_rV4hTBrwMqAcAnv6DfhUxh5emyM3CJp_w/edit?usp=sharing"",""เพชรบุรี!Q603"")+IMPORTRA"&amp;"NGE(""https://docs.google.com/spreadsheets/d/19KBlQQs7uwvsao6t2n-KvW3Ax8J8uRRfZPq1zPbXgKc/edit?usp=sharing"",""ระยอง!Q603"")+IMPORTRANGE(""https://docs.google.com/spreadsheets/d/1jQ6P4QcrGM89YfqcC_PxOHGCMq5ezhucwJd8ci-NHng/edit?usp=sharing"",""ราชบุรี!Q60"&amp;"3"")+IMPORTRANGE(""https://docs.google.com/spreadsheets/d/1lufeA2cfFqM-elVq2hznhDzC6Pr7wkJ9ZG_sYNGCMCU/edit?usp=sharing"",""ลพบุรี!Q603"")+IMPORTRANGE(""https://docs.google.com/spreadsheets/d/10oOiF7loTyfsTkbd4MpaIm0HQ9SwB7IYHdIUvt-U1Uc/edit?usp=sharing"""&amp;",""สระแก้ว!Q603"")+IMPORTRANGE(""https://docs.google.com/spreadsheets/d/1xmPlrr1QbdSIKvl1dWUl9K4PjAfSL9oeMr_37QVzcxc/edit?usp=sharing"",""สระบุรี!Q603"")+IMPORTRANGE(""https://docs.google.com/spreadsheets/d/1j51vR6CYVGhABJpv6tkstgok82RLpXieLzW1yOY5rHw/edi"&amp;"t?usp=sharing"",""สิงห์บุรี!Q603"")+IMPORTRANGE(""https://docs.google.com/spreadsheets/d/1H1EalTWKUSzO4Z1-1CwzoDUaVffgrThEBe2sl74kKG0/edit?usp=sharing"",""สุพรรณบุรี!Q603"")+IMPORTRANGE(""https://docs.google.com/spreadsheets/d/1BmIruG_sIrJLYao_Pdr7zVArWsf"&amp;"oBt2692TMi6x_854/edit?usp=sharing"",""อ่างทอง!Q603"")"),0)</f>
        <v>0</v>
      </c>
      <c r="R603" s="86">
        <f ca="1">IFERROR(__xludf.DUMMYFUNCTION("IMPORTRANGE(""https://docs.google.com/spreadsheets/d/13wPX838HrBrQMCywv1BsuMkt4PEKTChp52zj44s2izQ/edit?usp=sharing"",""กาญจนบุรี!R603"")+IMPORTRANGE(""https://docs.google.com/spreadsheets/d/1ddFKvqj1W1NEiWytbGlB1zMx_ykJDVtmfEQ-6-lIUBA/edit?usp=sharing"","&amp;"""จันทบุรี!R603"")+IMPORTRANGE(""https://docs.google.com/spreadsheets/d/1T1PQvRODqOBZk8BRht_U031fIS1beLA0Ub2CEytj2q0/edit?usp=sharing"",""ฉะเชิงเทรา!R603"")+IMPORTRANGE(""https://docs.google.com/spreadsheets/d/11tr1B-Bhyr79v2bkwVh5h_fR-PStkgjlZtkrZpYurG0/"&amp;"edit?usp=sharing"",""ชลบุรี!R603"")+IMPORTRANGE(""https://docs.google.com/spreadsheets/d/1hh-FVnSX0vozXhGluamEcS54Dw9_zqW0N7qJUWgJ0Sw/edit?usp=sharing"",""ชัยนาท!R603"")+IMPORTRANGE(""https://docs.google.com/spreadsheets/d/1jkqa6GXxSacMcY1eN8AHjMNJ_7dDXMJ"&amp;"VRLDlaFSOdPM/edit?usp=sharing"",""ตราด!R603"")+IMPORTRANGE(""https://docs.google.com/spreadsheets/d/18hSgUJ3VwClqi_qtULmmW3cLr0oe3OKaSYoKzdpTsYQ/edit?usp=sharing"",""นครนายก!R603"")+IMPORTRANGE(""https://docs.google.com/spreadsheets/d/1YTZo6WM2dQ6Ix6FSdnL"&amp;"5P7uVnVKu40sxZu975tgG10E/edit?usp=sharing"",""นครปฐม!R603"")+IMPORTRANGE(""https://docs.google.com/spreadsheets/d/1OYoGg4WDg5RIzwGeB10padOxJF9E_Vljuvvct_M7RDo/edit?usp=sharing"",""ปทุมธานี!R603"")+IMPORTRANGE(""https://docs.google.com/spreadsheets/d/1GbCI"&amp;"E4D4wk9FUozzqk7SxfDMxDVBwVmI5zcaVUSzKAc/edit?usp=sharing"",""ประจวบคีรีขันธ์!R603"")+IMPORTRANGE(""https://docs.google.com/spreadsheets/d/1vVf6wykvW_lAyu7Yo9L4hUTqHqIeP_qcVuxCtosJEbg/edit?usp=sharing"",""ปราจีนบุรี!R603"")+IMPORTRANGE(""https://docs.googl"&amp;"e.com/spreadsheets/d/1BIDqLLg5jk3v59G8NlR8rk5xfQDKne0sAvZHSj7TI6I/edit?usp=sharing"",""พระนครศรีอยุธยา!R603"")+IMPORTRANGE(""https://docs.google.com/spreadsheets/d/1YXvxf8Yu6_rV4hTBrwMqAcAnv6DfhUxh5emyM3CJp_w/edit?usp=sharing"",""เพชรบุรี!R603"")+IMPORTRA"&amp;"NGE(""https://docs.google.com/spreadsheets/d/19KBlQQs7uwvsao6t2n-KvW3Ax8J8uRRfZPq1zPbXgKc/edit?usp=sharing"",""ระยอง!R603"")+IMPORTRANGE(""https://docs.google.com/spreadsheets/d/1jQ6P4QcrGM89YfqcC_PxOHGCMq5ezhucwJd8ci-NHng/edit?usp=sharing"",""ราชบุรี!R60"&amp;"3"")+IMPORTRANGE(""https://docs.google.com/spreadsheets/d/1lufeA2cfFqM-elVq2hznhDzC6Pr7wkJ9ZG_sYNGCMCU/edit?usp=sharing"",""ลพบุรี!R603"")+IMPORTRANGE(""https://docs.google.com/spreadsheets/d/10oOiF7loTyfsTkbd4MpaIm0HQ9SwB7IYHdIUvt-U1Uc/edit?usp=sharing"""&amp;",""สระแก้ว!R603"")+IMPORTRANGE(""https://docs.google.com/spreadsheets/d/1xmPlrr1QbdSIKvl1dWUl9K4PjAfSL9oeMr_37QVzcxc/edit?usp=sharing"",""สระบุรี!R603"")+IMPORTRANGE(""https://docs.google.com/spreadsheets/d/1j51vR6CYVGhABJpv6tkstgok82RLpXieLzW1yOY5rHw/edi"&amp;"t?usp=sharing"",""สิงห์บุรี!R603"")+IMPORTRANGE(""https://docs.google.com/spreadsheets/d/1H1EalTWKUSzO4Z1-1CwzoDUaVffgrThEBe2sl74kKG0/edit?usp=sharing"",""สุพรรณบุรี!R603"")+IMPORTRANGE(""https://docs.google.com/spreadsheets/d/1BmIruG_sIrJLYao_Pdr7zVArWsf"&amp;"oBt2692TMi6x_854/edit?usp=sharing"",""อ่างทอง!R603"")"),0)</f>
        <v>0</v>
      </c>
      <c r="S603" s="86">
        <f ca="1">IFERROR(__xludf.DUMMYFUNCTION("IMPORTRANGE(""https://docs.google.com/spreadsheets/d/13wPX838HrBrQMCywv1BsuMkt4PEKTChp52zj44s2izQ/edit?usp=sharing"",""กาญจนบุรี!S603"")+IMPORTRANGE(""https://docs.google.com/spreadsheets/d/1ddFKvqj1W1NEiWytbGlB1zMx_ykJDVtmfEQ-6-lIUBA/edit?usp=sharing"","&amp;"""จันทบุรี!S603"")+IMPORTRANGE(""https://docs.google.com/spreadsheets/d/1T1PQvRODqOBZk8BRht_U031fIS1beLA0Ub2CEytj2q0/edit?usp=sharing"",""ฉะเชิงเทรา!S603"")+IMPORTRANGE(""https://docs.google.com/spreadsheets/d/11tr1B-Bhyr79v2bkwVh5h_fR-PStkgjlZtkrZpYurG0/"&amp;"edit?usp=sharing"",""ชลบุรี!S603"")+IMPORTRANGE(""https://docs.google.com/spreadsheets/d/1hh-FVnSX0vozXhGluamEcS54Dw9_zqW0N7qJUWgJ0Sw/edit?usp=sharing"",""ชัยนาท!S603"")+IMPORTRANGE(""https://docs.google.com/spreadsheets/d/1jkqa6GXxSacMcY1eN8AHjMNJ_7dDXMJ"&amp;"VRLDlaFSOdPM/edit?usp=sharing"",""ตราด!S603"")+IMPORTRANGE(""https://docs.google.com/spreadsheets/d/18hSgUJ3VwClqi_qtULmmW3cLr0oe3OKaSYoKzdpTsYQ/edit?usp=sharing"",""นครนายก!S603"")+IMPORTRANGE(""https://docs.google.com/spreadsheets/d/1YTZo6WM2dQ6Ix6FSdnL"&amp;"5P7uVnVKu40sxZu975tgG10E/edit?usp=sharing"",""นครปฐม!S603"")+IMPORTRANGE(""https://docs.google.com/spreadsheets/d/1OYoGg4WDg5RIzwGeB10padOxJF9E_Vljuvvct_M7RDo/edit?usp=sharing"",""ปทุมธานี!S603"")+IMPORTRANGE(""https://docs.google.com/spreadsheets/d/1GbCI"&amp;"E4D4wk9FUozzqk7SxfDMxDVBwVmI5zcaVUSzKAc/edit?usp=sharing"",""ประจวบคีรีขันธ์!S603"")+IMPORTRANGE(""https://docs.google.com/spreadsheets/d/1vVf6wykvW_lAyu7Yo9L4hUTqHqIeP_qcVuxCtosJEbg/edit?usp=sharing"",""ปราจีนบุรี!S603"")+IMPORTRANGE(""https://docs.googl"&amp;"e.com/spreadsheets/d/1BIDqLLg5jk3v59G8NlR8rk5xfQDKne0sAvZHSj7TI6I/edit?usp=sharing"",""พระนครศรีอยุธยา!S603"")+IMPORTRANGE(""https://docs.google.com/spreadsheets/d/1YXvxf8Yu6_rV4hTBrwMqAcAnv6DfhUxh5emyM3CJp_w/edit?usp=sharing"",""เพชรบุรี!S603"")+IMPORTRA"&amp;"NGE(""https://docs.google.com/spreadsheets/d/19KBlQQs7uwvsao6t2n-KvW3Ax8J8uRRfZPq1zPbXgKc/edit?usp=sharing"",""ระยอง!S603"")+IMPORTRANGE(""https://docs.google.com/spreadsheets/d/1jQ6P4QcrGM89YfqcC_PxOHGCMq5ezhucwJd8ci-NHng/edit?usp=sharing"",""ราชบุรี!S60"&amp;"3"")+IMPORTRANGE(""https://docs.google.com/spreadsheets/d/1lufeA2cfFqM-elVq2hznhDzC6Pr7wkJ9ZG_sYNGCMCU/edit?usp=sharing"",""ลพบุรี!S603"")+IMPORTRANGE(""https://docs.google.com/spreadsheets/d/10oOiF7loTyfsTkbd4MpaIm0HQ9SwB7IYHdIUvt-U1Uc/edit?usp=sharing"""&amp;",""สระแก้ว!S603"")+IMPORTRANGE(""https://docs.google.com/spreadsheets/d/1xmPlrr1QbdSIKvl1dWUl9K4PjAfSL9oeMr_37QVzcxc/edit?usp=sharing"",""สระบุรี!S603"")+IMPORTRANGE(""https://docs.google.com/spreadsheets/d/1j51vR6CYVGhABJpv6tkstgok82RLpXieLzW1yOY5rHw/edi"&amp;"t?usp=sharing"",""สิงห์บุรี!S603"")+IMPORTRANGE(""https://docs.google.com/spreadsheets/d/1H1EalTWKUSzO4Z1-1CwzoDUaVffgrThEBe2sl74kKG0/edit?usp=sharing"",""สุพรรณบุรี!S603"")+IMPORTRANGE(""https://docs.google.com/spreadsheets/d/1BmIruG_sIrJLYao_Pdr7zVArWsf"&amp;"oBt2692TMi6x_854/edit?usp=sharing"",""อ่างทอง!S603"")"),0)</f>
        <v>0</v>
      </c>
      <c r="T603" s="684">
        <f t="shared" ca="1" si="419"/>
        <v>0</v>
      </c>
      <c r="U603" s="684">
        <f t="shared" ca="1" si="420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86">
        <f ca="1">IFERROR(__xludf.DUMMYFUNCTION("IMPORTRANGE(""https://docs.google.com/spreadsheets/d/13wPX838HrBrQMCywv1BsuMkt4PEKTChp52zj44s2izQ/edit?usp=sharing"",""กาญจนบุรี!L604"")+IMPORTRANGE(""https://docs.google.com/spreadsheets/d/1ddFKvqj1W1NEiWytbGlB1zMx_ykJDVtmfEQ-6-lIUBA/edit?usp=sharing"","&amp;"""จันทบุรี!L604"")+IMPORTRANGE(""https://docs.google.com/spreadsheets/d/1T1PQvRODqOBZk8BRht_U031fIS1beLA0Ub2CEytj2q0/edit?usp=sharing"",""ฉะเชิงเทรา!L604"")+IMPORTRANGE(""https://docs.google.com/spreadsheets/d/11tr1B-Bhyr79v2bkwVh5h_fR-PStkgjlZtkrZpYurG0/"&amp;"edit?usp=sharing"",""ชลบุรี!L604"")+IMPORTRANGE(""https://docs.google.com/spreadsheets/d/1hh-FVnSX0vozXhGluamEcS54Dw9_zqW0N7qJUWgJ0Sw/edit?usp=sharing"",""ชัยนาท!L604"")+IMPORTRANGE(""https://docs.google.com/spreadsheets/d/1jkqa6GXxSacMcY1eN8AHjMNJ_7dDXMJ"&amp;"VRLDlaFSOdPM/edit?usp=sharing"",""ตราด!L604"")+IMPORTRANGE(""https://docs.google.com/spreadsheets/d/18hSgUJ3VwClqi_qtULmmW3cLr0oe3OKaSYoKzdpTsYQ/edit?usp=sharing"",""นครนายก!L604"")+IMPORTRANGE(""https://docs.google.com/spreadsheets/d/1YTZo6WM2dQ6Ix6FSdnL"&amp;"5P7uVnVKu40sxZu975tgG10E/edit?usp=sharing"",""นครปฐม!L604"")+IMPORTRANGE(""https://docs.google.com/spreadsheets/d/1OYoGg4WDg5RIzwGeB10padOxJF9E_Vljuvvct_M7RDo/edit?usp=sharing"",""ปทุมธานี!L604"")+IMPORTRANGE(""https://docs.google.com/spreadsheets/d/1GbCI"&amp;"E4D4wk9FUozzqk7SxfDMxDVBwVmI5zcaVUSzKAc/edit?usp=sharing"",""ประจวบคีรีขันธ์!L604"")+IMPORTRANGE(""https://docs.google.com/spreadsheets/d/1vVf6wykvW_lAyu7Yo9L4hUTqHqIeP_qcVuxCtosJEbg/edit?usp=sharing"",""ปราจีนบุรี!L604"")+IMPORTRANGE(""https://docs.googl"&amp;"e.com/spreadsheets/d/1BIDqLLg5jk3v59G8NlR8rk5xfQDKne0sAvZHSj7TI6I/edit?usp=sharing"",""พระนครศรีอยุธยา!L604"")+IMPORTRANGE(""https://docs.google.com/spreadsheets/d/1YXvxf8Yu6_rV4hTBrwMqAcAnv6DfhUxh5emyM3CJp_w/edit?usp=sharing"",""เพชรบุรี!L604"")+IMPORTRA"&amp;"NGE(""https://docs.google.com/spreadsheets/d/19KBlQQs7uwvsao6t2n-KvW3Ax8J8uRRfZPq1zPbXgKc/edit?usp=sharing"",""ระยอง!L604"")+IMPORTRANGE(""https://docs.google.com/spreadsheets/d/1jQ6P4QcrGM89YfqcC_PxOHGCMq5ezhucwJd8ci-NHng/edit?usp=sharing"",""ราชบุรี!L60"&amp;"4"")+IMPORTRANGE(""https://docs.google.com/spreadsheets/d/1lufeA2cfFqM-elVq2hznhDzC6Pr7wkJ9ZG_sYNGCMCU/edit?usp=sharing"",""ลพบุรี!L604"")+IMPORTRANGE(""https://docs.google.com/spreadsheets/d/10oOiF7loTyfsTkbd4MpaIm0HQ9SwB7IYHdIUvt-U1Uc/edit?usp=sharing"""&amp;",""สระแก้ว!L604"")+IMPORTRANGE(""https://docs.google.com/spreadsheets/d/1xmPlrr1QbdSIKvl1dWUl9K4PjAfSL9oeMr_37QVzcxc/edit?usp=sharing"",""สระบุรี!L604"")+IMPORTRANGE(""https://docs.google.com/spreadsheets/d/1j51vR6CYVGhABJpv6tkstgok82RLpXieLzW1yOY5rHw/edi"&amp;"t?usp=sharing"",""สิงห์บุรี!L604"")+IMPORTRANGE(""https://docs.google.com/spreadsheets/d/1H1EalTWKUSzO4Z1-1CwzoDUaVffgrThEBe2sl74kKG0/edit?usp=sharing"",""สุพรรณบุรี!L604"")+IMPORTRANGE(""https://docs.google.com/spreadsheets/d/1BmIruG_sIrJLYao_Pdr7zVArWsf"&amp;"oBt2692TMi6x_854/edit?usp=sharing"",""อ่างทอง!L604"")"),474486)</f>
        <v>474486</v>
      </c>
      <c r="M604" s="86">
        <f ca="1">IFERROR(__xludf.DUMMYFUNCTION("IMPORTRANGE(""https://docs.google.com/spreadsheets/d/13wPX838HrBrQMCywv1BsuMkt4PEKTChp52zj44s2izQ/edit?usp=sharing"",""กาญจนบุรี!M604"")+IMPORTRANGE(""https://docs.google.com/spreadsheets/d/1ddFKvqj1W1NEiWytbGlB1zMx_ykJDVtmfEQ-6-lIUBA/edit?usp=sharing"","&amp;"""จันทบุรี!M604"")+IMPORTRANGE(""https://docs.google.com/spreadsheets/d/1T1PQvRODqOBZk8BRht_U031fIS1beLA0Ub2CEytj2q0/edit?usp=sharing"",""ฉะเชิงเทรา!M604"")+IMPORTRANGE(""https://docs.google.com/spreadsheets/d/11tr1B-Bhyr79v2bkwVh5h_fR-PStkgjlZtkrZpYurG0/"&amp;"edit?usp=sharing"",""ชลบุรี!M604"")+IMPORTRANGE(""https://docs.google.com/spreadsheets/d/1hh-FVnSX0vozXhGluamEcS54Dw9_zqW0N7qJUWgJ0Sw/edit?usp=sharing"",""ชัยนาท!M604"")+IMPORTRANGE(""https://docs.google.com/spreadsheets/d/1jkqa6GXxSacMcY1eN8AHjMNJ_7dDXMJ"&amp;"VRLDlaFSOdPM/edit?usp=sharing"",""ตราด!M604"")+IMPORTRANGE(""https://docs.google.com/spreadsheets/d/18hSgUJ3VwClqi_qtULmmW3cLr0oe3OKaSYoKzdpTsYQ/edit?usp=sharing"",""นครนายก!M604"")+IMPORTRANGE(""https://docs.google.com/spreadsheets/d/1YTZo6WM2dQ6Ix6FSdnL"&amp;"5P7uVnVKu40sxZu975tgG10E/edit?usp=sharing"",""นครปฐม!M604"")+IMPORTRANGE(""https://docs.google.com/spreadsheets/d/1OYoGg4WDg5RIzwGeB10padOxJF9E_Vljuvvct_M7RDo/edit?usp=sharing"",""ปทุมธานี!M604"")+IMPORTRANGE(""https://docs.google.com/spreadsheets/d/1GbCI"&amp;"E4D4wk9FUozzqk7SxfDMxDVBwVmI5zcaVUSzKAc/edit?usp=sharing"",""ประจวบคีรีขันธ์!M604"")+IMPORTRANGE(""https://docs.google.com/spreadsheets/d/1vVf6wykvW_lAyu7Yo9L4hUTqHqIeP_qcVuxCtosJEbg/edit?usp=sharing"",""ปราจีนบุรี!M604"")+IMPORTRANGE(""https://docs.googl"&amp;"e.com/spreadsheets/d/1BIDqLLg5jk3v59G8NlR8rk5xfQDKne0sAvZHSj7TI6I/edit?usp=sharing"",""พระนครศรีอยุธยา!M604"")+IMPORTRANGE(""https://docs.google.com/spreadsheets/d/1YXvxf8Yu6_rV4hTBrwMqAcAnv6DfhUxh5emyM3CJp_w/edit?usp=sharing"",""เพชรบุรี!M604"")+IMPORTRA"&amp;"NGE(""https://docs.google.com/spreadsheets/d/19KBlQQs7uwvsao6t2n-KvW3Ax8J8uRRfZPq1zPbXgKc/edit?usp=sharing"",""ระยอง!M604"")+IMPORTRANGE(""https://docs.google.com/spreadsheets/d/1jQ6P4QcrGM89YfqcC_PxOHGCMq5ezhucwJd8ci-NHng/edit?usp=sharing"",""ราชบุรี!M60"&amp;"4"")+IMPORTRANGE(""https://docs.google.com/spreadsheets/d/1lufeA2cfFqM-elVq2hznhDzC6Pr7wkJ9ZG_sYNGCMCU/edit?usp=sharing"",""ลพบุรี!M604"")+IMPORTRANGE(""https://docs.google.com/spreadsheets/d/10oOiF7loTyfsTkbd4MpaIm0HQ9SwB7IYHdIUvt-U1Uc/edit?usp=sharing"""&amp;",""สระแก้ว!M604"")+IMPORTRANGE(""https://docs.google.com/spreadsheets/d/1xmPlrr1QbdSIKvl1dWUl9K4PjAfSL9oeMr_37QVzcxc/edit?usp=sharing"",""สระบุรี!M604"")+IMPORTRANGE(""https://docs.google.com/spreadsheets/d/1j51vR6CYVGhABJpv6tkstgok82RLpXieLzW1yOY5rHw/edi"&amp;"t?usp=sharing"",""สิงห์บุรี!M604"")+IMPORTRANGE(""https://docs.google.com/spreadsheets/d/1H1EalTWKUSzO4Z1-1CwzoDUaVffgrThEBe2sl74kKG0/edit?usp=sharing"",""สุพรรณบุรี!M604"")+IMPORTRANGE(""https://docs.google.com/spreadsheets/d/1BmIruG_sIrJLYao_Pdr7zVArWsf"&amp;"oBt2692TMi6x_854/edit?usp=sharing"",""อ่างทอง!M604"")"),474486)</f>
        <v>474486</v>
      </c>
      <c r="N604" s="86">
        <f ca="1">IFERROR(__xludf.DUMMYFUNCTION("IMPORTRANGE(""https://docs.google.com/spreadsheets/d/13wPX838HrBrQMCywv1BsuMkt4PEKTChp52zj44s2izQ/edit?usp=sharing"",""กาญจนบุรี!N604"")+IMPORTRANGE(""https://docs.google.com/spreadsheets/d/1ddFKvqj1W1NEiWytbGlB1zMx_ykJDVtmfEQ-6-lIUBA/edit?usp=sharing"","&amp;"""จันทบุรี!N604"")+IMPORTRANGE(""https://docs.google.com/spreadsheets/d/1T1PQvRODqOBZk8BRht_U031fIS1beLA0Ub2CEytj2q0/edit?usp=sharing"",""ฉะเชิงเทรา!N604"")+IMPORTRANGE(""https://docs.google.com/spreadsheets/d/11tr1B-Bhyr79v2bkwVh5h_fR-PStkgjlZtkrZpYurG0/"&amp;"edit?usp=sharing"",""ชลบุรี!N604"")+IMPORTRANGE(""https://docs.google.com/spreadsheets/d/1hh-FVnSX0vozXhGluamEcS54Dw9_zqW0N7qJUWgJ0Sw/edit?usp=sharing"",""ชัยนาท!N604"")+IMPORTRANGE(""https://docs.google.com/spreadsheets/d/1jkqa6GXxSacMcY1eN8AHjMNJ_7dDXMJ"&amp;"VRLDlaFSOdPM/edit?usp=sharing"",""ตราด!N604"")+IMPORTRANGE(""https://docs.google.com/spreadsheets/d/18hSgUJ3VwClqi_qtULmmW3cLr0oe3OKaSYoKzdpTsYQ/edit?usp=sharing"",""นครนายก!N604"")+IMPORTRANGE(""https://docs.google.com/spreadsheets/d/1YTZo6WM2dQ6Ix6FSdnL"&amp;"5P7uVnVKu40sxZu975tgG10E/edit?usp=sharing"",""นครปฐม!N604"")+IMPORTRANGE(""https://docs.google.com/spreadsheets/d/1OYoGg4WDg5RIzwGeB10padOxJF9E_Vljuvvct_M7RDo/edit?usp=sharing"",""ปทุมธานี!N604"")+IMPORTRANGE(""https://docs.google.com/spreadsheets/d/1GbCI"&amp;"E4D4wk9FUozzqk7SxfDMxDVBwVmI5zcaVUSzKAc/edit?usp=sharing"",""ประจวบคีรีขันธ์!N604"")+IMPORTRANGE(""https://docs.google.com/spreadsheets/d/1vVf6wykvW_lAyu7Yo9L4hUTqHqIeP_qcVuxCtosJEbg/edit?usp=sharing"",""ปราจีนบุรี!N604"")+IMPORTRANGE(""https://docs.googl"&amp;"e.com/spreadsheets/d/1BIDqLLg5jk3v59G8NlR8rk5xfQDKne0sAvZHSj7TI6I/edit?usp=sharing"",""พระนครศรีอยุธยา!N604"")+IMPORTRANGE(""https://docs.google.com/spreadsheets/d/1YXvxf8Yu6_rV4hTBrwMqAcAnv6DfhUxh5emyM3CJp_w/edit?usp=sharing"",""เพชรบุรี!N604"")+IMPORTRA"&amp;"NGE(""https://docs.google.com/spreadsheets/d/19KBlQQs7uwvsao6t2n-KvW3Ax8J8uRRfZPq1zPbXgKc/edit?usp=sharing"",""ระยอง!N604"")+IMPORTRANGE(""https://docs.google.com/spreadsheets/d/1jQ6P4QcrGM89YfqcC_PxOHGCMq5ezhucwJd8ci-NHng/edit?usp=sharing"",""ราชบุรี!N60"&amp;"4"")+IMPORTRANGE(""https://docs.google.com/spreadsheets/d/1lufeA2cfFqM-elVq2hznhDzC6Pr7wkJ9ZG_sYNGCMCU/edit?usp=sharing"",""ลพบุรี!N604"")+IMPORTRANGE(""https://docs.google.com/spreadsheets/d/10oOiF7loTyfsTkbd4MpaIm0HQ9SwB7IYHdIUvt-U1Uc/edit?usp=sharing"""&amp;",""สระแก้ว!N604"")+IMPORTRANGE(""https://docs.google.com/spreadsheets/d/1xmPlrr1QbdSIKvl1dWUl9K4PjAfSL9oeMr_37QVzcxc/edit?usp=sharing"",""สระบุรี!N604"")+IMPORTRANGE(""https://docs.google.com/spreadsheets/d/1j51vR6CYVGhABJpv6tkstgok82RLpXieLzW1yOY5rHw/edi"&amp;"t?usp=sharing"",""สิงห์บุรี!N604"")+IMPORTRANGE(""https://docs.google.com/spreadsheets/d/1H1EalTWKUSzO4Z1-1CwzoDUaVffgrThEBe2sl74kKG0/edit?usp=sharing"",""สุพรรณบุรี!N604"")+IMPORTRANGE(""https://docs.google.com/spreadsheets/d/1BmIruG_sIrJLYao_Pdr7zVArWsf"&amp;"oBt2692TMi6x_854/edit?usp=sharing"",""อ่างทอง!N604"")"),115550.29)</f>
        <v>115550.29</v>
      </c>
      <c r="O604" s="86">
        <f t="shared" ca="1" si="416"/>
        <v>24.352729058391606</v>
      </c>
      <c r="P604" s="86">
        <f t="shared" ca="1" si="417"/>
        <v>24.352729058391606</v>
      </c>
      <c r="Q604" s="685">
        <f ca="1">IFERROR(__xludf.DUMMYFUNCTION("IMPORTRANGE(""https://docs.google.com/spreadsheets/d/13wPX838HrBrQMCywv1BsuMkt4PEKTChp52zj44s2izQ/edit?usp=sharing"",""กาญจนบุรี!Q604"")+IMPORTRANGE(""https://docs.google.com/spreadsheets/d/1ddFKvqj1W1NEiWytbGlB1zMx_ykJDVtmfEQ-6-lIUBA/edit?usp=sharing"","&amp;"""จันทบุรี!Q604"")+IMPORTRANGE(""https://docs.google.com/spreadsheets/d/1T1PQvRODqOBZk8BRht_U031fIS1beLA0Ub2CEytj2q0/edit?usp=sharing"",""ฉะเชิงเทรา!Q604"")+IMPORTRANGE(""https://docs.google.com/spreadsheets/d/11tr1B-Bhyr79v2bkwVh5h_fR-PStkgjlZtkrZpYurG0/"&amp;"edit?usp=sharing"",""ชลบุรี!Q604"")+IMPORTRANGE(""https://docs.google.com/spreadsheets/d/1hh-FVnSX0vozXhGluamEcS54Dw9_zqW0N7qJUWgJ0Sw/edit?usp=sharing"",""ชัยนาท!Q604"")+IMPORTRANGE(""https://docs.google.com/spreadsheets/d/1jkqa6GXxSacMcY1eN8AHjMNJ_7dDXMJ"&amp;"VRLDlaFSOdPM/edit?usp=sharing"",""ตราด!Q604"")+IMPORTRANGE(""https://docs.google.com/spreadsheets/d/18hSgUJ3VwClqi_qtULmmW3cLr0oe3OKaSYoKzdpTsYQ/edit?usp=sharing"",""นครนายก!Q604"")+IMPORTRANGE(""https://docs.google.com/spreadsheets/d/1YTZo6WM2dQ6Ix6FSdnL"&amp;"5P7uVnVKu40sxZu975tgG10E/edit?usp=sharing"",""นครปฐม!Q604"")+IMPORTRANGE(""https://docs.google.com/spreadsheets/d/1OYoGg4WDg5RIzwGeB10padOxJF9E_Vljuvvct_M7RDo/edit?usp=sharing"",""ปทุมธานี!Q604"")+IMPORTRANGE(""https://docs.google.com/spreadsheets/d/1GbCI"&amp;"E4D4wk9FUozzqk7SxfDMxDVBwVmI5zcaVUSzKAc/edit?usp=sharing"",""ประจวบคีรีขันธ์!Q604"")+IMPORTRANGE(""https://docs.google.com/spreadsheets/d/1vVf6wykvW_lAyu7Yo9L4hUTqHqIeP_qcVuxCtosJEbg/edit?usp=sharing"",""ปราจีนบุรี!Q604"")+IMPORTRANGE(""https://docs.googl"&amp;"e.com/spreadsheets/d/1BIDqLLg5jk3v59G8NlR8rk5xfQDKne0sAvZHSj7TI6I/edit?usp=sharing"",""พระนครศรีอยุธยา!Q604"")+IMPORTRANGE(""https://docs.google.com/spreadsheets/d/1YXvxf8Yu6_rV4hTBrwMqAcAnv6DfhUxh5emyM3CJp_w/edit?usp=sharing"",""เพชรบุรี!Q604"")+IMPORTRA"&amp;"NGE(""https://docs.google.com/spreadsheets/d/19KBlQQs7uwvsao6t2n-KvW3Ax8J8uRRfZPq1zPbXgKc/edit?usp=sharing"",""ระยอง!Q604"")+IMPORTRANGE(""https://docs.google.com/spreadsheets/d/1jQ6P4QcrGM89YfqcC_PxOHGCMq5ezhucwJd8ci-NHng/edit?usp=sharing"",""ราชบุรี!Q60"&amp;"4"")+IMPORTRANGE(""https://docs.google.com/spreadsheets/d/1lufeA2cfFqM-elVq2hznhDzC6Pr7wkJ9ZG_sYNGCMCU/edit?usp=sharing"",""ลพบุรี!Q604"")+IMPORTRANGE(""https://docs.google.com/spreadsheets/d/10oOiF7loTyfsTkbd4MpaIm0HQ9SwB7IYHdIUvt-U1Uc/edit?usp=sharing"""&amp;",""สระแก้ว!Q604"")+IMPORTRANGE(""https://docs.google.com/spreadsheets/d/1xmPlrr1QbdSIKvl1dWUl9K4PjAfSL9oeMr_37QVzcxc/edit?usp=sharing"",""สระบุรี!Q604"")+IMPORTRANGE(""https://docs.google.com/spreadsheets/d/1j51vR6CYVGhABJpv6tkstgok82RLpXieLzW1yOY5rHw/edi"&amp;"t?usp=sharing"",""สิงห์บุรี!Q604"")+IMPORTRANGE(""https://docs.google.com/spreadsheets/d/1H1EalTWKUSzO4Z1-1CwzoDUaVffgrThEBe2sl74kKG0/edit?usp=sharing"",""สุพรรณบุรี!Q604"")+IMPORTRANGE(""https://docs.google.com/spreadsheets/d/1BmIruG_sIrJLYao_Pdr7zVArWsf"&amp;"oBt2692TMi6x_854/edit?usp=sharing"",""อ่างทอง!Q604"")"),0)</f>
        <v>0</v>
      </c>
      <c r="R604" s="86">
        <f ca="1">IFERROR(__xludf.DUMMYFUNCTION("IMPORTRANGE(""https://docs.google.com/spreadsheets/d/13wPX838HrBrQMCywv1BsuMkt4PEKTChp52zj44s2izQ/edit?usp=sharing"",""กาญจนบุรี!R604"")+IMPORTRANGE(""https://docs.google.com/spreadsheets/d/1ddFKvqj1W1NEiWytbGlB1zMx_ykJDVtmfEQ-6-lIUBA/edit?usp=sharing"","&amp;"""จันทบุรี!R604"")+IMPORTRANGE(""https://docs.google.com/spreadsheets/d/1T1PQvRODqOBZk8BRht_U031fIS1beLA0Ub2CEytj2q0/edit?usp=sharing"",""ฉะเชิงเทรา!R604"")+IMPORTRANGE(""https://docs.google.com/spreadsheets/d/11tr1B-Bhyr79v2bkwVh5h_fR-PStkgjlZtkrZpYurG0/"&amp;"edit?usp=sharing"",""ชลบุรี!R604"")+IMPORTRANGE(""https://docs.google.com/spreadsheets/d/1hh-FVnSX0vozXhGluamEcS54Dw9_zqW0N7qJUWgJ0Sw/edit?usp=sharing"",""ชัยนาท!R604"")+IMPORTRANGE(""https://docs.google.com/spreadsheets/d/1jkqa6GXxSacMcY1eN8AHjMNJ_7dDXMJ"&amp;"VRLDlaFSOdPM/edit?usp=sharing"",""ตราด!R604"")+IMPORTRANGE(""https://docs.google.com/spreadsheets/d/18hSgUJ3VwClqi_qtULmmW3cLr0oe3OKaSYoKzdpTsYQ/edit?usp=sharing"",""นครนายก!R604"")+IMPORTRANGE(""https://docs.google.com/spreadsheets/d/1YTZo6WM2dQ6Ix6FSdnL"&amp;"5P7uVnVKu40sxZu975tgG10E/edit?usp=sharing"",""นครปฐม!R604"")+IMPORTRANGE(""https://docs.google.com/spreadsheets/d/1OYoGg4WDg5RIzwGeB10padOxJF9E_Vljuvvct_M7RDo/edit?usp=sharing"",""ปทุมธานี!R604"")+IMPORTRANGE(""https://docs.google.com/spreadsheets/d/1GbCI"&amp;"E4D4wk9FUozzqk7SxfDMxDVBwVmI5zcaVUSzKAc/edit?usp=sharing"",""ประจวบคีรีขันธ์!R604"")+IMPORTRANGE(""https://docs.google.com/spreadsheets/d/1vVf6wykvW_lAyu7Yo9L4hUTqHqIeP_qcVuxCtosJEbg/edit?usp=sharing"",""ปราจีนบุรี!R604"")+IMPORTRANGE(""https://docs.googl"&amp;"e.com/spreadsheets/d/1BIDqLLg5jk3v59G8NlR8rk5xfQDKne0sAvZHSj7TI6I/edit?usp=sharing"",""พระนครศรีอยุธยา!R604"")+IMPORTRANGE(""https://docs.google.com/spreadsheets/d/1YXvxf8Yu6_rV4hTBrwMqAcAnv6DfhUxh5emyM3CJp_w/edit?usp=sharing"",""เพชรบุรี!R604"")+IMPORTRA"&amp;"NGE(""https://docs.google.com/spreadsheets/d/19KBlQQs7uwvsao6t2n-KvW3Ax8J8uRRfZPq1zPbXgKc/edit?usp=sharing"",""ระยอง!R604"")+IMPORTRANGE(""https://docs.google.com/spreadsheets/d/1jQ6P4QcrGM89YfqcC_PxOHGCMq5ezhucwJd8ci-NHng/edit?usp=sharing"",""ราชบุรี!R60"&amp;"4"")+IMPORTRANGE(""https://docs.google.com/spreadsheets/d/1lufeA2cfFqM-elVq2hznhDzC6Pr7wkJ9ZG_sYNGCMCU/edit?usp=sharing"",""ลพบุรี!R604"")+IMPORTRANGE(""https://docs.google.com/spreadsheets/d/10oOiF7loTyfsTkbd4MpaIm0HQ9SwB7IYHdIUvt-U1Uc/edit?usp=sharing"""&amp;",""สระแก้ว!R604"")+IMPORTRANGE(""https://docs.google.com/spreadsheets/d/1xmPlrr1QbdSIKvl1dWUl9K4PjAfSL9oeMr_37QVzcxc/edit?usp=sharing"",""สระบุรี!R604"")+IMPORTRANGE(""https://docs.google.com/spreadsheets/d/1j51vR6CYVGhABJpv6tkstgok82RLpXieLzW1yOY5rHw/edi"&amp;"t?usp=sharing"",""สิงห์บุรี!R604"")+IMPORTRANGE(""https://docs.google.com/spreadsheets/d/1H1EalTWKUSzO4Z1-1CwzoDUaVffgrThEBe2sl74kKG0/edit?usp=sharing"",""สุพรรณบุรี!R604"")+IMPORTRANGE(""https://docs.google.com/spreadsheets/d/1BmIruG_sIrJLYao_Pdr7zVArWsf"&amp;"oBt2692TMi6x_854/edit?usp=sharing"",""อ่างทอง!R604"")"),0)</f>
        <v>0</v>
      </c>
      <c r="S604" s="86">
        <f ca="1">IFERROR(__xludf.DUMMYFUNCTION("IMPORTRANGE(""https://docs.google.com/spreadsheets/d/13wPX838HrBrQMCywv1BsuMkt4PEKTChp52zj44s2izQ/edit?usp=sharing"",""กาญจนบุรี!S604"")+IMPORTRANGE(""https://docs.google.com/spreadsheets/d/1ddFKvqj1W1NEiWytbGlB1zMx_ykJDVtmfEQ-6-lIUBA/edit?usp=sharing"","&amp;"""จันทบุรี!S604"")+IMPORTRANGE(""https://docs.google.com/spreadsheets/d/1T1PQvRODqOBZk8BRht_U031fIS1beLA0Ub2CEytj2q0/edit?usp=sharing"",""ฉะเชิงเทรา!S604"")+IMPORTRANGE(""https://docs.google.com/spreadsheets/d/11tr1B-Bhyr79v2bkwVh5h_fR-PStkgjlZtkrZpYurG0/"&amp;"edit?usp=sharing"",""ชลบุรี!S604"")+IMPORTRANGE(""https://docs.google.com/spreadsheets/d/1hh-FVnSX0vozXhGluamEcS54Dw9_zqW0N7qJUWgJ0Sw/edit?usp=sharing"",""ชัยนาท!S604"")+IMPORTRANGE(""https://docs.google.com/spreadsheets/d/1jkqa6GXxSacMcY1eN8AHjMNJ_7dDXMJ"&amp;"VRLDlaFSOdPM/edit?usp=sharing"",""ตราด!S604"")+IMPORTRANGE(""https://docs.google.com/spreadsheets/d/18hSgUJ3VwClqi_qtULmmW3cLr0oe3OKaSYoKzdpTsYQ/edit?usp=sharing"",""นครนายก!S604"")+IMPORTRANGE(""https://docs.google.com/spreadsheets/d/1YTZo6WM2dQ6Ix6FSdnL"&amp;"5P7uVnVKu40sxZu975tgG10E/edit?usp=sharing"",""นครปฐม!S604"")+IMPORTRANGE(""https://docs.google.com/spreadsheets/d/1OYoGg4WDg5RIzwGeB10padOxJF9E_Vljuvvct_M7RDo/edit?usp=sharing"",""ปทุมธานี!S604"")+IMPORTRANGE(""https://docs.google.com/spreadsheets/d/1GbCI"&amp;"E4D4wk9FUozzqk7SxfDMxDVBwVmI5zcaVUSzKAc/edit?usp=sharing"",""ประจวบคีรีขันธ์!S604"")+IMPORTRANGE(""https://docs.google.com/spreadsheets/d/1vVf6wykvW_lAyu7Yo9L4hUTqHqIeP_qcVuxCtosJEbg/edit?usp=sharing"",""ปราจีนบุรี!S604"")+IMPORTRANGE(""https://docs.googl"&amp;"e.com/spreadsheets/d/1BIDqLLg5jk3v59G8NlR8rk5xfQDKne0sAvZHSj7TI6I/edit?usp=sharing"",""พระนครศรีอยุธยา!S604"")+IMPORTRANGE(""https://docs.google.com/spreadsheets/d/1YXvxf8Yu6_rV4hTBrwMqAcAnv6DfhUxh5emyM3CJp_w/edit?usp=sharing"",""เพชรบุรี!S604"")+IMPORTRA"&amp;"NGE(""https://docs.google.com/spreadsheets/d/19KBlQQs7uwvsao6t2n-KvW3Ax8J8uRRfZPq1zPbXgKc/edit?usp=sharing"",""ระยอง!S604"")+IMPORTRANGE(""https://docs.google.com/spreadsheets/d/1jQ6P4QcrGM89YfqcC_PxOHGCMq5ezhucwJd8ci-NHng/edit?usp=sharing"",""ราชบุรี!S60"&amp;"4"")+IMPORTRANGE(""https://docs.google.com/spreadsheets/d/1lufeA2cfFqM-elVq2hznhDzC6Pr7wkJ9ZG_sYNGCMCU/edit?usp=sharing"",""ลพบุรี!S604"")+IMPORTRANGE(""https://docs.google.com/spreadsheets/d/10oOiF7loTyfsTkbd4MpaIm0HQ9SwB7IYHdIUvt-U1Uc/edit?usp=sharing"""&amp;",""สระแก้ว!S604"")+IMPORTRANGE(""https://docs.google.com/spreadsheets/d/1xmPlrr1QbdSIKvl1dWUl9K4PjAfSL9oeMr_37QVzcxc/edit?usp=sharing"",""สระบุรี!S604"")+IMPORTRANGE(""https://docs.google.com/spreadsheets/d/1j51vR6CYVGhABJpv6tkstgok82RLpXieLzW1yOY5rHw/edi"&amp;"t?usp=sharing"",""สิงห์บุรี!S604"")+IMPORTRANGE(""https://docs.google.com/spreadsheets/d/1H1EalTWKUSzO4Z1-1CwzoDUaVffgrThEBe2sl74kKG0/edit?usp=sharing"",""สุพรรณบุรี!S604"")+IMPORTRANGE(""https://docs.google.com/spreadsheets/d/1BmIruG_sIrJLYao_Pdr7zVArWsf"&amp;"oBt2692TMi6x_854/edit?usp=sharing"",""อ่างทอง!S604"")"),0)</f>
        <v>0</v>
      </c>
      <c r="T604" s="684">
        <f t="shared" ca="1" si="419"/>
        <v>0</v>
      </c>
      <c r="U604" s="684">
        <f t="shared" ca="1" si="420"/>
        <v>0</v>
      </c>
    </row>
    <row r="605" spans="1:21" ht="19.5" x14ac:dyDescent="0.3">
      <c r="A605" s="207"/>
      <c r="B605" s="367"/>
      <c r="C605" s="367"/>
      <c r="D605" s="209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86">
        <f t="shared" ref="L605:N605" ca="1" si="427">L606+L607</f>
        <v>0</v>
      </c>
      <c r="M605" s="86">
        <f t="shared" ca="1" si="427"/>
        <v>0</v>
      </c>
      <c r="N605" s="86">
        <f t="shared" ca="1" si="427"/>
        <v>0</v>
      </c>
      <c r="O605" s="86">
        <f t="shared" ca="1" si="416"/>
        <v>0</v>
      </c>
      <c r="P605" s="86">
        <f t="shared" ca="1" si="417"/>
        <v>0</v>
      </c>
      <c r="Q605" s="683">
        <f t="shared" ref="Q605:S605" ca="1" si="428">Q606+Q607</f>
        <v>0</v>
      </c>
      <c r="R605" s="684">
        <f t="shared" ca="1" si="428"/>
        <v>0</v>
      </c>
      <c r="S605" s="684">
        <f t="shared" ca="1" si="428"/>
        <v>0</v>
      </c>
      <c r="T605" s="684">
        <f t="shared" ca="1" si="419"/>
        <v>0</v>
      </c>
      <c r="U605" s="684">
        <f t="shared" ca="1" si="420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86">
        <f ca="1">IFERROR(__xludf.DUMMYFUNCTION("IMPORTRANGE(""https://docs.google.com/spreadsheets/d/13wPX838HrBrQMCywv1BsuMkt4PEKTChp52zj44s2izQ/edit?usp=sharing"",""กาญจนบุรี!L606"")+IMPORTRANGE(""https://docs.google.com/spreadsheets/d/1ddFKvqj1W1NEiWytbGlB1zMx_ykJDVtmfEQ-6-lIUBA/edit?usp=sharing"","&amp;"""จันทบุรี!L606"")+IMPORTRANGE(""https://docs.google.com/spreadsheets/d/1T1PQvRODqOBZk8BRht_U031fIS1beLA0Ub2CEytj2q0/edit?usp=sharing"",""ฉะเชิงเทรา!L606"")+IMPORTRANGE(""https://docs.google.com/spreadsheets/d/11tr1B-Bhyr79v2bkwVh5h_fR-PStkgjlZtkrZpYurG0/"&amp;"edit?usp=sharing"",""ชลบุรี!L606"")+IMPORTRANGE(""https://docs.google.com/spreadsheets/d/1hh-FVnSX0vozXhGluamEcS54Dw9_zqW0N7qJUWgJ0Sw/edit?usp=sharing"",""ชัยนาท!L606"")+IMPORTRANGE(""https://docs.google.com/spreadsheets/d/1jkqa6GXxSacMcY1eN8AHjMNJ_7dDXMJ"&amp;"VRLDlaFSOdPM/edit?usp=sharing"",""ตราด!L606"")+IMPORTRANGE(""https://docs.google.com/spreadsheets/d/18hSgUJ3VwClqi_qtULmmW3cLr0oe3OKaSYoKzdpTsYQ/edit?usp=sharing"",""นครนายก!L606"")+IMPORTRANGE(""https://docs.google.com/spreadsheets/d/1YTZo6WM2dQ6Ix6FSdnL"&amp;"5P7uVnVKu40sxZu975tgG10E/edit?usp=sharing"",""นครปฐม!L606"")+IMPORTRANGE(""https://docs.google.com/spreadsheets/d/1OYoGg4WDg5RIzwGeB10padOxJF9E_Vljuvvct_M7RDo/edit?usp=sharing"",""ปทุมธานี!L606"")+IMPORTRANGE(""https://docs.google.com/spreadsheets/d/1GbCI"&amp;"E4D4wk9FUozzqk7SxfDMxDVBwVmI5zcaVUSzKAc/edit?usp=sharing"",""ประจวบคีรีขันธ์!L606"")+IMPORTRANGE(""https://docs.google.com/spreadsheets/d/1vVf6wykvW_lAyu7Yo9L4hUTqHqIeP_qcVuxCtosJEbg/edit?usp=sharing"",""ปราจีนบุรี!L606"")+IMPORTRANGE(""https://docs.googl"&amp;"e.com/spreadsheets/d/1BIDqLLg5jk3v59G8NlR8rk5xfQDKne0sAvZHSj7TI6I/edit?usp=sharing"",""พระนครศรีอยุธยา!L606"")+IMPORTRANGE(""https://docs.google.com/spreadsheets/d/1YXvxf8Yu6_rV4hTBrwMqAcAnv6DfhUxh5emyM3CJp_w/edit?usp=sharing"",""เพชรบุรี!L606"")+IMPORTRA"&amp;"NGE(""https://docs.google.com/spreadsheets/d/19KBlQQs7uwvsao6t2n-KvW3Ax8J8uRRfZPq1zPbXgKc/edit?usp=sharing"",""ระยอง!L606"")+IMPORTRANGE(""https://docs.google.com/spreadsheets/d/1jQ6P4QcrGM89YfqcC_PxOHGCMq5ezhucwJd8ci-NHng/edit?usp=sharing"",""ราชบุรี!L60"&amp;"6"")+IMPORTRANGE(""https://docs.google.com/spreadsheets/d/1lufeA2cfFqM-elVq2hznhDzC6Pr7wkJ9ZG_sYNGCMCU/edit?usp=sharing"",""ลพบุรี!L606"")+IMPORTRANGE(""https://docs.google.com/spreadsheets/d/10oOiF7loTyfsTkbd4MpaIm0HQ9SwB7IYHdIUvt-U1Uc/edit?usp=sharing"""&amp;",""สระแก้ว!L606"")+IMPORTRANGE(""https://docs.google.com/spreadsheets/d/1xmPlrr1QbdSIKvl1dWUl9K4PjAfSL9oeMr_37QVzcxc/edit?usp=sharing"",""สระบุรี!L606"")+IMPORTRANGE(""https://docs.google.com/spreadsheets/d/1j51vR6CYVGhABJpv6tkstgok82RLpXieLzW1yOY5rHw/edi"&amp;"t?usp=sharing"",""สิงห์บุรี!L606"")+IMPORTRANGE(""https://docs.google.com/spreadsheets/d/1H1EalTWKUSzO4Z1-1CwzoDUaVffgrThEBe2sl74kKG0/edit?usp=sharing"",""สุพรรณบุรี!L606"")+IMPORTRANGE(""https://docs.google.com/spreadsheets/d/1BmIruG_sIrJLYao_Pdr7zVArWsf"&amp;"oBt2692TMi6x_854/edit?usp=sharing"",""อ่างทอง!L606"")"),0)</f>
        <v>0</v>
      </c>
      <c r="M606" s="86">
        <f ca="1">IFERROR(__xludf.DUMMYFUNCTION("IMPORTRANGE(""https://docs.google.com/spreadsheets/d/13wPX838HrBrQMCywv1BsuMkt4PEKTChp52zj44s2izQ/edit?usp=sharing"",""กาญจนบุรี!M606"")+IMPORTRANGE(""https://docs.google.com/spreadsheets/d/1ddFKvqj1W1NEiWytbGlB1zMx_ykJDVtmfEQ-6-lIUBA/edit?usp=sharing"","&amp;"""จันทบุรี!M606"")+IMPORTRANGE(""https://docs.google.com/spreadsheets/d/1T1PQvRODqOBZk8BRht_U031fIS1beLA0Ub2CEytj2q0/edit?usp=sharing"",""ฉะเชิงเทรา!M606"")+IMPORTRANGE(""https://docs.google.com/spreadsheets/d/11tr1B-Bhyr79v2bkwVh5h_fR-PStkgjlZtkrZpYurG0/"&amp;"edit?usp=sharing"",""ชลบุรี!M606"")+IMPORTRANGE(""https://docs.google.com/spreadsheets/d/1hh-FVnSX0vozXhGluamEcS54Dw9_zqW0N7qJUWgJ0Sw/edit?usp=sharing"",""ชัยนาท!M606"")+IMPORTRANGE(""https://docs.google.com/spreadsheets/d/1jkqa6GXxSacMcY1eN8AHjMNJ_7dDXMJ"&amp;"VRLDlaFSOdPM/edit?usp=sharing"",""ตราด!M606"")+IMPORTRANGE(""https://docs.google.com/spreadsheets/d/18hSgUJ3VwClqi_qtULmmW3cLr0oe3OKaSYoKzdpTsYQ/edit?usp=sharing"",""นครนายก!M606"")+IMPORTRANGE(""https://docs.google.com/spreadsheets/d/1YTZo6WM2dQ6Ix6FSdnL"&amp;"5P7uVnVKu40sxZu975tgG10E/edit?usp=sharing"",""นครปฐม!M606"")+IMPORTRANGE(""https://docs.google.com/spreadsheets/d/1OYoGg4WDg5RIzwGeB10padOxJF9E_Vljuvvct_M7RDo/edit?usp=sharing"",""ปทุมธานี!M606"")+IMPORTRANGE(""https://docs.google.com/spreadsheets/d/1GbCI"&amp;"E4D4wk9FUozzqk7SxfDMxDVBwVmI5zcaVUSzKAc/edit?usp=sharing"",""ประจวบคีรีขันธ์!M606"")+IMPORTRANGE(""https://docs.google.com/spreadsheets/d/1vVf6wykvW_lAyu7Yo9L4hUTqHqIeP_qcVuxCtosJEbg/edit?usp=sharing"",""ปราจีนบุรี!M606"")+IMPORTRANGE(""https://docs.googl"&amp;"e.com/spreadsheets/d/1BIDqLLg5jk3v59G8NlR8rk5xfQDKne0sAvZHSj7TI6I/edit?usp=sharing"",""พระนครศรีอยุธยา!M606"")+IMPORTRANGE(""https://docs.google.com/spreadsheets/d/1YXvxf8Yu6_rV4hTBrwMqAcAnv6DfhUxh5emyM3CJp_w/edit?usp=sharing"",""เพชรบุรี!M606"")+IMPORTRA"&amp;"NGE(""https://docs.google.com/spreadsheets/d/19KBlQQs7uwvsao6t2n-KvW3Ax8J8uRRfZPq1zPbXgKc/edit?usp=sharing"",""ระยอง!M606"")+IMPORTRANGE(""https://docs.google.com/spreadsheets/d/1jQ6P4QcrGM89YfqcC_PxOHGCMq5ezhucwJd8ci-NHng/edit?usp=sharing"",""ราชบุรี!M60"&amp;"6"")+IMPORTRANGE(""https://docs.google.com/spreadsheets/d/1lufeA2cfFqM-elVq2hznhDzC6Pr7wkJ9ZG_sYNGCMCU/edit?usp=sharing"",""ลพบุรี!M606"")+IMPORTRANGE(""https://docs.google.com/spreadsheets/d/10oOiF7loTyfsTkbd4MpaIm0HQ9SwB7IYHdIUvt-U1Uc/edit?usp=sharing"""&amp;",""สระแก้ว!M606"")+IMPORTRANGE(""https://docs.google.com/spreadsheets/d/1xmPlrr1QbdSIKvl1dWUl9K4PjAfSL9oeMr_37QVzcxc/edit?usp=sharing"",""สระบุรี!M606"")+IMPORTRANGE(""https://docs.google.com/spreadsheets/d/1j51vR6CYVGhABJpv6tkstgok82RLpXieLzW1yOY5rHw/edi"&amp;"t?usp=sharing"",""สิงห์บุรี!M606"")+IMPORTRANGE(""https://docs.google.com/spreadsheets/d/1H1EalTWKUSzO4Z1-1CwzoDUaVffgrThEBe2sl74kKG0/edit?usp=sharing"",""สุพรรณบุรี!M606"")+IMPORTRANGE(""https://docs.google.com/spreadsheets/d/1BmIruG_sIrJLYao_Pdr7zVArWsf"&amp;"oBt2692TMi6x_854/edit?usp=sharing"",""อ่างทอง!M606"")"),0)</f>
        <v>0</v>
      </c>
      <c r="N606" s="86">
        <f ca="1">IFERROR(__xludf.DUMMYFUNCTION("IMPORTRANGE(""https://docs.google.com/spreadsheets/d/13wPX838HrBrQMCywv1BsuMkt4PEKTChp52zj44s2izQ/edit?usp=sharing"",""กาญจนบุรี!N606"")+IMPORTRANGE(""https://docs.google.com/spreadsheets/d/1ddFKvqj1W1NEiWytbGlB1zMx_ykJDVtmfEQ-6-lIUBA/edit?usp=sharing"","&amp;"""จันทบุรี!N606"")+IMPORTRANGE(""https://docs.google.com/spreadsheets/d/1T1PQvRODqOBZk8BRht_U031fIS1beLA0Ub2CEytj2q0/edit?usp=sharing"",""ฉะเชิงเทรา!N606"")+IMPORTRANGE(""https://docs.google.com/spreadsheets/d/11tr1B-Bhyr79v2bkwVh5h_fR-PStkgjlZtkrZpYurG0/"&amp;"edit?usp=sharing"",""ชลบุรี!N606"")+IMPORTRANGE(""https://docs.google.com/spreadsheets/d/1hh-FVnSX0vozXhGluamEcS54Dw9_zqW0N7qJUWgJ0Sw/edit?usp=sharing"",""ชัยนาท!N606"")+IMPORTRANGE(""https://docs.google.com/spreadsheets/d/1jkqa6GXxSacMcY1eN8AHjMNJ_7dDXMJ"&amp;"VRLDlaFSOdPM/edit?usp=sharing"",""ตราด!N606"")+IMPORTRANGE(""https://docs.google.com/spreadsheets/d/18hSgUJ3VwClqi_qtULmmW3cLr0oe3OKaSYoKzdpTsYQ/edit?usp=sharing"",""นครนายก!N606"")+IMPORTRANGE(""https://docs.google.com/spreadsheets/d/1YTZo6WM2dQ6Ix6FSdnL"&amp;"5P7uVnVKu40sxZu975tgG10E/edit?usp=sharing"",""นครปฐม!N606"")+IMPORTRANGE(""https://docs.google.com/spreadsheets/d/1OYoGg4WDg5RIzwGeB10padOxJF9E_Vljuvvct_M7RDo/edit?usp=sharing"",""ปทุมธานี!N606"")+IMPORTRANGE(""https://docs.google.com/spreadsheets/d/1GbCI"&amp;"E4D4wk9FUozzqk7SxfDMxDVBwVmI5zcaVUSzKAc/edit?usp=sharing"",""ประจวบคีรีขันธ์!N606"")+IMPORTRANGE(""https://docs.google.com/spreadsheets/d/1vVf6wykvW_lAyu7Yo9L4hUTqHqIeP_qcVuxCtosJEbg/edit?usp=sharing"",""ปราจีนบุรี!N606"")+IMPORTRANGE(""https://docs.googl"&amp;"e.com/spreadsheets/d/1BIDqLLg5jk3v59G8NlR8rk5xfQDKne0sAvZHSj7TI6I/edit?usp=sharing"",""พระนครศรีอยุธยา!N606"")+IMPORTRANGE(""https://docs.google.com/spreadsheets/d/1YXvxf8Yu6_rV4hTBrwMqAcAnv6DfhUxh5emyM3CJp_w/edit?usp=sharing"",""เพชรบุรี!N606"")+IMPORTRA"&amp;"NGE(""https://docs.google.com/spreadsheets/d/19KBlQQs7uwvsao6t2n-KvW3Ax8J8uRRfZPq1zPbXgKc/edit?usp=sharing"",""ระยอง!N606"")+IMPORTRANGE(""https://docs.google.com/spreadsheets/d/1jQ6P4QcrGM89YfqcC_PxOHGCMq5ezhucwJd8ci-NHng/edit?usp=sharing"",""ราชบุรี!N60"&amp;"6"")+IMPORTRANGE(""https://docs.google.com/spreadsheets/d/1lufeA2cfFqM-elVq2hznhDzC6Pr7wkJ9ZG_sYNGCMCU/edit?usp=sharing"",""ลพบุรี!N606"")+IMPORTRANGE(""https://docs.google.com/spreadsheets/d/10oOiF7loTyfsTkbd4MpaIm0HQ9SwB7IYHdIUvt-U1Uc/edit?usp=sharing"""&amp;",""สระแก้ว!N606"")+IMPORTRANGE(""https://docs.google.com/spreadsheets/d/1xmPlrr1QbdSIKvl1dWUl9K4PjAfSL9oeMr_37QVzcxc/edit?usp=sharing"",""สระบุรี!N606"")+IMPORTRANGE(""https://docs.google.com/spreadsheets/d/1j51vR6CYVGhABJpv6tkstgok82RLpXieLzW1yOY5rHw/edi"&amp;"t?usp=sharing"",""สิงห์บุรี!N606"")+IMPORTRANGE(""https://docs.google.com/spreadsheets/d/1H1EalTWKUSzO4Z1-1CwzoDUaVffgrThEBe2sl74kKG0/edit?usp=sharing"",""สุพรรณบุรี!N606"")+IMPORTRANGE(""https://docs.google.com/spreadsheets/d/1BmIruG_sIrJLYao_Pdr7zVArWsf"&amp;"oBt2692TMi6x_854/edit?usp=sharing"",""อ่างทอง!N606"")"),0)</f>
        <v>0</v>
      </c>
      <c r="O606" s="86">
        <f t="shared" ca="1" si="416"/>
        <v>0</v>
      </c>
      <c r="P606" s="86">
        <f t="shared" ca="1" si="417"/>
        <v>0</v>
      </c>
      <c r="Q606" s="685">
        <f ca="1">IFERROR(__xludf.DUMMYFUNCTION("IMPORTRANGE(""https://docs.google.com/spreadsheets/d/13wPX838HrBrQMCywv1BsuMkt4PEKTChp52zj44s2izQ/edit?usp=sharing"",""กาญจนบุรี!Q606"")+IMPORTRANGE(""https://docs.google.com/spreadsheets/d/1ddFKvqj1W1NEiWytbGlB1zMx_ykJDVtmfEQ-6-lIUBA/edit?usp=sharing"","&amp;"""จันทบุรี!Q606"")+IMPORTRANGE(""https://docs.google.com/spreadsheets/d/1T1PQvRODqOBZk8BRht_U031fIS1beLA0Ub2CEytj2q0/edit?usp=sharing"",""ฉะเชิงเทรา!Q606"")+IMPORTRANGE(""https://docs.google.com/spreadsheets/d/11tr1B-Bhyr79v2bkwVh5h_fR-PStkgjlZtkrZpYurG0/"&amp;"edit?usp=sharing"",""ชลบุรี!Q606"")+IMPORTRANGE(""https://docs.google.com/spreadsheets/d/1hh-FVnSX0vozXhGluamEcS54Dw9_zqW0N7qJUWgJ0Sw/edit?usp=sharing"",""ชัยนาท!Q606"")+IMPORTRANGE(""https://docs.google.com/spreadsheets/d/1jkqa6GXxSacMcY1eN8AHjMNJ_7dDXMJ"&amp;"VRLDlaFSOdPM/edit?usp=sharing"",""ตราด!Q606"")+IMPORTRANGE(""https://docs.google.com/spreadsheets/d/18hSgUJ3VwClqi_qtULmmW3cLr0oe3OKaSYoKzdpTsYQ/edit?usp=sharing"",""นครนายก!Q606"")+IMPORTRANGE(""https://docs.google.com/spreadsheets/d/1YTZo6WM2dQ6Ix6FSdnL"&amp;"5P7uVnVKu40sxZu975tgG10E/edit?usp=sharing"",""นครปฐม!Q606"")+IMPORTRANGE(""https://docs.google.com/spreadsheets/d/1OYoGg4WDg5RIzwGeB10padOxJF9E_Vljuvvct_M7RDo/edit?usp=sharing"",""ปทุมธานี!Q606"")+IMPORTRANGE(""https://docs.google.com/spreadsheets/d/1GbCI"&amp;"E4D4wk9FUozzqk7SxfDMxDVBwVmI5zcaVUSzKAc/edit?usp=sharing"",""ประจวบคีรีขันธ์!Q606"")+IMPORTRANGE(""https://docs.google.com/spreadsheets/d/1vVf6wykvW_lAyu7Yo9L4hUTqHqIeP_qcVuxCtosJEbg/edit?usp=sharing"",""ปราจีนบุรี!Q606"")+IMPORTRANGE(""https://docs.googl"&amp;"e.com/spreadsheets/d/1BIDqLLg5jk3v59G8NlR8rk5xfQDKne0sAvZHSj7TI6I/edit?usp=sharing"",""พระนครศรีอยุธยา!Q606"")+IMPORTRANGE(""https://docs.google.com/spreadsheets/d/1YXvxf8Yu6_rV4hTBrwMqAcAnv6DfhUxh5emyM3CJp_w/edit?usp=sharing"",""เพชรบุรี!Q606"")+IMPORTRA"&amp;"NGE(""https://docs.google.com/spreadsheets/d/19KBlQQs7uwvsao6t2n-KvW3Ax8J8uRRfZPq1zPbXgKc/edit?usp=sharing"",""ระยอง!Q606"")+IMPORTRANGE(""https://docs.google.com/spreadsheets/d/1jQ6P4QcrGM89YfqcC_PxOHGCMq5ezhucwJd8ci-NHng/edit?usp=sharing"",""ราชบุรี!Q60"&amp;"6"")+IMPORTRANGE(""https://docs.google.com/spreadsheets/d/1lufeA2cfFqM-elVq2hznhDzC6Pr7wkJ9ZG_sYNGCMCU/edit?usp=sharing"",""ลพบุรี!Q606"")+IMPORTRANGE(""https://docs.google.com/spreadsheets/d/10oOiF7loTyfsTkbd4MpaIm0HQ9SwB7IYHdIUvt-U1Uc/edit?usp=sharing"""&amp;",""สระแก้ว!Q606"")+IMPORTRANGE(""https://docs.google.com/spreadsheets/d/1xmPlrr1QbdSIKvl1dWUl9K4PjAfSL9oeMr_37QVzcxc/edit?usp=sharing"",""สระบุรี!Q606"")+IMPORTRANGE(""https://docs.google.com/spreadsheets/d/1j51vR6CYVGhABJpv6tkstgok82RLpXieLzW1yOY5rHw/edi"&amp;"t?usp=sharing"",""สิงห์บุรี!Q606"")+IMPORTRANGE(""https://docs.google.com/spreadsheets/d/1H1EalTWKUSzO4Z1-1CwzoDUaVffgrThEBe2sl74kKG0/edit?usp=sharing"",""สุพรรณบุรี!Q606"")+IMPORTRANGE(""https://docs.google.com/spreadsheets/d/1BmIruG_sIrJLYao_Pdr7zVArWsf"&amp;"oBt2692TMi6x_854/edit?usp=sharing"",""อ่างทอง!Q606"")"),0)</f>
        <v>0</v>
      </c>
      <c r="R606" s="86">
        <f ca="1">IFERROR(__xludf.DUMMYFUNCTION("IMPORTRANGE(""https://docs.google.com/spreadsheets/d/13wPX838HrBrQMCywv1BsuMkt4PEKTChp52zj44s2izQ/edit?usp=sharing"",""กาญจนบุรี!R606"")+IMPORTRANGE(""https://docs.google.com/spreadsheets/d/1ddFKvqj1W1NEiWytbGlB1zMx_ykJDVtmfEQ-6-lIUBA/edit?usp=sharing"","&amp;"""จันทบุรี!R606"")+IMPORTRANGE(""https://docs.google.com/spreadsheets/d/1T1PQvRODqOBZk8BRht_U031fIS1beLA0Ub2CEytj2q0/edit?usp=sharing"",""ฉะเชิงเทรา!R606"")+IMPORTRANGE(""https://docs.google.com/spreadsheets/d/11tr1B-Bhyr79v2bkwVh5h_fR-PStkgjlZtkrZpYurG0/"&amp;"edit?usp=sharing"",""ชลบุรี!R606"")+IMPORTRANGE(""https://docs.google.com/spreadsheets/d/1hh-FVnSX0vozXhGluamEcS54Dw9_zqW0N7qJUWgJ0Sw/edit?usp=sharing"",""ชัยนาท!R606"")+IMPORTRANGE(""https://docs.google.com/spreadsheets/d/1jkqa6GXxSacMcY1eN8AHjMNJ_7dDXMJ"&amp;"VRLDlaFSOdPM/edit?usp=sharing"",""ตราด!R606"")+IMPORTRANGE(""https://docs.google.com/spreadsheets/d/18hSgUJ3VwClqi_qtULmmW3cLr0oe3OKaSYoKzdpTsYQ/edit?usp=sharing"",""นครนายก!R606"")+IMPORTRANGE(""https://docs.google.com/spreadsheets/d/1YTZo6WM2dQ6Ix6FSdnL"&amp;"5P7uVnVKu40sxZu975tgG10E/edit?usp=sharing"",""นครปฐม!R606"")+IMPORTRANGE(""https://docs.google.com/spreadsheets/d/1OYoGg4WDg5RIzwGeB10padOxJF9E_Vljuvvct_M7RDo/edit?usp=sharing"",""ปทุมธานี!R606"")+IMPORTRANGE(""https://docs.google.com/spreadsheets/d/1GbCI"&amp;"E4D4wk9FUozzqk7SxfDMxDVBwVmI5zcaVUSzKAc/edit?usp=sharing"",""ประจวบคีรีขันธ์!R606"")+IMPORTRANGE(""https://docs.google.com/spreadsheets/d/1vVf6wykvW_lAyu7Yo9L4hUTqHqIeP_qcVuxCtosJEbg/edit?usp=sharing"",""ปราจีนบุรี!R606"")+IMPORTRANGE(""https://docs.googl"&amp;"e.com/spreadsheets/d/1BIDqLLg5jk3v59G8NlR8rk5xfQDKne0sAvZHSj7TI6I/edit?usp=sharing"",""พระนครศรีอยุธยา!R606"")+IMPORTRANGE(""https://docs.google.com/spreadsheets/d/1YXvxf8Yu6_rV4hTBrwMqAcAnv6DfhUxh5emyM3CJp_w/edit?usp=sharing"",""เพชรบุรี!R606"")+IMPORTRA"&amp;"NGE(""https://docs.google.com/spreadsheets/d/19KBlQQs7uwvsao6t2n-KvW3Ax8J8uRRfZPq1zPbXgKc/edit?usp=sharing"",""ระยอง!R606"")+IMPORTRANGE(""https://docs.google.com/spreadsheets/d/1jQ6P4QcrGM89YfqcC_PxOHGCMq5ezhucwJd8ci-NHng/edit?usp=sharing"",""ราชบุรี!R60"&amp;"6"")+IMPORTRANGE(""https://docs.google.com/spreadsheets/d/1lufeA2cfFqM-elVq2hznhDzC6Pr7wkJ9ZG_sYNGCMCU/edit?usp=sharing"",""ลพบุรี!R606"")+IMPORTRANGE(""https://docs.google.com/spreadsheets/d/10oOiF7loTyfsTkbd4MpaIm0HQ9SwB7IYHdIUvt-U1Uc/edit?usp=sharing"""&amp;",""สระแก้ว!R606"")+IMPORTRANGE(""https://docs.google.com/spreadsheets/d/1xmPlrr1QbdSIKvl1dWUl9K4PjAfSL9oeMr_37QVzcxc/edit?usp=sharing"",""สระบุรี!R606"")+IMPORTRANGE(""https://docs.google.com/spreadsheets/d/1j51vR6CYVGhABJpv6tkstgok82RLpXieLzW1yOY5rHw/edi"&amp;"t?usp=sharing"",""สิงห์บุรี!R606"")+IMPORTRANGE(""https://docs.google.com/spreadsheets/d/1H1EalTWKUSzO4Z1-1CwzoDUaVffgrThEBe2sl74kKG0/edit?usp=sharing"",""สุพรรณบุรี!R606"")+IMPORTRANGE(""https://docs.google.com/spreadsheets/d/1BmIruG_sIrJLYao_Pdr7zVArWsf"&amp;"oBt2692TMi6x_854/edit?usp=sharing"",""อ่างทอง!R606"")"),0)</f>
        <v>0</v>
      </c>
      <c r="S606" s="86">
        <f ca="1">IFERROR(__xludf.DUMMYFUNCTION("IMPORTRANGE(""https://docs.google.com/spreadsheets/d/13wPX838HrBrQMCywv1BsuMkt4PEKTChp52zj44s2izQ/edit?usp=sharing"",""กาญจนบุรี!S606"")+IMPORTRANGE(""https://docs.google.com/spreadsheets/d/1ddFKvqj1W1NEiWytbGlB1zMx_ykJDVtmfEQ-6-lIUBA/edit?usp=sharing"","&amp;"""จันทบุรี!S606"")+IMPORTRANGE(""https://docs.google.com/spreadsheets/d/1T1PQvRODqOBZk8BRht_U031fIS1beLA0Ub2CEytj2q0/edit?usp=sharing"",""ฉะเชิงเทรา!S606"")+IMPORTRANGE(""https://docs.google.com/spreadsheets/d/11tr1B-Bhyr79v2bkwVh5h_fR-PStkgjlZtkrZpYurG0/"&amp;"edit?usp=sharing"",""ชลบุรี!S606"")+IMPORTRANGE(""https://docs.google.com/spreadsheets/d/1hh-FVnSX0vozXhGluamEcS54Dw9_zqW0N7qJUWgJ0Sw/edit?usp=sharing"",""ชัยนาท!S606"")+IMPORTRANGE(""https://docs.google.com/spreadsheets/d/1jkqa6GXxSacMcY1eN8AHjMNJ_7dDXMJ"&amp;"VRLDlaFSOdPM/edit?usp=sharing"",""ตราด!S606"")+IMPORTRANGE(""https://docs.google.com/spreadsheets/d/18hSgUJ3VwClqi_qtULmmW3cLr0oe3OKaSYoKzdpTsYQ/edit?usp=sharing"",""นครนายก!S606"")+IMPORTRANGE(""https://docs.google.com/spreadsheets/d/1YTZo6WM2dQ6Ix6FSdnL"&amp;"5P7uVnVKu40sxZu975tgG10E/edit?usp=sharing"",""นครปฐม!S606"")+IMPORTRANGE(""https://docs.google.com/spreadsheets/d/1OYoGg4WDg5RIzwGeB10padOxJF9E_Vljuvvct_M7RDo/edit?usp=sharing"",""ปทุมธานี!S606"")+IMPORTRANGE(""https://docs.google.com/spreadsheets/d/1GbCI"&amp;"E4D4wk9FUozzqk7SxfDMxDVBwVmI5zcaVUSzKAc/edit?usp=sharing"",""ประจวบคีรีขันธ์!S606"")+IMPORTRANGE(""https://docs.google.com/spreadsheets/d/1vVf6wykvW_lAyu7Yo9L4hUTqHqIeP_qcVuxCtosJEbg/edit?usp=sharing"",""ปราจีนบุรี!S606"")+IMPORTRANGE(""https://docs.googl"&amp;"e.com/spreadsheets/d/1BIDqLLg5jk3v59G8NlR8rk5xfQDKne0sAvZHSj7TI6I/edit?usp=sharing"",""พระนครศรีอยุธยา!S606"")+IMPORTRANGE(""https://docs.google.com/spreadsheets/d/1YXvxf8Yu6_rV4hTBrwMqAcAnv6DfhUxh5emyM3CJp_w/edit?usp=sharing"",""เพชรบุรี!S606"")+IMPORTRA"&amp;"NGE(""https://docs.google.com/spreadsheets/d/19KBlQQs7uwvsao6t2n-KvW3Ax8J8uRRfZPq1zPbXgKc/edit?usp=sharing"",""ระยอง!S606"")+IMPORTRANGE(""https://docs.google.com/spreadsheets/d/1jQ6P4QcrGM89YfqcC_PxOHGCMq5ezhucwJd8ci-NHng/edit?usp=sharing"",""ราชบุรี!S60"&amp;"6"")+IMPORTRANGE(""https://docs.google.com/spreadsheets/d/1lufeA2cfFqM-elVq2hznhDzC6Pr7wkJ9ZG_sYNGCMCU/edit?usp=sharing"",""ลพบุรี!S606"")+IMPORTRANGE(""https://docs.google.com/spreadsheets/d/10oOiF7loTyfsTkbd4MpaIm0HQ9SwB7IYHdIUvt-U1Uc/edit?usp=sharing"""&amp;",""สระแก้ว!S606"")+IMPORTRANGE(""https://docs.google.com/spreadsheets/d/1xmPlrr1QbdSIKvl1dWUl9K4PjAfSL9oeMr_37QVzcxc/edit?usp=sharing"",""สระบุรี!S606"")+IMPORTRANGE(""https://docs.google.com/spreadsheets/d/1j51vR6CYVGhABJpv6tkstgok82RLpXieLzW1yOY5rHw/edi"&amp;"t?usp=sharing"",""สิงห์บุรี!S606"")+IMPORTRANGE(""https://docs.google.com/spreadsheets/d/1H1EalTWKUSzO4Z1-1CwzoDUaVffgrThEBe2sl74kKG0/edit?usp=sharing"",""สุพรรณบุรี!S606"")+IMPORTRANGE(""https://docs.google.com/spreadsheets/d/1BmIruG_sIrJLYao_Pdr7zVArWsf"&amp;"oBt2692TMi6x_854/edit?usp=sharing"",""อ่างทอง!S606"")"),0)</f>
        <v>0</v>
      </c>
      <c r="T606" s="684">
        <f t="shared" ca="1" si="419"/>
        <v>0</v>
      </c>
      <c r="U606" s="684">
        <f t="shared" ca="1" si="420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86">
        <f ca="1">IFERROR(__xludf.DUMMYFUNCTION("IMPORTRANGE(""https://docs.google.com/spreadsheets/d/13wPX838HrBrQMCywv1BsuMkt4PEKTChp52zj44s2izQ/edit?usp=sharing"",""กาญจนบุรี!L607"")+IMPORTRANGE(""https://docs.google.com/spreadsheets/d/1ddFKvqj1W1NEiWytbGlB1zMx_ykJDVtmfEQ-6-lIUBA/edit?usp=sharing"","&amp;"""จันทบุรี!L607"")+IMPORTRANGE(""https://docs.google.com/spreadsheets/d/1T1PQvRODqOBZk8BRht_U031fIS1beLA0Ub2CEytj2q0/edit?usp=sharing"",""ฉะเชิงเทรา!L607"")+IMPORTRANGE(""https://docs.google.com/spreadsheets/d/11tr1B-Bhyr79v2bkwVh5h_fR-PStkgjlZtkrZpYurG0/"&amp;"edit?usp=sharing"",""ชลบุรี!L607"")+IMPORTRANGE(""https://docs.google.com/spreadsheets/d/1hh-FVnSX0vozXhGluamEcS54Dw9_zqW0N7qJUWgJ0Sw/edit?usp=sharing"",""ชัยนาท!L607"")+IMPORTRANGE(""https://docs.google.com/spreadsheets/d/1jkqa6GXxSacMcY1eN8AHjMNJ_7dDXMJ"&amp;"VRLDlaFSOdPM/edit?usp=sharing"",""ตราด!L607"")+IMPORTRANGE(""https://docs.google.com/spreadsheets/d/18hSgUJ3VwClqi_qtULmmW3cLr0oe3OKaSYoKzdpTsYQ/edit?usp=sharing"",""นครนายก!L607"")+IMPORTRANGE(""https://docs.google.com/spreadsheets/d/1YTZo6WM2dQ6Ix6FSdnL"&amp;"5P7uVnVKu40sxZu975tgG10E/edit?usp=sharing"",""นครปฐม!L607"")+IMPORTRANGE(""https://docs.google.com/spreadsheets/d/1OYoGg4WDg5RIzwGeB10padOxJF9E_Vljuvvct_M7RDo/edit?usp=sharing"",""ปทุมธานี!L607"")+IMPORTRANGE(""https://docs.google.com/spreadsheets/d/1GbCI"&amp;"E4D4wk9FUozzqk7SxfDMxDVBwVmI5zcaVUSzKAc/edit?usp=sharing"",""ประจวบคีรีขันธ์!L607"")+IMPORTRANGE(""https://docs.google.com/spreadsheets/d/1vVf6wykvW_lAyu7Yo9L4hUTqHqIeP_qcVuxCtosJEbg/edit?usp=sharing"",""ปราจีนบุรี!L607"")+IMPORTRANGE(""https://docs.googl"&amp;"e.com/spreadsheets/d/1BIDqLLg5jk3v59G8NlR8rk5xfQDKne0sAvZHSj7TI6I/edit?usp=sharing"",""พระนครศรีอยุธยา!L607"")+IMPORTRANGE(""https://docs.google.com/spreadsheets/d/1YXvxf8Yu6_rV4hTBrwMqAcAnv6DfhUxh5emyM3CJp_w/edit?usp=sharing"",""เพชรบุรี!L607"")+IMPORTRA"&amp;"NGE(""https://docs.google.com/spreadsheets/d/19KBlQQs7uwvsao6t2n-KvW3Ax8J8uRRfZPq1zPbXgKc/edit?usp=sharing"",""ระยอง!L607"")+IMPORTRANGE(""https://docs.google.com/spreadsheets/d/1jQ6P4QcrGM89YfqcC_PxOHGCMq5ezhucwJd8ci-NHng/edit?usp=sharing"",""ราชบุรี!L60"&amp;"7"")+IMPORTRANGE(""https://docs.google.com/spreadsheets/d/1lufeA2cfFqM-elVq2hznhDzC6Pr7wkJ9ZG_sYNGCMCU/edit?usp=sharing"",""ลพบุรี!L607"")+IMPORTRANGE(""https://docs.google.com/spreadsheets/d/10oOiF7loTyfsTkbd4MpaIm0HQ9SwB7IYHdIUvt-U1Uc/edit?usp=sharing"""&amp;",""สระแก้ว!L607"")+IMPORTRANGE(""https://docs.google.com/spreadsheets/d/1xmPlrr1QbdSIKvl1dWUl9K4PjAfSL9oeMr_37QVzcxc/edit?usp=sharing"",""สระบุรี!L607"")+IMPORTRANGE(""https://docs.google.com/spreadsheets/d/1j51vR6CYVGhABJpv6tkstgok82RLpXieLzW1yOY5rHw/edi"&amp;"t?usp=sharing"",""สิงห์บุรี!L607"")+IMPORTRANGE(""https://docs.google.com/spreadsheets/d/1H1EalTWKUSzO4Z1-1CwzoDUaVffgrThEBe2sl74kKG0/edit?usp=sharing"",""สุพรรณบุรี!L607"")+IMPORTRANGE(""https://docs.google.com/spreadsheets/d/1BmIruG_sIrJLYao_Pdr7zVArWsf"&amp;"oBt2692TMi6x_854/edit?usp=sharing"",""อ่างทอง!L607"")"),0)</f>
        <v>0</v>
      </c>
      <c r="M607" s="86">
        <f ca="1">IFERROR(__xludf.DUMMYFUNCTION("IMPORTRANGE(""https://docs.google.com/spreadsheets/d/13wPX838HrBrQMCywv1BsuMkt4PEKTChp52zj44s2izQ/edit?usp=sharing"",""กาญจนบุรี!M607"")+IMPORTRANGE(""https://docs.google.com/spreadsheets/d/1ddFKvqj1W1NEiWytbGlB1zMx_ykJDVtmfEQ-6-lIUBA/edit?usp=sharing"","&amp;"""จันทบุรี!M607"")+IMPORTRANGE(""https://docs.google.com/spreadsheets/d/1T1PQvRODqOBZk8BRht_U031fIS1beLA0Ub2CEytj2q0/edit?usp=sharing"",""ฉะเชิงเทรา!M607"")+IMPORTRANGE(""https://docs.google.com/spreadsheets/d/11tr1B-Bhyr79v2bkwVh5h_fR-PStkgjlZtkrZpYurG0/"&amp;"edit?usp=sharing"",""ชลบุรี!M607"")+IMPORTRANGE(""https://docs.google.com/spreadsheets/d/1hh-FVnSX0vozXhGluamEcS54Dw9_zqW0N7qJUWgJ0Sw/edit?usp=sharing"",""ชัยนาท!M607"")+IMPORTRANGE(""https://docs.google.com/spreadsheets/d/1jkqa6GXxSacMcY1eN8AHjMNJ_7dDXMJ"&amp;"VRLDlaFSOdPM/edit?usp=sharing"",""ตราด!M607"")+IMPORTRANGE(""https://docs.google.com/spreadsheets/d/18hSgUJ3VwClqi_qtULmmW3cLr0oe3OKaSYoKzdpTsYQ/edit?usp=sharing"",""นครนายก!M607"")+IMPORTRANGE(""https://docs.google.com/spreadsheets/d/1YTZo6WM2dQ6Ix6FSdnL"&amp;"5P7uVnVKu40sxZu975tgG10E/edit?usp=sharing"",""นครปฐม!M607"")+IMPORTRANGE(""https://docs.google.com/spreadsheets/d/1OYoGg4WDg5RIzwGeB10padOxJF9E_Vljuvvct_M7RDo/edit?usp=sharing"",""ปทุมธานี!M607"")+IMPORTRANGE(""https://docs.google.com/spreadsheets/d/1GbCI"&amp;"E4D4wk9FUozzqk7SxfDMxDVBwVmI5zcaVUSzKAc/edit?usp=sharing"",""ประจวบคีรีขันธ์!M607"")+IMPORTRANGE(""https://docs.google.com/spreadsheets/d/1vVf6wykvW_lAyu7Yo9L4hUTqHqIeP_qcVuxCtosJEbg/edit?usp=sharing"",""ปราจีนบุรี!M607"")+IMPORTRANGE(""https://docs.googl"&amp;"e.com/spreadsheets/d/1BIDqLLg5jk3v59G8NlR8rk5xfQDKne0sAvZHSj7TI6I/edit?usp=sharing"",""พระนครศรีอยุธยา!M607"")+IMPORTRANGE(""https://docs.google.com/spreadsheets/d/1YXvxf8Yu6_rV4hTBrwMqAcAnv6DfhUxh5emyM3CJp_w/edit?usp=sharing"",""เพชรบุรี!M607"")+IMPORTRA"&amp;"NGE(""https://docs.google.com/spreadsheets/d/19KBlQQs7uwvsao6t2n-KvW3Ax8J8uRRfZPq1zPbXgKc/edit?usp=sharing"",""ระยอง!M607"")+IMPORTRANGE(""https://docs.google.com/spreadsheets/d/1jQ6P4QcrGM89YfqcC_PxOHGCMq5ezhucwJd8ci-NHng/edit?usp=sharing"",""ราชบุรี!M60"&amp;"7"")+IMPORTRANGE(""https://docs.google.com/spreadsheets/d/1lufeA2cfFqM-elVq2hznhDzC6Pr7wkJ9ZG_sYNGCMCU/edit?usp=sharing"",""ลพบุรี!M607"")+IMPORTRANGE(""https://docs.google.com/spreadsheets/d/10oOiF7loTyfsTkbd4MpaIm0HQ9SwB7IYHdIUvt-U1Uc/edit?usp=sharing"""&amp;",""สระแก้ว!M607"")+IMPORTRANGE(""https://docs.google.com/spreadsheets/d/1xmPlrr1QbdSIKvl1dWUl9K4PjAfSL9oeMr_37QVzcxc/edit?usp=sharing"",""สระบุรี!M607"")+IMPORTRANGE(""https://docs.google.com/spreadsheets/d/1j51vR6CYVGhABJpv6tkstgok82RLpXieLzW1yOY5rHw/edi"&amp;"t?usp=sharing"",""สิงห์บุรี!M607"")+IMPORTRANGE(""https://docs.google.com/spreadsheets/d/1H1EalTWKUSzO4Z1-1CwzoDUaVffgrThEBe2sl74kKG0/edit?usp=sharing"",""สุพรรณบุรี!M607"")+IMPORTRANGE(""https://docs.google.com/spreadsheets/d/1BmIruG_sIrJLYao_Pdr7zVArWsf"&amp;"oBt2692TMi6x_854/edit?usp=sharing"",""อ่างทอง!M607"")"),0)</f>
        <v>0</v>
      </c>
      <c r="N607" s="86">
        <f ca="1">IFERROR(__xludf.DUMMYFUNCTION("IMPORTRANGE(""https://docs.google.com/spreadsheets/d/13wPX838HrBrQMCywv1BsuMkt4PEKTChp52zj44s2izQ/edit?usp=sharing"",""กาญจนบุรี!N607"")+IMPORTRANGE(""https://docs.google.com/spreadsheets/d/1ddFKvqj1W1NEiWytbGlB1zMx_ykJDVtmfEQ-6-lIUBA/edit?usp=sharing"","&amp;"""จันทบุรี!N607"")+IMPORTRANGE(""https://docs.google.com/spreadsheets/d/1T1PQvRODqOBZk8BRht_U031fIS1beLA0Ub2CEytj2q0/edit?usp=sharing"",""ฉะเชิงเทรา!N607"")+IMPORTRANGE(""https://docs.google.com/spreadsheets/d/11tr1B-Bhyr79v2bkwVh5h_fR-PStkgjlZtkrZpYurG0/"&amp;"edit?usp=sharing"",""ชลบุรี!N607"")+IMPORTRANGE(""https://docs.google.com/spreadsheets/d/1hh-FVnSX0vozXhGluamEcS54Dw9_zqW0N7qJUWgJ0Sw/edit?usp=sharing"",""ชัยนาท!N607"")+IMPORTRANGE(""https://docs.google.com/spreadsheets/d/1jkqa6GXxSacMcY1eN8AHjMNJ_7dDXMJ"&amp;"VRLDlaFSOdPM/edit?usp=sharing"",""ตราด!N607"")+IMPORTRANGE(""https://docs.google.com/spreadsheets/d/18hSgUJ3VwClqi_qtULmmW3cLr0oe3OKaSYoKzdpTsYQ/edit?usp=sharing"",""นครนายก!N607"")+IMPORTRANGE(""https://docs.google.com/spreadsheets/d/1YTZo6WM2dQ6Ix6FSdnL"&amp;"5P7uVnVKu40sxZu975tgG10E/edit?usp=sharing"",""นครปฐม!N607"")+IMPORTRANGE(""https://docs.google.com/spreadsheets/d/1OYoGg4WDg5RIzwGeB10padOxJF9E_Vljuvvct_M7RDo/edit?usp=sharing"",""ปทุมธานี!N607"")+IMPORTRANGE(""https://docs.google.com/spreadsheets/d/1GbCI"&amp;"E4D4wk9FUozzqk7SxfDMxDVBwVmI5zcaVUSzKAc/edit?usp=sharing"",""ประจวบคีรีขันธ์!N607"")+IMPORTRANGE(""https://docs.google.com/spreadsheets/d/1vVf6wykvW_lAyu7Yo9L4hUTqHqIeP_qcVuxCtosJEbg/edit?usp=sharing"",""ปราจีนบุรี!N607"")+IMPORTRANGE(""https://docs.googl"&amp;"e.com/spreadsheets/d/1BIDqLLg5jk3v59G8NlR8rk5xfQDKne0sAvZHSj7TI6I/edit?usp=sharing"",""พระนครศรีอยุธยา!N607"")+IMPORTRANGE(""https://docs.google.com/spreadsheets/d/1YXvxf8Yu6_rV4hTBrwMqAcAnv6DfhUxh5emyM3CJp_w/edit?usp=sharing"",""เพชรบุรี!N607"")+IMPORTRA"&amp;"NGE(""https://docs.google.com/spreadsheets/d/19KBlQQs7uwvsao6t2n-KvW3Ax8J8uRRfZPq1zPbXgKc/edit?usp=sharing"",""ระยอง!N607"")+IMPORTRANGE(""https://docs.google.com/spreadsheets/d/1jQ6P4QcrGM89YfqcC_PxOHGCMq5ezhucwJd8ci-NHng/edit?usp=sharing"",""ราชบุรี!N60"&amp;"7"")+IMPORTRANGE(""https://docs.google.com/spreadsheets/d/1lufeA2cfFqM-elVq2hznhDzC6Pr7wkJ9ZG_sYNGCMCU/edit?usp=sharing"",""ลพบุรี!N607"")+IMPORTRANGE(""https://docs.google.com/spreadsheets/d/10oOiF7loTyfsTkbd4MpaIm0HQ9SwB7IYHdIUvt-U1Uc/edit?usp=sharing"""&amp;",""สระแก้ว!N607"")+IMPORTRANGE(""https://docs.google.com/spreadsheets/d/1xmPlrr1QbdSIKvl1dWUl9K4PjAfSL9oeMr_37QVzcxc/edit?usp=sharing"",""สระบุรี!N607"")+IMPORTRANGE(""https://docs.google.com/spreadsheets/d/1j51vR6CYVGhABJpv6tkstgok82RLpXieLzW1yOY5rHw/edi"&amp;"t?usp=sharing"",""สิงห์บุรี!N607"")+IMPORTRANGE(""https://docs.google.com/spreadsheets/d/1H1EalTWKUSzO4Z1-1CwzoDUaVffgrThEBe2sl74kKG0/edit?usp=sharing"",""สุพรรณบุรี!N607"")+IMPORTRANGE(""https://docs.google.com/spreadsheets/d/1BmIruG_sIrJLYao_Pdr7zVArWsf"&amp;"oBt2692TMi6x_854/edit?usp=sharing"",""อ่างทอง!N607"")"),0)</f>
        <v>0</v>
      </c>
      <c r="O607" s="86">
        <f t="shared" ca="1" si="416"/>
        <v>0</v>
      </c>
      <c r="P607" s="86">
        <f t="shared" ca="1" si="417"/>
        <v>0</v>
      </c>
      <c r="Q607" s="685">
        <f ca="1">IFERROR(__xludf.DUMMYFUNCTION("IMPORTRANGE(""https://docs.google.com/spreadsheets/d/13wPX838HrBrQMCywv1BsuMkt4PEKTChp52zj44s2izQ/edit?usp=sharing"",""กาญจนบุรี!Q607"")+IMPORTRANGE(""https://docs.google.com/spreadsheets/d/1ddFKvqj1W1NEiWytbGlB1zMx_ykJDVtmfEQ-6-lIUBA/edit?usp=sharing"","&amp;"""จันทบุรี!Q607"")+IMPORTRANGE(""https://docs.google.com/spreadsheets/d/1T1PQvRODqOBZk8BRht_U031fIS1beLA0Ub2CEytj2q0/edit?usp=sharing"",""ฉะเชิงเทรา!Q607"")+IMPORTRANGE(""https://docs.google.com/spreadsheets/d/11tr1B-Bhyr79v2bkwVh5h_fR-PStkgjlZtkrZpYurG0/"&amp;"edit?usp=sharing"",""ชลบุรี!Q607"")+IMPORTRANGE(""https://docs.google.com/spreadsheets/d/1hh-FVnSX0vozXhGluamEcS54Dw9_zqW0N7qJUWgJ0Sw/edit?usp=sharing"",""ชัยนาท!Q607"")+IMPORTRANGE(""https://docs.google.com/spreadsheets/d/1jkqa6GXxSacMcY1eN8AHjMNJ_7dDXMJ"&amp;"VRLDlaFSOdPM/edit?usp=sharing"",""ตราด!Q607"")+IMPORTRANGE(""https://docs.google.com/spreadsheets/d/18hSgUJ3VwClqi_qtULmmW3cLr0oe3OKaSYoKzdpTsYQ/edit?usp=sharing"",""นครนายก!Q607"")+IMPORTRANGE(""https://docs.google.com/spreadsheets/d/1YTZo6WM2dQ6Ix6FSdnL"&amp;"5P7uVnVKu40sxZu975tgG10E/edit?usp=sharing"",""นครปฐม!Q607"")+IMPORTRANGE(""https://docs.google.com/spreadsheets/d/1OYoGg4WDg5RIzwGeB10padOxJF9E_Vljuvvct_M7RDo/edit?usp=sharing"",""ปทุมธานี!Q607"")+IMPORTRANGE(""https://docs.google.com/spreadsheets/d/1GbCI"&amp;"E4D4wk9FUozzqk7SxfDMxDVBwVmI5zcaVUSzKAc/edit?usp=sharing"",""ประจวบคีรีขันธ์!Q607"")+IMPORTRANGE(""https://docs.google.com/spreadsheets/d/1vVf6wykvW_lAyu7Yo9L4hUTqHqIeP_qcVuxCtosJEbg/edit?usp=sharing"",""ปราจีนบุรี!Q607"")+IMPORTRANGE(""https://docs.googl"&amp;"e.com/spreadsheets/d/1BIDqLLg5jk3v59G8NlR8rk5xfQDKne0sAvZHSj7TI6I/edit?usp=sharing"",""พระนครศรีอยุธยา!Q607"")+IMPORTRANGE(""https://docs.google.com/spreadsheets/d/1YXvxf8Yu6_rV4hTBrwMqAcAnv6DfhUxh5emyM3CJp_w/edit?usp=sharing"",""เพชรบุรี!Q607"")+IMPORTRA"&amp;"NGE(""https://docs.google.com/spreadsheets/d/19KBlQQs7uwvsao6t2n-KvW3Ax8J8uRRfZPq1zPbXgKc/edit?usp=sharing"",""ระยอง!Q607"")+IMPORTRANGE(""https://docs.google.com/spreadsheets/d/1jQ6P4QcrGM89YfqcC_PxOHGCMq5ezhucwJd8ci-NHng/edit?usp=sharing"",""ราชบุรี!Q60"&amp;"7"")+IMPORTRANGE(""https://docs.google.com/spreadsheets/d/1lufeA2cfFqM-elVq2hznhDzC6Pr7wkJ9ZG_sYNGCMCU/edit?usp=sharing"",""ลพบุรี!Q607"")+IMPORTRANGE(""https://docs.google.com/spreadsheets/d/10oOiF7loTyfsTkbd4MpaIm0HQ9SwB7IYHdIUvt-U1Uc/edit?usp=sharing"""&amp;",""สระแก้ว!Q607"")+IMPORTRANGE(""https://docs.google.com/spreadsheets/d/1xmPlrr1QbdSIKvl1dWUl9K4PjAfSL9oeMr_37QVzcxc/edit?usp=sharing"",""สระบุรี!Q607"")+IMPORTRANGE(""https://docs.google.com/spreadsheets/d/1j51vR6CYVGhABJpv6tkstgok82RLpXieLzW1yOY5rHw/edi"&amp;"t?usp=sharing"",""สิงห์บุรี!Q607"")+IMPORTRANGE(""https://docs.google.com/spreadsheets/d/1H1EalTWKUSzO4Z1-1CwzoDUaVffgrThEBe2sl74kKG0/edit?usp=sharing"",""สุพรรณบุรี!Q607"")+IMPORTRANGE(""https://docs.google.com/spreadsheets/d/1BmIruG_sIrJLYao_Pdr7zVArWsf"&amp;"oBt2692TMi6x_854/edit?usp=sharing"",""อ่างทอง!Q607"")"),0)</f>
        <v>0</v>
      </c>
      <c r="R607" s="86">
        <f ca="1">IFERROR(__xludf.DUMMYFUNCTION("IMPORTRANGE(""https://docs.google.com/spreadsheets/d/13wPX838HrBrQMCywv1BsuMkt4PEKTChp52zj44s2izQ/edit?usp=sharing"",""กาญจนบุรี!R607"")+IMPORTRANGE(""https://docs.google.com/spreadsheets/d/1ddFKvqj1W1NEiWytbGlB1zMx_ykJDVtmfEQ-6-lIUBA/edit?usp=sharing"","&amp;"""จันทบุรี!R607"")+IMPORTRANGE(""https://docs.google.com/spreadsheets/d/1T1PQvRODqOBZk8BRht_U031fIS1beLA0Ub2CEytj2q0/edit?usp=sharing"",""ฉะเชิงเทรา!R607"")+IMPORTRANGE(""https://docs.google.com/spreadsheets/d/11tr1B-Bhyr79v2bkwVh5h_fR-PStkgjlZtkrZpYurG0/"&amp;"edit?usp=sharing"",""ชลบุรี!R607"")+IMPORTRANGE(""https://docs.google.com/spreadsheets/d/1hh-FVnSX0vozXhGluamEcS54Dw9_zqW0N7qJUWgJ0Sw/edit?usp=sharing"",""ชัยนาท!R607"")+IMPORTRANGE(""https://docs.google.com/spreadsheets/d/1jkqa6GXxSacMcY1eN8AHjMNJ_7dDXMJ"&amp;"VRLDlaFSOdPM/edit?usp=sharing"",""ตราด!R607"")+IMPORTRANGE(""https://docs.google.com/spreadsheets/d/18hSgUJ3VwClqi_qtULmmW3cLr0oe3OKaSYoKzdpTsYQ/edit?usp=sharing"",""นครนายก!R607"")+IMPORTRANGE(""https://docs.google.com/spreadsheets/d/1YTZo6WM2dQ6Ix6FSdnL"&amp;"5P7uVnVKu40sxZu975tgG10E/edit?usp=sharing"",""นครปฐม!R607"")+IMPORTRANGE(""https://docs.google.com/spreadsheets/d/1OYoGg4WDg5RIzwGeB10padOxJF9E_Vljuvvct_M7RDo/edit?usp=sharing"",""ปทุมธานี!R607"")+IMPORTRANGE(""https://docs.google.com/spreadsheets/d/1GbCI"&amp;"E4D4wk9FUozzqk7SxfDMxDVBwVmI5zcaVUSzKAc/edit?usp=sharing"",""ประจวบคีรีขันธ์!R607"")+IMPORTRANGE(""https://docs.google.com/spreadsheets/d/1vVf6wykvW_lAyu7Yo9L4hUTqHqIeP_qcVuxCtosJEbg/edit?usp=sharing"",""ปราจีนบุรี!R607"")+IMPORTRANGE(""https://docs.googl"&amp;"e.com/spreadsheets/d/1BIDqLLg5jk3v59G8NlR8rk5xfQDKne0sAvZHSj7TI6I/edit?usp=sharing"",""พระนครศรีอยุธยา!R607"")+IMPORTRANGE(""https://docs.google.com/spreadsheets/d/1YXvxf8Yu6_rV4hTBrwMqAcAnv6DfhUxh5emyM3CJp_w/edit?usp=sharing"",""เพชรบุรี!R607"")+IMPORTRA"&amp;"NGE(""https://docs.google.com/spreadsheets/d/19KBlQQs7uwvsao6t2n-KvW3Ax8J8uRRfZPq1zPbXgKc/edit?usp=sharing"",""ระยอง!R607"")+IMPORTRANGE(""https://docs.google.com/spreadsheets/d/1jQ6P4QcrGM89YfqcC_PxOHGCMq5ezhucwJd8ci-NHng/edit?usp=sharing"",""ราชบุรี!R60"&amp;"7"")+IMPORTRANGE(""https://docs.google.com/spreadsheets/d/1lufeA2cfFqM-elVq2hznhDzC6Pr7wkJ9ZG_sYNGCMCU/edit?usp=sharing"",""ลพบุรี!R607"")+IMPORTRANGE(""https://docs.google.com/spreadsheets/d/10oOiF7loTyfsTkbd4MpaIm0HQ9SwB7IYHdIUvt-U1Uc/edit?usp=sharing"""&amp;",""สระแก้ว!R607"")+IMPORTRANGE(""https://docs.google.com/spreadsheets/d/1xmPlrr1QbdSIKvl1dWUl9K4PjAfSL9oeMr_37QVzcxc/edit?usp=sharing"",""สระบุรี!R607"")+IMPORTRANGE(""https://docs.google.com/spreadsheets/d/1j51vR6CYVGhABJpv6tkstgok82RLpXieLzW1yOY5rHw/edi"&amp;"t?usp=sharing"",""สิงห์บุรี!R607"")+IMPORTRANGE(""https://docs.google.com/spreadsheets/d/1H1EalTWKUSzO4Z1-1CwzoDUaVffgrThEBe2sl74kKG0/edit?usp=sharing"",""สุพรรณบุรี!R607"")+IMPORTRANGE(""https://docs.google.com/spreadsheets/d/1BmIruG_sIrJLYao_Pdr7zVArWsf"&amp;"oBt2692TMi6x_854/edit?usp=sharing"",""อ่างทอง!R607"")"),0)</f>
        <v>0</v>
      </c>
      <c r="S607" s="86">
        <f ca="1">IFERROR(__xludf.DUMMYFUNCTION("IMPORTRANGE(""https://docs.google.com/spreadsheets/d/13wPX838HrBrQMCywv1BsuMkt4PEKTChp52zj44s2izQ/edit?usp=sharing"",""กาญจนบุรี!S607"")+IMPORTRANGE(""https://docs.google.com/spreadsheets/d/1ddFKvqj1W1NEiWytbGlB1zMx_ykJDVtmfEQ-6-lIUBA/edit?usp=sharing"","&amp;"""จันทบุรี!S607"")+IMPORTRANGE(""https://docs.google.com/spreadsheets/d/1T1PQvRODqOBZk8BRht_U031fIS1beLA0Ub2CEytj2q0/edit?usp=sharing"",""ฉะเชิงเทรา!S607"")+IMPORTRANGE(""https://docs.google.com/spreadsheets/d/11tr1B-Bhyr79v2bkwVh5h_fR-PStkgjlZtkrZpYurG0/"&amp;"edit?usp=sharing"",""ชลบุรี!S607"")+IMPORTRANGE(""https://docs.google.com/spreadsheets/d/1hh-FVnSX0vozXhGluamEcS54Dw9_zqW0N7qJUWgJ0Sw/edit?usp=sharing"",""ชัยนาท!S607"")+IMPORTRANGE(""https://docs.google.com/spreadsheets/d/1jkqa6GXxSacMcY1eN8AHjMNJ_7dDXMJ"&amp;"VRLDlaFSOdPM/edit?usp=sharing"",""ตราด!S607"")+IMPORTRANGE(""https://docs.google.com/spreadsheets/d/18hSgUJ3VwClqi_qtULmmW3cLr0oe3OKaSYoKzdpTsYQ/edit?usp=sharing"",""นครนายก!S607"")+IMPORTRANGE(""https://docs.google.com/spreadsheets/d/1YTZo6WM2dQ6Ix6FSdnL"&amp;"5P7uVnVKu40sxZu975tgG10E/edit?usp=sharing"",""นครปฐม!S607"")+IMPORTRANGE(""https://docs.google.com/spreadsheets/d/1OYoGg4WDg5RIzwGeB10padOxJF9E_Vljuvvct_M7RDo/edit?usp=sharing"",""ปทุมธานี!S607"")+IMPORTRANGE(""https://docs.google.com/spreadsheets/d/1GbCI"&amp;"E4D4wk9FUozzqk7SxfDMxDVBwVmI5zcaVUSzKAc/edit?usp=sharing"",""ประจวบคีรีขันธ์!S607"")+IMPORTRANGE(""https://docs.google.com/spreadsheets/d/1vVf6wykvW_lAyu7Yo9L4hUTqHqIeP_qcVuxCtosJEbg/edit?usp=sharing"",""ปราจีนบุรี!S607"")+IMPORTRANGE(""https://docs.googl"&amp;"e.com/spreadsheets/d/1BIDqLLg5jk3v59G8NlR8rk5xfQDKne0sAvZHSj7TI6I/edit?usp=sharing"",""พระนครศรีอยุธยา!S607"")+IMPORTRANGE(""https://docs.google.com/spreadsheets/d/1YXvxf8Yu6_rV4hTBrwMqAcAnv6DfhUxh5emyM3CJp_w/edit?usp=sharing"",""เพชรบุรี!S607"")+IMPORTRA"&amp;"NGE(""https://docs.google.com/spreadsheets/d/19KBlQQs7uwvsao6t2n-KvW3Ax8J8uRRfZPq1zPbXgKc/edit?usp=sharing"",""ระยอง!S607"")+IMPORTRANGE(""https://docs.google.com/spreadsheets/d/1jQ6P4QcrGM89YfqcC_PxOHGCMq5ezhucwJd8ci-NHng/edit?usp=sharing"",""ราชบุรี!S60"&amp;"7"")+IMPORTRANGE(""https://docs.google.com/spreadsheets/d/1lufeA2cfFqM-elVq2hznhDzC6Pr7wkJ9ZG_sYNGCMCU/edit?usp=sharing"",""ลพบุรี!S607"")+IMPORTRANGE(""https://docs.google.com/spreadsheets/d/10oOiF7loTyfsTkbd4MpaIm0HQ9SwB7IYHdIUvt-U1Uc/edit?usp=sharing"""&amp;",""สระแก้ว!S607"")+IMPORTRANGE(""https://docs.google.com/spreadsheets/d/1xmPlrr1QbdSIKvl1dWUl9K4PjAfSL9oeMr_37QVzcxc/edit?usp=sharing"",""สระบุรี!S607"")+IMPORTRANGE(""https://docs.google.com/spreadsheets/d/1j51vR6CYVGhABJpv6tkstgok82RLpXieLzW1yOY5rHw/edi"&amp;"t?usp=sharing"",""สิงห์บุรี!S607"")+IMPORTRANGE(""https://docs.google.com/spreadsheets/d/1H1EalTWKUSzO4Z1-1CwzoDUaVffgrThEBe2sl74kKG0/edit?usp=sharing"",""สุพรรณบุรี!S607"")+IMPORTRANGE(""https://docs.google.com/spreadsheets/d/1BmIruG_sIrJLYao_Pdr7zVArWsf"&amp;"oBt2692TMi6x_854/edit?usp=sharing"",""อ่างทอง!S607"")"),0)</f>
        <v>0</v>
      </c>
      <c r="T607" s="684">
        <f t="shared" ca="1" si="419"/>
        <v>0</v>
      </c>
      <c r="U607" s="684">
        <f t="shared" ca="1" si="420"/>
        <v>0</v>
      </c>
    </row>
    <row r="608" spans="1:21" ht="19.5" x14ac:dyDescent="0.3">
      <c r="A608" s="220"/>
      <c r="B608" s="221"/>
      <c r="C608" s="680" t="s">
        <v>18</v>
      </c>
      <c r="D608" s="222" t="s">
        <v>38</v>
      </c>
      <c r="E608" s="223"/>
      <c r="F608" s="223"/>
      <c r="G608" s="224"/>
      <c r="H608" s="314"/>
      <c r="I608" s="217"/>
      <c r="J608" s="217"/>
      <c r="K608" s="218"/>
      <c r="L608" s="70"/>
      <c r="M608" s="70"/>
      <c r="N608" s="70"/>
      <c r="O608" s="70"/>
      <c r="P608" s="70"/>
      <c r="Q608" s="519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70"/>
      <c r="M609" s="70"/>
      <c r="N609" s="70"/>
      <c r="O609" s="70"/>
      <c r="P609" s="70"/>
      <c r="Q609" s="519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70"/>
      <c r="M610" s="70"/>
      <c r="N610" s="70"/>
      <c r="O610" s="70"/>
      <c r="P610" s="70"/>
      <c r="Q610" s="519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70"/>
      <c r="M611" s="70"/>
      <c r="N611" s="70"/>
      <c r="O611" s="70"/>
      <c r="P611" s="70"/>
      <c r="Q611" s="519"/>
      <c r="R611" s="70"/>
      <c r="S611" s="70"/>
      <c r="T611" s="70"/>
      <c r="U611" s="70"/>
    </row>
    <row r="612" spans="1:21" ht="18.75" x14ac:dyDescent="0.25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6"/>
      <c r="M612" s="696"/>
      <c r="N612" s="696"/>
      <c r="O612" s="696"/>
      <c r="P612" s="696"/>
      <c r="Q612" s="697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4"/>
      <c r="M613" s="704"/>
      <c r="N613" s="704"/>
      <c r="O613" s="704"/>
      <c r="P613" s="704"/>
      <c r="Q613" s="705"/>
      <c r="R613" s="704"/>
      <c r="S613" s="704"/>
      <c r="T613" s="704"/>
      <c r="U613" s="704"/>
    </row>
    <row r="614" spans="1:21" ht="19.5" x14ac:dyDescent="0.3">
      <c r="A614" s="706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2"/>
      <c r="M614" s="712"/>
      <c r="N614" s="712"/>
      <c r="O614" s="712"/>
      <c r="P614" s="712"/>
      <c r="Q614" s="713"/>
      <c r="R614" s="712"/>
      <c r="S614" s="712"/>
      <c r="T614" s="712"/>
      <c r="U614" s="712"/>
    </row>
    <row r="615" spans="1:21" ht="19.5" x14ac:dyDescent="0.3">
      <c r="A615" s="714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t="shared" ref="I615:J615" ca="1" si="429">I626</f>
        <v>1060</v>
      </c>
      <c r="J615" s="719">
        <f t="shared" ca="1" si="429"/>
        <v>0</v>
      </c>
      <c r="K615" s="720">
        <f ca="1">IF(I615&gt;0,J615*100/I615,0)</f>
        <v>0</v>
      </c>
      <c r="L615" s="721"/>
      <c r="M615" s="721"/>
      <c r="N615" s="721"/>
      <c r="O615" s="721"/>
      <c r="P615" s="721"/>
      <c r="Q615" s="722"/>
      <c r="R615" s="721"/>
      <c r="S615" s="721"/>
      <c r="T615" s="721"/>
      <c r="U615" s="721"/>
    </row>
    <row r="616" spans="1:21" ht="19.5" x14ac:dyDescent="0.3">
      <c r="A616" s="255"/>
      <c r="B616" s="267"/>
      <c r="C616" s="304" t="s">
        <v>18</v>
      </c>
      <c r="D616" s="1403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262">
        <f t="shared" ref="L616:N616" ca="1" si="430">L617+L618</f>
        <v>0</v>
      </c>
      <c r="M616" s="262">
        <f t="shared" ca="1" si="430"/>
        <v>0</v>
      </c>
      <c r="N616" s="262">
        <f t="shared" ca="1" si="430"/>
        <v>0</v>
      </c>
      <c r="O616" s="262">
        <f t="shared" ref="O616:O624" ca="1" si="431">IF(L616&gt;0,N616*100/L616,0)</f>
        <v>0</v>
      </c>
      <c r="P616" s="262">
        <f t="shared" ref="P616:P624" ca="1" si="432">IF(M616&gt;0,N616*100/M616,0)</f>
        <v>0</v>
      </c>
      <c r="Q616" s="212">
        <f t="shared" ref="Q616:S616" ca="1" si="433">Q617+Q618</f>
        <v>143975</v>
      </c>
      <c r="R616" s="213">
        <f t="shared" ca="1" si="433"/>
        <v>151975</v>
      </c>
      <c r="S616" s="213">
        <f t="shared" ca="1" si="433"/>
        <v>23035</v>
      </c>
      <c r="T616" s="213">
        <f t="shared" ref="T616:T624" ca="1" si="434">IF(Q616&gt;0,S616*100/Q616,0)</f>
        <v>15.999305434971349</v>
      </c>
      <c r="U616" s="213">
        <f t="shared" ref="U616:U624" ca="1" si="435">IF(R616&gt;0,S616*100/R616,0)</f>
        <v>15.157098206941932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5">
        <f t="shared" ref="L617:N617" ca="1" si="436">L620+L623</f>
        <v>0</v>
      </c>
      <c r="M617" s="75">
        <f t="shared" ca="1" si="436"/>
        <v>0</v>
      </c>
      <c r="N617" s="75">
        <f t="shared" ca="1" si="436"/>
        <v>0</v>
      </c>
      <c r="O617" s="75">
        <f t="shared" ca="1" si="431"/>
        <v>0</v>
      </c>
      <c r="P617" s="75">
        <f t="shared" ca="1" si="432"/>
        <v>0</v>
      </c>
      <c r="Q617" s="215">
        <f t="shared" ref="Q617:S617" ca="1" si="437">Q620+Q623</f>
        <v>0</v>
      </c>
      <c r="R617" s="131">
        <f t="shared" ca="1" si="437"/>
        <v>0</v>
      </c>
      <c r="S617" s="131">
        <f t="shared" ca="1" si="437"/>
        <v>0</v>
      </c>
      <c r="T617" s="131">
        <f t="shared" ca="1" si="434"/>
        <v>0</v>
      </c>
      <c r="U617" s="131">
        <f t="shared" ca="1" si="435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2">
        <f t="shared" ref="L618:N618" ca="1" si="438">L621+L624</f>
        <v>0</v>
      </c>
      <c r="M618" s="72">
        <f t="shared" ca="1" si="438"/>
        <v>0</v>
      </c>
      <c r="N618" s="72">
        <f t="shared" ca="1" si="438"/>
        <v>0</v>
      </c>
      <c r="O618" s="72">
        <f t="shared" ca="1" si="431"/>
        <v>0</v>
      </c>
      <c r="P618" s="72">
        <f t="shared" ca="1" si="432"/>
        <v>0</v>
      </c>
      <c r="Q618" s="129">
        <f t="shared" ref="Q618:S618" ca="1" si="439">Q621+Q624</f>
        <v>143975</v>
      </c>
      <c r="R618" s="130">
        <f t="shared" ca="1" si="439"/>
        <v>151975</v>
      </c>
      <c r="S618" s="130">
        <f t="shared" ca="1" si="439"/>
        <v>23035</v>
      </c>
      <c r="T618" s="130">
        <f t="shared" ca="1" si="434"/>
        <v>15.999305434971349</v>
      </c>
      <c r="U618" s="130">
        <f t="shared" ca="1" si="435"/>
        <v>15.157098206941932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 t="shared" ref="L619:N619" ca="1" si="440">L620+L621</f>
        <v>0</v>
      </c>
      <c r="M619" s="72">
        <f t="shared" ca="1" si="440"/>
        <v>0</v>
      </c>
      <c r="N619" s="72">
        <f t="shared" ca="1" si="440"/>
        <v>0</v>
      </c>
      <c r="O619" s="72">
        <f t="shared" ca="1" si="431"/>
        <v>0</v>
      </c>
      <c r="P619" s="72">
        <f t="shared" ca="1" si="432"/>
        <v>0</v>
      </c>
      <c r="Q619" s="129">
        <f t="shared" ref="Q619:S619" ca="1" si="441">Q620+Q621</f>
        <v>143975</v>
      </c>
      <c r="R619" s="130">
        <f t="shared" ca="1" si="441"/>
        <v>151975</v>
      </c>
      <c r="S619" s="130">
        <f t="shared" ca="1" si="441"/>
        <v>23035</v>
      </c>
      <c r="T619" s="130">
        <f t="shared" ca="1" si="434"/>
        <v>15.999305434971349</v>
      </c>
      <c r="U619" s="130">
        <f t="shared" ca="1" si="435"/>
        <v>15.157098206941932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5">
        <f ca="1">IFERROR(__xludf.DUMMYFUNCTION("IMPORTRANGE(""https://docs.google.com/spreadsheets/d/13wPX838HrBrQMCywv1BsuMkt4PEKTChp52zj44s2izQ/edit?usp=sharing"",""กาญจนบุรี!L620"")+IMPORTRANGE(""https://docs.google.com/spreadsheets/d/1ddFKvqj1W1NEiWytbGlB1zMx_ykJDVtmfEQ-6-lIUBA/edit?usp=sharing"","&amp;"""จันทบุรี!L620"")+IMPORTRANGE(""https://docs.google.com/spreadsheets/d/1T1PQvRODqOBZk8BRht_U031fIS1beLA0Ub2CEytj2q0/edit?usp=sharing"",""ฉะเชิงเทรา!L620"")+IMPORTRANGE(""https://docs.google.com/spreadsheets/d/11tr1B-Bhyr79v2bkwVh5h_fR-PStkgjlZtkrZpYurG0/"&amp;"edit?usp=sharing"",""ชลบุรี!L620"")+IMPORTRANGE(""https://docs.google.com/spreadsheets/d/1hh-FVnSX0vozXhGluamEcS54Dw9_zqW0N7qJUWgJ0Sw/edit?usp=sharing"",""ชัยนาท!L620"")+IMPORTRANGE(""https://docs.google.com/spreadsheets/d/1jkqa6GXxSacMcY1eN8AHjMNJ_7dDXMJ"&amp;"VRLDlaFSOdPM/edit?usp=sharing"",""ตราด!L620"")+IMPORTRANGE(""https://docs.google.com/spreadsheets/d/18hSgUJ3VwClqi_qtULmmW3cLr0oe3OKaSYoKzdpTsYQ/edit?usp=sharing"",""นครนายก!L620"")+IMPORTRANGE(""https://docs.google.com/spreadsheets/d/1YTZo6WM2dQ6Ix6FSdnL"&amp;"5P7uVnVKu40sxZu975tgG10E/edit?usp=sharing"",""นครปฐม!L620"")+IMPORTRANGE(""https://docs.google.com/spreadsheets/d/1OYoGg4WDg5RIzwGeB10padOxJF9E_Vljuvvct_M7RDo/edit?usp=sharing"",""ปทุมธานี!L620"")+IMPORTRANGE(""https://docs.google.com/spreadsheets/d/1GbCI"&amp;"E4D4wk9FUozzqk7SxfDMxDVBwVmI5zcaVUSzKAc/edit?usp=sharing"",""ประจวบคีรีขันธ์!L620"")+IMPORTRANGE(""https://docs.google.com/spreadsheets/d/1vVf6wykvW_lAyu7Yo9L4hUTqHqIeP_qcVuxCtosJEbg/edit?usp=sharing"",""ปราจีนบุรี!L620"")+IMPORTRANGE(""https://docs.googl"&amp;"e.com/spreadsheets/d/1BIDqLLg5jk3v59G8NlR8rk5xfQDKne0sAvZHSj7TI6I/edit?usp=sharing"",""พระนครศรีอยุธยา!L620"")+IMPORTRANGE(""https://docs.google.com/spreadsheets/d/1YXvxf8Yu6_rV4hTBrwMqAcAnv6DfhUxh5emyM3CJp_w/edit?usp=sharing"",""เพชรบุรี!L620"")+IMPORTRA"&amp;"NGE(""https://docs.google.com/spreadsheets/d/19KBlQQs7uwvsao6t2n-KvW3Ax8J8uRRfZPq1zPbXgKc/edit?usp=sharing"",""ระยอง!L620"")+IMPORTRANGE(""https://docs.google.com/spreadsheets/d/1jQ6P4QcrGM89YfqcC_PxOHGCMq5ezhucwJd8ci-NHng/edit?usp=sharing"",""ราชบุรี!L62"&amp;"0"")+IMPORTRANGE(""https://docs.google.com/spreadsheets/d/1lufeA2cfFqM-elVq2hznhDzC6Pr7wkJ9ZG_sYNGCMCU/edit?usp=sharing"",""ลพบุรี!L620"")+IMPORTRANGE(""https://docs.google.com/spreadsheets/d/10oOiF7loTyfsTkbd4MpaIm0HQ9SwB7IYHdIUvt-U1Uc/edit?usp=sharing"""&amp;",""สระแก้ว!L620"")+IMPORTRANGE(""https://docs.google.com/spreadsheets/d/1xmPlrr1QbdSIKvl1dWUl9K4PjAfSL9oeMr_37QVzcxc/edit?usp=sharing"",""สระบุรี!L620"")+IMPORTRANGE(""https://docs.google.com/spreadsheets/d/1j51vR6CYVGhABJpv6tkstgok82RLpXieLzW1yOY5rHw/edi"&amp;"t?usp=sharing"",""สิงห์บุรี!L620"")+IMPORTRANGE(""https://docs.google.com/spreadsheets/d/1H1EalTWKUSzO4Z1-1CwzoDUaVffgrThEBe2sl74kKG0/edit?usp=sharing"",""สุพรรณบุรี!L620"")+IMPORTRANGE(""https://docs.google.com/spreadsheets/d/1BmIruG_sIrJLYao_Pdr7zVArWsf"&amp;"oBt2692TMi6x_854/edit?usp=sharing"",""อ่างทอง!L620"")"),0)</f>
        <v>0</v>
      </c>
      <c r="M620" s="75">
        <f ca="1">IFERROR(__xludf.DUMMYFUNCTION("IMPORTRANGE(""https://docs.google.com/spreadsheets/d/13wPX838HrBrQMCywv1BsuMkt4PEKTChp52zj44s2izQ/edit?usp=sharing"",""กาญจนบุรี!M620"")+IMPORTRANGE(""https://docs.google.com/spreadsheets/d/1ddFKvqj1W1NEiWytbGlB1zMx_ykJDVtmfEQ-6-lIUBA/edit?usp=sharing"","&amp;"""จันทบุรี!M620"")+IMPORTRANGE(""https://docs.google.com/spreadsheets/d/1T1PQvRODqOBZk8BRht_U031fIS1beLA0Ub2CEytj2q0/edit?usp=sharing"",""ฉะเชิงเทรา!M620"")+IMPORTRANGE(""https://docs.google.com/spreadsheets/d/11tr1B-Bhyr79v2bkwVh5h_fR-PStkgjlZtkrZpYurG0/"&amp;"edit?usp=sharing"",""ชลบุรี!M620"")+IMPORTRANGE(""https://docs.google.com/spreadsheets/d/1hh-FVnSX0vozXhGluamEcS54Dw9_zqW0N7qJUWgJ0Sw/edit?usp=sharing"",""ชัยนาท!M620"")+IMPORTRANGE(""https://docs.google.com/spreadsheets/d/1jkqa6GXxSacMcY1eN8AHjMNJ_7dDXMJ"&amp;"VRLDlaFSOdPM/edit?usp=sharing"",""ตราด!M620"")+IMPORTRANGE(""https://docs.google.com/spreadsheets/d/18hSgUJ3VwClqi_qtULmmW3cLr0oe3OKaSYoKzdpTsYQ/edit?usp=sharing"",""นครนายก!M620"")+IMPORTRANGE(""https://docs.google.com/spreadsheets/d/1YTZo6WM2dQ6Ix6FSdnL"&amp;"5P7uVnVKu40sxZu975tgG10E/edit?usp=sharing"",""นครปฐม!M620"")+IMPORTRANGE(""https://docs.google.com/spreadsheets/d/1OYoGg4WDg5RIzwGeB10padOxJF9E_Vljuvvct_M7RDo/edit?usp=sharing"",""ปทุมธานี!M620"")+IMPORTRANGE(""https://docs.google.com/spreadsheets/d/1GbCI"&amp;"E4D4wk9FUozzqk7SxfDMxDVBwVmI5zcaVUSzKAc/edit?usp=sharing"",""ประจวบคีรีขันธ์!M620"")+IMPORTRANGE(""https://docs.google.com/spreadsheets/d/1vVf6wykvW_lAyu7Yo9L4hUTqHqIeP_qcVuxCtosJEbg/edit?usp=sharing"",""ปราจีนบุรี!M620"")+IMPORTRANGE(""https://docs.googl"&amp;"e.com/spreadsheets/d/1BIDqLLg5jk3v59G8NlR8rk5xfQDKne0sAvZHSj7TI6I/edit?usp=sharing"",""พระนครศรีอยุธยา!M620"")+IMPORTRANGE(""https://docs.google.com/spreadsheets/d/1YXvxf8Yu6_rV4hTBrwMqAcAnv6DfhUxh5emyM3CJp_w/edit?usp=sharing"",""เพชรบุรี!M620"")+IMPORTRA"&amp;"NGE(""https://docs.google.com/spreadsheets/d/19KBlQQs7uwvsao6t2n-KvW3Ax8J8uRRfZPq1zPbXgKc/edit?usp=sharing"",""ระยอง!M620"")+IMPORTRANGE(""https://docs.google.com/spreadsheets/d/1jQ6P4QcrGM89YfqcC_PxOHGCMq5ezhucwJd8ci-NHng/edit?usp=sharing"",""ราชบุรี!M62"&amp;"0"")+IMPORTRANGE(""https://docs.google.com/spreadsheets/d/1lufeA2cfFqM-elVq2hznhDzC6Pr7wkJ9ZG_sYNGCMCU/edit?usp=sharing"",""ลพบุรี!M620"")+IMPORTRANGE(""https://docs.google.com/spreadsheets/d/10oOiF7loTyfsTkbd4MpaIm0HQ9SwB7IYHdIUvt-U1Uc/edit?usp=sharing"""&amp;",""สระแก้ว!M620"")+IMPORTRANGE(""https://docs.google.com/spreadsheets/d/1xmPlrr1QbdSIKvl1dWUl9K4PjAfSL9oeMr_37QVzcxc/edit?usp=sharing"",""สระบุรี!M620"")+IMPORTRANGE(""https://docs.google.com/spreadsheets/d/1j51vR6CYVGhABJpv6tkstgok82RLpXieLzW1yOY5rHw/edi"&amp;"t?usp=sharing"",""สิงห์บุรี!M620"")+IMPORTRANGE(""https://docs.google.com/spreadsheets/d/1H1EalTWKUSzO4Z1-1CwzoDUaVffgrThEBe2sl74kKG0/edit?usp=sharing"",""สุพรรณบุรี!M620"")+IMPORTRANGE(""https://docs.google.com/spreadsheets/d/1BmIruG_sIrJLYao_Pdr7zVArWsf"&amp;"oBt2692TMi6x_854/edit?usp=sharing"",""อ่างทอง!M620"")"),0)</f>
        <v>0</v>
      </c>
      <c r="N620" s="75">
        <f ca="1">IFERROR(__xludf.DUMMYFUNCTION("IMPORTRANGE(""https://docs.google.com/spreadsheets/d/13wPX838HrBrQMCywv1BsuMkt4PEKTChp52zj44s2izQ/edit?usp=sharing"",""กาญจนบุรี!N620"")+IMPORTRANGE(""https://docs.google.com/spreadsheets/d/1ddFKvqj1W1NEiWytbGlB1zMx_ykJDVtmfEQ-6-lIUBA/edit?usp=sharing"","&amp;"""จันทบุรี!N620"")+IMPORTRANGE(""https://docs.google.com/spreadsheets/d/1T1PQvRODqOBZk8BRht_U031fIS1beLA0Ub2CEytj2q0/edit?usp=sharing"",""ฉะเชิงเทรา!N620"")+IMPORTRANGE(""https://docs.google.com/spreadsheets/d/11tr1B-Bhyr79v2bkwVh5h_fR-PStkgjlZtkrZpYurG0/"&amp;"edit?usp=sharing"",""ชลบุรี!N620"")+IMPORTRANGE(""https://docs.google.com/spreadsheets/d/1hh-FVnSX0vozXhGluamEcS54Dw9_zqW0N7qJUWgJ0Sw/edit?usp=sharing"",""ชัยนาท!N620"")+IMPORTRANGE(""https://docs.google.com/spreadsheets/d/1jkqa6GXxSacMcY1eN8AHjMNJ_7dDXMJ"&amp;"VRLDlaFSOdPM/edit?usp=sharing"",""ตราด!N620"")+IMPORTRANGE(""https://docs.google.com/spreadsheets/d/18hSgUJ3VwClqi_qtULmmW3cLr0oe3OKaSYoKzdpTsYQ/edit?usp=sharing"",""นครนายก!N620"")+IMPORTRANGE(""https://docs.google.com/spreadsheets/d/1YTZo6WM2dQ6Ix6FSdnL"&amp;"5P7uVnVKu40sxZu975tgG10E/edit?usp=sharing"",""นครปฐม!N620"")+IMPORTRANGE(""https://docs.google.com/spreadsheets/d/1OYoGg4WDg5RIzwGeB10padOxJF9E_Vljuvvct_M7RDo/edit?usp=sharing"",""ปทุมธานี!N620"")+IMPORTRANGE(""https://docs.google.com/spreadsheets/d/1GbCI"&amp;"E4D4wk9FUozzqk7SxfDMxDVBwVmI5zcaVUSzKAc/edit?usp=sharing"",""ประจวบคีรีขันธ์!N620"")+IMPORTRANGE(""https://docs.google.com/spreadsheets/d/1vVf6wykvW_lAyu7Yo9L4hUTqHqIeP_qcVuxCtosJEbg/edit?usp=sharing"",""ปราจีนบุรี!N620"")+IMPORTRANGE(""https://docs.googl"&amp;"e.com/spreadsheets/d/1BIDqLLg5jk3v59G8NlR8rk5xfQDKne0sAvZHSj7TI6I/edit?usp=sharing"",""พระนครศรีอยุธยา!N620"")+IMPORTRANGE(""https://docs.google.com/spreadsheets/d/1YXvxf8Yu6_rV4hTBrwMqAcAnv6DfhUxh5emyM3CJp_w/edit?usp=sharing"",""เพชรบุรี!N620"")+IMPORTRA"&amp;"NGE(""https://docs.google.com/spreadsheets/d/19KBlQQs7uwvsao6t2n-KvW3Ax8J8uRRfZPq1zPbXgKc/edit?usp=sharing"",""ระยอง!N620"")+IMPORTRANGE(""https://docs.google.com/spreadsheets/d/1jQ6P4QcrGM89YfqcC_PxOHGCMq5ezhucwJd8ci-NHng/edit?usp=sharing"",""ราชบุรี!N62"&amp;"0"")+IMPORTRANGE(""https://docs.google.com/spreadsheets/d/1lufeA2cfFqM-elVq2hznhDzC6Pr7wkJ9ZG_sYNGCMCU/edit?usp=sharing"",""ลพบุรี!N620"")+IMPORTRANGE(""https://docs.google.com/spreadsheets/d/10oOiF7loTyfsTkbd4MpaIm0HQ9SwB7IYHdIUvt-U1Uc/edit?usp=sharing"""&amp;",""สระแก้ว!N620"")+IMPORTRANGE(""https://docs.google.com/spreadsheets/d/1xmPlrr1QbdSIKvl1dWUl9K4PjAfSL9oeMr_37QVzcxc/edit?usp=sharing"",""สระบุรี!N620"")+IMPORTRANGE(""https://docs.google.com/spreadsheets/d/1j51vR6CYVGhABJpv6tkstgok82RLpXieLzW1yOY5rHw/edi"&amp;"t?usp=sharing"",""สิงห์บุรี!N620"")+IMPORTRANGE(""https://docs.google.com/spreadsheets/d/1H1EalTWKUSzO4Z1-1CwzoDUaVffgrThEBe2sl74kKG0/edit?usp=sharing"",""สุพรรณบุรี!N620"")+IMPORTRANGE(""https://docs.google.com/spreadsheets/d/1BmIruG_sIrJLYao_Pdr7zVArWsf"&amp;"oBt2692TMi6x_854/edit?usp=sharing"",""อ่างทอง!N620"")"),0)</f>
        <v>0</v>
      </c>
      <c r="O620" s="75">
        <f t="shared" ca="1" si="431"/>
        <v>0</v>
      </c>
      <c r="P620" s="75">
        <f t="shared" ca="1" si="432"/>
        <v>0</v>
      </c>
      <c r="Q620" s="74">
        <f ca="1">IFERROR(__xludf.DUMMYFUNCTION("IMPORTRANGE(""https://docs.google.com/spreadsheets/d/13wPX838HrBrQMCywv1BsuMkt4PEKTChp52zj44s2izQ/edit?usp=sharing"",""กาญจนบุรี!Q620"")+IMPORTRANGE(""https://docs.google.com/spreadsheets/d/1ddFKvqj1W1NEiWytbGlB1zMx_ykJDVtmfEQ-6-lIUBA/edit?usp=sharing"","&amp;"""จันทบุรี!Q620"")+IMPORTRANGE(""https://docs.google.com/spreadsheets/d/1T1PQvRODqOBZk8BRht_U031fIS1beLA0Ub2CEytj2q0/edit?usp=sharing"",""ฉะเชิงเทรา!Q620"")+IMPORTRANGE(""https://docs.google.com/spreadsheets/d/11tr1B-Bhyr79v2bkwVh5h_fR-PStkgjlZtkrZpYurG0/"&amp;"edit?usp=sharing"",""ชลบุรี!Q620"")+IMPORTRANGE(""https://docs.google.com/spreadsheets/d/1hh-FVnSX0vozXhGluamEcS54Dw9_zqW0N7qJUWgJ0Sw/edit?usp=sharing"",""ชัยนาท!Q620"")+IMPORTRANGE(""https://docs.google.com/spreadsheets/d/1jkqa6GXxSacMcY1eN8AHjMNJ_7dDXMJ"&amp;"VRLDlaFSOdPM/edit?usp=sharing"",""ตราด!Q620"")+IMPORTRANGE(""https://docs.google.com/spreadsheets/d/18hSgUJ3VwClqi_qtULmmW3cLr0oe3OKaSYoKzdpTsYQ/edit?usp=sharing"",""นครนายก!Q620"")+IMPORTRANGE(""https://docs.google.com/spreadsheets/d/1YTZo6WM2dQ6Ix6FSdnL"&amp;"5P7uVnVKu40sxZu975tgG10E/edit?usp=sharing"",""นครปฐม!Q620"")+IMPORTRANGE(""https://docs.google.com/spreadsheets/d/1OYoGg4WDg5RIzwGeB10padOxJF9E_Vljuvvct_M7RDo/edit?usp=sharing"",""ปทุมธานี!Q620"")+IMPORTRANGE(""https://docs.google.com/spreadsheets/d/1GbCI"&amp;"E4D4wk9FUozzqk7SxfDMxDVBwVmI5zcaVUSzKAc/edit?usp=sharing"",""ประจวบคีรีขันธ์!Q620"")+IMPORTRANGE(""https://docs.google.com/spreadsheets/d/1vVf6wykvW_lAyu7Yo9L4hUTqHqIeP_qcVuxCtosJEbg/edit?usp=sharing"",""ปราจีนบุรี!Q620"")+IMPORTRANGE(""https://docs.googl"&amp;"e.com/spreadsheets/d/1BIDqLLg5jk3v59G8NlR8rk5xfQDKne0sAvZHSj7TI6I/edit?usp=sharing"",""พระนครศรีอยุธยา!Q620"")+IMPORTRANGE(""https://docs.google.com/spreadsheets/d/1YXvxf8Yu6_rV4hTBrwMqAcAnv6DfhUxh5emyM3CJp_w/edit?usp=sharing"",""เพชรบุรี!Q620"")+IMPORTRA"&amp;"NGE(""https://docs.google.com/spreadsheets/d/19KBlQQs7uwvsao6t2n-KvW3Ax8J8uRRfZPq1zPbXgKc/edit?usp=sharing"",""ระยอง!Q620"")+IMPORTRANGE(""https://docs.google.com/spreadsheets/d/1jQ6P4QcrGM89YfqcC_PxOHGCMq5ezhucwJd8ci-NHng/edit?usp=sharing"",""ราชบุรี!Q62"&amp;"0"")+IMPORTRANGE(""https://docs.google.com/spreadsheets/d/1lufeA2cfFqM-elVq2hznhDzC6Pr7wkJ9ZG_sYNGCMCU/edit?usp=sharing"",""ลพบุรี!Q620"")+IMPORTRANGE(""https://docs.google.com/spreadsheets/d/10oOiF7loTyfsTkbd4MpaIm0HQ9SwB7IYHdIUvt-U1Uc/edit?usp=sharing"""&amp;",""สระแก้ว!Q620"")+IMPORTRANGE(""https://docs.google.com/spreadsheets/d/1xmPlrr1QbdSIKvl1dWUl9K4PjAfSL9oeMr_37QVzcxc/edit?usp=sharing"",""สระบุรี!Q620"")+IMPORTRANGE(""https://docs.google.com/spreadsheets/d/1j51vR6CYVGhABJpv6tkstgok82RLpXieLzW1yOY5rHw/edi"&amp;"t?usp=sharing"",""สิงห์บุรี!Q620"")+IMPORTRANGE(""https://docs.google.com/spreadsheets/d/1H1EalTWKUSzO4Z1-1CwzoDUaVffgrThEBe2sl74kKG0/edit?usp=sharing"",""สุพรรณบุรี!Q620"")+IMPORTRANGE(""https://docs.google.com/spreadsheets/d/1BmIruG_sIrJLYao_Pdr7zVArWsf"&amp;"oBt2692TMi6x_854/edit?usp=sharing"",""อ่างทอง!Q620"")"),0)</f>
        <v>0</v>
      </c>
      <c r="R620" s="75">
        <f ca="1">IFERROR(__xludf.DUMMYFUNCTION("IMPORTRANGE(""https://docs.google.com/spreadsheets/d/13wPX838HrBrQMCywv1BsuMkt4PEKTChp52zj44s2izQ/edit?usp=sharing"",""กาญจนบุรี!R620"")+IMPORTRANGE(""https://docs.google.com/spreadsheets/d/1ddFKvqj1W1NEiWytbGlB1zMx_ykJDVtmfEQ-6-lIUBA/edit?usp=sharing"","&amp;"""จันทบุรี!R620"")+IMPORTRANGE(""https://docs.google.com/spreadsheets/d/1T1PQvRODqOBZk8BRht_U031fIS1beLA0Ub2CEytj2q0/edit?usp=sharing"",""ฉะเชิงเทรา!R620"")+IMPORTRANGE(""https://docs.google.com/spreadsheets/d/11tr1B-Bhyr79v2bkwVh5h_fR-PStkgjlZtkrZpYurG0/"&amp;"edit?usp=sharing"",""ชลบุรี!R620"")+IMPORTRANGE(""https://docs.google.com/spreadsheets/d/1hh-FVnSX0vozXhGluamEcS54Dw9_zqW0N7qJUWgJ0Sw/edit?usp=sharing"",""ชัยนาท!R620"")+IMPORTRANGE(""https://docs.google.com/spreadsheets/d/1jkqa6GXxSacMcY1eN8AHjMNJ_7dDXMJ"&amp;"VRLDlaFSOdPM/edit?usp=sharing"",""ตราด!R620"")+IMPORTRANGE(""https://docs.google.com/spreadsheets/d/18hSgUJ3VwClqi_qtULmmW3cLr0oe3OKaSYoKzdpTsYQ/edit?usp=sharing"",""นครนายก!R620"")+IMPORTRANGE(""https://docs.google.com/spreadsheets/d/1YTZo6WM2dQ6Ix6FSdnL"&amp;"5P7uVnVKu40sxZu975tgG10E/edit?usp=sharing"",""นครปฐม!R620"")+IMPORTRANGE(""https://docs.google.com/spreadsheets/d/1OYoGg4WDg5RIzwGeB10padOxJF9E_Vljuvvct_M7RDo/edit?usp=sharing"",""ปทุมธานี!R620"")+IMPORTRANGE(""https://docs.google.com/spreadsheets/d/1GbCI"&amp;"E4D4wk9FUozzqk7SxfDMxDVBwVmI5zcaVUSzKAc/edit?usp=sharing"",""ประจวบคีรีขันธ์!R620"")+IMPORTRANGE(""https://docs.google.com/spreadsheets/d/1vVf6wykvW_lAyu7Yo9L4hUTqHqIeP_qcVuxCtosJEbg/edit?usp=sharing"",""ปราจีนบุรี!R620"")+IMPORTRANGE(""https://docs.googl"&amp;"e.com/spreadsheets/d/1BIDqLLg5jk3v59G8NlR8rk5xfQDKne0sAvZHSj7TI6I/edit?usp=sharing"",""พระนครศรีอยุธยา!R620"")+IMPORTRANGE(""https://docs.google.com/spreadsheets/d/1YXvxf8Yu6_rV4hTBrwMqAcAnv6DfhUxh5emyM3CJp_w/edit?usp=sharing"",""เพชรบุรี!R620"")+IMPORTRA"&amp;"NGE(""https://docs.google.com/spreadsheets/d/19KBlQQs7uwvsao6t2n-KvW3Ax8J8uRRfZPq1zPbXgKc/edit?usp=sharing"",""ระยอง!R620"")+IMPORTRANGE(""https://docs.google.com/spreadsheets/d/1jQ6P4QcrGM89YfqcC_PxOHGCMq5ezhucwJd8ci-NHng/edit?usp=sharing"",""ราชบุรี!R62"&amp;"0"")+IMPORTRANGE(""https://docs.google.com/spreadsheets/d/1lufeA2cfFqM-elVq2hznhDzC6Pr7wkJ9ZG_sYNGCMCU/edit?usp=sharing"",""ลพบุรี!R620"")+IMPORTRANGE(""https://docs.google.com/spreadsheets/d/10oOiF7loTyfsTkbd4MpaIm0HQ9SwB7IYHdIUvt-U1Uc/edit?usp=sharing"""&amp;",""สระแก้ว!R620"")+IMPORTRANGE(""https://docs.google.com/spreadsheets/d/1xmPlrr1QbdSIKvl1dWUl9K4PjAfSL9oeMr_37QVzcxc/edit?usp=sharing"",""สระบุรี!R620"")+IMPORTRANGE(""https://docs.google.com/spreadsheets/d/1j51vR6CYVGhABJpv6tkstgok82RLpXieLzW1yOY5rHw/edi"&amp;"t?usp=sharing"",""สิงห์บุรี!R620"")+IMPORTRANGE(""https://docs.google.com/spreadsheets/d/1H1EalTWKUSzO4Z1-1CwzoDUaVffgrThEBe2sl74kKG0/edit?usp=sharing"",""สุพรรณบุรี!R620"")+IMPORTRANGE(""https://docs.google.com/spreadsheets/d/1BmIruG_sIrJLYao_Pdr7zVArWsf"&amp;"oBt2692TMi6x_854/edit?usp=sharing"",""อ่างทอง!R620"")"),0)</f>
        <v>0</v>
      </c>
      <c r="S620" s="75">
        <f ca="1">IFERROR(__xludf.DUMMYFUNCTION("IMPORTRANGE(""https://docs.google.com/spreadsheets/d/13wPX838HrBrQMCywv1BsuMkt4PEKTChp52zj44s2izQ/edit?usp=sharing"",""กาญจนบุรี!S620"")+IMPORTRANGE(""https://docs.google.com/spreadsheets/d/1ddFKvqj1W1NEiWytbGlB1zMx_ykJDVtmfEQ-6-lIUBA/edit?usp=sharing"","&amp;"""จันทบุรี!S620"")+IMPORTRANGE(""https://docs.google.com/spreadsheets/d/1T1PQvRODqOBZk8BRht_U031fIS1beLA0Ub2CEytj2q0/edit?usp=sharing"",""ฉะเชิงเทรา!S620"")+IMPORTRANGE(""https://docs.google.com/spreadsheets/d/11tr1B-Bhyr79v2bkwVh5h_fR-PStkgjlZtkrZpYurG0/"&amp;"edit?usp=sharing"",""ชลบุรี!S620"")+IMPORTRANGE(""https://docs.google.com/spreadsheets/d/1hh-FVnSX0vozXhGluamEcS54Dw9_zqW0N7qJUWgJ0Sw/edit?usp=sharing"",""ชัยนาท!S620"")+IMPORTRANGE(""https://docs.google.com/spreadsheets/d/1jkqa6GXxSacMcY1eN8AHjMNJ_7dDXMJ"&amp;"VRLDlaFSOdPM/edit?usp=sharing"",""ตราด!S620"")+IMPORTRANGE(""https://docs.google.com/spreadsheets/d/18hSgUJ3VwClqi_qtULmmW3cLr0oe3OKaSYoKzdpTsYQ/edit?usp=sharing"",""นครนายก!S620"")+IMPORTRANGE(""https://docs.google.com/spreadsheets/d/1YTZo6WM2dQ6Ix6FSdnL"&amp;"5P7uVnVKu40sxZu975tgG10E/edit?usp=sharing"",""นครปฐม!S620"")+IMPORTRANGE(""https://docs.google.com/spreadsheets/d/1OYoGg4WDg5RIzwGeB10padOxJF9E_Vljuvvct_M7RDo/edit?usp=sharing"",""ปทุมธานี!S620"")+IMPORTRANGE(""https://docs.google.com/spreadsheets/d/1GbCI"&amp;"E4D4wk9FUozzqk7SxfDMxDVBwVmI5zcaVUSzKAc/edit?usp=sharing"",""ประจวบคีรีขันธ์!S620"")+IMPORTRANGE(""https://docs.google.com/spreadsheets/d/1vVf6wykvW_lAyu7Yo9L4hUTqHqIeP_qcVuxCtosJEbg/edit?usp=sharing"",""ปราจีนบุรี!S620"")+IMPORTRANGE(""https://docs.googl"&amp;"e.com/spreadsheets/d/1BIDqLLg5jk3v59G8NlR8rk5xfQDKne0sAvZHSj7TI6I/edit?usp=sharing"",""พระนครศรีอยุธยา!S620"")+IMPORTRANGE(""https://docs.google.com/spreadsheets/d/1YXvxf8Yu6_rV4hTBrwMqAcAnv6DfhUxh5emyM3CJp_w/edit?usp=sharing"",""เพชรบุรี!S620"")+IMPORTRA"&amp;"NGE(""https://docs.google.com/spreadsheets/d/19KBlQQs7uwvsao6t2n-KvW3Ax8J8uRRfZPq1zPbXgKc/edit?usp=sharing"",""ระยอง!S620"")+IMPORTRANGE(""https://docs.google.com/spreadsheets/d/1jQ6P4QcrGM89YfqcC_PxOHGCMq5ezhucwJd8ci-NHng/edit?usp=sharing"",""ราชบุรี!S62"&amp;"0"")+IMPORTRANGE(""https://docs.google.com/spreadsheets/d/1lufeA2cfFqM-elVq2hznhDzC6Pr7wkJ9ZG_sYNGCMCU/edit?usp=sharing"",""ลพบุรี!S620"")+IMPORTRANGE(""https://docs.google.com/spreadsheets/d/10oOiF7loTyfsTkbd4MpaIm0HQ9SwB7IYHdIUvt-U1Uc/edit?usp=sharing"""&amp;",""สระแก้ว!S620"")+IMPORTRANGE(""https://docs.google.com/spreadsheets/d/1xmPlrr1QbdSIKvl1dWUl9K4PjAfSL9oeMr_37QVzcxc/edit?usp=sharing"",""สระบุรี!S620"")+IMPORTRANGE(""https://docs.google.com/spreadsheets/d/1j51vR6CYVGhABJpv6tkstgok82RLpXieLzW1yOY5rHw/edi"&amp;"t?usp=sharing"",""สิงห์บุรี!S620"")+IMPORTRANGE(""https://docs.google.com/spreadsheets/d/1H1EalTWKUSzO4Z1-1CwzoDUaVffgrThEBe2sl74kKG0/edit?usp=sharing"",""สุพรรณบุรี!S620"")+IMPORTRANGE(""https://docs.google.com/spreadsheets/d/1BmIruG_sIrJLYao_Pdr7zVArWsf"&amp;"oBt2692TMi6x_854/edit?usp=sharing"",""อ่างทอง!S620"")"),0)</f>
        <v>0</v>
      </c>
      <c r="T620" s="131">
        <f t="shared" ca="1" si="434"/>
        <v>0</v>
      </c>
      <c r="U620" s="131">
        <f t="shared" ca="1" si="435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2">
        <f ca="1">IFERROR(__xludf.DUMMYFUNCTION("IMPORTRANGE(""https://docs.google.com/spreadsheets/d/13wPX838HrBrQMCywv1BsuMkt4PEKTChp52zj44s2izQ/edit?usp=sharing"",""กาญจนบุรี!L621"")+IMPORTRANGE(""https://docs.google.com/spreadsheets/d/1ddFKvqj1W1NEiWytbGlB1zMx_ykJDVtmfEQ-6-lIUBA/edit?usp=sharing"","&amp;"""จันทบุรี!L621"")+IMPORTRANGE(""https://docs.google.com/spreadsheets/d/1T1PQvRODqOBZk8BRht_U031fIS1beLA0Ub2CEytj2q0/edit?usp=sharing"",""ฉะเชิงเทรา!L621"")+IMPORTRANGE(""https://docs.google.com/spreadsheets/d/11tr1B-Bhyr79v2bkwVh5h_fR-PStkgjlZtkrZpYurG0/"&amp;"edit?usp=sharing"",""ชลบุรี!L621"")+IMPORTRANGE(""https://docs.google.com/spreadsheets/d/1hh-FVnSX0vozXhGluamEcS54Dw9_zqW0N7qJUWgJ0Sw/edit?usp=sharing"",""ชัยนาท!L621"")+IMPORTRANGE(""https://docs.google.com/spreadsheets/d/1jkqa6GXxSacMcY1eN8AHjMNJ_7dDXMJ"&amp;"VRLDlaFSOdPM/edit?usp=sharing"",""ตราด!L621"")+IMPORTRANGE(""https://docs.google.com/spreadsheets/d/18hSgUJ3VwClqi_qtULmmW3cLr0oe3OKaSYoKzdpTsYQ/edit?usp=sharing"",""นครนายก!L621"")+IMPORTRANGE(""https://docs.google.com/spreadsheets/d/1YTZo6WM2dQ6Ix6FSdnL"&amp;"5P7uVnVKu40sxZu975tgG10E/edit?usp=sharing"",""นครปฐม!L621"")+IMPORTRANGE(""https://docs.google.com/spreadsheets/d/1OYoGg4WDg5RIzwGeB10padOxJF9E_Vljuvvct_M7RDo/edit?usp=sharing"",""ปทุมธานี!L621"")+IMPORTRANGE(""https://docs.google.com/spreadsheets/d/1GbCI"&amp;"E4D4wk9FUozzqk7SxfDMxDVBwVmI5zcaVUSzKAc/edit?usp=sharing"",""ประจวบคีรีขันธ์!L621"")+IMPORTRANGE(""https://docs.google.com/spreadsheets/d/1vVf6wykvW_lAyu7Yo9L4hUTqHqIeP_qcVuxCtosJEbg/edit?usp=sharing"",""ปราจีนบุรี!L621"")+IMPORTRANGE(""https://docs.googl"&amp;"e.com/spreadsheets/d/1BIDqLLg5jk3v59G8NlR8rk5xfQDKne0sAvZHSj7TI6I/edit?usp=sharing"",""พระนครศรีอยุธยา!L621"")+IMPORTRANGE(""https://docs.google.com/spreadsheets/d/1YXvxf8Yu6_rV4hTBrwMqAcAnv6DfhUxh5emyM3CJp_w/edit?usp=sharing"",""เพชรบุรี!L621"")+IMPORTRA"&amp;"NGE(""https://docs.google.com/spreadsheets/d/19KBlQQs7uwvsao6t2n-KvW3Ax8J8uRRfZPq1zPbXgKc/edit?usp=sharing"",""ระยอง!L621"")+IMPORTRANGE(""https://docs.google.com/spreadsheets/d/1jQ6P4QcrGM89YfqcC_PxOHGCMq5ezhucwJd8ci-NHng/edit?usp=sharing"",""ราชบุรี!L62"&amp;"1"")+IMPORTRANGE(""https://docs.google.com/spreadsheets/d/1lufeA2cfFqM-elVq2hznhDzC6Pr7wkJ9ZG_sYNGCMCU/edit?usp=sharing"",""ลพบุรี!L621"")+IMPORTRANGE(""https://docs.google.com/spreadsheets/d/10oOiF7loTyfsTkbd4MpaIm0HQ9SwB7IYHdIUvt-U1Uc/edit?usp=sharing"""&amp;",""สระแก้ว!L621"")+IMPORTRANGE(""https://docs.google.com/spreadsheets/d/1xmPlrr1QbdSIKvl1dWUl9K4PjAfSL9oeMr_37QVzcxc/edit?usp=sharing"",""สระบุรี!L621"")+IMPORTRANGE(""https://docs.google.com/spreadsheets/d/1j51vR6CYVGhABJpv6tkstgok82RLpXieLzW1yOY5rHw/edi"&amp;"t?usp=sharing"",""สิงห์บุรี!L621"")+IMPORTRANGE(""https://docs.google.com/spreadsheets/d/1H1EalTWKUSzO4Z1-1CwzoDUaVffgrThEBe2sl74kKG0/edit?usp=sharing"",""สุพรรณบุรี!L621"")+IMPORTRANGE(""https://docs.google.com/spreadsheets/d/1BmIruG_sIrJLYao_Pdr7zVArWsf"&amp;"oBt2692TMi6x_854/edit?usp=sharing"",""อ่างทอง!L621"")"),0)</f>
        <v>0</v>
      </c>
      <c r="M621" s="72">
        <f ca="1">IFERROR(__xludf.DUMMYFUNCTION("IMPORTRANGE(""https://docs.google.com/spreadsheets/d/13wPX838HrBrQMCywv1BsuMkt4PEKTChp52zj44s2izQ/edit?usp=sharing"",""กาญจนบุรี!M621"")+IMPORTRANGE(""https://docs.google.com/spreadsheets/d/1ddFKvqj1W1NEiWytbGlB1zMx_ykJDVtmfEQ-6-lIUBA/edit?usp=sharing"","&amp;"""จันทบุรี!M621"")+IMPORTRANGE(""https://docs.google.com/spreadsheets/d/1T1PQvRODqOBZk8BRht_U031fIS1beLA0Ub2CEytj2q0/edit?usp=sharing"",""ฉะเชิงเทรา!M621"")+IMPORTRANGE(""https://docs.google.com/spreadsheets/d/11tr1B-Bhyr79v2bkwVh5h_fR-PStkgjlZtkrZpYurG0/"&amp;"edit?usp=sharing"",""ชลบุรี!M621"")+IMPORTRANGE(""https://docs.google.com/spreadsheets/d/1hh-FVnSX0vozXhGluamEcS54Dw9_zqW0N7qJUWgJ0Sw/edit?usp=sharing"",""ชัยนาท!M621"")+IMPORTRANGE(""https://docs.google.com/spreadsheets/d/1jkqa6GXxSacMcY1eN8AHjMNJ_7dDXMJ"&amp;"VRLDlaFSOdPM/edit?usp=sharing"",""ตราด!M621"")+IMPORTRANGE(""https://docs.google.com/spreadsheets/d/18hSgUJ3VwClqi_qtULmmW3cLr0oe3OKaSYoKzdpTsYQ/edit?usp=sharing"",""นครนายก!M621"")+IMPORTRANGE(""https://docs.google.com/spreadsheets/d/1YTZo6WM2dQ6Ix6FSdnL"&amp;"5P7uVnVKu40sxZu975tgG10E/edit?usp=sharing"",""นครปฐม!M621"")+IMPORTRANGE(""https://docs.google.com/spreadsheets/d/1OYoGg4WDg5RIzwGeB10padOxJF9E_Vljuvvct_M7RDo/edit?usp=sharing"",""ปทุมธานี!M621"")+IMPORTRANGE(""https://docs.google.com/spreadsheets/d/1GbCI"&amp;"E4D4wk9FUozzqk7SxfDMxDVBwVmI5zcaVUSzKAc/edit?usp=sharing"",""ประจวบคีรีขันธ์!M621"")+IMPORTRANGE(""https://docs.google.com/spreadsheets/d/1vVf6wykvW_lAyu7Yo9L4hUTqHqIeP_qcVuxCtosJEbg/edit?usp=sharing"",""ปราจีนบุรี!M621"")+IMPORTRANGE(""https://docs.googl"&amp;"e.com/spreadsheets/d/1BIDqLLg5jk3v59G8NlR8rk5xfQDKne0sAvZHSj7TI6I/edit?usp=sharing"",""พระนครศรีอยุธยา!M621"")+IMPORTRANGE(""https://docs.google.com/spreadsheets/d/1YXvxf8Yu6_rV4hTBrwMqAcAnv6DfhUxh5emyM3CJp_w/edit?usp=sharing"",""เพชรบุรี!M621"")+IMPORTRA"&amp;"NGE(""https://docs.google.com/spreadsheets/d/19KBlQQs7uwvsao6t2n-KvW3Ax8J8uRRfZPq1zPbXgKc/edit?usp=sharing"",""ระยอง!M621"")+IMPORTRANGE(""https://docs.google.com/spreadsheets/d/1jQ6P4QcrGM89YfqcC_PxOHGCMq5ezhucwJd8ci-NHng/edit?usp=sharing"",""ราชบุรี!M62"&amp;"1"")+IMPORTRANGE(""https://docs.google.com/spreadsheets/d/1lufeA2cfFqM-elVq2hznhDzC6Pr7wkJ9ZG_sYNGCMCU/edit?usp=sharing"",""ลพบุรี!M621"")+IMPORTRANGE(""https://docs.google.com/spreadsheets/d/10oOiF7loTyfsTkbd4MpaIm0HQ9SwB7IYHdIUvt-U1Uc/edit?usp=sharing"""&amp;",""สระแก้ว!M621"")+IMPORTRANGE(""https://docs.google.com/spreadsheets/d/1xmPlrr1QbdSIKvl1dWUl9K4PjAfSL9oeMr_37QVzcxc/edit?usp=sharing"",""สระบุรี!M621"")+IMPORTRANGE(""https://docs.google.com/spreadsheets/d/1j51vR6CYVGhABJpv6tkstgok82RLpXieLzW1yOY5rHw/edi"&amp;"t?usp=sharing"",""สิงห์บุรี!M621"")+IMPORTRANGE(""https://docs.google.com/spreadsheets/d/1H1EalTWKUSzO4Z1-1CwzoDUaVffgrThEBe2sl74kKG0/edit?usp=sharing"",""สุพรรณบุรี!M621"")+IMPORTRANGE(""https://docs.google.com/spreadsheets/d/1BmIruG_sIrJLYao_Pdr7zVArWsf"&amp;"oBt2692TMi6x_854/edit?usp=sharing"",""อ่างทอง!M621"")"),0)</f>
        <v>0</v>
      </c>
      <c r="N621" s="72">
        <f ca="1">IFERROR(__xludf.DUMMYFUNCTION("IMPORTRANGE(""https://docs.google.com/spreadsheets/d/13wPX838HrBrQMCywv1BsuMkt4PEKTChp52zj44s2izQ/edit?usp=sharing"",""กาญจนบุรี!N621"")+IMPORTRANGE(""https://docs.google.com/spreadsheets/d/1ddFKvqj1W1NEiWytbGlB1zMx_ykJDVtmfEQ-6-lIUBA/edit?usp=sharing"","&amp;"""จันทบุรี!N621"")+IMPORTRANGE(""https://docs.google.com/spreadsheets/d/1T1PQvRODqOBZk8BRht_U031fIS1beLA0Ub2CEytj2q0/edit?usp=sharing"",""ฉะเชิงเทรา!N621"")+IMPORTRANGE(""https://docs.google.com/spreadsheets/d/11tr1B-Bhyr79v2bkwVh5h_fR-PStkgjlZtkrZpYurG0/"&amp;"edit?usp=sharing"",""ชลบุรี!N621"")+IMPORTRANGE(""https://docs.google.com/spreadsheets/d/1hh-FVnSX0vozXhGluamEcS54Dw9_zqW0N7qJUWgJ0Sw/edit?usp=sharing"",""ชัยนาท!N621"")+IMPORTRANGE(""https://docs.google.com/spreadsheets/d/1jkqa6GXxSacMcY1eN8AHjMNJ_7dDXMJ"&amp;"VRLDlaFSOdPM/edit?usp=sharing"",""ตราด!N621"")+IMPORTRANGE(""https://docs.google.com/spreadsheets/d/18hSgUJ3VwClqi_qtULmmW3cLr0oe3OKaSYoKzdpTsYQ/edit?usp=sharing"",""นครนายก!N621"")+IMPORTRANGE(""https://docs.google.com/spreadsheets/d/1YTZo6WM2dQ6Ix6FSdnL"&amp;"5P7uVnVKu40sxZu975tgG10E/edit?usp=sharing"",""นครปฐม!N621"")+IMPORTRANGE(""https://docs.google.com/spreadsheets/d/1OYoGg4WDg5RIzwGeB10padOxJF9E_Vljuvvct_M7RDo/edit?usp=sharing"",""ปทุมธานี!N621"")+IMPORTRANGE(""https://docs.google.com/spreadsheets/d/1GbCI"&amp;"E4D4wk9FUozzqk7SxfDMxDVBwVmI5zcaVUSzKAc/edit?usp=sharing"",""ประจวบคีรีขันธ์!N621"")+IMPORTRANGE(""https://docs.google.com/spreadsheets/d/1vVf6wykvW_lAyu7Yo9L4hUTqHqIeP_qcVuxCtosJEbg/edit?usp=sharing"",""ปราจีนบุรี!N621"")+IMPORTRANGE(""https://docs.googl"&amp;"e.com/spreadsheets/d/1BIDqLLg5jk3v59G8NlR8rk5xfQDKne0sAvZHSj7TI6I/edit?usp=sharing"",""พระนครศรีอยุธยา!N621"")+IMPORTRANGE(""https://docs.google.com/spreadsheets/d/1YXvxf8Yu6_rV4hTBrwMqAcAnv6DfhUxh5emyM3CJp_w/edit?usp=sharing"",""เพชรบุรี!N621"")+IMPORTRA"&amp;"NGE(""https://docs.google.com/spreadsheets/d/19KBlQQs7uwvsao6t2n-KvW3Ax8J8uRRfZPq1zPbXgKc/edit?usp=sharing"",""ระยอง!N621"")+IMPORTRANGE(""https://docs.google.com/spreadsheets/d/1jQ6P4QcrGM89YfqcC_PxOHGCMq5ezhucwJd8ci-NHng/edit?usp=sharing"",""ราชบุรี!N62"&amp;"1"")+IMPORTRANGE(""https://docs.google.com/spreadsheets/d/1lufeA2cfFqM-elVq2hznhDzC6Pr7wkJ9ZG_sYNGCMCU/edit?usp=sharing"",""ลพบุรี!N621"")+IMPORTRANGE(""https://docs.google.com/spreadsheets/d/10oOiF7loTyfsTkbd4MpaIm0HQ9SwB7IYHdIUvt-U1Uc/edit?usp=sharing"""&amp;",""สระแก้ว!N621"")+IMPORTRANGE(""https://docs.google.com/spreadsheets/d/1xmPlrr1QbdSIKvl1dWUl9K4PjAfSL9oeMr_37QVzcxc/edit?usp=sharing"",""สระบุรี!N621"")+IMPORTRANGE(""https://docs.google.com/spreadsheets/d/1j51vR6CYVGhABJpv6tkstgok82RLpXieLzW1yOY5rHw/edi"&amp;"t?usp=sharing"",""สิงห์บุรี!N621"")+IMPORTRANGE(""https://docs.google.com/spreadsheets/d/1H1EalTWKUSzO4Z1-1CwzoDUaVffgrThEBe2sl74kKG0/edit?usp=sharing"",""สุพรรณบุรี!N621"")+IMPORTRANGE(""https://docs.google.com/spreadsheets/d/1BmIruG_sIrJLYao_Pdr7zVArWsf"&amp;"oBt2692TMi6x_854/edit?usp=sharing"",""อ่างทอง!N621"")"),0)</f>
        <v>0</v>
      </c>
      <c r="O621" s="72">
        <f t="shared" ca="1" si="431"/>
        <v>0</v>
      </c>
      <c r="P621" s="72">
        <f t="shared" ca="1" si="432"/>
        <v>0</v>
      </c>
      <c r="Q621" s="129">
        <f ca="1">IFERROR(__xludf.DUMMYFUNCTION("IMPORTRANGE(""https://docs.google.com/spreadsheets/d/13wPX838HrBrQMCywv1BsuMkt4PEKTChp52zj44s2izQ/edit?usp=sharing"",""กาญจนบุรี!Q621"")+IMPORTRANGE(""https://docs.google.com/spreadsheets/d/1ddFKvqj1W1NEiWytbGlB1zMx_ykJDVtmfEQ-6-lIUBA/edit?usp=sharing"","&amp;"""จันทบุรี!Q621"")+IMPORTRANGE(""https://docs.google.com/spreadsheets/d/1T1PQvRODqOBZk8BRht_U031fIS1beLA0Ub2CEytj2q0/edit?usp=sharing"",""ฉะเชิงเทรา!Q621"")+IMPORTRANGE(""https://docs.google.com/spreadsheets/d/11tr1B-Bhyr79v2bkwVh5h_fR-PStkgjlZtkrZpYurG0/"&amp;"edit?usp=sharing"",""ชลบุรี!Q621"")+IMPORTRANGE(""https://docs.google.com/spreadsheets/d/1hh-FVnSX0vozXhGluamEcS54Dw9_zqW0N7qJUWgJ0Sw/edit?usp=sharing"",""ชัยนาท!Q621"")+IMPORTRANGE(""https://docs.google.com/spreadsheets/d/1jkqa6GXxSacMcY1eN8AHjMNJ_7dDXMJ"&amp;"VRLDlaFSOdPM/edit?usp=sharing"",""ตราด!Q621"")+IMPORTRANGE(""https://docs.google.com/spreadsheets/d/18hSgUJ3VwClqi_qtULmmW3cLr0oe3OKaSYoKzdpTsYQ/edit?usp=sharing"",""นครนายก!Q621"")+IMPORTRANGE(""https://docs.google.com/spreadsheets/d/1YTZo6WM2dQ6Ix6FSdnL"&amp;"5P7uVnVKu40sxZu975tgG10E/edit?usp=sharing"",""นครปฐม!Q621"")+IMPORTRANGE(""https://docs.google.com/spreadsheets/d/1OYoGg4WDg5RIzwGeB10padOxJF9E_Vljuvvct_M7RDo/edit?usp=sharing"",""ปทุมธานี!Q621"")+IMPORTRANGE(""https://docs.google.com/spreadsheets/d/1GbCI"&amp;"E4D4wk9FUozzqk7SxfDMxDVBwVmI5zcaVUSzKAc/edit?usp=sharing"",""ประจวบคีรีขันธ์!Q621"")+IMPORTRANGE(""https://docs.google.com/spreadsheets/d/1vVf6wykvW_lAyu7Yo9L4hUTqHqIeP_qcVuxCtosJEbg/edit?usp=sharing"",""ปราจีนบุรี!Q621"")+IMPORTRANGE(""https://docs.googl"&amp;"e.com/spreadsheets/d/1BIDqLLg5jk3v59G8NlR8rk5xfQDKne0sAvZHSj7TI6I/edit?usp=sharing"",""พระนครศรีอยุธยา!Q621"")+IMPORTRANGE(""https://docs.google.com/spreadsheets/d/1YXvxf8Yu6_rV4hTBrwMqAcAnv6DfhUxh5emyM3CJp_w/edit?usp=sharing"",""เพชรบุรี!Q621"")+IMPORTRA"&amp;"NGE(""https://docs.google.com/spreadsheets/d/19KBlQQs7uwvsao6t2n-KvW3Ax8J8uRRfZPq1zPbXgKc/edit?usp=sharing"",""ระยอง!Q621"")+IMPORTRANGE(""https://docs.google.com/spreadsheets/d/1jQ6P4QcrGM89YfqcC_PxOHGCMq5ezhucwJd8ci-NHng/edit?usp=sharing"",""ราชบุรี!Q62"&amp;"1"")+IMPORTRANGE(""https://docs.google.com/spreadsheets/d/1lufeA2cfFqM-elVq2hznhDzC6Pr7wkJ9ZG_sYNGCMCU/edit?usp=sharing"",""ลพบุรี!Q621"")+IMPORTRANGE(""https://docs.google.com/spreadsheets/d/10oOiF7loTyfsTkbd4MpaIm0HQ9SwB7IYHdIUvt-U1Uc/edit?usp=sharing"""&amp;",""สระแก้ว!Q621"")+IMPORTRANGE(""https://docs.google.com/spreadsheets/d/1xmPlrr1QbdSIKvl1dWUl9K4PjAfSL9oeMr_37QVzcxc/edit?usp=sharing"",""สระบุรี!Q621"")+IMPORTRANGE(""https://docs.google.com/spreadsheets/d/1j51vR6CYVGhABJpv6tkstgok82RLpXieLzW1yOY5rHw/edi"&amp;"t?usp=sharing"",""สิงห์บุรี!Q621"")+IMPORTRANGE(""https://docs.google.com/spreadsheets/d/1H1EalTWKUSzO4Z1-1CwzoDUaVffgrThEBe2sl74kKG0/edit?usp=sharing"",""สุพรรณบุรี!Q621"")+IMPORTRANGE(""https://docs.google.com/spreadsheets/d/1BmIruG_sIrJLYao_Pdr7zVArWsf"&amp;"oBt2692TMi6x_854/edit?usp=sharing"",""อ่างทอง!Q621"")"),143975)</f>
        <v>143975</v>
      </c>
      <c r="R621" s="130">
        <f ca="1">IFERROR(__xludf.DUMMYFUNCTION("IMPORTRANGE(""https://docs.google.com/spreadsheets/d/13wPX838HrBrQMCywv1BsuMkt4PEKTChp52zj44s2izQ/edit?usp=sharing"",""กาญจนบุรี!R621"")+IMPORTRANGE(""https://docs.google.com/spreadsheets/d/1ddFKvqj1W1NEiWytbGlB1zMx_ykJDVtmfEQ-6-lIUBA/edit?usp=sharing"","&amp;"""จันทบุรี!R621"")+IMPORTRANGE(""https://docs.google.com/spreadsheets/d/1T1PQvRODqOBZk8BRht_U031fIS1beLA0Ub2CEytj2q0/edit?usp=sharing"",""ฉะเชิงเทรา!R621"")+IMPORTRANGE(""https://docs.google.com/spreadsheets/d/11tr1B-Bhyr79v2bkwVh5h_fR-PStkgjlZtkrZpYurG0/"&amp;"edit?usp=sharing"",""ชลบุรี!R621"")+IMPORTRANGE(""https://docs.google.com/spreadsheets/d/1hh-FVnSX0vozXhGluamEcS54Dw9_zqW0N7qJUWgJ0Sw/edit?usp=sharing"",""ชัยนาท!R621"")+IMPORTRANGE(""https://docs.google.com/spreadsheets/d/1jkqa6GXxSacMcY1eN8AHjMNJ_7dDXMJ"&amp;"VRLDlaFSOdPM/edit?usp=sharing"",""ตราด!R621"")+IMPORTRANGE(""https://docs.google.com/spreadsheets/d/18hSgUJ3VwClqi_qtULmmW3cLr0oe3OKaSYoKzdpTsYQ/edit?usp=sharing"",""นครนายก!R621"")+IMPORTRANGE(""https://docs.google.com/spreadsheets/d/1YTZo6WM2dQ6Ix6FSdnL"&amp;"5P7uVnVKu40sxZu975tgG10E/edit?usp=sharing"",""นครปฐม!R621"")+IMPORTRANGE(""https://docs.google.com/spreadsheets/d/1OYoGg4WDg5RIzwGeB10padOxJF9E_Vljuvvct_M7RDo/edit?usp=sharing"",""ปทุมธานี!R621"")+IMPORTRANGE(""https://docs.google.com/spreadsheets/d/1GbCI"&amp;"E4D4wk9FUozzqk7SxfDMxDVBwVmI5zcaVUSzKAc/edit?usp=sharing"",""ประจวบคีรีขันธ์!R621"")+IMPORTRANGE(""https://docs.google.com/spreadsheets/d/1vVf6wykvW_lAyu7Yo9L4hUTqHqIeP_qcVuxCtosJEbg/edit?usp=sharing"",""ปราจีนบุรี!R621"")+IMPORTRANGE(""https://docs.googl"&amp;"e.com/spreadsheets/d/1BIDqLLg5jk3v59G8NlR8rk5xfQDKne0sAvZHSj7TI6I/edit?usp=sharing"",""พระนครศรีอยุธยา!R621"")+IMPORTRANGE(""https://docs.google.com/spreadsheets/d/1YXvxf8Yu6_rV4hTBrwMqAcAnv6DfhUxh5emyM3CJp_w/edit?usp=sharing"",""เพชรบุรี!R621"")+IMPORTRA"&amp;"NGE(""https://docs.google.com/spreadsheets/d/19KBlQQs7uwvsao6t2n-KvW3Ax8J8uRRfZPq1zPbXgKc/edit?usp=sharing"",""ระยอง!R621"")+IMPORTRANGE(""https://docs.google.com/spreadsheets/d/1jQ6P4QcrGM89YfqcC_PxOHGCMq5ezhucwJd8ci-NHng/edit?usp=sharing"",""ราชบุรี!R62"&amp;"1"")+IMPORTRANGE(""https://docs.google.com/spreadsheets/d/1lufeA2cfFqM-elVq2hznhDzC6Pr7wkJ9ZG_sYNGCMCU/edit?usp=sharing"",""ลพบุรี!R621"")+IMPORTRANGE(""https://docs.google.com/spreadsheets/d/10oOiF7loTyfsTkbd4MpaIm0HQ9SwB7IYHdIUvt-U1Uc/edit?usp=sharing"""&amp;",""สระแก้ว!R621"")+IMPORTRANGE(""https://docs.google.com/spreadsheets/d/1xmPlrr1QbdSIKvl1dWUl9K4PjAfSL9oeMr_37QVzcxc/edit?usp=sharing"",""สระบุรี!R621"")+IMPORTRANGE(""https://docs.google.com/spreadsheets/d/1j51vR6CYVGhABJpv6tkstgok82RLpXieLzW1yOY5rHw/edi"&amp;"t?usp=sharing"",""สิงห์บุรี!R621"")+IMPORTRANGE(""https://docs.google.com/spreadsheets/d/1H1EalTWKUSzO4Z1-1CwzoDUaVffgrThEBe2sl74kKG0/edit?usp=sharing"",""สุพรรณบุรี!R621"")+IMPORTRANGE(""https://docs.google.com/spreadsheets/d/1BmIruG_sIrJLYao_Pdr7zVArWsf"&amp;"oBt2692TMi6x_854/edit?usp=sharing"",""อ่างทอง!R621"")"),151975)</f>
        <v>151975</v>
      </c>
      <c r="S621" s="130">
        <f ca="1">IFERROR(__xludf.DUMMYFUNCTION("IMPORTRANGE(""https://docs.google.com/spreadsheets/d/13wPX838HrBrQMCywv1BsuMkt4PEKTChp52zj44s2izQ/edit?usp=sharing"",""กาญจนบุรี!S621"")+IMPORTRANGE(""https://docs.google.com/spreadsheets/d/1ddFKvqj1W1NEiWytbGlB1zMx_ykJDVtmfEQ-6-lIUBA/edit?usp=sharing"","&amp;"""จันทบุรี!S621"")+IMPORTRANGE(""https://docs.google.com/spreadsheets/d/1T1PQvRODqOBZk8BRht_U031fIS1beLA0Ub2CEytj2q0/edit?usp=sharing"",""ฉะเชิงเทรา!S621"")+IMPORTRANGE(""https://docs.google.com/spreadsheets/d/11tr1B-Bhyr79v2bkwVh5h_fR-PStkgjlZtkrZpYurG0/"&amp;"edit?usp=sharing"",""ชลบุรี!S621"")+IMPORTRANGE(""https://docs.google.com/spreadsheets/d/1hh-FVnSX0vozXhGluamEcS54Dw9_zqW0N7qJUWgJ0Sw/edit?usp=sharing"",""ชัยนาท!S621"")+IMPORTRANGE(""https://docs.google.com/spreadsheets/d/1jkqa6GXxSacMcY1eN8AHjMNJ_7dDXMJ"&amp;"VRLDlaFSOdPM/edit?usp=sharing"",""ตราด!S621"")+IMPORTRANGE(""https://docs.google.com/spreadsheets/d/18hSgUJ3VwClqi_qtULmmW3cLr0oe3OKaSYoKzdpTsYQ/edit?usp=sharing"",""นครนายก!S621"")+IMPORTRANGE(""https://docs.google.com/spreadsheets/d/1YTZo6WM2dQ6Ix6FSdnL"&amp;"5P7uVnVKu40sxZu975tgG10E/edit?usp=sharing"",""นครปฐม!S621"")+IMPORTRANGE(""https://docs.google.com/spreadsheets/d/1OYoGg4WDg5RIzwGeB10padOxJF9E_Vljuvvct_M7RDo/edit?usp=sharing"",""ปทุมธานี!S621"")+IMPORTRANGE(""https://docs.google.com/spreadsheets/d/1GbCI"&amp;"E4D4wk9FUozzqk7SxfDMxDVBwVmI5zcaVUSzKAc/edit?usp=sharing"",""ประจวบคีรีขันธ์!S621"")+IMPORTRANGE(""https://docs.google.com/spreadsheets/d/1vVf6wykvW_lAyu7Yo9L4hUTqHqIeP_qcVuxCtosJEbg/edit?usp=sharing"",""ปราจีนบุรี!S621"")+IMPORTRANGE(""https://docs.googl"&amp;"e.com/spreadsheets/d/1BIDqLLg5jk3v59G8NlR8rk5xfQDKne0sAvZHSj7TI6I/edit?usp=sharing"",""พระนครศรีอยุธยา!S621"")+IMPORTRANGE(""https://docs.google.com/spreadsheets/d/1YXvxf8Yu6_rV4hTBrwMqAcAnv6DfhUxh5emyM3CJp_w/edit?usp=sharing"",""เพชรบุรี!S621"")+IMPORTRA"&amp;"NGE(""https://docs.google.com/spreadsheets/d/19KBlQQs7uwvsao6t2n-KvW3Ax8J8uRRfZPq1zPbXgKc/edit?usp=sharing"",""ระยอง!S621"")+IMPORTRANGE(""https://docs.google.com/spreadsheets/d/1jQ6P4QcrGM89YfqcC_PxOHGCMq5ezhucwJd8ci-NHng/edit?usp=sharing"",""ราชบุรี!S62"&amp;"1"")+IMPORTRANGE(""https://docs.google.com/spreadsheets/d/1lufeA2cfFqM-elVq2hznhDzC6Pr7wkJ9ZG_sYNGCMCU/edit?usp=sharing"",""ลพบุรี!S621"")+IMPORTRANGE(""https://docs.google.com/spreadsheets/d/10oOiF7loTyfsTkbd4MpaIm0HQ9SwB7IYHdIUvt-U1Uc/edit?usp=sharing"""&amp;",""สระแก้ว!S621"")+IMPORTRANGE(""https://docs.google.com/spreadsheets/d/1xmPlrr1QbdSIKvl1dWUl9K4PjAfSL9oeMr_37QVzcxc/edit?usp=sharing"",""สระบุรี!S621"")+IMPORTRANGE(""https://docs.google.com/spreadsheets/d/1j51vR6CYVGhABJpv6tkstgok82RLpXieLzW1yOY5rHw/edi"&amp;"t?usp=sharing"",""สิงห์บุรี!S621"")+IMPORTRANGE(""https://docs.google.com/spreadsheets/d/1H1EalTWKUSzO4Z1-1CwzoDUaVffgrThEBe2sl74kKG0/edit?usp=sharing"",""สุพรรณบุรี!S621"")+IMPORTRANGE(""https://docs.google.com/spreadsheets/d/1BmIruG_sIrJLYao_Pdr7zVArWsf"&amp;"oBt2692TMi6x_854/edit?usp=sharing"",""อ่างทอง!S621"")"),23035)</f>
        <v>23035</v>
      </c>
      <c r="T621" s="130">
        <f t="shared" ca="1" si="434"/>
        <v>15.999305434971349</v>
      </c>
      <c r="U621" s="130">
        <f t="shared" ca="1" si="435"/>
        <v>15.157098206941932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 t="shared" ref="L622:N622" ca="1" si="442">L623+L624</f>
        <v>0</v>
      </c>
      <c r="M622" s="72">
        <f t="shared" ca="1" si="442"/>
        <v>0</v>
      </c>
      <c r="N622" s="72">
        <f t="shared" ca="1" si="442"/>
        <v>0</v>
      </c>
      <c r="O622" s="72">
        <f t="shared" ca="1" si="431"/>
        <v>0</v>
      </c>
      <c r="P622" s="72">
        <f t="shared" ca="1" si="432"/>
        <v>0</v>
      </c>
      <c r="Q622" s="129">
        <f t="shared" ref="Q622:S622" ca="1" si="443">Q623+Q624</f>
        <v>0</v>
      </c>
      <c r="R622" s="130">
        <f t="shared" ca="1" si="443"/>
        <v>0</v>
      </c>
      <c r="S622" s="130">
        <f t="shared" ca="1" si="443"/>
        <v>0</v>
      </c>
      <c r="T622" s="130">
        <f t="shared" ca="1" si="434"/>
        <v>0</v>
      </c>
      <c r="U622" s="130">
        <f t="shared" ca="1" si="435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f ca="1">IFERROR(__xludf.DUMMYFUNCTION("IMPORTRANGE(""https://docs.google.com/spreadsheets/d/13wPX838HrBrQMCywv1BsuMkt4PEKTChp52zj44s2izQ/edit?usp=sharing"",""กาญจนบุรี!L623"")+IMPORTRANGE(""https://docs.google.com/spreadsheets/d/1ddFKvqj1W1NEiWytbGlB1zMx_ykJDVtmfEQ-6-lIUBA/edit?usp=sharing"","&amp;"""จันทบุรี!L623"")+IMPORTRANGE(""https://docs.google.com/spreadsheets/d/1T1PQvRODqOBZk8BRht_U031fIS1beLA0Ub2CEytj2q0/edit?usp=sharing"",""ฉะเชิงเทรา!L623"")+IMPORTRANGE(""https://docs.google.com/spreadsheets/d/11tr1B-Bhyr79v2bkwVh5h_fR-PStkgjlZtkrZpYurG0/"&amp;"edit?usp=sharing"",""ชลบุรี!L623"")+IMPORTRANGE(""https://docs.google.com/spreadsheets/d/1hh-FVnSX0vozXhGluamEcS54Dw9_zqW0N7qJUWgJ0Sw/edit?usp=sharing"",""ชัยนาท!L623"")+IMPORTRANGE(""https://docs.google.com/spreadsheets/d/1jkqa6GXxSacMcY1eN8AHjMNJ_7dDXMJ"&amp;"VRLDlaFSOdPM/edit?usp=sharing"",""ตราด!L623"")+IMPORTRANGE(""https://docs.google.com/spreadsheets/d/18hSgUJ3VwClqi_qtULmmW3cLr0oe3OKaSYoKzdpTsYQ/edit?usp=sharing"",""นครนายก!L623"")+IMPORTRANGE(""https://docs.google.com/spreadsheets/d/1YTZo6WM2dQ6Ix6FSdnL"&amp;"5P7uVnVKu40sxZu975tgG10E/edit?usp=sharing"",""นครปฐม!L623"")+IMPORTRANGE(""https://docs.google.com/spreadsheets/d/1OYoGg4WDg5RIzwGeB10padOxJF9E_Vljuvvct_M7RDo/edit?usp=sharing"",""ปทุมธานี!L623"")+IMPORTRANGE(""https://docs.google.com/spreadsheets/d/1GbCI"&amp;"E4D4wk9FUozzqk7SxfDMxDVBwVmI5zcaVUSzKAc/edit?usp=sharing"",""ประจวบคีรีขันธ์!L623"")+IMPORTRANGE(""https://docs.google.com/spreadsheets/d/1vVf6wykvW_lAyu7Yo9L4hUTqHqIeP_qcVuxCtosJEbg/edit?usp=sharing"",""ปราจีนบุรี!L623"")+IMPORTRANGE(""https://docs.googl"&amp;"e.com/spreadsheets/d/1BIDqLLg5jk3v59G8NlR8rk5xfQDKne0sAvZHSj7TI6I/edit?usp=sharing"",""พระนครศรีอยุธยา!L623"")+IMPORTRANGE(""https://docs.google.com/spreadsheets/d/1YXvxf8Yu6_rV4hTBrwMqAcAnv6DfhUxh5emyM3CJp_w/edit?usp=sharing"",""เพชรบุรี!L623"")+IMPORTRA"&amp;"NGE(""https://docs.google.com/spreadsheets/d/19KBlQQs7uwvsao6t2n-KvW3Ax8J8uRRfZPq1zPbXgKc/edit?usp=sharing"",""ระยอง!L623"")+IMPORTRANGE(""https://docs.google.com/spreadsheets/d/1jQ6P4QcrGM89YfqcC_PxOHGCMq5ezhucwJd8ci-NHng/edit?usp=sharing"",""ราชบุรี!L62"&amp;"3"")+IMPORTRANGE(""https://docs.google.com/spreadsheets/d/1lufeA2cfFqM-elVq2hznhDzC6Pr7wkJ9ZG_sYNGCMCU/edit?usp=sharing"",""ลพบุรี!L623"")+IMPORTRANGE(""https://docs.google.com/spreadsheets/d/10oOiF7loTyfsTkbd4MpaIm0HQ9SwB7IYHdIUvt-U1Uc/edit?usp=sharing"""&amp;",""สระแก้ว!L623"")+IMPORTRANGE(""https://docs.google.com/spreadsheets/d/1xmPlrr1QbdSIKvl1dWUl9K4PjAfSL9oeMr_37QVzcxc/edit?usp=sharing"",""สระบุรี!L623"")+IMPORTRANGE(""https://docs.google.com/spreadsheets/d/1j51vR6CYVGhABJpv6tkstgok82RLpXieLzW1yOY5rHw/edi"&amp;"t?usp=sharing"",""สิงห์บุรี!L623"")+IMPORTRANGE(""https://docs.google.com/spreadsheets/d/1H1EalTWKUSzO4Z1-1CwzoDUaVffgrThEBe2sl74kKG0/edit?usp=sharing"",""สุพรรณบุรี!L623"")+IMPORTRANGE(""https://docs.google.com/spreadsheets/d/1BmIruG_sIrJLYao_Pdr7zVArWsf"&amp;"oBt2692TMi6x_854/edit?usp=sharing"",""อ่างทอง!L623"")"),0)</f>
        <v>0</v>
      </c>
      <c r="M623" s="75">
        <f ca="1">IFERROR(__xludf.DUMMYFUNCTION("IMPORTRANGE(""https://docs.google.com/spreadsheets/d/13wPX838HrBrQMCywv1BsuMkt4PEKTChp52zj44s2izQ/edit?usp=sharing"",""กาญจนบุรี!M623"")+IMPORTRANGE(""https://docs.google.com/spreadsheets/d/1ddFKvqj1W1NEiWytbGlB1zMx_ykJDVtmfEQ-6-lIUBA/edit?usp=sharing"","&amp;"""จันทบุรี!M623"")+IMPORTRANGE(""https://docs.google.com/spreadsheets/d/1T1PQvRODqOBZk8BRht_U031fIS1beLA0Ub2CEytj2q0/edit?usp=sharing"",""ฉะเชิงเทรา!M623"")+IMPORTRANGE(""https://docs.google.com/spreadsheets/d/11tr1B-Bhyr79v2bkwVh5h_fR-PStkgjlZtkrZpYurG0/"&amp;"edit?usp=sharing"",""ชลบุรี!M623"")+IMPORTRANGE(""https://docs.google.com/spreadsheets/d/1hh-FVnSX0vozXhGluamEcS54Dw9_zqW0N7qJUWgJ0Sw/edit?usp=sharing"",""ชัยนาท!M623"")+IMPORTRANGE(""https://docs.google.com/spreadsheets/d/1jkqa6GXxSacMcY1eN8AHjMNJ_7dDXMJ"&amp;"VRLDlaFSOdPM/edit?usp=sharing"",""ตราด!M623"")+IMPORTRANGE(""https://docs.google.com/spreadsheets/d/18hSgUJ3VwClqi_qtULmmW3cLr0oe3OKaSYoKzdpTsYQ/edit?usp=sharing"",""นครนายก!M623"")+IMPORTRANGE(""https://docs.google.com/spreadsheets/d/1YTZo6WM2dQ6Ix6FSdnL"&amp;"5P7uVnVKu40sxZu975tgG10E/edit?usp=sharing"",""นครปฐม!M623"")+IMPORTRANGE(""https://docs.google.com/spreadsheets/d/1OYoGg4WDg5RIzwGeB10padOxJF9E_Vljuvvct_M7RDo/edit?usp=sharing"",""ปทุมธานี!M623"")+IMPORTRANGE(""https://docs.google.com/spreadsheets/d/1GbCI"&amp;"E4D4wk9FUozzqk7SxfDMxDVBwVmI5zcaVUSzKAc/edit?usp=sharing"",""ประจวบคีรีขันธ์!M623"")+IMPORTRANGE(""https://docs.google.com/spreadsheets/d/1vVf6wykvW_lAyu7Yo9L4hUTqHqIeP_qcVuxCtosJEbg/edit?usp=sharing"",""ปราจีนบุรี!M623"")+IMPORTRANGE(""https://docs.googl"&amp;"e.com/spreadsheets/d/1BIDqLLg5jk3v59G8NlR8rk5xfQDKne0sAvZHSj7TI6I/edit?usp=sharing"",""พระนครศรีอยุธยา!M623"")+IMPORTRANGE(""https://docs.google.com/spreadsheets/d/1YXvxf8Yu6_rV4hTBrwMqAcAnv6DfhUxh5emyM3CJp_w/edit?usp=sharing"",""เพชรบุรี!M623"")+IMPORTRA"&amp;"NGE(""https://docs.google.com/spreadsheets/d/19KBlQQs7uwvsao6t2n-KvW3Ax8J8uRRfZPq1zPbXgKc/edit?usp=sharing"",""ระยอง!M623"")+IMPORTRANGE(""https://docs.google.com/spreadsheets/d/1jQ6P4QcrGM89YfqcC_PxOHGCMq5ezhucwJd8ci-NHng/edit?usp=sharing"",""ราชบุรี!M62"&amp;"3"")+IMPORTRANGE(""https://docs.google.com/spreadsheets/d/1lufeA2cfFqM-elVq2hznhDzC6Pr7wkJ9ZG_sYNGCMCU/edit?usp=sharing"",""ลพบุรี!M623"")+IMPORTRANGE(""https://docs.google.com/spreadsheets/d/10oOiF7loTyfsTkbd4MpaIm0HQ9SwB7IYHdIUvt-U1Uc/edit?usp=sharing"""&amp;",""สระแก้ว!M623"")+IMPORTRANGE(""https://docs.google.com/spreadsheets/d/1xmPlrr1QbdSIKvl1dWUl9K4PjAfSL9oeMr_37QVzcxc/edit?usp=sharing"",""สระบุรี!M623"")+IMPORTRANGE(""https://docs.google.com/spreadsheets/d/1j51vR6CYVGhABJpv6tkstgok82RLpXieLzW1yOY5rHw/edi"&amp;"t?usp=sharing"",""สิงห์บุรี!M623"")+IMPORTRANGE(""https://docs.google.com/spreadsheets/d/1H1EalTWKUSzO4Z1-1CwzoDUaVffgrThEBe2sl74kKG0/edit?usp=sharing"",""สุพรรณบุรี!M623"")+IMPORTRANGE(""https://docs.google.com/spreadsheets/d/1BmIruG_sIrJLYao_Pdr7zVArWsf"&amp;"oBt2692TMi6x_854/edit?usp=sharing"",""อ่างทอง!M623"")"),0)</f>
        <v>0</v>
      </c>
      <c r="N623" s="75">
        <f ca="1">IFERROR(__xludf.DUMMYFUNCTION("IMPORTRANGE(""https://docs.google.com/spreadsheets/d/13wPX838HrBrQMCywv1BsuMkt4PEKTChp52zj44s2izQ/edit?usp=sharing"",""กาญจนบุรี!N623"")+IMPORTRANGE(""https://docs.google.com/spreadsheets/d/1ddFKvqj1W1NEiWytbGlB1zMx_ykJDVtmfEQ-6-lIUBA/edit?usp=sharing"","&amp;"""จันทบุรี!N623"")+IMPORTRANGE(""https://docs.google.com/spreadsheets/d/1T1PQvRODqOBZk8BRht_U031fIS1beLA0Ub2CEytj2q0/edit?usp=sharing"",""ฉะเชิงเทรา!N623"")+IMPORTRANGE(""https://docs.google.com/spreadsheets/d/11tr1B-Bhyr79v2bkwVh5h_fR-PStkgjlZtkrZpYurG0/"&amp;"edit?usp=sharing"",""ชลบุรี!N623"")+IMPORTRANGE(""https://docs.google.com/spreadsheets/d/1hh-FVnSX0vozXhGluamEcS54Dw9_zqW0N7qJUWgJ0Sw/edit?usp=sharing"",""ชัยนาท!N623"")+IMPORTRANGE(""https://docs.google.com/spreadsheets/d/1jkqa6GXxSacMcY1eN8AHjMNJ_7dDXMJ"&amp;"VRLDlaFSOdPM/edit?usp=sharing"",""ตราด!N623"")+IMPORTRANGE(""https://docs.google.com/spreadsheets/d/18hSgUJ3VwClqi_qtULmmW3cLr0oe3OKaSYoKzdpTsYQ/edit?usp=sharing"",""นครนายก!N623"")+IMPORTRANGE(""https://docs.google.com/spreadsheets/d/1YTZo6WM2dQ6Ix6FSdnL"&amp;"5P7uVnVKu40sxZu975tgG10E/edit?usp=sharing"",""นครปฐม!N623"")+IMPORTRANGE(""https://docs.google.com/spreadsheets/d/1OYoGg4WDg5RIzwGeB10padOxJF9E_Vljuvvct_M7RDo/edit?usp=sharing"",""ปทุมธานี!N623"")+IMPORTRANGE(""https://docs.google.com/spreadsheets/d/1GbCI"&amp;"E4D4wk9FUozzqk7SxfDMxDVBwVmI5zcaVUSzKAc/edit?usp=sharing"",""ประจวบคีรีขันธ์!N623"")+IMPORTRANGE(""https://docs.google.com/spreadsheets/d/1vVf6wykvW_lAyu7Yo9L4hUTqHqIeP_qcVuxCtosJEbg/edit?usp=sharing"",""ปราจีนบุรี!N623"")+IMPORTRANGE(""https://docs.googl"&amp;"e.com/spreadsheets/d/1BIDqLLg5jk3v59G8NlR8rk5xfQDKne0sAvZHSj7TI6I/edit?usp=sharing"",""พระนครศรีอยุธยา!N623"")+IMPORTRANGE(""https://docs.google.com/spreadsheets/d/1YXvxf8Yu6_rV4hTBrwMqAcAnv6DfhUxh5emyM3CJp_w/edit?usp=sharing"",""เพชรบุรี!N623"")+IMPORTRA"&amp;"NGE(""https://docs.google.com/spreadsheets/d/19KBlQQs7uwvsao6t2n-KvW3Ax8J8uRRfZPq1zPbXgKc/edit?usp=sharing"",""ระยอง!N623"")+IMPORTRANGE(""https://docs.google.com/spreadsheets/d/1jQ6P4QcrGM89YfqcC_PxOHGCMq5ezhucwJd8ci-NHng/edit?usp=sharing"",""ราชบุรี!N62"&amp;"3"")+IMPORTRANGE(""https://docs.google.com/spreadsheets/d/1lufeA2cfFqM-elVq2hznhDzC6Pr7wkJ9ZG_sYNGCMCU/edit?usp=sharing"",""ลพบุรี!N623"")+IMPORTRANGE(""https://docs.google.com/spreadsheets/d/10oOiF7loTyfsTkbd4MpaIm0HQ9SwB7IYHdIUvt-U1Uc/edit?usp=sharing"""&amp;",""สระแก้ว!N623"")+IMPORTRANGE(""https://docs.google.com/spreadsheets/d/1xmPlrr1QbdSIKvl1dWUl9K4PjAfSL9oeMr_37QVzcxc/edit?usp=sharing"",""สระบุรี!N623"")+IMPORTRANGE(""https://docs.google.com/spreadsheets/d/1j51vR6CYVGhABJpv6tkstgok82RLpXieLzW1yOY5rHw/edi"&amp;"t?usp=sharing"",""สิงห์บุรี!N623"")+IMPORTRANGE(""https://docs.google.com/spreadsheets/d/1H1EalTWKUSzO4Z1-1CwzoDUaVffgrThEBe2sl74kKG0/edit?usp=sharing"",""สุพรรณบุรี!N623"")+IMPORTRANGE(""https://docs.google.com/spreadsheets/d/1BmIruG_sIrJLYao_Pdr7zVArWsf"&amp;"oBt2692TMi6x_854/edit?usp=sharing"",""อ่างทอง!N623"")"),0)</f>
        <v>0</v>
      </c>
      <c r="O623" s="75">
        <f t="shared" ca="1" si="431"/>
        <v>0</v>
      </c>
      <c r="P623" s="75">
        <f t="shared" ca="1" si="432"/>
        <v>0</v>
      </c>
      <c r="Q623" s="74">
        <f ca="1">IFERROR(__xludf.DUMMYFUNCTION("IMPORTRANGE(""https://docs.google.com/spreadsheets/d/13wPX838HrBrQMCywv1BsuMkt4PEKTChp52zj44s2izQ/edit?usp=sharing"",""กาญจนบุรี!Q623"")+IMPORTRANGE(""https://docs.google.com/spreadsheets/d/1ddFKvqj1W1NEiWytbGlB1zMx_ykJDVtmfEQ-6-lIUBA/edit?usp=sharing"","&amp;"""จันทบุรี!Q623"")+IMPORTRANGE(""https://docs.google.com/spreadsheets/d/1T1PQvRODqOBZk8BRht_U031fIS1beLA0Ub2CEytj2q0/edit?usp=sharing"",""ฉะเชิงเทรา!Q623"")+IMPORTRANGE(""https://docs.google.com/spreadsheets/d/11tr1B-Bhyr79v2bkwVh5h_fR-PStkgjlZtkrZpYurG0/"&amp;"edit?usp=sharing"",""ชลบุรี!Q623"")+IMPORTRANGE(""https://docs.google.com/spreadsheets/d/1hh-FVnSX0vozXhGluamEcS54Dw9_zqW0N7qJUWgJ0Sw/edit?usp=sharing"",""ชัยนาท!Q623"")+IMPORTRANGE(""https://docs.google.com/spreadsheets/d/1jkqa6GXxSacMcY1eN8AHjMNJ_7dDXMJ"&amp;"VRLDlaFSOdPM/edit?usp=sharing"",""ตราด!Q623"")+IMPORTRANGE(""https://docs.google.com/spreadsheets/d/18hSgUJ3VwClqi_qtULmmW3cLr0oe3OKaSYoKzdpTsYQ/edit?usp=sharing"",""นครนายก!Q623"")+IMPORTRANGE(""https://docs.google.com/spreadsheets/d/1YTZo6WM2dQ6Ix6FSdnL"&amp;"5P7uVnVKu40sxZu975tgG10E/edit?usp=sharing"",""นครปฐม!Q623"")+IMPORTRANGE(""https://docs.google.com/spreadsheets/d/1OYoGg4WDg5RIzwGeB10padOxJF9E_Vljuvvct_M7RDo/edit?usp=sharing"",""ปทุมธานี!Q623"")+IMPORTRANGE(""https://docs.google.com/spreadsheets/d/1GbCI"&amp;"E4D4wk9FUozzqk7SxfDMxDVBwVmI5zcaVUSzKAc/edit?usp=sharing"",""ประจวบคีรีขันธ์!Q623"")+IMPORTRANGE(""https://docs.google.com/spreadsheets/d/1vVf6wykvW_lAyu7Yo9L4hUTqHqIeP_qcVuxCtosJEbg/edit?usp=sharing"",""ปราจีนบุรี!Q623"")+IMPORTRANGE(""https://docs.googl"&amp;"e.com/spreadsheets/d/1BIDqLLg5jk3v59G8NlR8rk5xfQDKne0sAvZHSj7TI6I/edit?usp=sharing"",""พระนครศรีอยุธยา!Q623"")+IMPORTRANGE(""https://docs.google.com/spreadsheets/d/1YXvxf8Yu6_rV4hTBrwMqAcAnv6DfhUxh5emyM3CJp_w/edit?usp=sharing"",""เพชรบุรี!Q623"")+IMPORTRA"&amp;"NGE(""https://docs.google.com/spreadsheets/d/19KBlQQs7uwvsao6t2n-KvW3Ax8J8uRRfZPq1zPbXgKc/edit?usp=sharing"",""ระยอง!Q623"")+IMPORTRANGE(""https://docs.google.com/spreadsheets/d/1jQ6P4QcrGM89YfqcC_PxOHGCMq5ezhucwJd8ci-NHng/edit?usp=sharing"",""ราชบุรี!Q62"&amp;"3"")+IMPORTRANGE(""https://docs.google.com/spreadsheets/d/1lufeA2cfFqM-elVq2hznhDzC6Pr7wkJ9ZG_sYNGCMCU/edit?usp=sharing"",""ลพบุรี!Q623"")+IMPORTRANGE(""https://docs.google.com/spreadsheets/d/10oOiF7loTyfsTkbd4MpaIm0HQ9SwB7IYHdIUvt-U1Uc/edit?usp=sharing"""&amp;",""สระแก้ว!Q623"")+IMPORTRANGE(""https://docs.google.com/spreadsheets/d/1xmPlrr1QbdSIKvl1dWUl9K4PjAfSL9oeMr_37QVzcxc/edit?usp=sharing"",""สระบุรี!Q623"")+IMPORTRANGE(""https://docs.google.com/spreadsheets/d/1j51vR6CYVGhABJpv6tkstgok82RLpXieLzW1yOY5rHw/edi"&amp;"t?usp=sharing"",""สิงห์บุรี!Q623"")+IMPORTRANGE(""https://docs.google.com/spreadsheets/d/1H1EalTWKUSzO4Z1-1CwzoDUaVffgrThEBe2sl74kKG0/edit?usp=sharing"",""สุพรรณบุรี!Q623"")+IMPORTRANGE(""https://docs.google.com/spreadsheets/d/1BmIruG_sIrJLYao_Pdr7zVArWsf"&amp;"oBt2692TMi6x_854/edit?usp=sharing"",""อ่างทอง!Q623"")"),0)</f>
        <v>0</v>
      </c>
      <c r="R623" s="75">
        <f ca="1">IFERROR(__xludf.DUMMYFUNCTION("IMPORTRANGE(""https://docs.google.com/spreadsheets/d/13wPX838HrBrQMCywv1BsuMkt4PEKTChp52zj44s2izQ/edit?usp=sharing"",""กาญจนบุรี!R623"")+IMPORTRANGE(""https://docs.google.com/spreadsheets/d/1ddFKvqj1W1NEiWytbGlB1zMx_ykJDVtmfEQ-6-lIUBA/edit?usp=sharing"","&amp;"""จันทบุรี!R623"")+IMPORTRANGE(""https://docs.google.com/spreadsheets/d/1T1PQvRODqOBZk8BRht_U031fIS1beLA0Ub2CEytj2q0/edit?usp=sharing"",""ฉะเชิงเทรา!R623"")+IMPORTRANGE(""https://docs.google.com/spreadsheets/d/11tr1B-Bhyr79v2bkwVh5h_fR-PStkgjlZtkrZpYurG0/"&amp;"edit?usp=sharing"",""ชลบุรี!R623"")+IMPORTRANGE(""https://docs.google.com/spreadsheets/d/1hh-FVnSX0vozXhGluamEcS54Dw9_zqW0N7qJUWgJ0Sw/edit?usp=sharing"",""ชัยนาท!R623"")+IMPORTRANGE(""https://docs.google.com/spreadsheets/d/1jkqa6GXxSacMcY1eN8AHjMNJ_7dDXMJ"&amp;"VRLDlaFSOdPM/edit?usp=sharing"",""ตราด!R623"")+IMPORTRANGE(""https://docs.google.com/spreadsheets/d/18hSgUJ3VwClqi_qtULmmW3cLr0oe3OKaSYoKzdpTsYQ/edit?usp=sharing"",""นครนายก!R623"")+IMPORTRANGE(""https://docs.google.com/spreadsheets/d/1YTZo6WM2dQ6Ix6FSdnL"&amp;"5P7uVnVKu40sxZu975tgG10E/edit?usp=sharing"",""นครปฐม!R623"")+IMPORTRANGE(""https://docs.google.com/spreadsheets/d/1OYoGg4WDg5RIzwGeB10padOxJF9E_Vljuvvct_M7RDo/edit?usp=sharing"",""ปทุมธานี!R623"")+IMPORTRANGE(""https://docs.google.com/spreadsheets/d/1GbCI"&amp;"E4D4wk9FUozzqk7SxfDMxDVBwVmI5zcaVUSzKAc/edit?usp=sharing"",""ประจวบคีรีขันธ์!R623"")+IMPORTRANGE(""https://docs.google.com/spreadsheets/d/1vVf6wykvW_lAyu7Yo9L4hUTqHqIeP_qcVuxCtosJEbg/edit?usp=sharing"",""ปราจีนบุรี!R623"")+IMPORTRANGE(""https://docs.googl"&amp;"e.com/spreadsheets/d/1BIDqLLg5jk3v59G8NlR8rk5xfQDKne0sAvZHSj7TI6I/edit?usp=sharing"",""พระนครศรีอยุธยา!R623"")+IMPORTRANGE(""https://docs.google.com/spreadsheets/d/1YXvxf8Yu6_rV4hTBrwMqAcAnv6DfhUxh5emyM3CJp_w/edit?usp=sharing"",""เพชรบุรี!R623"")+IMPORTRA"&amp;"NGE(""https://docs.google.com/spreadsheets/d/19KBlQQs7uwvsao6t2n-KvW3Ax8J8uRRfZPq1zPbXgKc/edit?usp=sharing"",""ระยอง!R623"")+IMPORTRANGE(""https://docs.google.com/spreadsheets/d/1jQ6P4QcrGM89YfqcC_PxOHGCMq5ezhucwJd8ci-NHng/edit?usp=sharing"",""ราชบุรี!R62"&amp;"3"")+IMPORTRANGE(""https://docs.google.com/spreadsheets/d/1lufeA2cfFqM-elVq2hznhDzC6Pr7wkJ9ZG_sYNGCMCU/edit?usp=sharing"",""ลพบุรี!R623"")+IMPORTRANGE(""https://docs.google.com/spreadsheets/d/10oOiF7loTyfsTkbd4MpaIm0HQ9SwB7IYHdIUvt-U1Uc/edit?usp=sharing"""&amp;",""สระแก้ว!R623"")+IMPORTRANGE(""https://docs.google.com/spreadsheets/d/1xmPlrr1QbdSIKvl1dWUl9K4PjAfSL9oeMr_37QVzcxc/edit?usp=sharing"",""สระบุรี!R623"")+IMPORTRANGE(""https://docs.google.com/spreadsheets/d/1j51vR6CYVGhABJpv6tkstgok82RLpXieLzW1yOY5rHw/edi"&amp;"t?usp=sharing"",""สิงห์บุรี!R623"")+IMPORTRANGE(""https://docs.google.com/spreadsheets/d/1H1EalTWKUSzO4Z1-1CwzoDUaVffgrThEBe2sl74kKG0/edit?usp=sharing"",""สุพรรณบุรี!R623"")+IMPORTRANGE(""https://docs.google.com/spreadsheets/d/1BmIruG_sIrJLYao_Pdr7zVArWsf"&amp;"oBt2692TMi6x_854/edit?usp=sharing"",""อ่างทอง!R623"")"),0)</f>
        <v>0</v>
      </c>
      <c r="S623" s="75">
        <f ca="1">IFERROR(__xludf.DUMMYFUNCTION("IMPORTRANGE(""https://docs.google.com/spreadsheets/d/13wPX838HrBrQMCywv1BsuMkt4PEKTChp52zj44s2izQ/edit?usp=sharing"",""กาญจนบุรี!S623"")+IMPORTRANGE(""https://docs.google.com/spreadsheets/d/1ddFKvqj1W1NEiWytbGlB1zMx_ykJDVtmfEQ-6-lIUBA/edit?usp=sharing"","&amp;"""จันทบุรี!S623"")+IMPORTRANGE(""https://docs.google.com/spreadsheets/d/1T1PQvRODqOBZk8BRht_U031fIS1beLA0Ub2CEytj2q0/edit?usp=sharing"",""ฉะเชิงเทรา!S623"")+IMPORTRANGE(""https://docs.google.com/spreadsheets/d/11tr1B-Bhyr79v2bkwVh5h_fR-PStkgjlZtkrZpYurG0/"&amp;"edit?usp=sharing"",""ชลบุรี!S623"")+IMPORTRANGE(""https://docs.google.com/spreadsheets/d/1hh-FVnSX0vozXhGluamEcS54Dw9_zqW0N7qJUWgJ0Sw/edit?usp=sharing"",""ชัยนาท!S623"")+IMPORTRANGE(""https://docs.google.com/spreadsheets/d/1jkqa6GXxSacMcY1eN8AHjMNJ_7dDXMJ"&amp;"VRLDlaFSOdPM/edit?usp=sharing"",""ตราด!S623"")+IMPORTRANGE(""https://docs.google.com/spreadsheets/d/18hSgUJ3VwClqi_qtULmmW3cLr0oe3OKaSYoKzdpTsYQ/edit?usp=sharing"",""นครนายก!S623"")+IMPORTRANGE(""https://docs.google.com/spreadsheets/d/1YTZo6WM2dQ6Ix6FSdnL"&amp;"5P7uVnVKu40sxZu975tgG10E/edit?usp=sharing"",""นครปฐม!S623"")+IMPORTRANGE(""https://docs.google.com/spreadsheets/d/1OYoGg4WDg5RIzwGeB10padOxJF9E_Vljuvvct_M7RDo/edit?usp=sharing"",""ปทุมธานี!S623"")+IMPORTRANGE(""https://docs.google.com/spreadsheets/d/1GbCI"&amp;"E4D4wk9FUozzqk7SxfDMxDVBwVmI5zcaVUSzKAc/edit?usp=sharing"",""ประจวบคีรีขันธ์!S623"")+IMPORTRANGE(""https://docs.google.com/spreadsheets/d/1vVf6wykvW_lAyu7Yo9L4hUTqHqIeP_qcVuxCtosJEbg/edit?usp=sharing"",""ปราจีนบุรี!S623"")+IMPORTRANGE(""https://docs.googl"&amp;"e.com/spreadsheets/d/1BIDqLLg5jk3v59G8NlR8rk5xfQDKne0sAvZHSj7TI6I/edit?usp=sharing"",""พระนครศรีอยุธยา!S623"")+IMPORTRANGE(""https://docs.google.com/spreadsheets/d/1YXvxf8Yu6_rV4hTBrwMqAcAnv6DfhUxh5emyM3CJp_w/edit?usp=sharing"",""เพชรบุรี!S623"")+IMPORTRA"&amp;"NGE(""https://docs.google.com/spreadsheets/d/19KBlQQs7uwvsao6t2n-KvW3Ax8J8uRRfZPq1zPbXgKc/edit?usp=sharing"",""ระยอง!S623"")+IMPORTRANGE(""https://docs.google.com/spreadsheets/d/1jQ6P4QcrGM89YfqcC_PxOHGCMq5ezhucwJd8ci-NHng/edit?usp=sharing"",""ราชบุรี!S62"&amp;"3"")+IMPORTRANGE(""https://docs.google.com/spreadsheets/d/1lufeA2cfFqM-elVq2hznhDzC6Pr7wkJ9ZG_sYNGCMCU/edit?usp=sharing"",""ลพบุรี!S623"")+IMPORTRANGE(""https://docs.google.com/spreadsheets/d/10oOiF7loTyfsTkbd4MpaIm0HQ9SwB7IYHdIUvt-U1Uc/edit?usp=sharing"""&amp;",""สระแก้ว!S623"")+IMPORTRANGE(""https://docs.google.com/spreadsheets/d/1xmPlrr1QbdSIKvl1dWUl9K4PjAfSL9oeMr_37QVzcxc/edit?usp=sharing"",""สระบุรี!S623"")+IMPORTRANGE(""https://docs.google.com/spreadsheets/d/1j51vR6CYVGhABJpv6tkstgok82RLpXieLzW1yOY5rHw/edi"&amp;"t?usp=sharing"",""สิงห์บุรี!S623"")+IMPORTRANGE(""https://docs.google.com/spreadsheets/d/1H1EalTWKUSzO4Z1-1CwzoDUaVffgrThEBe2sl74kKG0/edit?usp=sharing"",""สุพรรณบุรี!S623"")+IMPORTRANGE(""https://docs.google.com/spreadsheets/d/1BmIruG_sIrJLYao_Pdr7zVArWsf"&amp;"oBt2692TMi6x_854/edit?usp=sharing"",""อ่างทอง!S623"")"),0)</f>
        <v>0</v>
      </c>
      <c r="T623" s="131">
        <f t="shared" ca="1" si="434"/>
        <v>0</v>
      </c>
      <c r="U623" s="131">
        <f t="shared" ca="1" si="435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f ca="1">IFERROR(__xludf.DUMMYFUNCTION("IMPORTRANGE(""https://docs.google.com/spreadsheets/d/13wPX838HrBrQMCywv1BsuMkt4PEKTChp52zj44s2izQ/edit?usp=sharing"",""กาญจนบุรี!L624"")+IMPORTRANGE(""https://docs.google.com/spreadsheets/d/1ddFKvqj1W1NEiWytbGlB1zMx_ykJDVtmfEQ-6-lIUBA/edit?usp=sharing"","&amp;"""จันทบุรี!L624"")+IMPORTRANGE(""https://docs.google.com/spreadsheets/d/1T1PQvRODqOBZk8BRht_U031fIS1beLA0Ub2CEytj2q0/edit?usp=sharing"",""ฉะเชิงเทรา!L624"")+IMPORTRANGE(""https://docs.google.com/spreadsheets/d/11tr1B-Bhyr79v2bkwVh5h_fR-PStkgjlZtkrZpYurG0/"&amp;"edit?usp=sharing"",""ชลบุรี!L624"")+IMPORTRANGE(""https://docs.google.com/spreadsheets/d/1hh-FVnSX0vozXhGluamEcS54Dw9_zqW0N7qJUWgJ0Sw/edit?usp=sharing"",""ชัยนาท!L624"")+IMPORTRANGE(""https://docs.google.com/spreadsheets/d/1jkqa6GXxSacMcY1eN8AHjMNJ_7dDXMJ"&amp;"VRLDlaFSOdPM/edit?usp=sharing"",""ตราด!L624"")+IMPORTRANGE(""https://docs.google.com/spreadsheets/d/18hSgUJ3VwClqi_qtULmmW3cLr0oe3OKaSYoKzdpTsYQ/edit?usp=sharing"",""นครนายก!L624"")+IMPORTRANGE(""https://docs.google.com/spreadsheets/d/1YTZo6WM2dQ6Ix6FSdnL"&amp;"5P7uVnVKu40sxZu975tgG10E/edit?usp=sharing"",""นครปฐม!L624"")+IMPORTRANGE(""https://docs.google.com/spreadsheets/d/1OYoGg4WDg5RIzwGeB10padOxJF9E_Vljuvvct_M7RDo/edit?usp=sharing"",""ปทุมธานี!L624"")+IMPORTRANGE(""https://docs.google.com/spreadsheets/d/1GbCI"&amp;"E4D4wk9FUozzqk7SxfDMxDVBwVmI5zcaVUSzKAc/edit?usp=sharing"",""ประจวบคีรีขันธ์!L624"")+IMPORTRANGE(""https://docs.google.com/spreadsheets/d/1vVf6wykvW_lAyu7Yo9L4hUTqHqIeP_qcVuxCtosJEbg/edit?usp=sharing"",""ปราจีนบุรี!L624"")+IMPORTRANGE(""https://docs.googl"&amp;"e.com/spreadsheets/d/1BIDqLLg5jk3v59G8NlR8rk5xfQDKne0sAvZHSj7TI6I/edit?usp=sharing"",""พระนครศรีอยุธยา!L624"")+IMPORTRANGE(""https://docs.google.com/spreadsheets/d/1YXvxf8Yu6_rV4hTBrwMqAcAnv6DfhUxh5emyM3CJp_w/edit?usp=sharing"",""เพชรบุรี!L624"")+IMPORTRA"&amp;"NGE(""https://docs.google.com/spreadsheets/d/19KBlQQs7uwvsao6t2n-KvW3Ax8J8uRRfZPq1zPbXgKc/edit?usp=sharing"",""ระยอง!L624"")+IMPORTRANGE(""https://docs.google.com/spreadsheets/d/1jQ6P4QcrGM89YfqcC_PxOHGCMq5ezhucwJd8ci-NHng/edit?usp=sharing"",""ราชบุรี!L62"&amp;"4"")+IMPORTRANGE(""https://docs.google.com/spreadsheets/d/1lufeA2cfFqM-elVq2hznhDzC6Pr7wkJ9ZG_sYNGCMCU/edit?usp=sharing"",""ลพบุรี!L624"")+IMPORTRANGE(""https://docs.google.com/spreadsheets/d/10oOiF7loTyfsTkbd4MpaIm0HQ9SwB7IYHdIUvt-U1Uc/edit?usp=sharing"""&amp;",""สระแก้ว!L624"")+IMPORTRANGE(""https://docs.google.com/spreadsheets/d/1xmPlrr1QbdSIKvl1dWUl9K4PjAfSL9oeMr_37QVzcxc/edit?usp=sharing"",""สระบุรี!L624"")+IMPORTRANGE(""https://docs.google.com/spreadsheets/d/1j51vR6CYVGhABJpv6tkstgok82RLpXieLzW1yOY5rHw/edi"&amp;"t?usp=sharing"",""สิงห์บุรี!L624"")+IMPORTRANGE(""https://docs.google.com/spreadsheets/d/1H1EalTWKUSzO4Z1-1CwzoDUaVffgrThEBe2sl74kKG0/edit?usp=sharing"",""สุพรรณบุรี!L624"")+IMPORTRANGE(""https://docs.google.com/spreadsheets/d/1BmIruG_sIrJLYao_Pdr7zVArWsf"&amp;"oBt2692TMi6x_854/edit?usp=sharing"",""อ่างทอง!L624"")"),0)</f>
        <v>0</v>
      </c>
      <c r="M624" s="72">
        <f ca="1">IFERROR(__xludf.DUMMYFUNCTION("IMPORTRANGE(""https://docs.google.com/spreadsheets/d/13wPX838HrBrQMCywv1BsuMkt4PEKTChp52zj44s2izQ/edit?usp=sharing"",""กาญจนบุรี!M624"")+IMPORTRANGE(""https://docs.google.com/spreadsheets/d/1ddFKvqj1W1NEiWytbGlB1zMx_ykJDVtmfEQ-6-lIUBA/edit?usp=sharing"","&amp;"""จันทบุรี!M624"")+IMPORTRANGE(""https://docs.google.com/spreadsheets/d/1T1PQvRODqOBZk8BRht_U031fIS1beLA0Ub2CEytj2q0/edit?usp=sharing"",""ฉะเชิงเทรา!M624"")+IMPORTRANGE(""https://docs.google.com/spreadsheets/d/11tr1B-Bhyr79v2bkwVh5h_fR-PStkgjlZtkrZpYurG0/"&amp;"edit?usp=sharing"",""ชลบุรี!M624"")+IMPORTRANGE(""https://docs.google.com/spreadsheets/d/1hh-FVnSX0vozXhGluamEcS54Dw9_zqW0N7qJUWgJ0Sw/edit?usp=sharing"",""ชัยนาท!M624"")+IMPORTRANGE(""https://docs.google.com/spreadsheets/d/1jkqa6GXxSacMcY1eN8AHjMNJ_7dDXMJ"&amp;"VRLDlaFSOdPM/edit?usp=sharing"",""ตราด!M624"")+IMPORTRANGE(""https://docs.google.com/spreadsheets/d/18hSgUJ3VwClqi_qtULmmW3cLr0oe3OKaSYoKzdpTsYQ/edit?usp=sharing"",""นครนายก!M624"")+IMPORTRANGE(""https://docs.google.com/spreadsheets/d/1YTZo6WM2dQ6Ix6FSdnL"&amp;"5P7uVnVKu40sxZu975tgG10E/edit?usp=sharing"",""นครปฐม!M624"")+IMPORTRANGE(""https://docs.google.com/spreadsheets/d/1OYoGg4WDg5RIzwGeB10padOxJF9E_Vljuvvct_M7RDo/edit?usp=sharing"",""ปทุมธานี!M624"")+IMPORTRANGE(""https://docs.google.com/spreadsheets/d/1GbCI"&amp;"E4D4wk9FUozzqk7SxfDMxDVBwVmI5zcaVUSzKAc/edit?usp=sharing"",""ประจวบคีรีขันธ์!M624"")+IMPORTRANGE(""https://docs.google.com/spreadsheets/d/1vVf6wykvW_lAyu7Yo9L4hUTqHqIeP_qcVuxCtosJEbg/edit?usp=sharing"",""ปราจีนบุรี!M624"")+IMPORTRANGE(""https://docs.googl"&amp;"e.com/spreadsheets/d/1BIDqLLg5jk3v59G8NlR8rk5xfQDKne0sAvZHSj7TI6I/edit?usp=sharing"",""พระนครศรีอยุธยา!M624"")+IMPORTRANGE(""https://docs.google.com/spreadsheets/d/1YXvxf8Yu6_rV4hTBrwMqAcAnv6DfhUxh5emyM3CJp_w/edit?usp=sharing"",""เพชรบุรี!M624"")+IMPORTRA"&amp;"NGE(""https://docs.google.com/spreadsheets/d/19KBlQQs7uwvsao6t2n-KvW3Ax8J8uRRfZPq1zPbXgKc/edit?usp=sharing"",""ระยอง!M624"")+IMPORTRANGE(""https://docs.google.com/spreadsheets/d/1jQ6P4QcrGM89YfqcC_PxOHGCMq5ezhucwJd8ci-NHng/edit?usp=sharing"",""ราชบุรี!M62"&amp;"4"")+IMPORTRANGE(""https://docs.google.com/spreadsheets/d/1lufeA2cfFqM-elVq2hznhDzC6Pr7wkJ9ZG_sYNGCMCU/edit?usp=sharing"",""ลพบุรี!M624"")+IMPORTRANGE(""https://docs.google.com/spreadsheets/d/10oOiF7loTyfsTkbd4MpaIm0HQ9SwB7IYHdIUvt-U1Uc/edit?usp=sharing"""&amp;",""สระแก้ว!M624"")+IMPORTRANGE(""https://docs.google.com/spreadsheets/d/1xmPlrr1QbdSIKvl1dWUl9K4PjAfSL9oeMr_37QVzcxc/edit?usp=sharing"",""สระบุรี!M624"")+IMPORTRANGE(""https://docs.google.com/spreadsheets/d/1j51vR6CYVGhABJpv6tkstgok82RLpXieLzW1yOY5rHw/edi"&amp;"t?usp=sharing"",""สิงห์บุรี!M624"")+IMPORTRANGE(""https://docs.google.com/spreadsheets/d/1H1EalTWKUSzO4Z1-1CwzoDUaVffgrThEBe2sl74kKG0/edit?usp=sharing"",""สุพรรณบุรี!M624"")+IMPORTRANGE(""https://docs.google.com/spreadsheets/d/1BmIruG_sIrJLYao_Pdr7zVArWsf"&amp;"oBt2692TMi6x_854/edit?usp=sharing"",""อ่างทอง!M624"")"),0)</f>
        <v>0</v>
      </c>
      <c r="N624" s="72">
        <f ca="1">IFERROR(__xludf.DUMMYFUNCTION("IMPORTRANGE(""https://docs.google.com/spreadsheets/d/13wPX838HrBrQMCywv1BsuMkt4PEKTChp52zj44s2izQ/edit?usp=sharing"",""กาญจนบุรี!N624"")+IMPORTRANGE(""https://docs.google.com/spreadsheets/d/1ddFKvqj1W1NEiWytbGlB1zMx_ykJDVtmfEQ-6-lIUBA/edit?usp=sharing"","&amp;"""จันทบุรี!N624"")+IMPORTRANGE(""https://docs.google.com/spreadsheets/d/1T1PQvRODqOBZk8BRht_U031fIS1beLA0Ub2CEytj2q0/edit?usp=sharing"",""ฉะเชิงเทรา!N624"")+IMPORTRANGE(""https://docs.google.com/spreadsheets/d/11tr1B-Bhyr79v2bkwVh5h_fR-PStkgjlZtkrZpYurG0/"&amp;"edit?usp=sharing"",""ชลบุรี!N624"")+IMPORTRANGE(""https://docs.google.com/spreadsheets/d/1hh-FVnSX0vozXhGluamEcS54Dw9_zqW0N7qJUWgJ0Sw/edit?usp=sharing"",""ชัยนาท!N624"")+IMPORTRANGE(""https://docs.google.com/spreadsheets/d/1jkqa6GXxSacMcY1eN8AHjMNJ_7dDXMJ"&amp;"VRLDlaFSOdPM/edit?usp=sharing"",""ตราด!N624"")+IMPORTRANGE(""https://docs.google.com/spreadsheets/d/18hSgUJ3VwClqi_qtULmmW3cLr0oe3OKaSYoKzdpTsYQ/edit?usp=sharing"",""นครนายก!N624"")+IMPORTRANGE(""https://docs.google.com/spreadsheets/d/1YTZo6WM2dQ6Ix6FSdnL"&amp;"5P7uVnVKu40sxZu975tgG10E/edit?usp=sharing"",""นครปฐม!N624"")+IMPORTRANGE(""https://docs.google.com/spreadsheets/d/1OYoGg4WDg5RIzwGeB10padOxJF9E_Vljuvvct_M7RDo/edit?usp=sharing"",""ปทุมธานี!N624"")+IMPORTRANGE(""https://docs.google.com/spreadsheets/d/1GbCI"&amp;"E4D4wk9FUozzqk7SxfDMxDVBwVmI5zcaVUSzKAc/edit?usp=sharing"",""ประจวบคีรีขันธ์!N624"")+IMPORTRANGE(""https://docs.google.com/spreadsheets/d/1vVf6wykvW_lAyu7Yo9L4hUTqHqIeP_qcVuxCtosJEbg/edit?usp=sharing"",""ปราจีนบุรี!N624"")+IMPORTRANGE(""https://docs.googl"&amp;"e.com/spreadsheets/d/1BIDqLLg5jk3v59G8NlR8rk5xfQDKne0sAvZHSj7TI6I/edit?usp=sharing"",""พระนครศรีอยุธยา!N624"")+IMPORTRANGE(""https://docs.google.com/spreadsheets/d/1YXvxf8Yu6_rV4hTBrwMqAcAnv6DfhUxh5emyM3CJp_w/edit?usp=sharing"",""เพชรบุรี!N624"")+IMPORTRA"&amp;"NGE(""https://docs.google.com/spreadsheets/d/19KBlQQs7uwvsao6t2n-KvW3Ax8J8uRRfZPq1zPbXgKc/edit?usp=sharing"",""ระยอง!N624"")+IMPORTRANGE(""https://docs.google.com/spreadsheets/d/1jQ6P4QcrGM89YfqcC_PxOHGCMq5ezhucwJd8ci-NHng/edit?usp=sharing"",""ราชบุรี!N62"&amp;"4"")+IMPORTRANGE(""https://docs.google.com/spreadsheets/d/1lufeA2cfFqM-elVq2hznhDzC6Pr7wkJ9ZG_sYNGCMCU/edit?usp=sharing"",""ลพบุรี!N624"")+IMPORTRANGE(""https://docs.google.com/spreadsheets/d/10oOiF7loTyfsTkbd4MpaIm0HQ9SwB7IYHdIUvt-U1Uc/edit?usp=sharing"""&amp;",""สระแก้ว!N624"")+IMPORTRANGE(""https://docs.google.com/spreadsheets/d/1xmPlrr1QbdSIKvl1dWUl9K4PjAfSL9oeMr_37QVzcxc/edit?usp=sharing"",""สระบุรี!N624"")+IMPORTRANGE(""https://docs.google.com/spreadsheets/d/1j51vR6CYVGhABJpv6tkstgok82RLpXieLzW1yOY5rHw/edi"&amp;"t?usp=sharing"",""สิงห์บุรี!N624"")+IMPORTRANGE(""https://docs.google.com/spreadsheets/d/1H1EalTWKUSzO4Z1-1CwzoDUaVffgrThEBe2sl74kKG0/edit?usp=sharing"",""สุพรรณบุรี!N624"")+IMPORTRANGE(""https://docs.google.com/spreadsheets/d/1BmIruG_sIrJLYao_Pdr7zVArWsf"&amp;"oBt2692TMi6x_854/edit?usp=sharing"",""อ่างทอง!N624"")"),0)</f>
        <v>0</v>
      </c>
      <c r="O624" s="72">
        <f t="shared" ca="1" si="431"/>
        <v>0</v>
      </c>
      <c r="P624" s="72">
        <f t="shared" ca="1" si="432"/>
        <v>0</v>
      </c>
      <c r="Q624" s="71">
        <f ca="1">IFERROR(__xludf.DUMMYFUNCTION("IMPORTRANGE(""https://docs.google.com/spreadsheets/d/13wPX838HrBrQMCywv1BsuMkt4PEKTChp52zj44s2izQ/edit?usp=sharing"",""กาญจนบุรี!Q624"")+IMPORTRANGE(""https://docs.google.com/spreadsheets/d/1ddFKvqj1W1NEiWytbGlB1zMx_ykJDVtmfEQ-6-lIUBA/edit?usp=sharing"","&amp;"""จันทบุรี!Q624"")+IMPORTRANGE(""https://docs.google.com/spreadsheets/d/1T1PQvRODqOBZk8BRht_U031fIS1beLA0Ub2CEytj2q0/edit?usp=sharing"",""ฉะเชิงเทรา!Q624"")+IMPORTRANGE(""https://docs.google.com/spreadsheets/d/11tr1B-Bhyr79v2bkwVh5h_fR-PStkgjlZtkrZpYurG0/"&amp;"edit?usp=sharing"",""ชลบุรี!Q624"")+IMPORTRANGE(""https://docs.google.com/spreadsheets/d/1hh-FVnSX0vozXhGluamEcS54Dw9_zqW0N7qJUWgJ0Sw/edit?usp=sharing"",""ชัยนาท!Q624"")+IMPORTRANGE(""https://docs.google.com/spreadsheets/d/1jkqa6GXxSacMcY1eN8AHjMNJ_7dDXMJ"&amp;"VRLDlaFSOdPM/edit?usp=sharing"",""ตราด!Q624"")+IMPORTRANGE(""https://docs.google.com/spreadsheets/d/18hSgUJ3VwClqi_qtULmmW3cLr0oe3OKaSYoKzdpTsYQ/edit?usp=sharing"",""นครนายก!Q624"")+IMPORTRANGE(""https://docs.google.com/spreadsheets/d/1YTZo6WM2dQ6Ix6FSdnL"&amp;"5P7uVnVKu40sxZu975tgG10E/edit?usp=sharing"",""นครปฐม!Q624"")+IMPORTRANGE(""https://docs.google.com/spreadsheets/d/1OYoGg4WDg5RIzwGeB10padOxJF9E_Vljuvvct_M7RDo/edit?usp=sharing"",""ปทุมธานี!Q624"")+IMPORTRANGE(""https://docs.google.com/spreadsheets/d/1GbCI"&amp;"E4D4wk9FUozzqk7SxfDMxDVBwVmI5zcaVUSzKAc/edit?usp=sharing"",""ประจวบคีรีขันธ์!Q624"")+IMPORTRANGE(""https://docs.google.com/spreadsheets/d/1vVf6wykvW_lAyu7Yo9L4hUTqHqIeP_qcVuxCtosJEbg/edit?usp=sharing"",""ปราจีนบุรี!Q624"")+IMPORTRANGE(""https://docs.googl"&amp;"e.com/spreadsheets/d/1BIDqLLg5jk3v59G8NlR8rk5xfQDKne0sAvZHSj7TI6I/edit?usp=sharing"",""พระนครศรีอยุธยา!Q624"")+IMPORTRANGE(""https://docs.google.com/spreadsheets/d/1YXvxf8Yu6_rV4hTBrwMqAcAnv6DfhUxh5emyM3CJp_w/edit?usp=sharing"",""เพชรบุรี!Q624"")+IMPORTRA"&amp;"NGE(""https://docs.google.com/spreadsheets/d/19KBlQQs7uwvsao6t2n-KvW3Ax8J8uRRfZPq1zPbXgKc/edit?usp=sharing"",""ระยอง!Q624"")+IMPORTRANGE(""https://docs.google.com/spreadsheets/d/1jQ6P4QcrGM89YfqcC_PxOHGCMq5ezhucwJd8ci-NHng/edit?usp=sharing"",""ราชบุรี!Q62"&amp;"4"")+IMPORTRANGE(""https://docs.google.com/spreadsheets/d/1lufeA2cfFqM-elVq2hznhDzC6Pr7wkJ9ZG_sYNGCMCU/edit?usp=sharing"",""ลพบุรี!Q624"")+IMPORTRANGE(""https://docs.google.com/spreadsheets/d/10oOiF7loTyfsTkbd4MpaIm0HQ9SwB7IYHdIUvt-U1Uc/edit?usp=sharing"""&amp;",""สระแก้ว!Q624"")+IMPORTRANGE(""https://docs.google.com/spreadsheets/d/1xmPlrr1QbdSIKvl1dWUl9K4PjAfSL9oeMr_37QVzcxc/edit?usp=sharing"",""สระบุรี!Q624"")+IMPORTRANGE(""https://docs.google.com/spreadsheets/d/1j51vR6CYVGhABJpv6tkstgok82RLpXieLzW1yOY5rHw/edi"&amp;"t?usp=sharing"",""สิงห์บุรี!Q624"")+IMPORTRANGE(""https://docs.google.com/spreadsheets/d/1H1EalTWKUSzO4Z1-1CwzoDUaVffgrThEBe2sl74kKG0/edit?usp=sharing"",""สุพรรณบุรี!Q624"")+IMPORTRANGE(""https://docs.google.com/spreadsheets/d/1BmIruG_sIrJLYao_Pdr7zVArWsf"&amp;"oBt2692TMi6x_854/edit?usp=sharing"",""อ่างทอง!Q624"")"),0)</f>
        <v>0</v>
      </c>
      <c r="R624" s="72">
        <f ca="1">IFERROR(__xludf.DUMMYFUNCTION("IMPORTRANGE(""https://docs.google.com/spreadsheets/d/13wPX838HrBrQMCywv1BsuMkt4PEKTChp52zj44s2izQ/edit?usp=sharing"",""กาญจนบุรี!R624"")+IMPORTRANGE(""https://docs.google.com/spreadsheets/d/1ddFKvqj1W1NEiWytbGlB1zMx_ykJDVtmfEQ-6-lIUBA/edit?usp=sharing"","&amp;"""จันทบุรี!R624"")+IMPORTRANGE(""https://docs.google.com/spreadsheets/d/1T1PQvRODqOBZk8BRht_U031fIS1beLA0Ub2CEytj2q0/edit?usp=sharing"",""ฉะเชิงเทรา!R624"")+IMPORTRANGE(""https://docs.google.com/spreadsheets/d/11tr1B-Bhyr79v2bkwVh5h_fR-PStkgjlZtkrZpYurG0/"&amp;"edit?usp=sharing"",""ชลบุรี!R624"")+IMPORTRANGE(""https://docs.google.com/spreadsheets/d/1hh-FVnSX0vozXhGluamEcS54Dw9_zqW0N7qJUWgJ0Sw/edit?usp=sharing"",""ชัยนาท!R624"")+IMPORTRANGE(""https://docs.google.com/spreadsheets/d/1jkqa6GXxSacMcY1eN8AHjMNJ_7dDXMJ"&amp;"VRLDlaFSOdPM/edit?usp=sharing"",""ตราด!R624"")+IMPORTRANGE(""https://docs.google.com/spreadsheets/d/18hSgUJ3VwClqi_qtULmmW3cLr0oe3OKaSYoKzdpTsYQ/edit?usp=sharing"",""นครนายก!R624"")+IMPORTRANGE(""https://docs.google.com/spreadsheets/d/1YTZo6WM2dQ6Ix6FSdnL"&amp;"5P7uVnVKu40sxZu975tgG10E/edit?usp=sharing"",""นครปฐม!R624"")+IMPORTRANGE(""https://docs.google.com/spreadsheets/d/1OYoGg4WDg5RIzwGeB10padOxJF9E_Vljuvvct_M7RDo/edit?usp=sharing"",""ปทุมธานี!R624"")+IMPORTRANGE(""https://docs.google.com/spreadsheets/d/1GbCI"&amp;"E4D4wk9FUozzqk7SxfDMxDVBwVmI5zcaVUSzKAc/edit?usp=sharing"",""ประจวบคีรีขันธ์!R624"")+IMPORTRANGE(""https://docs.google.com/spreadsheets/d/1vVf6wykvW_lAyu7Yo9L4hUTqHqIeP_qcVuxCtosJEbg/edit?usp=sharing"",""ปราจีนบุรี!R624"")+IMPORTRANGE(""https://docs.googl"&amp;"e.com/spreadsheets/d/1BIDqLLg5jk3v59G8NlR8rk5xfQDKne0sAvZHSj7TI6I/edit?usp=sharing"",""พระนครศรีอยุธยา!R624"")+IMPORTRANGE(""https://docs.google.com/spreadsheets/d/1YXvxf8Yu6_rV4hTBrwMqAcAnv6DfhUxh5emyM3CJp_w/edit?usp=sharing"",""เพชรบุรี!R624"")+IMPORTRA"&amp;"NGE(""https://docs.google.com/spreadsheets/d/19KBlQQs7uwvsao6t2n-KvW3Ax8J8uRRfZPq1zPbXgKc/edit?usp=sharing"",""ระยอง!R624"")+IMPORTRANGE(""https://docs.google.com/spreadsheets/d/1jQ6P4QcrGM89YfqcC_PxOHGCMq5ezhucwJd8ci-NHng/edit?usp=sharing"",""ราชบุรี!R62"&amp;"4"")+IMPORTRANGE(""https://docs.google.com/spreadsheets/d/1lufeA2cfFqM-elVq2hznhDzC6Pr7wkJ9ZG_sYNGCMCU/edit?usp=sharing"",""ลพบุรี!R624"")+IMPORTRANGE(""https://docs.google.com/spreadsheets/d/10oOiF7loTyfsTkbd4MpaIm0HQ9SwB7IYHdIUvt-U1Uc/edit?usp=sharing"""&amp;",""สระแก้ว!R624"")+IMPORTRANGE(""https://docs.google.com/spreadsheets/d/1xmPlrr1QbdSIKvl1dWUl9K4PjAfSL9oeMr_37QVzcxc/edit?usp=sharing"",""สระบุรี!R624"")+IMPORTRANGE(""https://docs.google.com/spreadsheets/d/1j51vR6CYVGhABJpv6tkstgok82RLpXieLzW1yOY5rHw/edi"&amp;"t?usp=sharing"",""สิงห์บุรี!R624"")+IMPORTRANGE(""https://docs.google.com/spreadsheets/d/1H1EalTWKUSzO4Z1-1CwzoDUaVffgrThEBe2sl74kKG0/edit?usp=sharing"",""สุพรรณบุรี!R624"")+IMPORTRANGE(""https://docs.google.com/spreadsheets/d/1BmIruG_sIrJLYao_Pdr7zVArWsf"&amp;"oBt2692TMi6x_854/edit?usp=sharing"",""อ่างทอง!R624"")"),0)</f>
        <v>0</v>
      </c>
      <c r="S624" s="72">
        <f ca="1">IFERROR(__xludf.DUMMYFUNCTION("IMPORTRANGE(""https://docs.google.com/spreadsheets/d/13wPX838HrBrQMCywv1BsuMkt4PEKTChp52zj44s2izQ/edit?usp=sharing"",""กาญจนบุรี!S624"")+IMPORTRANGE(""https://docs.google.com/spreadsheets/d/1ddFKvqj1W1NEiWytbGlB1zMx_ykJDVtmfEQ-6-lIUBA/edit?usp=sharing"","&amp;"""จันทบุรี!S624"")+IMPORTRANGE(""https://docs.google.com/spreadsheets/d/1T1PQvRODqOBZk8BRht_U031fIS1beLA0Ub2CEytj2q0/edit?usp=sharing"",""ฉะเชิงเทรา!S624"")+IMPORTRANGE(""https://docs.google.com/spreadsheets/d/11tr1B-Bhyr79v2bkwVh5h_fR-PStkgjlZtkrZpYurG0/"&amp;"edit?usp=sharing"",""ชลบุรี!S624"")+IMPORTRANGE(""https://docs.google.com/spreadsheets/d/1hh-FVnSX0vozXhGluamEcS54Dw9_zqW0N7qJUWgJ0Sw/edit?usp=sharing"",""ชัยนาท!S624"")+IMPORTRANGE(""https://docs.google.com/spreadsheets/d/1jkqa6GXxSacMcY1eN8AHjMNJ_7dDXMJ"&amp;"VRLDlaFSOdPM/edit?usp=sharing"",""ตราด!S624"")+IMPORTRANGE(""https://docs.google.com/spreadsheets/d/18hSgUJ3VwClqi_qtULmmW3cLr0oe3OKaSYoKzdpTsYQ/edit?usp=sharing"",""นครนายก!S624"")+IMPORTRANGE(""https://docs.google.com/spreadsheets/d/1YTZo6WM2dQ6Ix6FSdnL"&amp;"5P7uVnVKu40sxZu975tgG10E/edit?usp=sharing"",""นครปฐม!S624"")+IMPORTRANGE(""https://docs.google.com/spreadsheets/d/1OYoGg4WDg5RIzwGeB10padOxJF9E_Vljuvvct_M7RDo/edit?usp=sharing"",""ปทุมธานี!S624"")+IMPORTRANGE(""https://docs.google.com/spreadsheets/d/1GbCI"&amp;"E4D4wk9FUozzqk7SxfDMxDVBwVmI5zcaVUSzKAc/edit?usp=sharing"",""ประจวบคีรีขันธ์!S624"")+IMPORTRANGE(""https://docs.google.com/spreadsheets/d/1vVf6wykvW_lAyu7Yo9L4hUTqHqIeP_qcVuxCtosJEbg/edit?usp=sharing"",""ปราจีนบุรี!S624"")+IMPORTRANGE(""https://docs.googl"&amp;"e.com/spreadsheets/d/1BIDqLLg5jk3v59G8NlR8rk5xfQDKne0sAvZHSj7TI6I/edit?usp=sharing"",""พระนครศรีอยุธยา!S624"")+IMPORTRANGE(""https://docs.google.com/spreadsheets/d/1YXvxf8Yu6_rV4hTBrwMqAcAnv6DfhUxh5emyM3CJp_w/edit?usp=sharing"",""เพชรบุรี!S624"")+IMPORTRA"&amp;"NGE(""https://docs.google.com/spreadsheets/d/19KBlQQs7uwvsao6t2n-KvW3Ax8J8uRRfZPq1zPbXgKc/edit?usp=sharing"",""ระยอง!S624"")+IMPORTRANGE(""https://docs.google.com/spreadsheets/d/1jQ6P4QcrGM89YfqcC_PxOHGCMq5ezhucwJd8ci-NHng/edit?usp=sharing"",""ราชบุรี!S62"&amp;"4"")+IMPORTRANGE(""https://docs.google.com/spreadsheets/d/1lufeA2cfFqM-elVq2hznhDzC6Pr7wkJ9ZG_sYNGCMCU/edit?usp=sharing"",""ลพบุรี!S624"")+IMPORTRANGE(""https://docs.google.com/spreadsheets/d/10oOiF7loTyfsTkbd4MpaIm0HQ9SwB7IYHdIUvt-U1Uc/edit?usp=sharing"""&amp;",""สระแก้ว!S624"")+IMPORTRANGE(""https://docs.google.com/spreadsheets/d/1xmPlrr1QbdSIKvl1dWUl9K4PjAfSL9oeMr_37QVzcxc/edit?usp=sharing"",""สระบุรี!S624"")+IMPORTRANGE(""https://docs.google.com/spreadsheets/d/1j51vR6CYVGhABJpv6tkstgok82RLpXieLzW1yOY5rHw/edi"&amp;"t?usp=sharing"",""สิงห์บุรี!S624"")+IMPORTRANGE(""https://docs.google.com/spreadsheets/d/1H1EalTWKUSzO4Z1-1CwzoDUaVffgrThEBe2sl74kKG0/edit?usp=sharing"",""สุพรรณบุรี!S624"")+IMPORTRANGE(""https://docs.google.com/spreadsheets/d/1BmIruG_sIrJLYao_Pdr7zVArWsf"&amp;"oBt2692TMi6x_854/edit?usp=sharing"",""อ่างทอง!S624"")"),0)</f>
        <v>0</v>
      </c>
      <c r="T624" s="130">
        <f t="shared" ca="1" si="434"/>
        <v>0</v>
      </c>
      <c r="U624" s="130">
        <f t="shared" ca="1" si="435"/>
        <v>0</v>
      </c>
    </row>
    <row r="625" spans="1:21" ht="19.5" x14ac:dyDescent="0.3">
      <c r="A625" s="274"/>
      <c r="B625" s="275"/>
      <c r="C625" s="304" t="s">
        <v>18</v>
      </c>
      <c r="D625" s="723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13wPX838HrBrQMCywv1BsuMkt4PEKTChp52zj44s2izQ/edit?usp=sharing"",""กาญจนบุรี!I626"")+IMPORTRANGE(""https://docs.google.com/spreadsheets/d/1ddFKvqj1W1NEiWytbGlB1zMx_ykJDVtmfEQ-6-lIUBA/edit?usp=sharing"","&amp;"""จันทบุรี!I626"")+IMPORTRANGE(""https://docs.google.com/spreadsheets/d/1T1PQvRODqOBZk8BRht_U031fIS1beLA0Ub2CEytj2q0/edit?usp=sharing"",""ฉะเชิงเทรา!I626"")+IMPORTRANGE(""https://docs.google.com/spreadsheets/d/11tr1B-Bhyr79v2bkwVh5h_fR-PStkgjlZtkrZpYurG0/"&amp;"edit?usp=sharing"",""ชลบุรี!I626"")+IMPORTRANGE(""https://docs.google.com/spreadsheets/d/1hh-FVnSX0vozXhGluamEcS54Dw9_zqW0N7qJUWgJ0Sw/edit?usp=sharing"",""ชัยนาท!I626"")+IMPORTRANGE(""https://docs.google.com/spreadsheets/d/1jkqa6GXxSacMcY1eN8AHjMNJ_7dDXMJ"&amp;"VRLDlaFSOdPM/edit?usp=sharing"",""ตราด!I626"")+IMPORTRANGE(""https://docs.google.com/spreadsheets/d/18hSgUJ3VwClqi_qtULmmW3cLr0oe3OKaSYoKzdpTsYQ/edit?usp=sharing"",""นครนายก!I626"")+IMPORTRANGE(""https://docs.google.com/spreadsheets/d/1YTZo6WM2dQ6Ix6FSdnL"&amp;"5P7uVnVKu40sxZu975tgG10E/edit?usp=sharing"",""นครปฐม!I626"")+IMPORTRANGE(""https://docs.google.com/spreadsheets/d/1OYoGg4WDg5RIzwGeB10padOxJF9E_Vljuvvct_M7RDo/edit?usp=sharing"",""ปทุมธานี!I626"")+IMPORTRANGE(""https://docs.google.com/spreadsheets/d/1GbCI"&amp;"E4D4wk9FUozzqk7SxfDMxDVBwVmI5zcaVUSzKAc/edit?usp=sharing"",""ประจวบคีรีขันธ์!I626"")+IMPORTRANGE(""https://docs.google.com/spreadsheets/d/1vVf6wykvW_lAyu7Yo9L4hUTqHqIeP_qcVuxCtosJEbg/edit?usp=sharing"",""ปราจีนบุรี!I626"")+IMPORTRANGE(""https://docs.googl"&amp;"e.com/spreadsheets/d/1BIDqLLg5jk3v59G8NlR8rk5xfQDKne0sAvZHSj7TI6I/edit?usp=sharing"",""พระนครศรีอยุธยา!I626"")+IMPORTRANGE(""https://docs.google.com/spreadsheets/d/1YXvxf8Yu6_rV4hTBrwMqAcAnv6DfhUxh5emyM3CJp_w/edit?usp=sharing"",""เพชรบุรี!I626"")+IMPORTRA"&amp;"NGE(""https://docs.google.com/spreadsheets/d/19KBlQQs7uwvsao6t2n-KvW3Ax8J8uRRfZPq1zPbXgKc/edit?usp=sharing"",""ระยอง!I626"")+IMPORTRANGE(""https://docs.google.com/spreadsheets/d/1jQ6P4QcrGM89YfqcC_PxOHGCMq5ezhucwJd8ci-NHng/edit?usp=sharing"",""ราชบุรี!I62"&amp;"6"")+IMPORTRANGE(""https://docs.google.com/spreadsheets/d/1lufeA2cfFqM-elVq2hznhDzC6Pr7wkJ9ZG_sYNGCMCU/edit?usp=sharing"",""ลพบุรี!I626"")+IMPORTRANGE(""https://docs.google.com/spreadsheets/d/10oOiF7loTyfsTkbd4MpaIm0HQ9SwB7IYHdIUvt-U1Uc/edit?usp=sharing"""&amp;",""สระแก้ว!I626"")+IMPORTRANGE(""https://docs.google.com/spreadsheets/d/1xmPlrr1QbdSIKvl1dWUl9K4PjAfSL9oeMr_37QVzcxc/edit?usp=sharing"",""สระบุรี!I626"")+IMPORTRANGE(""https://docs.google.com/spreadsheets/d/1j51vR6CYVGhABJpv6tkstgok82RLpXieLzW1yOY5rHw/edi"&amp;"t?usp=sharing"",""สิงห์บุรี!I626"")+IMPORTRANGE(""https://docs.google.com/spreadsheets/d/1H1EalTWKUSzO4Z1-1CwzoDUaVffgrThEBe2sl74kKG0/edit?usp=sharing"",""สุพรรณบุรี!I626"")+IMPORTRANGE(""https://docs.google.com/spreadsheets/d/1BmIruG_sIrJLYao_Pdr7zVArWsf"&amp;"oBt2692TMi6x_854/edit?usp=sharing"",""อ่างทอง!I626"")"),1060)</f>
        <v>1060</v>
      </c>
      <c r="J626" s="601">
        <f ca="1"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13wPX838HrBrQMCywv1BsuMkt4PEKTChp52zj44s2izQ/edit?usp=sharing"",""กาญจนบุรี!I627"")+IMPORTRANGE(""https://docs.google.com/spreadsheets/d/1ddFKvqj1W1NEiWytbGlB1zMx_ykJDVtmfEQ-6-lIUBA/edit?usp=sharing"","&amp;"""จันทบุรี!I627"")+IMPORTRANGE(""https://docs.google.com/spreadsheets/d/1T1PQvRODqOBZk8BRht_U031fIS1beLA0Ub2CEytj2q0/edit?usp=sharing"",""ฉะเชิงเทรา!I627"")+IMPORTRANGE(""https://docs.google.com/spreadsheets/d/11tr1B-Bhyr79v2bkwVh5h_fR-PStkgjlZtkrZpYurG0/"&amp;"edit?usp=sharing"",""ชลบุรี!I627"")+IMPORTRANGE(""https://docs.google.com/spreadsheets/d/1hh-FVnSX0vozXhGluamEcS54Dw9_zqW0N7qJUWgJ0Sw/edit?usp=sharing"",""ชัยนาท!I627"")+IMPORTRANGE(""https://docs.google.com/spreadsheets/d/1jkqa6GXxSacMcY1eN8AHjMNJ_7dDXMJ"&amp;"VRLDlaFSOdPM/edit?usp=sharing"",""ตราด!I627"")+IMPORTRANGE(""https://docs.google.com/spreadsheets/d/18hSgUJ3VwClqi_qtULmmW3cLr0oe3OKaSYoKzdpTsYQ/edit?usp=sharing"",""นครนายก!I627"")+IMPORTRANGE(""https://docs.google.com/spreadsheets/d/1YTZo6WM2dQ6Ix6FSdnL"&amp;"5P7uVnVKu40sxZu975tgG10E/edit?usp=sharing"",""นครปฐม!I627"")+IMPORTRANGE(""https://docs.google.com/spreadsheets/d/1OYoGg4WDg5RIzwGeB10padOxJF9E_Vljuvvct_M7RDo/edit?usp=sharing"",""ปทุมธานี!I627"")+IMPORTRANGE(""https://docs.google.com/spreadsheets/d/1GbCI"&amp;"E4D4wk9FUozzqk7SxfDMxDVBwVmI5zcaVUSzKAc/edit?usp=sharing"",""ประจวบคีรีขันธ์!I627"")+IMPORTRANGE(""https://docs.google.com/spreadsheets/d/1vVf6wykvW_lAyu7Yo9L4hUTqHqIeP_qcVuxCtosJEbg/edit?usp=sharing"",""ปราจีนบุรี!I627"")+IMPORTRANGE(""https://docs.googl"&amp;"e.com/spreadsheets/d/1BIDqLLg5jk3v59G8NlR8rk5xfQDKne0sAvZHSj7TI6I/edit?usp=sharing"",""พระนครศรีอยุธยา!I627"")+IMPORTRANGE(""https://docs.google.com/spreadsheets/d/1YXvxf8Yu6_rV4hTBrwMqAcAnv6DfhUxh5emyM3CJp_w/edit?usp=sharing"",""เพชรบุรี!I627"")+IMPORTRA"&amp;"NGE(""https://docs.google.com/spreadsheets/d/19KBlQQs7uwvsao6t2n-KvW3Ax8J8uRRfZPq1zPbXgKc/edit?usp=sharing"",""ระยอง!I627"")+IMPORTRANGE(""https://docs.google.com/spreadsheets/d/1jQ6P4QcrGM89YfqcC_PxOHGCMq5ezhucwJd8ci-NHng/edit?usp=sharing"",""ราชบุรี!I62"&amp;"7"")+IMPORTRANGE(""https://docs.google.com/spreadsheets/d/1lufeA2cfFqM-elVq2hznhDzC6Pr7wkJ9ZG_sYNGCMCU/edit?usp=sharing"",""ลพบุรี!I627"")+IMPORTRANGE(""https://docs.google.com/spreadsheets/d/10oOiF7loTyfsTkbd4MpaIm0HQ9SwB7IYHdIUvt-U1Uc/edit?usp=sharing"""&amp;",""สระแก้ว!I627"")+IMPORTRANGE(""https://docs.google.com/spreadsheets/d/1xmPlrr1QbdSIKvl1dWUl9K4PjAfSL9oeMr_37QVzcxc/edit?usp=sharing"",""สระบุรี!I627"")+IMPORTRANGE(""https://docs.google.com/spreadsheets/d/1j51vR6CYVGhABJpv6tkstgok82RLpXieLzW1yOY5rHw/edi"&amp;"t?usp=sharing"",""สิงห์บุรี!I627"")+IMPORTRANGE(""https://docs.google.com/spreadsheets/d/1H1EalTWKUSzO4Z1-1CwzoDUaVffgrThEBe2sl74kKG0/edit?usp=sharing"",""สุพรรณบุรี!I627"")+IMPORTRANGE(""https://docs.google.com/spreadsheets/d/1BmIruG_sIrJLYao_Pdr7zVArWsf"&amp;"oBt2692TMi6x_854/edit?usp=sharing"",""อ่างทอง!I627"")"),7)</f>
        <v>7</v>
      </c>
      <c r="J627" s="292">
        <f ca="1">IFERROR(__xludf.DUMMYFUNCTION("IMPORTRANGE(""https://docs.google.com/spreadsheets/d/13wPX838HrBrQMCywv1BsuMkt4PEKTChp52zj44s2izQ/edit?usp=sharing"",""กาญจนบุรี!J627"")+IMPORTRANGE(""https://docs.google.com/spreadsheets/d/1ddFKvqj1W1NEiWytbGlB1zMx_ykJDVtmfEQ-6-lIUBA/edit?usp=sharing"","&amp;"""จันทบุรี!J627"")+IMPORTRANGE(""https://docs.google.com/spreadsheets/d/1T1PQvRODqOBZk8BRht_U031fIS1beLA0Ub2CEytj2q0/edit?usp=sharing"",""ฉะเชิงเทรา!J627"")+IMPORTRANGE(""https://docs.google.com/spreadsheets/d/11tr1B-Bhyr79v2bkwVh5h_fR-PStkgjlZtkrZpYurG0/"&amp;"edit?usp=sharing"",""ชลบุรี!J627"")+IMPORTRANGE(""https://docs.google.com/spreadsheets/d/1hh-FVnSX0vozXhGluamEcS54Dw9_zqW0N7qJUWgJ0Sw/edit?usp=sharing"",""ชัยนาท!J627"")+IMPORTRANGE(""https://docs.google.com/spreadsheets/d/1jkqa6GXxSacMcY1eN8AHjMNJ_7dDXMJ"&amp;"VRLDlaFSOdPM/edit?usp=sharing"",""ตราด!J627"")+IMPORTRANGE(""https://docs.google.com/spreadsheets/d/18hSgUJ3VwClqi_qtULmmW3cLr0oe3OKaSYoKzdpTsYQ/edit?usp=sharing"",""นครนายก!J627"")+IMPORTRANGE(""https://docs.google.com/spreadsheets/d/1YTZo6WM2dQ6Ix6FSdnL"&amp;"5P7uVnVKu40sxZu975tgG10E/edit?usp=sharing"",""นครปฐม!J627"")+IMPORTRANGE(""https://docs.google.com/spreadsheets/d/1OYoGg4WDg5RIzwGeB10padOxJF9E_Vljuvvct_M7RDo/edit?usp=sharing"",""ปทุมธานี!J627"")+IMPORTRANGE(""https://docs.google.com/spreadsheets/d/1GbCI"&amp;"E4D4wk9FUozzqk7SxfDMxDVBwVmI5zcaVUSzKAc/edit?usp=sharing"",""ประจวบคีรีขันธ์!J627"")+IMPORTRANGE(""https://docs.google.com/spreadsheets/d/1vVf6wykvW_lAyu7Yo9L4hUTqHqIeP_qcVuxCtosJEbg/edit?usp=sharing"",""ปราจีนบุรี!J627"")+IMPORTRANGE(""https://docs.googl"&amp;"e.com/spreadsheets/d/1BIDqLLg5jk3v59G8NlR8rk5xfQDKne0sAvZHSj7TI6I/edit?usp=sharing"",""พระนครศรีอยุธยา!J627"")+IMPORTRANGE(""https://docs.google.com/spreadsheets/d/1YXvxf8Yu6_rV4hTBrwMqAcAnv6DfhUxh5emyM3CJp_w/edit?usp=sharing"",""เพชรบุรี!J627"")+IMPORTRA"&amp;"NGE(""https://docs.google.com/spreadsheets/d/19KBlQQs7uwvsao6t2n-KvW3Ax8J8uRRfZPq1zPbXgKc/edit?usp=sharing"",""ระยอง!J627"")+IMPORTRANGE(""https://docs.google.com/spreadsheets/d/1jQ6P4QcrGM89YfqcC_PxOHGCMq5ezhucwJd8ci-NHng/edit?usp=sharing"",""ราชบุรี!J62"&amp;"7"")+IMPORTRANGE(""https://docs.google.com/spreadsheets/d/1lufeA2cfFqM-elVq2hznhDzC6Pr7wkJ9ZG_sYNGCMCU/edit?usp=sharing"",""ลพบุรี!J627"")+IMPORTRANGE(""https://docs.google.com/spreadsheets/d/10oOiF7loTyfsTkbd4MpaIm0HQ9SwB7IYHdIUvt-U1Uc/edit?usp=sharing"""&amp;",""สระแก้ว!J627"")+IMPORTRANGE(""https://docs.google.com/spreadsheets/d/1xmPlrr1QbdSIKvl1dWUl9K4PjAfSL9oeMr_37QVzcxc/edit?usp=sharing"",""สระบุรี!J627"")+IMPORTRANGE(""https://docs.google.com/spreadsheets/d/1j51vR6CYVGhABJpv6tkstgok82RLpXieLzW1yOY5rHw/edi"&amp;"t?usp=sharing"",""สิงห์บุรี!J627"")+IMPORTRANGE(""https://docs.google.com/spreadsheets/d/1H1EalTWKUSzO4Z1-1CwzoDUaVffgrThEBe2sl74kKG0/edit?usp=sharing"",""สุพรรณบุรี!J627"")+IMPORTRANGE(""https://docs.google.com/spreadsheets/d/1BmIruG_sIrJLYao_Pdr7zVArWsf"&amp;"oBt2692TMi6x_854/edit?usp=sharing"",""อ่างทอง!J627"")"),39)</f>
        <v>39</v>
      </c>
      <c r="K627" s="72">
        <f t="shared" ref="K627:K628" ca="1" si="444">IF(I627&gt;0,(J627*100)/I627,0)</f>
        <v>557.14285714285711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13wPX838HrBrQMCywv1BsuMkt4PEKTChp52zj44s2izQ/edit?usp=sharing"",""กาญจนบุรี!I628"")+IMPORTRANGE(""https://docs.google.com/spreadsheets/d/1ddFKvqj1W1NEiWytbGlB1zMx_ykJDVtmfEQ-6-lIUBA/edit?usp=sharing"","&amp;"""จันทบุรี!I628"")+IMPORTRANGE(""https://docs.google.com/spreadsheets/d/1T1PQvRODqOBZk8BRht_U031fIS1beLA0Ub2CEytj2q0/edit?usp=sharing"",""ฉะเชิงเทรา!I628"")+IMPORTRANGE(""https://docs.google.com/spreadsheets/d/11tr1B-Bhyr79v2bkwVh5h_fR-PStkgjlZtkrZpYurG0/"&amp;"edit?usp=sharing"",""ชลบุรี!I628"")+IMPORTRANGE(""https://docs.google.com/spreadsheets/d/1hh-FVnSX0vozXhGluamEcS54Dw9_zqW0N7qJUWgJ0Sw/edit?usp=sharing"",""ชัยนาท!I628"")+IMPORTRANGE(""https://docs.google.com/spreadsheets/d/1jkqa6GXxSacMcY1eN8AHjMNJ_7dDXMJ"&amp;"VRLDlaFSOdPM/edit?usp=sharing"",""ตราด!I628"")+IMPORTRANGE(""https://docs.google.com/spreadsheets/d/18hSgUJ3VwClqi_qtULmmW3cLr0oe3OKaSYoKzdpTsYQ/edit?usp=sharing"",""นครนายก!I628"")+IMPORTRANGE(""https://docs.google.com/spreadsheets/d/1YTZo6WM2dQ6Ix6FSdnL"&amp;"5P7uVnVKu40sxZu975tgG10E/edit?usp=sharing"",""นครปฐม!I628"")+IMPORTRANGE(""https://docs.google.com/spreadsheets/d/1OYoGg4WDg5RIzwGeB10padOxJF9E_Vljuvvct_M7RDo/edit?usp=sharing"",""ปทุมธานี!I628"")+IMPORTRANGE(""https://docs.google.com/spreadsheets/d/1GbCI"&amp;"E4D4wk9FUozzqk7SxfDMxDVBwVmI5zcaVUSzKAc/edit?usp=sharing"",""ประจวบคีรีขันธ์!I628"")+IMPORTRANGE(""https://docs.google.com/spreadsheets/d/1vVf6wykvW_lAyu7Yo9L4hUTqHqIeP_qcVuxCtosJEbg/edit?usp=sharing"",""ปราจีนบุรี!I628"")+IMPORTRANGE(""https://docs.googl"&amp;"e.com/spreadsheets/d/1BIDqLLg5jk3v59G8NlR8rk5xfQDKne0sAvZHSj7TI6I/edit?usp=sharing"",""พระนครศรีอยุธยา!I628"")+IMPORTRANGE(""https://docs.google.com/spreadsheets/d/1YXvxf8Yu6_rV4hTBrwMqAcAnv6DfhUxh5emyM3CJp_w/edit?usp=sharing"",""เพชรบุรี!I628"")+IMPORTRA"&amp;"NGE(""https://docs.google.com/spreadsheets/d/19KBlQQs7uwvsao6t2n-KvW3Ax8J8uRRfZPq1zPbXgKc/edit?usp=sharing"",""ระยอง!I628"")+IMPORTRANGE(""https://docs.google.com/spreadsheets/d/1jQ6P4QcrGM89YfqcC_PxOHGCMq5ezhucwJd8ci-NHng/edit?usp=sharing"",""ราชบุรี!I62"&amp;"8"")+IMPORTRANGE(""https://docs.google.com/spreadsheets/d/1lufeA2cfFqM-elVq2hznhDzC6Pr7wkJ9ZG_sYNGCMCU/edit?usp=sharing"",""ลพบุรี!I628"")+IMPORTRANGE(""https://docs.google.com/spreadsheets/d/10oOiF7loTyfsTkbd4MpaIm0HQ9SwB7IYHdIUvt-U1Uc/edit?usp=sharing"""&amp;",""สระแก้ว!I628"")+IMPORTRANGE(""https://docs.google.com/spreadsheets/d/1xmPlrr1QbdSIKvl1dWUl9K4PjAfSL9oeMr_37QVzcxc/edit?usp=sharing"",""สระบุรี!I628"")+IMPORTRANGE(""https://docs.google.com/spreadsheets/d/1j51vR6CYVGhABJpv6tkstgok82RLpXieLzW1yOY5rHw/edi"&amp;"t?usp=sharing"",""สิงห์บุรี!I628"")+IMPORTRANGE(""https://docs.google.com/spreadsheets/d/1H1EalTWKUSzO4Z1-1CwzoDUaVffgrThEBe2sl74kKG0/edit?usp=sharing"",""สุพรรณบุรี!I628"")+IMPORTRANGE(""https://docs.google.com/spreadsheets/d/1BmIruG_sIrJLYao_Pdr7zVArWsf"&amp;"oBt2692TMi6x_854/edit?usp=sharing"",""อ่างทอง!I628"")"),7)</f>
        <v>7</v>
      </c>
      <c r="J628" s="292">
        <f ca="1">IFERROR(__xludf.DUMMYFUNCTION("IMPORTRANGE(""https://docs.google.com/spreadsheets/d/13wPX838HrBrQMCywv1BsuMkt4PEKTChp52zj44s2izQ/edit?usp=sharing"",""กาญจนบุรี!J628"")+IMPORTRANGE(""https://docs.google.com/spreadsheets/d/1ddFKvqj1W1NEiWytbGlB1zMx_ykJDVtmfEQ-6-lIUBA/edit?usp=sharing"","&amp;"""จันทบุรี!J628"")+IMPORTRANGE(""https://docs.google.com/spreadsheets/d/1T1PQvRODqOBZk8BRht_U031fIS1beLA0Ub2CEytj2q0/edit?usp=sharing"",""ฉะเชิงเทรา!J628"")+IMPORTRANGE(""https://docs.google.com/spreadsheets/d/11tr1B-Bhyr79v2bkwVh5h_fR-PStkgjlZtkrZpYurG0/"&amp;"edit?usp=sharing"",""ชลบุรี!J628"")+IMPORTRANGE(""https://docs.google.com/spreadsheets/d/1hh-FVnSX0vozXhGluamEcS54Dw9_zqW0N7qJUWgJ0Sw/edit?usp=sharing"",""ชัยนาท!J628"")+IMPORTRANGE(""https://docs.google.com/spreadsheets/d/1jkqa6GXxSacMcY1eN8AHjMNJ_7dDXMJ"&amp;"VRLDlaFSOdPM/edit?usp=sharing"",""ตราด!J628"")+IMPORTRANGE(""https://docs.google.com/spreadsheets/d/18hSgUJ3VwClqi_qtULmmW3cLr0oe3OKaSYoKzdpTsYQ/edit?usp=sharing"",""นครนายก!J628"")+IMPORTRANGE(""https://docs.google.com/spreadsheets/d/1YTZo6WM2dQ6Ix6FSdnL"&amp;"5P7uVnVKu40sxZu975tgG10E/edit?usp=sharing"",""นครปฐม!J628"")+IMPORTRANGE(""https://docs.google.com/spreadsheets/d/1OYoGg4WDg5RIzwGeB10padOxJF9E_Vljuvvct_M7RDo/edit?usp=sharing"",""ปทุมธานี!J628"")+IMPORTRANGE(""https://docs.google.com/spreadsheets/d/1GbCI"&amp;"E4D4wk9FUozzqk7SxfDMxDVBwVmI5zcaVUSzKAc/edit?usp=sharing"",""ประจวบคีรีขันธ์!J628"")+IMPORTRANGE(""https://docs.google.com/spreadsheets/d/1vVf6wykvW_lAyu7Yo9L4hUTqHqIeP_qcVuxCtosJEbg/edit?usp=sharing"",""ปราจีนบุรี!J628"")+IMPORTRANGE(""https://docs.googl"&amp;"e.com/spreadsheets/d/1BIDqLLg5jk3v59G8NlR8rk5xfQDKne0sAvZHSj7TI6I/edit?usp=sharing"",""พระนครศรีอยุธยา!J628"")+IMPORTRANGE(""https://docs.google.com/spreadsheets/d/1YXvxf8Yu6_rV4hTBrwMqAcAnv6DfhUxh5emyM3CJp_w/edit?usp=sharing"",""เพชรบุรี!J628"")+IMPORTRA"&amp;"NGE(""https://docs.google.com/spreadsheets/d/19KBlQQs7uwvsao6t2n-KvW3Ax8J8uRRfZPq1zPbXgKc/edit?usp=sharing"",""ระยอง!J628"")+IMPORTRANGE(""https://docs.google.com/spreadsheets/d/1jQ6P4QcrGM89YfqcC_PxOHGCMq5ezhucwJd8ci-NHng/edit?usp=sharing"",""ราชบุรี!J62"&amp;"8"")+IMPORTRANGE(""https://docs.google.com/spreadsheets/d/1lufeA2cfFqM-elVq2hznhDzC6Pr7wkJ9ZG_sYNGCMCU/edit?usp=sharing"",""ลพบุรี!J628"")+IMPORTRANGE(""https://docs.google.com/spreadsheets/d/10oOiF7loTyfsTkbd4MpaIm0HQ9SwB7IYHdIUvt-U1Uc/edit?usp=sharing"""&amp;",""สระแก้ว!J628"")+IMPORTRANGE(""https://docs.google.com/spreadsheets/d/1xmPlrr1QbdSIKvl1dWUl9K4PjAfSL9oeMr_37QVzcxc/edit?usp=sharing"",""สระบุรี!J628"")+IMPORTRANGE(""https://docs.google.com/spreadsheets/d/1j51vR6CYVGhABJpv6tkstgok82RLpXieLzW1yOY5rHw/edi"&amp;"t?usp=sharing"",""สิงห์บุรี!J628"")+IMPORTRANGE(""https://docs.google.com/spreadsheets/d/1H1EalTWKUSzO4Z1-1CwzoDUaVffgrThEBe2sl74kKG0/edit?usp=sharing"",""สุพรรณบุรี!J628"")+IMPORTRANGE(""https://docs.google.com/spreadsheets/d/1BmIruG_sIrJLYao_Pdr7zVArWsf"&amp;"oBt2692TMi6x_854/edit?usp=sharing"",""อ่างทอง!J628"")"),79)</f>
        <v>79</v>
      </c>
      <c r="K628" s="72">
        <f t="shared" ca="1" si="444"/>
        <v>1128.5714285714287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f ca="1">IFERROR(__xludf.DUMMYFUNCTION("IMPORTRANGE(""https://docs.google.com/spreadsheets/d/13wPX838HrBrQMCywv1BsuMkt4PEKTChp52zj44s2izQ/edit?usp=sharing"",""กาญจนบุรี!J629"")+IMPORTRANGE(""https://docs.google.com/spreadsheets/d/1ddFKvqj1W1NEiWytbGlB1zMx_ykJDVtmfEQ-6-lIUBA/edit?usp=sharing"","&amp;"""จันทบุรี!J629"")+IMPORTRANGE(""https://docs.google.com/spreadsheets/d/1T1PQvRODqOBZk8BRht_U031fIS1beLA0Ub2CEytj2q0/edit?usp=sharing"",""ฉะเชิงเทรา!J629"")+IMPORTRANGE(""https://docs.google.com/spreadsheets/d/11tr1B-Bhyr79v2bkwVh5h_fR-PStkgjlZtkrZpYurG0/"&amp;"edit?usp=sharing"",""ชลบุรี!J629"")+IMPORTRANGE(""https://docs.google.com/spreadsheets/d/1hh-FVnSX0vozXhGluamEcS54Dw9_zqW0N7qJUWgJ0Sw/edit?usp=sharing"",""ชัยนาท!J629"")+IMPORTRANGE(""https://docs.google.com/spreadsheets/d/1jkqa6GXxSacMcY1eN8AHjMNJ_7dDXMJ"&amp;"VRLDlaFSOdPM/edit?usp=sharing"",""ตราด!J629"")+IMPORTRANGE(""https://docs.google.com/spreadsheets/d/18hSgUJ3VwClqi_qtULmmW3cLr0oe3OKaSYoKzdpTsYQ/edit?usp=sharing"",""นครนายก!J629"")+IMPORTRANGE(""https://docs.google.com/spreadsheets/d/1YTZo6WM2dQ6Ix6FSdnL"&amp;"5P7uVnVKu40sxZu975tgG10E/edit?usp=sharing"",""นครปฐม!J629"")+IMPORTRANGE(""https://docs.google.com/spreadsheets/d/1OYoGg4WDg5RIzwGeB10padOxJF9E_Vljuvvct_M7RDo/edit?usp=sharing"",""ปทุมธานี!J629"")+IMPORTRANGE(""https://docs.google.com/spreadsheets/d/1GbCI"&amp;"E4D4wk9FUozzqk7SxfDMxDVBwVmI5zcaVUSzKAc/edit?usp=sharing"",""ประจวบคีรีขันธ์!J629"")+IMPORTRANGE(""https://docs.google.com/spreadsheets/d/1vVf6wykvW_lAyu7Yo9L4hUTqHqIeP_qcVuxCtosJEbg/edit?usp=sharing"",""ปราจีนบุรี!J629"")+IMPORTRANGE(""https://docs.googl"&amp;"e.com/spreadsheets/d/1BIDqLLg5jk3v59G8NlR8rk5xfQDKne0sAvZHSj7TI6I/edit?usp=sharing"",""พระนครศรีอยุธยา!J629"")+IMPORTRANGE(""https://docs.google.com/spreadsheets/d/1YXvxf8Yu6_rV4hTBrwMqAcAnv6DfhUxh5emyM3CJp_w/edit?usp=sharing"",""เพชรบุรี!J629"")+IMPORTRA"&amp;"NGE(""https://docs.google.com/spreadsheets/d/19KBlQQs7uwvsao6t2n-KvW3Ax8J8uRRfZPq1zPbXgKc/edit?usp=sharing"",""ระยอง!J629"")+IMPORTRANGE(""https://docs.google.com/spreadsheets/d/1jQ6P4QcrGM89YfqcC_PxOHGCMq5ezhucwJd8ci-NHng/edit?usp=sharing"",""ราชบุรี!J62"&amp;"9"")+IMPORTRANGE(""https://docs.google.com/spreadsheets/d/1lufeA2cfFqM-elVq2hznhDzC6Pr7wkJ9ZG_sYNGCMCU/edit?usp=sharing"",""ลพบุรี!J629"")+IMPORTRANGE(""https://docs.google.com/spreadsheets/d/10oOiF7loTyfsTkbd4MpaIm0HQ9SwB7IYHdIUvt-U1Uc/edit?usp=sharing"""&amp;",""สระแก้ว!J629"")+IMPORTRANGE(""https://docs.google.com/spreadsheets/d/1xmPlrr1QbdSIKvl1dWUl9K4PjAfSL9oeMr_37QVzcxc/edit?usp=sharing"",""สระบุรี!J629"")+IMPORTRANGE(""https://docs.google.com/spreadsheets/d/1j51vR6CYVGhABJpv6tkstgok82RLpXieLzW1yOY5rHw/edi"&amp;"t?usp=sharing"",""สิงห์บุรี!J629"")+IMPORTRANGE(""https://docs.google.com/spreadsheets/d/1H1EalTWKUSzO4Z1-1CwzoDUaVffgrThEBe2sl74kKG0/edit?usp=sharing"",""สุพรรณบุรี!J629"")+IMPORTRANGE(""https://docs.google.com/spreadsheets/d/1BmIruG_sIrJLYao_Pdr7zVArWsf"&amp;"oBt2692TMi6x_854/edit?usp=sharing"",""อ่างทอง!J629"")"),568)</f>
        <v>568</v>
      </c>
      <c r="K629" s="72">
        <f t="shared" ref="K629:K631" ca="1" si="445">IF(I$626&gt;0,J629*100/I$626,0)</f>
        <v>53.584905660377359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f ca="1">IFERROR(__xludf.DUMMYFUNCTION("IMPORTRANGE(""https://docs.google.com/spreadsheets/d/13wPX838HrBrQMCywv1BsuMkt4PEKTChp52zj44s2izQ/edit?usp=sharing"",""กาญจนบุรี!J630"")+IMPORTRANGE(""https://docs.google.com/spreadsheets/d/1ddFKvqj1W1NEiWytbGlB1zMx_ykJDVtmfEQ-6-lIUBA/edit?usp=sharing"","&amp;"""จันทบุรี!J630"")+IMPORTRANGE(""https://docs.google.com/spreadsheets/d/1T1PQvRODqOBZk8BRht_U031fIS1beLA0Ub2CEytj2q0/edit?usp=sharing"",""ฉะเชิงเทรา!J630"")+IMPORTRANGE(""https://docs.google.com/spreadsheets/d/11tr1B-Bhyr79v2bkwVh5h_fR-PStkgjlZtkrZpYurG0/"&amp;"edit?usp=sharing"",""ชลบุรี!J630"")+IMPORTRANGE(""https://docs.google.com/spreadsheets/d/1hh-FVnSX0vozXhGluamEcS54Dw9_zqW0N7qJUWgJ0Sw/edit?usp=sharing"",""ชัยนาท!J630"")+IMPORTRANGE(""https://docs.google.com/spreadsheets/d/1jkqa6GXxSacMcY1eN8AHjMNJ_7dDXMJ"&amp;"VRLDlaFSOdPM/edit?usp=sharing"",""ตราด!J630"")+IMPORTRANGE(""https://docs.google.com/spreadsheets/d/18hSgUJ3VwClqi_qtULmmW3cLr0oe3OKaSYoKzdpTsYQ/edit?usp=sharing"",""นครนายก!J630"")+IMPORTRANGE(""https://docs.google.com/spreadsheets/d/1YTZo6WM2dQ6Ix6FSdnL"&amp;"5P7uVnVKu40sxZu975tgG10E/edit?usp=sharing"",""นครปฐม!J630"")+IMPORTRANGE(""https://docs.google.com/spreadsheets/d/1OYoGg4WDg5RIzwGeB10padOxJF9E_Vljuvvct_M7RDo/edit?usp=sharing"",""ปทุมธานี!J630"")+IMPORTRANGE(""https://docs.google.com/spreadsheets/d/1GbCI"&amp;"E4D4wk9FUozzqk7SxfDMxDVBwVmI5zcaVUSzKAc/edit?usp=sharing"",""ประจวบคีรีขันธ์!J630"")+IMPORTRANGE(""https://docs.google.com/spreadsheets/d/1vVf6wykvW_lAyu7Yo9L4hUTqHqIeP_qcVuxCtosJEbg/edit?usp=sharing"",""ปราจีนบุรี!J630"")+IMPORTRANGE(""https://docs.googl"&amp;"e.com/spreadsheets/d/1BIDqLLg5jk3v59G8NlR8rk5xfQDKne0sAvZHSj7TI6I/edit?usp=sharing"",""พระนครศรีอยุธยา!J630"")+IMPORTRANGE(""https://docs.google.com/spreadsheets/d/1YXvxf8Yu6_rV4hTBrwMqAcAnv6DfhUxh5emyM3CJp_w/edit?usp=sharing"",""เพชรบุรี!J630"")+IMPORTRA"&amp;"NGE(""https://docs.google.com/spreadsheets/d/19KBlQQs7uwvsao6t2n-KvW3Ax8J8uRRfZPq1zPbXgKc/edit?usp=sharing"",""ระยอง!J630"")+IMPORTRANGE(""https://docs.google.com/spreadsheets/d/1jQ6P4QcrGM89YfqcC_PxOHGCMq5ezhucwJd8ci-NHng/edit?usp=sharing"",""ราชบุรี!J63"&amp;"0"")+IMPORTRANGE(""https://docs.google.com/spreadsheets/d/1lufeA2cfFqM-elVq2hznhDzC6Pr7wkJ9ZG_sYNGCMCU/edit?usp=sharing"",""ลพบุรี!J630"")+IMPORTRANGE(""https://docs.google.com/spreadsheets/d/10oOiF7loTyfsTkbd4MpaIm0HQ9SwB7IYHdIUvt-U1Uc/edit?usp=sharing"""&amp;",""สระแก้ว!J630"")+IMPORTRANGE(""https://docs.google.com/spreadsheets/d/1xmPlrr1QbdSIKvl1dWUl9K4PjAfSL9oeMr_37QVzcxc/edit?usp=sharing"",""สระบุรี!J630"")+IMPORTRANGE(""https://docs.google.com/spreadsheets/d/1j51vR6CYVGhABJpv6tkstgok82RLpXieLzW1yOY5rHw/edi"&amp;"t?usp=sharing"",""สิงห์บุรี!J630"")+IMPORTRANGE(""https://docs.google.com/spreadsheets/d/1H1EalTWKUSzO4Z1-1CwzoDUaVffgrThEBe2sl74kKG0/edit?usp=sharing"",""สุพรรณบุรี!J630"")+IMPORTRANGE(""https://docs.google.com/spreadsheets/d/1BmIruG_sIrJLYao_Pdr7zVArWsf"&amp;"oBt2692TMi6x_854/edit?usp=sharing"",""อ่างทอง!J630"")"),310)</f>
        <v>310</v>
      </c>
      <c r="K630" s="72">
        <f t="shared" ca="1" si="445"/>
        <v>29.245283018867923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f ca="1">IFERROR(__xludf.DUMMYFUNCTION("IMPORTRANGE(""https://docs.google.com/spreadsheets/d/13wPX838HrBrQMCywv1BsuMkt4PEKTChp52zj44s2izQ/edit?usp=sharing"",""กาญจนบุรี!J631"")+IMPORTRANGE(""https://docs.google.com/spreadsheets/d/1ddFKvqj1W1NEiWytbGlB1zMx_ykJDVtmfEQ-6-lIUBA/edit?usp=sharing"","&amp;"""จันทบุรี!J631"")+IMPORTRANGE(""https://docs.google.com/spreadsheets/d/1T1PQvRODqOBZk8BRht_U031fIS1beLA0Ub2CEytj2q0/edit?usp=sharing"",""ฉะเชิงเทรา!J631"")+IMPORTRANGE(""https://docs.google.com/spreadsheets/d/11tr1B-Bhyr79v2bkwVh5h_fR-PStkgjlZtkrZpYurG0/"&amp;"edit?usp=sharing"",""ชลบุรี!J631"")+IMPORTRANGE(""https://docs.google.com/spreadsheets/d/1hh-FVnSX0vozXhGluamEcS54Dw9_zqW0N7qJUWgJ0Sw/edit?usp=sharing"",""ชัยนาท!J631"")+IMPORTRANGE(""https://docs.google.com/spreadsheets/d/1jkqa6GXxSacMcY1eN8AHjMNJ_7dDXMJ"&amp;"VRLDlaFSOdPM/edit?usp=sharing"",""ตราด!J631"")+IMPORTRANGE(""https://docs.google.com/spreadsheets/d/18hSgUJ3VwClqi_qtULmmW3cLr0oe3OKaSYoKzdpTsYQ/edit?usp=sharing"",""นครนายก!J631"")+IMPORTRANGE(""https://docs.google.com/spreadsheets/d/1YTZo6WM2dQ6Ix6FSdnL"&amp;"5P7uVnVKu40sxZu975tgG10E/edit?usp=sharing"",""นครปฐม!J631"")+IMPORTRANGE(""https://docs.google.com/spreadsheets/d/1OYoGg4WDg5RIzwGeB10padOxJF9E_Vljuvvct_M7RDo/edit?usp=sharing"",""ปทุมธานี!J631"")+IMPORTRANGE(""https://docs.google.com/spreadsheets/d/1GbCI"&amp;"E4D4wk9FUozzqk7SxfDMxDVBwVmI5zcaVUSzKAc/edit?usp=sharing"",""ประจวบคีรีขันธ์!J631"")+IMPORTRANGE(""https://docs.google.com/spreadsheets/d/1vVf6wykvW_lAyu7Yo9L4hUTqHqIeP_qcVuxCtosJEbg/edit?usp=sharing"",""ปราจีนบุรี!J631"")+IMPORTRANGE(""https://docs.googl"&amp;"e.com/spreadsheets/d/1BIDqLLg5jk3v59G8NlR8rk5xfQDKne0sAvZHSj7TI6I/edit?usp=sharing"",""พระนครศรีอยุธยา!J631"")+IMPORTRANGE(""https://docs.google.com/spreadsheets/d/1YXvxf8Yu6_rV4hTBrwMqAcAnv6DfhUxh5emyM3CJp_w/edit?usp=sharing"",""เพชรบุรี!J631"")+IMPORTRA"&amp;"NGE(""https://docs.google.com/spreadsheets/d/19KBlQQs7uwvsao6t2n-KvW3Ax8J8uRRfZPq1zPbXgKc/edit?usp=sharing"",""ระยอง!J631"")+IMPORTRANGE(""https://docs.google.com/spreadsheets/d/1jQ6P4QcrGM89YfqcC_PxOHGCMq5ezhucwJd8ci-NHng/edit?usp=sharing"",""ราชบุรี!J63"&amp;"1"")+IMPORTRANGE(""https://docs.google.com/spreadsheets/d/1lufeA2cfFqM-elVq2hznhDzC6Pr7wkJ9ZG_sYNGCMCU/edit?usp=sharing"",""ลพบุรี!J631"")+IMPORTRANGE(""https://docs.google.com/spreadsheets/d/10oOiF7loTyfsTkbd4MpaIm0HQ9SwB7IYHdIUvt-U1Uc/edit?usp=sharing"""&amp;",""สระแก้ว!J631"")+IMPORTRANGE(""https://docs.google.com/spreadsheets/d/1xmPlrr1QbdSIKvl1dWUl9K4PjAfSL9oeMr_37QVzcxc/edit?usp=sharing"",""สระบุรี!J631"")+IMPORTRANGE(""https://docs.google.com/spreadsheets/d/1j51vR6CYVGhABJpv6tkstgok82RLpXieLzW1yOY5rHw/edi"&amp;"t?usp=sharing"",""สิงห์บุรี!J631"")+IMPORTRANGE(""https://docs.google.com/spreadsheets/d/1H1EalTWKUSzO4Z1-1CwzoDUaVffgrThEBe2sl74kKG0/edit?usp=sharing"",""สุพรรณบุรี!J631"")+IMPORTRANGE(""https://docs.google.com/spreadsheets/d/1BmIruG_sIrJLYao_Pdr7zVArWsf"&amp;"oBt2692TMi6x_854/edit?usp=sharing"",""อ่างทอง!J631"")"),0)</f>
        <v>0</v>
      </c>
      <c r="K631" s="72">
        <f t="shared" ca="1" si="445"/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 ca="1"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f ca="1">IFERROR(__xludf.DUMMYFUNCTION("IMPORTRANGE(""https://docs.google.com/spreadsheets/d/13wPX838HrBrQMCywv1BsuMkt4PEKTChp52zj44s2izQ/edit?usp=sharing"",""กาญจนบุรี!J633"")+IMPORTRANGE(""https://docs.google.com/spreadsheets/d/1ddFKvqj1W1NEiWytbGlB1zMx_ykJDVtmfEQ-6-lIUBA/edit?usp=sharing"","&amp;"""จันทบุรี!J633"")+IMPORTRANGE(""https://docs.google.com/spreadsheets/d/1T1PQvRODqOBZk8BRht_U031fIS1beLA0Ub2CEytj2q0/edit?usp=sharing"",""ฉะเชิงเทรา!J633"")+IMPORTRANGE(""https://docs.google.com/spreadsheets/d/11tr1B-Bhyr79v2bkwVh5h_fR-PStkgjlZtkrZpYurG0/"&amp;"edit?usp=sharing"",""ชลบุรี!J633"")+IMPORTRANGE(""https://docs.google.com/spreadsheets/d/1hh-FVnSX0vozXhGluamEcS54Dw9_zqW0N7qJUWgJ0Sw/edit?usp=sharing"",""ชัยนาท!J633"")+IMPORTRANGE(""https://docs.google.com/spreadsheets/d/1jkqa6GXxSacMcY1eN8AHjMNJ_7dDXMJ"&amp;"VRLDlaFSOdPM/edit?usp=sharing"",""ตราด!J633"")+IMPORTRANGE(""https://docs.google.com/spreadsheets/d/18hSgUJ3VwClqi_qtULmmW3cLr0oe3OKaSYoKzdpTsYQ/edit?usp=sharing"",""นครนายก!J633"")+IMPORTRANGE(""https://docs.google.com/spreadsheets/d/1YTZo6WM2dQ6Ix6FSdnL"&amp;"5P7uVnVKu40sxZu975tgG10E/edit?usp=sharing"",""นครปฐม!J633"")+IMPORTRANGE(""https://docs.google.com/spreadsheets/d/1OYoGg4WDg5RIzwGeB10padOxJF9E_Vljuvvct_M7RDo/edit?usp=sharing"",""ปทุมธานี!J633"")+IMPORTRANGE(""https://docs.google.com/spreadsheets/d/1GbCI"&amp;"E4D4wk9FUozzqk7SxfDMxDVBwVmI5zcaVUSzKAc/edit?usp=sharing"",""ประจวบคีรีขันธ์!J633"")+IMPORTRANGE(""https://docs.google.com/spreadsheets/d/1vVf6wykvW_lAyu7Yo9L4hUTqHqIeP_qcVuxCtosJEbg/edit?usp=sharing"",""ปราจีนบุรี!J633"")+IMPORTRANGE(""https://docs.googl"&amp;"e.com/spreadsheets/d/1BIDqLLg5jk3v59G8NlR8rk5xfQDKne0sAvZHSj7TI6I/edit?usp=sharing"",""พระนครศรีอยุธยา!J633"")+IMPORTRANGE(""https://docs.google.com/spreadsheets/d/1YXvxf8Yu6_rV4hTBrwMqAcAnv6DfhUxh5emyM3CJp_w/edit?usp=sharing"",""เพชรบุรี!J633"")+IMPORTRA"&amp;"NGE(""https://docs.google.com/spreadsheets/d/19KBlQQs7uwvsao6t2n-KvW3Ax8J8uRRfZPq1zPbXgKc/edit?usp=sharing"",""ระยอง!J633"")+IMPORTRANGE(""https://docs.google.com/spreadsheets/d/1jQ6P4QcrGM89YfqcC_PxOHGCMq5ezhucwJd8ci-NHng/edit?usp=sharing"",""ราชบุรี!J63"&amp;"3"")+IMPORTRANGE(""https://docs.google.com/spreadsheets/d/1lufeA2cfFqM-elVq2hznhDzC6Pr7wkJ9ZG_sYNGCMCU/edit?usp=sharing"",""ลพบุรี!J633"")+IMPORTRANGE(""https://docs.google.com/spreadsheets/d/10oOiF7loTyfsTkbd4MpaIm0HQ9SwB7IYHdIUvt-U1Uc/edit?usp=sharing"""&amp;",""สระแก้ว!J633"")+IMPORTRANGE(""https://docs.google.com/spreadsheets/d/1xmPlrr1QbdSIKvl1dWUl9K4PjAfSL9oeMr_37QVzcxc/edit?usp=sharing"",""สระบุรี!J633"")+IMPORTRANGE(""https://docs.google.com/spreadsheets/d/1j51vR6CYVGhABJpv6tkstgok82RLpXieLzW1yOY5rHw/edi"&amp;"t?usp=sharing"",""สิงห์บุรี!J633"")+IMPORTRANGE(""https://docs.google.com/spreadsheets/d/1H1EalTWKUSzO4Z1-1CwzoDUaVffgrThEBe2sl74kKG0/edit?usp=sharing"",""สุพรรณบุรี!J633"")+IMPORTRANGE(""https://docs.google.com/spreadsheets/d/1BmIruG_sIrJLYao_Pdr7zVArWsf"&amp;"oBt2692TMi6x_854/edit?usp=sharing"",""อ่างทอง!J633"")"),0)</f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f ca="1">IFERROR(__xludf.DUMMYFUNCTION("IMPORTRANGE(""https://docs.google.com/spreadsheets/d/13wPX838HrBrQMCywv1BsuMkt4PEKTChp52zj44s2izQ/edit?usp=sharing"",""กาญจนบุรี!J634"")+IMPORTRANGE(""https://docs.google.com/spreadsheets/d/1ddFKvqj1W1NEiWytbGlB1zMx_ykJDVtmfEQ-6-lIUBA/edit?usp=sharing"","&amp;"""จันทบุรี!J634"")+IMPORTRANGE(""https://docs.google.com/spreadsheets/d/1T1PQvRODqOBZk8BRht_U031fIS1beLA0Ub2CEytj2q0/edit?usp=sharing"",""ฉะเชิงเทรา!J634"")+IMPORTRANGE(""https://docs.google.com/spreadsheets/d/11tr1B-Bhyr79v2bkwVh5h_fR-PStkgjlZtkrZpYurG0/"&amp;"edit?usp=sharing"",""ชลบุรี!J634"")+IMPORTRANGE(""https://docs.google.com/spreadsheets/d/1hh-FVnSX0vozXhGluamEcS54Dw9_zqW0N7qJUWgJ0Sw/edit?usp=sharing"",""ชัยนาท!J634"")+IMPORTRANGE(""https://docs.google.com/spreadsheets/d/1jkqa6GXxSacMcY1eN8AHjMNJ_7dDXMJ"&amp;"VRLDlaFSOdPM/edit?usp=sharing"",""ตราด!J634"")+IMPORTRANGE(""https://docs.google.com/spreadsheets/d/18hSgUJ3VwClqi_qtULmmW3cLr0oe3OKaSYoKzdpTsYQ/edit?usp=sharing"",""นครนายก!J634"")+IMPORTRANGE(""https://docs.google.com/spreadsheets/d/1YTZo6WM2dQ6Ix6FSdnL"&amp;"5P7uVnVKu40sxZu975tgG10E/edit?usp=sharing"",""นครปฐม!J634"")+IMPORTRANGE(""https://docs.google.com/spreadsheets/d/1OYoGg4WDg5RIzwGeB10padOxJF9E_Vljuvvct_M7RDo/edit?usp=sharing"",""ปทุมธานี!J634"")+IMPORTRANGE(""https://docs.google.com/spreadsheets/d/1GbCI"&amp;"E4D4wk9FUozzqk7SxfDMxDVBwVmI5zcaVUSzKAc/edit?usp=sharing"",""ประจวบคีรีขันธ์!J634"")+IMPORTRANGE(""https://docs.google.com/spreadsheets/d/1vVf6wykvW_lAyu7Yo9L4hUTqHqIeP_qcVuxCtosJEbg/edit?usp=sharing"",""ปราจีนบุรี!J634"")+IMPORTRANGE(""https://docs.googl"&amp;"e.com/spreadsheets/d/1BIDqLLg5jk3v59G8NlR8rk5xfQDKne0sAvZHSj7TI6I/edit?usp=sharing"",""พระนครศรีอยุธยา!J634"")+IMPORTRANGE(""https://docs.google.com/spreadsheets/d/1YXvxf8Yu6_rV4hTBrwMqAcAnv6DfhUxh5emyM3CJp_w/edit?usp=sharing"",""เพชรบุรี!J634"")+IMPORTRA"&amp;"NGE(""https://docs.google.com/spreadsheets/d/19KBlQQs7uwvsao6t2n-KvW3Ax8J8uRRfZPq1zPbXgKc/edit?usp=sharing"",""ระยอง!J634"")+IMPORTRANGE(""https://docs.google.com/spreadsheets/d/1jQ6P4QcrGM89YfqcC_PxOHGCMq5ezhucwJd8ci-NHng/edit?usp=sharing"",""ราชบุรี!J63"&amp;"4"")+IMPORTRANGE(""https://docs.google.com/spreadsheets/d/1lufeA2cfFqM-elVq2hznhDzC6Pr7wkJ9ZG_sYNGCMCU/edit?usp=sharing"",""ลพบุรี!J634"")+IMPORTRANGE(""https://docs.google.com/spreadsheets/d/10oOiF7loTyfsTkbd4MpaIm0HQ9SwB7IYHdIUvt-U1Uc/edit?usp=sharing"""&amp;",""สระแก้ว!J634"")+IMPORTRANGE(""https://docs.google.com/spreadsheets/d/1xmPlrr1QbdSIKvl1dWUl9K4PjAfSL9oeMr_37QVzcxc/edit?usp=sharing"",""สระบุรี!J634"")+IMPORTRANGE(""https://docs.google.com/spreadsheets/d/1j51vR6CYVGhABJpv6tkstgok82RLpXieLzW1yOY5rHw/edi"&amp;"t?usp=sharing"",""สิงห์บุรี!J634"")+IMPORTRANGE(""https://docs.google.com/spreadsheets/d/1H1EalTWKUSzO4Z1-1CwzoDUaVffgrThEBe2sl74kKG0/edit?usp=sharing"",""สุพรรณบุรี!J634"")+IMPORTRANGE(""https://docs.google.com/spreadsheets/d/1BmIruG_sIrJLYao_Pdr7zVArWsf"&amp;"oBt2692TMi6x_854/edit?usp=sharing"",""อ่างทอง!J634"")"),0)</f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13wPX838HrBrQMCywv1BsuMkt4PEKTChp52zj44s2izQ/edit?usp=sharing"",""กาญจนบุรี!I635"")+IMPORTRANGE(""https://docs.google.com/spreadsheets/d/1ddFKvqj1W1NEiWytbGlB1zMx_ykJDVtmfEQ-6-lIUBA/edit?usp=sharing"","&amp;"""จันทบุรี!I635"")+IMPORTRANGE(""https://docs.google.com/spreadsheets/d/1T1PQvRODqOBZk8BRht_U031fIS1beLA0Ub2CEytj2q0/edit?usp=sharing"",""ฉะเชิงเทรา!I635"")+IMPORTRANGE(""https://docs.google.com/spreadsheets/d/11tr1B-Bhyr79v2bkwVh5h_fR-PStkgjlZtkrZpYurG0/"&amp;"edit?usp=sharing"",""ชลบุรี!I635"")+IMPORTRANGE(""https://docs.google.com/spreadsheets/d/1hh-FVnSX0vozXhGluamEcS54Dw9_zqW0N7qJUWgJ0Sw/edit?usp=sharing"",""ชัยนาท!I635"")+IMPORTRANGE(""https://docs.google.com/spreadsheets/d/1jkqa6GXxSacMcY1eN8AHjMNJ_7dDXMJ"&amp;"VRLDlaFSOdPM/edit?usp=sharing"",""ตราด!I635"")+IMPORTRANGE(""https://docs.google.com/spreadsheets/d/18hSgUJ3VwClqi_qtULmmW3cLr0oe3OKaSYoKzdpTsYQ/edit?usp=sharing"",""นครนายก!I635"")+IMPORTRANGE(""https://docs.google.com/spreadsheets/d/1YTZo6WM2dQ6Ix6FSdnL"&amp;"5P7uVnVKu40sxZu975tgG10E/edit?usp=sharing"",""นครปฐม!I635"")+IMPORTRANGE(""https://docs.google.com/spreadsheets/d/1OYoGg4WDg5RIzwGeB10padOxJF9E_Vljuvvct_M7RDo/edit?usp=sharing"",""ปทุมธานี!I635"")+IMPORTRANGE(""https://docs.google.com/spreadsheets/d/1GbCI"&amp;"E4D4wk9FUozzqk7SxfDMxDVBwVmI5zcaVUSzKAc/edit?usp=sharing"",""ประจวบคีรีขันธ์!I635"")+IMPORTRANGE(""https://docs.google.com/spreadsheets/d/1vVf6wykvW_lAyu7Yo9L4hUTqHqIeP_qcVuxCtosJEbg/edit?usp=sharing"",""ปราจีนบุรี!I635"")+IMPORTRANGE(""https://docs.googl"&amp;"e.com/spreadsheets/d/1BIDqLLg5jk3v59G8NlR8rk5xfQDKne0sAvZHSj7TI6I/edit?usp=sharing"",""พระนครศรีอยุธยา!I635"")+IMPORTRANGE(""https://docs.google.com/spreadsheets/d/1YXvxf8Yu6_rV4hTBrwMqAcAnv6DfhUxh5emyM3CJp_w/edit?usp=sharing"",""เพชรบุรี!I635"")+IMPORTRA"&amp;"NGE(""https://docs.google.com/spreadsheets/d/19KBlQQs7uwvsao6t2n-KvW3Ax8J8uRRfZPq1zPbXgKc/edit?usp=sharing"",""ระยอง!I635"")+IMPORTRANGE(""https://docs.google.com/spreadsheets/d/1jQ6P4QcrGM89YfqcC_PxOHGCMq5ezhucwJd8ci-NHng/edit?usp=sharing"",""ราชบุรี!I63"&amp;"5"")+IMPORTRANGE(""https://docs.google.com/spreadsheets/d/1lufeA2cfFqM-elVq2hznhDzC6Pr7wkJ9ZG_sYNGCMCU/edit?usp=sharing"",""ลพบุรี!I635"")+IMPORTRANGE(""https://docs.google.com/spreadsheets/d/10oOiF7loTyfsTkbd4MpaIm0HQ9SwB7IYHdIUvt-U1Uc/edit?usp=sharing"""&amp;",""สระแก้ว!I635"")+IMPORTRANGE(""https://docs.google.com/spreadsheets/d/1xmPlrr1QbdSIKvl1dWUl9K4PjAfSL9oeMr_37QVzcxc/edit?usp=sharing"",""สระบุรี!I635"")+IMPORTRANGE(""https://docs.google.com/spreadsheets/d/1j51vR6CYVGhABJpv6tkstgok82RLpXieLzW1yOY5rHw/edi"&amp;"t?usp=sharing"",""สิงห์บุรี!I635"")+IMPORTRANGE(""https://docs.google.com/spreadsheets/d/1H1EalTWKUSzO4Z1-1CwzoDUaVffgrThEBe2sl74kKG0/edit?usp=sharing"",""สุพรรณบุรี!I635"")+IMPORTRANGE(""https://docs.google.com/spreadsheets/d/1BmIruG_sIrJLYao_Pdr7zVArWsf"&amp;"oBt2692TMi6x_854/edit?usp=sharing"",""อ่างทอง!I635"")"),0)</f>
        <v>0</v>
      </c>
      <c r="J635" s="601">
        <f ca="1"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 ca="1"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f ca="1">IFERROR(__xludf.DUMMYFUNCTION("IMPORTRANGE(""https://docs.google.com/spreadsheets/d/13wPX838HrBrQMCywv1BsuMkt4PEKTChp52zj44s2izQ/edit?usp=sharing"",""กาญจนบุรี!J637"")+IMPORTRANGE(""https://docs.google.com/spreadsheets/d/1ddFKvqj1W1NEiWytbGlB1zMx_ykJDVtmfEQ-6-lIUBA/edit?usp=sharing"","&amp;"""จันทบุรี!J637"")+IMPORTRANGE(""https://docs.google.com/spreadsheets/d/1T1PQvRODqOBZk8BRht_U031fIS1beLA0Ub2CEytj2q0/edit?usp=sharing"",""ฉะเชิงเทรา!J637"")+IMPORTRANGE(""https://docs.google.com/spreadsheets/d/11tr1B-Bhyr79v2bkwVh5h_fR-PStkgjlZtkrZpYurG0/"&amp;"edit?usp=sharing"",""ชลบุรี!J637"")+IMPORTRANGE(""https://docs.google.com/spreadsheets/d/1hh-FVnSX0vozXhGluamEcS54Dw9_zqW0N7qJUWgJ0Sw/edit?usp=sharing"",""ชัยนาท!J637"")+IMPORTRANGE(""https://docs.google.com/spreadsheets/d/1jkqa6GXxSacMcY1eN8AHjMNJ_7dDXMJ"&amp;"VRLDlaFSOdPM/edit?usp=sharing"",""ตราด!J637"")+IMPORTRANGE(""https://docs.google.com/spreadsheets/d/18hSgUJ3VwClqi_qtULmmW3cLr0oe3OKaSYoKzdpTsYQ/edit?usp=sharing"",""นครนายก!J637"")+IMPORTRANGE(""https://docs.google.com/spreadsheets/d/1YTZo6WM2dQ6Ix6FSdnL"&amp;"5P7uVnVKu40sxZu975tgG10E/edit?usp=sharing"",""นครปฐม!J637"")+IMPORTRANGE(""https://docs.google.com/spreadsheets/d/1OYoGg4WDg5RIzwGeB10padOxJF9E_Vljuvvct_M7RDo/edit?usp=sharing"",""ปทุมธานี!J637"")+IMPORTRANGE(""https://docs.google.com/spreadsheets/d/1GbCI"&amp;"E4D4wk9FUozzqk7SxfDMxDVBwVmI5zcaVUSzKAc/edit?usp=sharing"",""ประจวบคีรีขันธ์!J637"")+IMPORTRANGE(""https://docs.google.com/spreadsheets/d/1vVf6wykvW_lAyu7Yo9L4hUTqHqIeP_qcVuxCtosJEbg/edit?usp=sharing"",""ปราจีนบุรี!J637"")+IMPORTRANGE(""https://docs.googl"&amp;"e.com/spreadsheets/d/1BIDqLLg5jk3v59G8NlR8rk5xfQDKne0sAvZHSj7TI6I/edit?usp=sharing"",""พระนครศรีอยุธยา!J637"")+IMPORTRANGE(""https://docs.google.com/spreadsheets/d/1YXvxf8Yu6_rV4hTBrwMqAcAnv6DfhUxh5emyM3CJp_w/edit?usp=sharing"",""เพชรบุรี!J637"")+IMPORTRA"&amp;"NGE(""https://docs.google.com/spreadsheets/d/19KBlQQs7uwvsao6t2n-KvW3Ax8J8uRRfZPq1zPbXgKc/edit?usp=sharing"",""ระยอง!J637"")+IMPORTRANGE(""https://docs.google.com/spreadsheets/d/1jQ6P4QcrGM89YfqcC_PxOHGCMq5ezhucwJd8ci-NHng/edit?usp=sharing"",""ราชบุรี!J63"&amp;"7"")+IMPORTRANGE(""https://docs.google.com/spreadsheets/d/1lufeA2cfFqM-elVq2hznhDzC6Pr7wkJ9ZG_sYNGCMCU/edit?usp=sharing"",""ลพบุรี!J637"")+IMPORTRANGE(""https://docs.google.com/spreadsheets/d/10oOiF7loTyfsTkbd4MpaIm0HQ9SwB7IYHdIUvt-U1Uc/edit?usp=sharing"""&amp;",""สระแก้ว!J637"")+IMPORTRANGE(""https://docs.google.com/spreadsheets/d/1xmPlrr1QbdSIKvl1dWUl9K4PjAfSL9oeMr_37QVzcxc/edit?usp=sharing"",""สระบุรี!J637"")+IMPORTRANGE(""https://docs.google.com/spreadsheets/d/1j51vR6CYVGhABJpv6tkstgok82RLpXieLzW1yOY5rHw/edi"&amp;"t?usp=sharing"",""สิงห์บุรี!J637"")+IMPORTRANGE(""https://docs.google.com/spreadsheets/d/1H1EalTWKUSzO4Z1-1CwzoDUaVffgrThEBe2sl74kKG0/edit?usp=sharing"",""สุพรรณบุรี!J637"")+IMPORTRANGE(""https://docs.google.com/spreadsheets/d/1BmIruG_sIrJLYao_Pdr7zVArWsf"&amp;"oBt2692TMi6x_854/edit?usp=sharing"",""อ่างทอง!J637"")"),0)</f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f ca="1">IFERROR(__xludf.DUMMYFUNCTION("IMPORTRANGE(""https://docs.google.com/spreadsheets/d/13wPX838HrBrQMCywv1BsuMkt4PEKTChp52zj44s2izQ/edit?usp=sharing"",""กาญจนบุรี!J638"")+IMPORTRANGE(""https://docs.google.com/spreadsheets/d/1ddFKvqj1W1NEiWytbGlB1zMx_ykJDVtmfEQ-6-lIUBA/edit?usp=sharing"","&amp;"""จันทบุรี!J638"")+IMPORTRANGE(""https://docs.google.com/spreadsheets/d/1T1PQvRODqOBZk8BRht_U031fIS1beLA0Ub2CEytj2q0/edit?usp=sharing"",""ฉะเชิงเทรา!J638"")+IMPORTRANGE(""https://docs.google.com/spreadsheets/d/11tr1B-Bhyr79v2bkwVh5h_fR-PStkgjlZtkrZpYurG0/"&amp;"edit?usp=sharing"",""ชลบุรี!J638"")+IMPORTRANGE(""https://docs.google.com/spreadsheets/d/1hh-FVnSX0vozXhGluamEcS54Dw9_zqW0N7qJUWgJ0Sw/edit?usp=sharing"",""ชัยนาท!J638"")+IMPORTRANGE(""https://docs.google.com/spreadsheets/d/1jkqa6GXxSacMcY1eN8AHjMNJ_7dDXMJ"&amp;"VRLDlaFSOdPM/edit?usp=sharing"",""ตราด!J638"")+IMPORTRANGE(""https://docs.google.com/spreadsheets/d/18hSgUJ3VwClqi_qtULmmW3cLr0oe3OKaSYoKzdpTsYQ/edit?usp=sharing"",""นครนายก!J638"")+IMPORTRANGE(""https://docs.google.com/spreadsheets/d/1YTZo6WM2dQ6Ix6FSdnL"&amp;"5P7uVnVKu40sxZu975tgG10E/edit?usp=sharing"",""นครปฐม!J638"")+IMPORTRANGE(""https://docs.google.com/spreadsheets/d/1OYoGg4WDg5RIzwGeB10padOxJF9E_Vljuvvct_M7RDo/edit?usp=sharing"",""ปทุมธานี!J638"")+IMPORTRANGE(""https://docs.google.com/spreadsheets/d/1GbCI"&amp;"E4D4wk9FUozzqk7SxfDMxDVBwVmI5zcaVUSzKAc/edit?usp=sharing"",""ประจวบคีรีขันธ์!J638"")+IMPORTRANGE(""https://docs.google.com/spreadsheets/d/1vVf6wykvW_lAyu7Yo9L4hUTqHqIeP_qcVuxCtosJEbg/edit?usp=sharing"",""ปราจีนบุรี!J638"")+IMPORTRANGE(""https://docs.googl"&amp;"e.com/spreadsheets/d/1BIDqLLg5jk3v59G8NlR8rk5xfQDKne0sAvZHSj7TI6I/edit?usp=sharing"",""พระนครศรีอยุธยา!J638"")+IMPORTRANGE(""https://docs.google.com/spreadsheets/d/1YXvxf8Yu6_rV4hTBrwMqAcAnv6DfhUxh5emyM3CJp_w/edit?usp=sharing"",""เพชรบุรี!J638"")+IMPORTRA"&amp;"NGE(""https://docs.google.com/spreadsheets/d/19KBlQQs7uwvsao6t2n-KvW3Ax8J8uRRfZPq1zPbXgKc/edit?usp=sharing"",""ระยอง!J638"")+IMPORTRANGE(""https://docs.google.com/spreadsheets/d/1jQ6P4QcrGM89YfqcC_PxOHGCMq5ezhucwJd8ci-NHng/edit?usp=sharing"",""ราชบุรี!J63"&amp;"8"")+IMPORTRANGE(""https://docs.google.com/spreadsheets/d/1lufeA2cfFqM-elVq2hznhDzC6Pr7wkJ9ZG_sYNGCMCU/edit?usp=sharing"",""ลพบุรี!J638"")+IMPORTRANGE(""https://docs.google.com/spreadsheets/d/10oOiF7loTyfsTkbd4MpaIm0HQ9SwB7IYHdIUvt-U1Uc/edit?usp=sharing"""&amp;",""สระแก้ว!J638"")+IMPORTRANGE(""https://docs.google.com/spreadsheets/d/1xmPlrr1QbdSIKvl1dWUl9K4PjAfSL9oeMr_37QVzcxc/edit?usp=sharing"",""สระบุรี!J638"")+IMPORTRANGE(""https://docs.google.com/spreadsheets/d/1j51vR6CYVGhABJpv6tkstgok82RLpXieLzW1yOY5rHw/edi"&amp;"t?usp=sharing"",""สิงห์บุรี!J638"")+IMPORTRANGE(""https://docs.google.com/spreadsheets/d/1H1EalTWKUSzO4Z1-1CwzoDUaVffgrThEBe2sl74kKG0/edit?usp=sharing"",""สุพรรณบุรี!J638"")+IMPORTRANGE(""https://docs.google.com/spreadsheets/d/1BmIruG_sIrJLYao_Pdr7zVArWsf"&amp;"oBt2692TMi6x_854/edit?usp=sharing"",""อ่างทอง!J638"")"),0)</f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f ca="1">IFERROR(__xludf.DUMMYFUNCTION("IMPORTRANGE(""https://docs.google.com/spreadsheets/d/13wPX838HrBrQMCywv1BsuMkt4PEKTChp52zj44s2izQ/edit?usp=sharing"",""กาญจนบุรี!J639"")+IMPORTRANGE(""https://docs.google.com/spreadsheets/d/1ddFKvqj1W1NEiWytbGlB1zMx_ykJDVtmfEQ-6-lIUBA/edit?usp=sharing"","&amp;"""จันทบุรี!J639"")+IMPORTRANGE(""https://docs.google.com/spreadsheets/d/1T1PQvRODqOBZk8BRht_U031fIS1beLA0Ub2CEytj2q0/edit?usp=sharing"",""ฉะเชิงเทรา!J639"")+IMPORTRANGE(""https://docs.google.com/spreadsheets/d/11tr1B-Bhyr79v2bkwVh5h_fR-PStkgjlZtkrZpYurG0/"&amp;"edit?usp=sharing"",""ชลบุรี!J639"")+IMPORTRANGE(""https://docs.google.com/spreadsheets/d/1hh-FVnSX0vozXhGluamEcS54Dw9_zqW0N7qJUWgJ0Sw/edit?usp=sharing"",""ชัยนาท!J639"")+IMPORTRANGE(""https://docs.google.com/spreadsheets/d/1jkqa6GXxSacMcY1eN8AHjMNJ_7dDXMJ"&amp;"VRLDlaFSOdPM/edit?usp=sharing"",""ตราด!J639"")+IMPORTRANGE(""https://docs.google.com/spreadsheets/d/18hSgUJ3VwClqi_qtULmmW3cLr0oe3OKaSYoKzdpTsYQ/edit?usp=sharing"",""นครนายก!J639"")+IMPORTRANGE(""https://docs.google.com/spreadsheets/d/1YTZo6WM2dQ6Ix6FSdnL"&amp;"5P7uVnVKu40sxZu975tgG10E/edit?usp=sharing"",""นครปฐม!J639"")+IMPORTRANGE(""https://docs.google.com/spreadsheets/d/1OYoGg4WDg5RIzwGeB10padOxJF9E_Vljuvvct_M7RDo/edit?usp=sharing"",""ปทุมธานี!J639"")+IMPORTRANGE(""https://docs.google.com/spreadsheets/d/1GbCI"&amp;"E4D4wk9FUozzqk7SxfDMxDVBwVmI5zcaVUSzKAc/edit?usp=sharing"",""ประจวบคีรีขันธ์!J639"")+IMPORTRANGE(""https://docs.google.com/spreadsheets/d/1vVf6wykvW_lAyu7Yo9L4hUTqHqIeP_qcVuxCtosJEbg/edit?usp=sharing"",""ปราจีนบุรี!J639"")+IMPORTRANGE(""https://docs.googl"&amp;"e.com/spreadsheets/d/1BIDqLLg5jk3v59G8NlR8rk5xfQDKne0sAvZHSj7TI6I/edit?usp=sharing"",""พระนครศรีอยุธยา!J639"")+IMPORTRANGE(""https://docs.google.com/spreadsheets/d/1YXvxf8Yu6_rV4hTBrwMqAcAnv6DfhUxh5emyM3CJp_w/edit?usp=sharing"",""เพชรบุรี!J639"")+IMPORTRA"&amp;"NGE(""https://docs.google.com/spreadsheets/d/19KBlQQs7uwvsao6t2n-KvW3Ax8J8uRRfZPq1zPbXgKc/edit?usp=sharing"",""ระยอง!J639"")+IMPORTRANGE(""https://docs.google.com/spreadsheets/d/1jQ6P4QcrGM89YfqcC_PxOHGCMq5ezhucwJd8ci-NHng/edit?usp=sharing"",""ราชบุรี!J63"&amp;"9"")+IMPORTRANGE(""https://docs.google.com/spreadsheets/d/1lufeA2cfFqM-elVq2hznhDzC6Pr7wkJ9ZG_sYNGCMCU/edit?usp=sharing"",""ลพบุรี!J639"")+IMPORTRANGE(""https://docs.google.com/spreadsheets/d/10oOiF7loTyfsTkbd4MpaIm0HQ9SwB7IYHdIUvt-U1Uc/edit?usp=sharing"""&amp;",""สระแก้ว!J639"")+IMPORTRANGE(""https://docs.google.com/spreadsheets/d/1xmPlrr1QbdSIKvl1dWUl9K4PjAfSL9oeMr_37QVzcxc/edit?usp=sharing"",""สระบุรี!J639"")+IMPORTRANGE(""https://docs.google.com/spreadsheets/d/1j51vR6CYVGhABJpv6tkstgok82RLpXieLzW1yOY5rHw/edi"&amp;"t?usp=sharing"",""สิงห์บุรี!J639"")+IMPORTRANGE(""https://docs.google.com/spreadsheets/d/1H1EalTWKUSzO4Z1-1CwzoDUaVffgrThEBe2sl74kKG0/edit?usp=sharing"",""สุพรรณบุรี!J639"")+IMPORTRANGE(""https://docs.google.com/spreadsheets/d/1BmIruG_sIrJLYao_Pdr7zVArWsf"&amp;"oBt2692TMi6x_854/edit?usp=sharing"",""อ่างทอง!J639"")"),177)</f>
        <v>177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f ca="1">IFERROR(__xludf.DUMMYFUNCTION("IMPORTRANGE(""https://docs.google.com/spreadsheets/d/13wPX838HrBrQMCywv1BsuMkt4PEKTChp52zj44s2izQ/edit?usp=sharing"",""กาญจนบุรี!J640"")+IMPORTRANGE(""https://docs.google.com/spreadsheets/d/1ddFKvqj1W1NEiWytbGlB1zMx_ykJDVtmfEQ-6-lIUBA/edit?usp=sharing"","&amp;"""จันทบุรี!J640"")+IMPORTRANGE(""https://docs.google.com/spreadsheets/d/1T1PQvRODqOBZk8BRht_U031fIS1beLA0Ub2CEytj2q0/edit?usp=sharing"",""ฉะเชิงเทรา!J640"")+IMPORTRANGE(""https://docs.google.com/spreadsheets/d/11tr1B-Bhyr79v2bkwVh5h_fR-PStkgjlZtkrZpYurG0/"&amp;"edit?usp=sharing"",""ชลบุรี!J640"")+IMPORTRANGE(""https://docs.google.com/spreadsheets/d/1hh-FVnSX0vozXhGluamEcS54Dw9_zqW0N7qJUWgJ0Sw/edit?usp=sharing"",""ชัยนาท!J640"")+IMPORTRANGE(""https://docs.google.com/spreadsheets/d/1jkqa6GXxSacMcY1eN8AHjMNJ_7dDXMJ"&amp;"VRLDlaFSOdPM/edit?usp=sharing"",""ตราด!J640"")+IMPORTRANGE(""https://docs.google.com/spreadsheets/d/18hSgUJ3VwClqi_qtULmmW3cLr0oe3OKaSYoKzdpTsYQ/edit?usp=sharing"",""นครนายก!J640"")+IMPORTRANGE(""https://docs.google.com/spreadsheets/d/1YTZo6WM2dQ6Ix6FSdnL"&amp;"5P7uVnVKu40sxZu975tgG10E/edit?usp=sharing"",""นครปฐม!J640"")+IMPORTRANGE(""https://docs.google.com/spreadsheets/d/1OYoGg4WDg5RIzwGeB10padOxJF9E_Vljuvvct_M7RDo/edit?usp=sharing"",""ปทุมธานี!J640"")+IMPORTRANGE(""https://docs.google.com/spreadsheets/d/1GbCI"&amp;"E4D4wk9FUozzqk7SxfDMxDVBwVmI5zcaVUSzKAc/edit?usp=sharing"",""ประจวบคีรีขันธ์!J640"")+IMPORTRANGE(""https://docs.google.com/spreadsheets/d/1vVf6wykvW_lAyu7Yo9L4hUTqHqIeP_qcVuxCtosJEbg/edit?usp=sharing"",""ปราจีนบุรี!J640"")+IMPORTRANGE(""https://docs.googl"&amp;"e.com/spreadsheets/d/1BIDqLLg5jk3v59G8NlR8rk5xfQDKne0sAvZHSj7TI6I/edit?usp=sharing"",""พระนครศรีอยุธยา!J640"")+IMPORTRANGE(""https://docs.google.com/spreadsheets/d/1YXvxf8Yu6_rV4hTBrwMqAcAnv6DfhUxh5emyM3CJp_w/edit?usp=sharing"",""เพชรบุรี!J640"")+IMPORTRA"&amp;"NGE(""https://docs.google.com/spreadsheets/d/19KBlQQs7uwvsao6t2n-KvW3Ax8J8uRRfZPq1zPbXgKc/edit?usp=sharing"",""ระยอง!J640"")+IMPORTRANGE(""https://docs.google.com/spreadsheets/d/1jQ6P4QcrGM89YfqcC_PxOHGCMq5ezhucwJd8ci-NHng/edit?usp=sharing"",""ราชบุรี!J64"&amp;"0"")+IMPORTRANGE(""https://docs.google.com/spreadsheets/d/1lufeA2cfFqM-elVq2hznhDzC6Pr7wkJ9ZG_sYNGCMCU/edit?usp=sharing"",""ลพบุรี!J640"")+IMPORTRANGE(""https://docs.google.com/spreadsheets/d/10oOiF7loTyfsTkbd4MpaIm0HQ9SwB7IYHdIUvt-U1Uc/edit?usp=sharing"""&amp;",""สระแก้ว!J640"")+IMPORTRANGE(""https://docs.google.com/spreadsheets/d/1xmPlrr1QbdSIKvl1dWUl9K4PjAfSL9oeMr_37QVzcxc/edit?usp=sharing"",""สระบุรี!J640"")+IMPORTRANGE(""https://docs.google.com/spreadsheets/d/1j51vR6CYVGhABJpv6tkstgok82RLpXieLzW1yOY5rHw/edi"&amp;"t?usp=sharing"",""สิงห์บุรี!J640"")+IMPORTRANGE(""https://docs.google.com/spreadsheets/d/1H1EalTWKUSzO4Z1-1CwzoDUaVffgrThEBe2sl74kKG0/edit?usp=sharing"",""สุพรรณบุรี!J640"")+IMPORTRANGE(""https://docs.google.com/spreadsheets/d/1BmIruG_sIrJLYao_Pdr7zVArWsf"&amp;"oBt2692TMi6x_854/edit?usp=sharing"",""อ่างทอง!J640"")"),0)</f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x14ac:dyDescent="0.3">
      <c r="A641" s="714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1"/>
      <c r="M641" s="721"/>
      <c r="N641" s="721"/>
      <c r="O641" s="721"/>
      <c r="P641" s="721"/>
      <c r="Q641" s="722"/>
      <c r="R641" s="721"/>
      <c r="S641" s="721"/>
      <c r="T641" s="721"/>
      <c r="U641" s="721"/>
    </row>
    <row r="642" spans="1:21" ht="19.5" x14ac:dyDescent="0.3">
      <c r="A642" s="255"/>
      <c r="B642" s="267"/>
      <c r="C642" s="567" t="s">
        <v>18</v>
      </c>
      <c r="D642" s="1403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262">
        <f t="shared" ref="L642:N642" ca="1" si="446">L643+L644</f>
        <v>0</v>
      </c>
      <c r="M642" s="262">
        <f t="shared" ca="1" si="446"/>
        <v>0</v>
      </c>
      <c r="N642" s="262">
        <f t="shared" ca="1" si="446"/>
        <v>0</v>
      </c>
      <c r="O642" s="262">
        <f t="shared" ref="O642:O650" ca="1" si="447">IF(L642&gt;0,N642*100/L642,0)</f>
        <v>0</v>
      </c>
      <c r="P642" s="262">
        <f t="shared" ref="P642:P650" ca="1" si="448">IF(M642&gt;0,N642*100/M642,0)</f>
        <v>0</v>
      </c>
      <c r="Q642" s="212">
        <f t="shared" ref="Q642:S642" ca="1" si="449">Q643+Q644</f>
        <v>417660</v>
      </c>
      <c r="R642" s="213">
        <f t="shared" ca="1" si="449"/>
        <v>417660</v>
      </c>
      <c r="S642" s="213">
        <f t="shared" ca="1" si="449"/>
        <v>88735</v>
      </c>
      <c r="T642" s="213">
        <f t="shared" ref="T642:T650" ca="1" si="450">IF(Q642&gt;0,S642*100/Q642,0)</f>
        <v>21.245750131686062</v>
      </c>
      <c r="U642" s="213">
        <f t="shared" ref="U642:U650" ca="1" si="451">IF(R642&gt;0,S642*100/R642,0)</f>
        <v>21.245750131686062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5">
        <f t="shared" ref="L643:N643" ca="1" si="452">L646+L649</f>
        <v>0</v>
      </c>
      <c r="M643" s="75">
        <f t="shared" ca="1" si="452"/>
        <v>0</v>
      </c>
      <c r="N643" s="75">
        <f t="shared" ca="1" si="452"/>
        <v>0</v>
      </c>
      <c r="O643" s="75">
        <f t="shared" ca="1" si="447"/>
        <v>0</v>
      </c>
      <c r="P643" s="75">
        <f t="shared" ca="1" si="448"/>
        <v>0</v>
      </c>
      <c r="Q643" s="215">
        <f t="shared" ref="Q643:S643" ca="1" si="453">Q646+Q649</f>
        <v>0</v>
      </c>
      <c r="R643" s="131">
        <f t="shared" ca="1" si="453"/>
        <v>0</v>
      </c>
      <c r="S643" s="131">
        <f t="shared" ca="1" si="453"/>
        <v>0</v>
      </c>
      <c r="T643" s="131">
        <f t="shared" ca="1" si="450"/>
        <v>0</v>
      </c>
      <c r="U643" s="131">
        <f t="shared" ca="1" si="451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2">
        <f t="shared" ref="L644:N644" ca="1" si="454">L647+L650</f>
        <v>0</v>
      </c>
      <c r="M644" s="72">
        <f t="shared" ca="1" si="454"/>
        <v>0</v>
      </c>
      <c r="N644" s="72">
        <f t="shared" ca="1" si="454"/>
        <v>0</v>
      </c>
      <c r="O644" s="72">
        <f t="shared" ca="1" si="447"/>
        <v>0</v>
      </c>
      <c r="P644" s="72">
        <f t="shared" ca="1" si="448"/>
        <v>0</v>
      </c>
      <c r="Q644" s="129">
        <f t="shared" ref="Q644:S644" ca="1" si="455">Q647+Q650</f>
        <v>417660</v>
      </c>
      <c r="R644" s="130">
        <f t="shared" ca="1" si="455"/>
        <v>417660</v>
      </c>
      <c r="S644" s="130">
        <f t="shared" ca="1" si="455"/>
        <v>88735</v>
      </c>
      <c r="T644" s="130">
        <f t="shared" ca="1" si="450"/>
        <v>21.245750131686062</v>
      </c>
      <c r="U644" s="130">
        <f t="shared" ca="1" si="451"/>
        <v>21.245750131686062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 t="shared" ref="L645:N645" ca="1" si="456">L646+L647</f>
        <v>0</v>
      </c>
      <c r="M645" s="72">
        <f t="shared" ca="1" si="456"/>
        <v>0</v>
      </c>
      <c r="N645" s="72">
        <f t="shared" ca="1" si="456"/>
        <v>0</v>
      </c>
      <c r="O645" s="72">
        <f t="shared" ca="1" si="447"/>
        <v>0</v>
      </c>
      <c r="P645" s="72">
        <f t="shared" ca="1" si="448"/>
        <v>0</v>
      </c>
      <c r="Q645" s="129">
        <f t="shared" ref="Q645:S645" ca="1" si="457">Q646+Q647</f>
        <v>417660</v>
      </c>
      <c r="R645" s="130">
        <f t="shared" ca="1" si="457"/>
        <v>417660</v>
      </c>
      <c r="S645" s="130">
        <f t="shared" ca="1" si="457"/>
        <v>88735</v>
      </c>
      <c r="T645" s="130">
        <f t="shared" ca="1" si="450"/>
        <v>21.245750131686062</v>
      </c>
      <c r="U645" s="130">
        <f t="shared" ca="1" si="451"/>
        <v>21.245750131686062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5">
        <f ca="1">IFERROR(__xludf.DUMMYFUNCTION("IMPORTRANGE(""https://docs.google.com/spreadsheets/d/13wPX838HrBrQMCywv1BsuMkt4PEKTChp52zj44s2izQ/edit?usp=sharing"",""กาญจนบุรี!L646"")+IMPORTRANGE(""https://docs.google.com/spreadsheets/d/1ddFKvqj1W1NEiWytbGlB1zMx_ykJDVtmfEQ-6-lIUBA/edit?usp=sharing"","&amp;"""จันทบุรี!L646"")+IMPORTRANGE(""https://docs.google.com/spreadsheets/d/1T1PQvRODqOBZk8BRht_U031fIS1beLA0Ub2CEytj2q0/edit?usp=sharing"",""ฉะเชิงเทรา!L646"")+IMPORTRANGE(""https://docs.google.com/spreadsheets/d/11tr1B-Bhyr79v2bkwVh5h_fR-PStkgjlZtkrZpYurG0/"&amp;"edit?usp=sharing"",""ชลบุรี!L646"")+IMPORTRANGE(""https://docs.google.com/spreadsheets/d/1hh-FVnSX0vozXhGluamEcS54Dw9_zqW0N7qJUWgJ0Sw/edit?usp=sharing"",""ชัยนาท!L646"")+IMPORTRANGE(""https://docs.google.com/spreadsheets/d/1jkqa6GXxSacMcY1eN8AHjMNJ_7dDXMJ"&amp;"VRLDlaFSOdPM/edit?usp=sharing"",""ตราด!L646"")+IMPORTRANGE(""https://docs.google.com/spreadsheets/d/18hSgUJ3VwClqi_qtULmmW3cLr0oe3OKaSYoKzdpTsYQ/edit?usp=sharing"",""นครนายก!L646"")+IMPORTRANGE(""https://docs.google.com/spreadsheets/d/1YTZo6WM2dQ6Ix6FSdnL"&amp;"5P7uVnVKu40sxZu975tgG10E/edit?usp=sharing"",""นครปฐม!L646"")+IMPORTRANGE(""https://docs.google.com/spreadsheets/d/1OYoGg4WDg5RIzwGeB10padOxJF9E_Vljuvvct_M7RDo/edit?usp=sharing"",""ปทุมธานี!L646"")+IMPORTRANGE(""https://docs.google.com/spreadsheets/d/1GbCI"&amp;"E4D4wk9FUozzqk7SxfDMxDVBwVmI5zcaVUSzKAc/edit?usp=sharing"",""ประจวบคีรีขันธ์!L646"")+IMPORTRANGE(""https://docs.google.com/spreadsheets/d/1vVf6wykvW_lAyu7Yo9L4hUTqHqIeP_qcVuxCtosJEbg/edit?usp=sharing"",""ปราจีนบุรี!L646"")+IMPORTRANGE(""https://docs.googl"&amp;"e.com/spreadsheets/d/1BIDqLLg5jk3v59G8NlR8rk5xfQDKne0sAvZHSj7TI6I/edit?usp=sharing"",""พระนครศรีอยุธยา!L646"")+IMPORTRANGE(""https://docs.google.com/spreadsheets/d/1YXvxf8Yu6_rV4hTBrwMqAcAnv6DfhUxh5emyM3CJp_w/edit?usp=sharing"",""เพชรบุรี!L646"")+IMPORTRA"&amp;"NGE(""https://docs.google.com/spreadsheets/d/19KBlQQs7uwvsao6t2n-KvW3Ax8J8uRRfZPq1zPbXgKc/edit?usp=sharing"",""ระยอง!L646"")+IMPORTRANGE(""https://docs.google.com/spreadsheets/d/1jQ6P4QcrGM89YfqcC_PxOHGCMq5ezhucwJd8ci-NHng/edit?usp=sharing"",""ราชบุรี!L64"&amp;"6"")+IMPORTRANGE(""https://docs.google.com/spreadsheets/d/1lufeA2cfFqM-elVq2hznhDzC6Pr7wkJ9ZG_sYNGCMCU/edit?usp=sharing"",""ลพบุรี!L646"")+IMPORTRANGE(""https://docs.google.com/spreadsheets/d/10oOiF7loTyfsTkbd4MpaIm0HQ9SwB7IYHdIUvt-U1Uc/edit?usp=sharing"""&amp;",""สระแก้ว!L646"")+IMPORTRANGE(""https://docs.google.com/spreadsheets/d/1xmPlrr1QbdSIKvl1dWUl9K4PjAfSL9oeMr_37QVzcxc/edit?usp=sharing"",""สระบุรี!L646"")+IMPORTRANGE(""https://docs.google.com/spreadsheets/d/1j51vR6CYVGhABJpv6tkstgok82RLpXieLzW1yOY5rHw/edi"&amp;"t?usp=sharing"",""สิงห์บุรี!L646"")+IMPORTRANGE(""https://docs.google.com/spreadsheets/d/1H1EalTWKUSzO4Z1-1CwzoDUaVffgrThEBe2sl74kKG0/edit?usp=sharing"",""สุพรรณบุรี!L646"")+IMPORTRANGE(""https://docs.google.com/spreadsheets/d/1BmIruG_sIrJLYao_Pdr7zVArWsf"&amp;"oBt2692TMi6x_854/edit?usp=sharing"",""อ่างทอง!L646"")"),0)</f>
        <v>0</v>
      </c>
      <c r="M646" s="75">
        <f ca="1">IFERROR(__xludf.DUMMYFUNCTION("IMPORTRANGE(""https://docs.google.com/spreadsheets/d/13wPX838HrBrQMCywv1BsuMkt4PEKTChp52zj44s2izQ/edit?usp=sharing"",""กาญจนบุรี!M646"")+IMPORTRANGE(""https://docs.google.com/spreadsheets/d/1ddFKvqj1W1NEiWytbGlB1zMx_ykJDVtmfEQ-6-lIUBA/edit?usp=sharing"","&amp;"""จันทบุรี!M646"")+IMPORTRANGE(""https://docs.google.com/spreadsheets/d/1T1PQvRODqOBZk8BRht_U031fIS1beLA0Ub2CEytj2q0/edit?usp=sharing"",""ฉะเชิงเทรา!M646"")+IMPORTRANGE(""https://docs.google.com/spreadsheets/d/11tr1B-Bhyr79v2bkwVh5h_fR-PStkgjlZtkrZpYurG0/"&amp;"edit?usp=sharing"",""ชลบุรี!M646"")+IMPORTRANGE(""https://docs.google.com/spreadsheets/d/1hh-FVnSX0vozXhGluamEcS54Dw9_zqW0N7qJUWgJ0Sw/edit?usp=sharing"",""ชัยนาท!M646"")+IMPORTRANGE(""https://docs.google.com/spreadsheets/d/1jkqa6GXxSacMcY1eN8AHjMNJ_7dDXMJ"&amp;"VRLDlaFSOdPM/edit?usp=sharing"",""ตราด!M646"")+IMPORTRANGE(""https://docs.google.com/spreadsheets/d/18hSgUJ3VwClqi_qtULmmW3cLr0oe3OKaSYoKzdpTsYQ/edit?usp=sharing"",""นครนายก!M646"")+IMPORTRANGE(""https://docs.google.com/spreadsheets/d/1YTZo6WM2dQ6Ix6FSdnL"&amp;"5P7uVnVKu40sxZu975tgG10E/edit?usp=sharing"",""นครปฐม!M646"")+IMPORTRANGE(""https://docs.google.com/spreadsheets/d/1OYoGg4WDg5RIzwGeB10padOxJF9E_Vljuvvct_M7RDo/edit?usp=sharing"",""ปทุมธานี!M646"")+IMPORTRANGE(""https://docs.google.com/spreadsheets/d/1GbCI"&amp;"E4D4wk9FUozzqk7SxfDMxDVBwVmI5zcaVUSzKAc/edit?usp=sharing"",""ประจวบคีรีขันธ์!M646"")+IMPORTRANGE(""https://docs.google.com/spreadsheets/d/1vVf6wykvW_lAyu7Yo9L4hUTqHqIeP_qcVuxCtosJEbg/edit?usp=sharing"",""ปราจีนบุรี!M646"")+IMPORTRANGE(""https://docs.googl"&amp;"e.com/spreadsheets/d/1BIDqLLg5jk3v59G8NlR8rk5xfQDKne0sAvZHSj7TI6I/edit?usp=sharing"",""พระนครศรีอยุธยา!M646"")+IMPORTRANGE(""https://docs.google.com/spreadsheets/d/1YXvxf8Yu6_rV4hTBrwMqAcAnv6DfhUxh5emyM3CJp_w/edit?usp=sharing"",""เพชรบุรี!M646"")+IMPORTRA"&amp;"NGE(""https://docs.google.com/spreadsheets/d/19KBlQQs7uwvsao6t2n-KvW3Ax8J8uRRfZPq1zPbXgKc/edit?usp=sharing"",""ระยอง!M646"")+IMPORTRANGE(""https://docs.google.com/spreadsheets/d/1jQ6P4QcrGM89YfqcC_PxOHGCMq5ezhucwJd8ci-NHng/edit?usp=sharing"",""ราชบุรี!M64"&amp;"6"")+IMPORTRANGE(""https://docs.google.com/spreadsheets/d/1lufeA2cfFqM-elVq2hznhDzC6Pr7wkJ9ZG_sYNGCMCU/edit?usp=sharing"",""ลพบุรี!M646"")+IMPORTRANGE(""https://docs.google.com/spreadsheets/d/10oOiF7loTyfsTkbd4MpaIm0HQ9SwB7IYHdIUvt-U1Uc/edit?usp=sharing"""&amp;",""สระแก้ว!M646"")+IMPORTRANGE(""https://docs.google.com/spreadsheets/d/1xmPlrr1QbdSIKvl1dWUl9K4PjAfSL9oeMr_37QVzcxc/edit?usp=sharing"",""สระบุรี!M646"")+IMPORTRANGE(""https://docs.google.com/spreadsheets/d/1j51vR6CYVGhABJpv6tkstgok82RLpXieLzW1yOY5rHw/edi"&amp;"t?usp=sharing"",""สิงห์บุรี!M646"")+IMPORTRANGE(""https://docs.google.com/spreadsheets/d/1H1EalTWKUSzO4Z1-1CwzoDUaVffgrThEBe2sl74kKG0/edit?usp=sharing"",""สุพรรณบุรี!M646"")+IMPORTRANGE(""https://docs.google.com/spreadsheets/d/1BmIruG_sIrJLYao_Pdr7zVArWsf"&amp;"oBt2692TMi6x_854/edit?usp=sharing"",""อ่างทอง!M646"")"),0)</f>
        <v>0</v>
      </c>
      <c r="N646" s="75">
        <f ca="1">IFERROR(__xludf.DUMMYFUNCTION("IMPORTRANGE(""https://docs.google.com/spreadsheets/d/13wPX838HrBrQMCywv1BsuMkt4PEKTChp52zj44s2izQ/edit?usp=sharing"",""กาญจนบุรี!N646"")+IMPORTRANGE(""https://docs.google.com/spreadsheets/d/1ddFKvqj1W1NEiWytbGlB1zMx_ykJDVtmfEQ-6-lIUBA/edit?usp=sharing"","&amp;"""จันทบุรี!N646"")+IMPORTRANGE(""https://docs.google.com/spreadsheets/d/1T1PQvRODqOBZk8BRht_U031fIS1beLA0Ub2CEytj2q0/edit?usp=sharing"",""ฉะเชิงเทรา!N646"")+IMPORTRANGE(""https://docs.google.com/spreadsheets/d/11tr1B-Bhyr79v2bkwVh5h_fR-PStkgjlZtkrZpYurG0/"&amp;"edit?usp=sharing"",""ชลบุรี!N646"")+IMPORTRANGE(""https://docs.google.com/spreadsheets/d/1hh-FVnSX0vozXhGluamEcS54Dw9_zqW0N7qJUWgJ0Sw/edit?usp=sharing"",""ชัยนาท!N646"")+IMPORTRANGE(""https://docs.google.com/spreadsheets/d/1jkqa6GXxSacMcY1eN8AHjMNJ_7dDXMJ"&amp;"VRLDlaFSOdPM/edit?usp=sharing"",""ตราด!N646"")+IMPORTRANGE(""https://docs.google.com/spreadsheets/d/18hSgUJ3VwClqi_qtULmmW3cLr0oe3OKaSYoKzdpTsYQ/edit?usp=sharing"",""นครนายก!N646"")+IMPORTRANGE(""https://docs.google.com/spreadsheets/d/1YTZo6WM2dQ6Ix6FSdnL"&amp;"5P7uVnVKu40sxZu975tgG10E/edit?usp=sharing"",""นครปฐม!N646"")+IMPORTRANGE(""https://docs.google.com/spreadsheets/d/1OYoGg4WDg5RIzwGeB10padOxJF9E_Vljuvvct_M7RDo/edit?usp=sharing"",""ปทุมธานี!N646"")+IMPORTRANGE(""https://docs.google.com/spreadsheets/d/1GbCI"&amp;"E4D4wk9FUozzqk7SxfDMxDVBwVmI5zcaVUSzKAc/edit?usp=sharing"",""ประจวบคีรีขันธ์!N646"")+IMPORTRANGE(""https://docs.google.com/spreadsheets/d/1vVf6wykvW_lAyu7Yo9L4hUTqHqIeP_qcVuxCtosJEbg/edit?usp=sharing"",""ปราจีนบุรี!N646"")+IMPORTRANGE(""https://docs.googl"&amp;"e.com/spreadsheets/d/1BIDqLLg5jk3v59G8NlR8rk5xfQDKne0sAvZHSj7TI6I/edit?usp=sharing"",""พระนครศรีอยุธยา!N646"")+IMPORTRANGE(""https://docs.google.com/spreadsheets/d/1YXvxf8Yu6_rV4hTBrwMqAcAnv6DfhUxh5emyM3CJp_w/edit?usp=sharing"",""เพชรบุรี!N646"")+IMPORTRA"&amp;"NGE(""https://docs.google.com/spreadsheets/d/19KBlQQs7uwvsao6t2n-KvW3Ax8J8uRRfZPq1zPbXgKc/edit?usp=sharing"",""ระยอง!N646"")+IMPORTRANGE(""https://docs.google.com/spreadsheets/d/1jQ6P4QcrGM89YfqcC_PxOHGCMq5ezhucwJd8ci-NHng/edit?usp=sharing"",""ราชบุรี!N64"&amp;"6"")+IMPORTRANGE(""https://docs.google.com/spreadsheets/d/1lufeA2cfFqM-elVq2hznhDzC6Pr7wkJ9ZG_sYNGCMCU/edit?usp=sharing"",""ลพบุรี!N646"")+IMPORTRANGE(""https://docs.google.com/spreadsheets/d/10oOiF7loTyfsTkbd4MpaIm0HQ9SwB7IYHdIUvt-U1Uc/edit?usp=sharing"""&amp;",""สระแก้ว!N646"")+IMPORTRANGE(""https://docs.google.com/spreadsheets/d/1xmPlrr1QbdSIKvl1dWUl9K4PjAfSL9oeMr_37QVzcxc/edit?usp=sharing"",""สระบุรี!N646"")+IMPORTRANGE(""https://docs.google.com/spreadsheets/d/1j51vR6CYVGhABJpv6tkstgok82RLpXieLzW1yOY5rHw/edi"&amp;"t?usp=sharing"",""สิงห์บุรี!N646"")+IMPORTRANGE(""https://docs.google.com/spreadsheets/d/1H1EalTWKUSzO4Z1-1CwzoDUaVffgrThEBe2sl74kKG0/edit?usp=sharing"",""สุพรรณบุรี!N646"")+IMPORTRANGE(""https://docs.google.com/spreadsheets/d/1BmIruG_sIrJLYao_Pdr7zVArWsf"&amp;"oBt2692TMi6x_854/edit?usp=sharing"",""อ่างทอง!N646"")"),0)</f>
        <v>0</v>
      </c>
      <c r="O646" s="75">
        <f t="shared" ca="1" si="447"/>
        <v>0</v>
      </c>
      <c r="P646" s="75">
        <f t="shared" ca="1" si="448"/>
        <v>0</v>
      </c>
      <c r="Q646" s="74">
        <f ca="1">IFERROR(__xludf.DUMMYFUNCTION("IMPORTRANGE(""https://docs.google.com/spreadsheets/d/13wPX838HrBrQMCywv1BsuMkt4PEKTChp52zj44s2izQ/edit?usp=sharing"",""กาญจนบุรี!Q646"")+IMPORTRANGE(""https://docs.google.com/spreadsheets/d/1ddFKvqj1W1NEiWytbGlB1zMx_ykJDVtmfEQ-6-lIUBA/edit?usp=sharing"","&amp;"""จันทบุรี!Q646"")+IMPORTRANGE(""https://docs.google.com/spreadsheets/d/1T1PQvRODqOBZk8BRht_U031fIS1beLA0Ub2CEytj2q0/edit?usp=sharing"",""ฉะเชิงเทรา!Q646"")+IMPORTRANGE(""https://docs.google.com/spreadsheets/d/11tr1B-Bhyr79v2bkwVh5h_fR-PStkgjlZtkrZpYurG0/"&amp;"edit?usp=sharing"",""ชลบุรี!Q646"")+IMPORTRANGE(""https://docs.google.com/spreadsheets/d/1hh-FVnSX0vozXhGluamEcS54Dw9_zqW0N7qJUWgJ0Sw/edit?usp=sharing"",""ชัยนาท!Q646"")+IMPORTRANGE(""https://docs.google.com/spreadsheets/d/1jkqa6GXxSacMcY1eN8AHjMNJ_7dDXMJ"&amp;"VRLDlaFSOdPM/edit?usp=sharing"",""ตราด!Q646"")+IMPORTRANGE(""https://docs.google.com/spreadsheets/d/18hSgUJ3VwClqi_qtULmmW3cLr0oe3OKaSYoKzdpTsYQ/edit?usp=sharing"",""นครนายก!Q646"")+IMPORTRANGE(""https://docs.google.com/spreadsheets/d/1YTZo6WM2dQ6Ix6FSdnL"&amp;"5P7uVnVKu40sxZu975tgG10E/edit?usp=sharing"",""นครปฐม!Q646"")+IMPORTRANGE(""https://docs.google.com/spreadsheets/d/1OYoGg4WDg5RIzwGeB10padOxJF9E_Vljuvvct_M7RDo/edit?usp=sharing"",""ปทุมธานี!Q646"")+IMPORTRANGE(""https://docs.google.com/spreadsheets/d/1GbCI"&amp;"E4D4wk9FUozzqk7SxfDMxDVBwVmI5zcaVUSzKAc/edit?usp=sharing"",""ประจวบคีรีขันธ์!Q646"")+IMPORTRANGE(""https://docs.google.com/spreadsheets/d/1vVf6wykvW_lAyu7Yo9L4hUTqHqIeP_qcVuxCtosJEbg/edit?usp=sharing"",""ปราจีนบุรี!Q646"")+IMPORTRANGE(""https://docs.googl"&amp;"e.com/spreadsheets/d/1BIDqLLg5jk3v59G8NlR8rk5xfQDKne0sAvZHSj7TI6I/edit?usp=sharing"",""พระนครศรีอยุธยา!Q646"")+IMPORTRANGE(""https://docs.google.com/spreadsheets/d/1YXvxf8Yu6_rV4hTBrwMqAcAnv6DfhUxh5emyM3CJp_w/edit?usp=sharing"",""เพชรบุรี!Q646"")+IMPORTRA"&amp;"NGE(""https://docs.google.com/spreadsheets/d/19KBlQQs7uwvsao6t2n-KvW3Ax8J8uRRfZPq1zPbXgKc/edit?usp=sharing"",""ระยอง!Q646"")+IMPORTRANGE(""https://docs.google.com/spreadsheets/d/1jQ6P4QcrGM89YfqcC_PxOHGCMq5ezhucwJd8ci-NHng/edit?usp=sharing"",""ราชบุรี!Q64"&amp;"6"")+IMPORTRANGE(""https://docs.google.com/spreadsheets/d/1lufeA2cfFqM-elVq2hznhDzC6Pr7wkJ9ZG_sYNGCMCU/edit?usp=sharing"",""ลพบุรี!Q646"")+IMPORTRANGE(""https://docs.google.com/spreadsheets/d/10oOiF7loTyfsTkbd4MpaIm0HQ9SwB7IYHdIUvt-U1Uc/edit?usp=sharing"""&amp;",""สระแก้ว!Q646"")+IMPORTRANGE(""https://docs.google.com/spreadsheets/d/1xmPlrr1QbdSIKvl1dWUl9K4PjAfSL9oeMr_37QVzcxc/edit?usp=sharing"",""สระบุรี!Q646"")+IMPORTRANGE(""https://docs.google.com/spreadsheets/d/1j51vR6CYVGhABJpv6tkstgok82RLpXieLzW1yOY5rHw/edi"&amp;"t?usp=sharing"",""สิงห์บุรี!Q646"")+IMPORTRANGE(""https://docs.google.com/spreadsheets/d/1H1EalTWKUSzO4Z1-1CwzoDUaVffgrThEBe2sl74kKG0/edit?usp=sharing"",""สุพรรณบุรี!Q646"")+IMPORTRANGE(""https://docs.google.com/spreadsheets/d/1BmIruG_sIrJLYao_Pdr7zVArWsf"&amp;"oBt2692TMi6x_854/edit?usp=sharing"",""อ่างทอง!Q646"")"),0)</f>
        <v>0</v>
      </c>
      <c r="R646" s="75">
        <f ca="1">IFERROR(__xludf.DUMMYFUNCTION("IMPORTRANGE(""https://docs.google.com/spreadsheets/d/13wPX838HrBrQMCywv1BsuMkt4PEKTChp52zj44s2izQ/edit?usp=sharing"",""กาญจนบุรี!R646"")+IMPORTRANGE(""https://docs.google.com/spreadsheets/d/1ddFKvqj1W1NEiWytbGlB1zMx_ykJDVtmfEQ-6-lIUBA/edit?usp=sharing"","&amp;"""จันทบุรี!R646"")+IMPORTRANGE(""https://docs.google.com/spreadsheets/d/1T1PQvRODqOBZk8BRht_U031fIS1beLA0Ub2CEytj2q0/edit?usp=sharing"",""ฉะเชิงเทรา!R646"")+IMPORTRANGE(""https://docs.google.com/spreadsheets/d/11tr1B-Bhyr79v2bkwVh5h_fR-PStkgjlZtkrZpYurG0/"&amp;"edit?usp=sharing"",""ชลบุรี!R646"")+IMPORTRANGE(""https://docs.google.com/spreadsheets/d/1hh-FVnSX0vozXhGluamEcS54Dw9_zqW0N7qJUWgJ0Sw/edit?usp=sharing"",""ชัยนาท!R646"")+IMPORTRANGE(""https://docs.google.com/spreadsheets/d/1jkqa6GXxSacMcY1eN8AHjMNJ_7dDXMJ"&amp;"VRLDlaFSOdPM/edit?usp=sharing"",""ตราด!R646"")+IMPORTRANGE(""https://docs.google.com/spreadsheets/d/18hSgUJ3VwClqi_qtULmmW3cLr0oe3OKaSYoKzdpTsYQ/edit?usp=sharing"",""นครนายก!R646"")+IMPORTRANGE(""https://docs.google.com/spreadsheets/d/1YTZo6WM2dQ6Ix6FSdnL"&amp;"5P7uVnVKu40sxZu975tgG10E/edit?usp=sharing"",""นครปฐม!R646"")+IMPORTRANGE(""https://docs.google.com/spreadsheets/d/1OYoGg4WDg5RIzwGeB10padOxJF9E_Vljuvvct_M7RDo/edit?usp=sharing"",""ปทุมธานี!R646"")+IMPORTRANGE(""https://docs.google.com/spreadsheets/d/1GbCI"&amp;"E4D4wk9FUozzqk7SxfDMxDVBwVmI5zcaVUSzKAc/edit?usp=sharing"",""ประจวบคีรีขันธ์!R646"")+IMPORTRANGE(""https://docs.google.com/spreadsheets/d/1vVf6wykvW_lAyu7Yo9L4hUTqHqIeP_qcVuxCtosJEbg/edit?usp=sharing"",""ปราจีนบุรี!R646"")+IMPORTRANGE(""https://docs.googl"&amp;"e.com/spreadsheets/d/1BIDqLLg5jk3v59G8NlR8rk5xfQDKne0sAvZHSj7TI6I/edit?usp=sharing"",""พระนครศรีอยุธยา!R646"")+IMPORTRANGE(""https://docs.google.com/spreadsheets/d/1YXvxf8Yu6_rV4hTBrwMqAcAnv6DfhUxh5emyM3CJp_w/edit?usp=sharing"",""เพชรบุรี!R646"")+IMPORTRA"&amp;"NGE(""https://docs.google.com/spreadsheets/d/19KBlQQs7uwvsao6t2n-KvW3Ax8J8uRRfZPq1zPbXgKc/edit?usp=sharing"",""ระยอง!R646"")+IMPORTRANGE(""https://docs.google.com/spreadsheets/d/1jQ6P4QcrGM89YfqcC_PxOHGCMq5ezhucwJd8ci-NHng/edit?usp=sharing"",""ราชบุรี!R64"&amp;"6"")+IMPORTRANGE(""https://docs.google.com/spreadsheets/d/1lufeA2cfFqM-elVq2hznhDzC6Pr7wkJ9ZG_sYNGCMCU/edit?usp=sharing"",""ลพบุรี!R646"")+IMPORTRANGE(""https://docs.google.com/spreadsheets/d/10oOiF7loTyfsTkbd4MpaIm0HQ9SwB7IYHdIUvt-U1Uc/edit?usp=sharing"""&amp;",""สระแก้ว!R646"")+IMPORTRANGE(""https://docs.google.com/spreadsheets/d/1xmPlrr1QbdSIKvl1dWUl9K4PjAfSL9oeMr_37QVzcxc/edit?usp=sharing"",""สระบุรี!R646"")+IMPORTRANGE(""https://docs.google.com/spreadsheets/d/1j51vR6CYVGhABJpv6tkstgok82RLpXieLzW1yOY5rHw/edi"&amp;"t?usp=sharing"",""สิงห์บุรี!R646"")+IMPORTRANGE(""https://docs.google.com/spreadsheets/d/1H1EalTWKUSzO4Z1-1CwzoDUaVffgrThEBe2sl74kKG0/edit?usp=sharing"",""สุพรรณบุรี!R646"")+IMPORTRANGE(""https://docs.google.com/spreadsheets/d/1BmIruG_sIrJLYao_Pdr7zVArWsf"&amp;"oBt2692TMi6x_854/edit?usp=sharing"",""อ่างทอง!R646"")"),0)</f>
        <v>0</v>
      </c>
      <c r="S646" s="75">
        <f ca="1">IFERROR(__xludf.DUMMYFUNCTION("IMPORTRANGE(""https://docs.google.com/spreadsheets/d/13wPX838HrBrQMCywv1BsuMkt4PEKTChp52zj44s2izQ/edit?usp=sharing"",""กาญจนบุรี!S646"")+IMPORTRANGE(""https://docs.google.com/spreadsheets/d/1ddFKvqj1W1NEiWytbGlB1zMx_ykJDVtmfEQ-6-lIUBA/edit?usp=sharing"","&amp;"""จันทบุรี!S646"")+IMPORTRANGE(""https://docs.google.com/spreadsheets/d/1T1PQvRODqOBZk8BRht_U031fIS1beLA0Ub2CEytj2q0/edit?usp=sharing"",""ฉะเชิงเทรา!S646"")+IMPORTRANGE(""https://docs.google.com/spreadsheets/d/11tr1B-Bhyr79v2bkwVh5h_fR-PStkgjlZtkrZpYurG0/"&amp;"edit?usp=sharing"",""ชลบุรี!S646"")+IMPORTRANGE(""https://docs.google.com/spreadsheets/d/1hh-FVnSX0vozXhGluamEcS54Dw9_zqW0N7qJUWgJ0Sw/edit?usp=sharing"",""ชัยนาท!S646"")+IMPORTRANGE(""https://docs.google.com/spreadsheets/d/1jkqa6GXxSacMcY1eN8AHjMNJ_7dDXMJ"&amp;"VRLDlaFSOdPM/edit?usp=sharing"",""ตราด!S646"")+IMPORTRANGE(""https://docs.google.com/spreadsheets/d/18hSgUJ3VwClqi_qtULmmW3cLr0oe3OKaSYoKzdpTsYQ/edit?usp=sharing"",""นครนายก!S646"")+IMPORTRANGE(""https://docs.google.com/spreadsheets/d/1YTZo6WM2dQ6Ix6FSdnL"&amp;"5P7uVnVKu40sxZu975tgG10E/edit?usp=sharing"",""นครปฐม!S646"")+IMPORTRANGE(""https://docs.google.com/spreadsheets/d/1OYoGg4WDg5RIzwGeB10padOxJF9E_Vljuvvct_M7RDo/edit?usp=sharing"",""ปทุมธานี!S646"")+IMPORTRANGE(""https://docs.google.com/spreadsheets/d/1GbCI"&amp;"E4D4wk9FUozzqk7SxfDMxDVBwVmI5zcaVUSzKAc/edit?usp=sharing"",""ประจวบคีรีขันธ์!S646"")+IMPORTRANGE(""https://docs.google.com/spreadsheets/d/1vVf6wykvW_lAyu7Yo9L4hUTqHqIeP_qcVuxCtosJEbg/edit?usp=sharing"",""ปราจีนบุรี!S646"")+IMPORTRANGE(""https://docs.googl"&amp;"e.com/spreadsheets/d/1BIDqLLg5jk3v59G8NlR8rk5xfQDKne0sAvZHSj7TI6I/edit?usp=sharing"",""พระนครศรีอยุธยา!S646"")+IMPORTRANGE(""https://docs.google.com/spreadsheets/d/1YXvxf8Yu6_rV4hTBrwMqAcAnv6DfhUxh5emyM3CJp_w/edit?usp=sharing"",""เพชรบุรี!S646"")+IMPORTRA"&amp;"NGE(""https://docs.google.com/spreadsheets/d/19KBlQQs7uwvsao6t2n-KvW3Ax8J8uRRfZPq1zPbXgKc/edit?usp=sharing"",""ระยอง!S646"")+IMPORTRANGE(""https://docs.google.com/spreadsheets/d/1jQ6P4QcrGM89YfqcC_PxOHGCMq5ezhucwJd8ci-NHng/edit?usp=sharing"",""ราชบุรี!S64"&amp;"6"")+IMPORTRANGE(""https://docs.google.com/spreadsheets/d/1lufeA2cfFqM-elVq2hznhDzC6Pr7wkJ9ZG_sYNGCMCU/edit?usp=sharing"",""ลพบุรี!S646"")+IMPORTRANGE(""https://docs.google.com/spreadsheets/d/10oOiF7loTyfsTkbd4MpaIm0HQ9SwB7IYHdIUvt-U1Uc/edit?usp=sharing"""&amp;",""สระแก้ว!S646"")+IMPORTRANGE(""https://docs.google.com/spreadsheets/d/1xmPlrr1QbdSIKvl1dWUl9K4PjAfSL9oeMr_37QVzcxc/edit?usp=sharing"",""สระบุรี!S646"")+IMPORTRANGE(""https://docs.google.com/spreadsheets/d/1j51vR6CYVGhABJpv6tkstgok82RLpXieLzW1yOY5rHw/edi"&amp;"t?usp=sharing"",""สิงห์บุรี!S646"")+IMPORTRANGE(""https://docs.google.com/spreadsheets/d/1H1EalTWKUSzO4Z1-1CwzoDUaVffgrThEBe2sl74kKG0/edit?usp=sharing"",""สุพรรณบุรี!S646"")+IMPORTRANGE(""https://docs.google.com/spreadsheets/d/1BmIruG_sIrJLYao_Pdr7zVArWsf"&amp;"oBt2692TMi6x_854/edit?usp=sharing"",""อ่างทอง!S646"")"),0)</f>
        <v>0</v>
      </c>
      <c r="T646" s="131">
        <f t="shared" ca="1" si="450"/>
        <v>0</v>
      </c>
      <c r="U646" s="131">
        <f t="shared" ca="1" si="451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2">
        <f ca="1">IFERROR(__xludf.DUMMYFUNCTION("IMPORTRANGE(""https://docs.google.com/spreadsheets/d/13wPX838HrBrQMCywv1BsuMkt4PEKTChp52zj44s2izQ/edit?usp=sharing"",""กาญจนบุรี!L647"")+IMPORTRANGE(""https://docs.google.com/spreadsheets/d/1ddFKvqj1W1NEiWytbGlB1zMx_ykJDVtmfEQ-6-lIUBA/edit?usp=sharing"","&amp;"""จันทบุรี!L647"")+IMPORTRANGE(""https://docs.google.com/spreadsheets/d/1T1PQvRODqOBZk8BRht_U031fIS1beLA0Ub2CEytj2q0/edit?usp=sharing"",""ฉะเชิงเทรา!L647"")+IMPORTRANGE(""https://docs.google.com/spreadsheets/d/11tr1B-Bhyr79v2bkwVh5h_fR-PStkgjlZtkrZpYurG0/"&amp;"edit?usp=sharing"",""ชลบุรี!L647"")+IMPORTRANGE(""https://docs.google.com/spreadsheets/d/1hh-FVnSX0vozXhGluamEcS54Dw9_zqW0N7qJUWgJ0Sw/edit?usp=sharing"",""ชัยนาท!L647"")+IMPORTRANGE(""https://docs.google.com/spreadsheets/d/1jkqa6GXxSacMcY1eN8AHjMNJ_7dDXMJ"&amp;"VRLDlaFSOdPM/edit?usp=sharing"",""ตราด!L647"")+IMPORTRANGE(""https://docs.google.com/spreadsheets/d/18hSgUJ3VwClqi_qtULmmW3cLr0oe3OKaSYoKzdpTsYQ/edit?usp=sharing"",""นครนายก!L647"")+IMPORTRANGE(""https://docs.google.com/spreadsheets/d/1YTZo6WM2dQ6Ix6FSdnL"&amp;"5P7uVnVKu40sxZu975tgG10E/edit?usp=sharing"",""นครปฐม!L647"")+IMPORTRANGE(""https://docs.google.com/spreadsheets/d/1OYoGg4WDg5RIzwGeB10padOxJF9E_Vljuvvct_M7RDo/edit?usp=sharing"",""ปทุมธานี!L647"")+IMPORTRANGE(""https://docs.google.com/spreadsheets/d/1GbCI"&amp;"E4D4wk9FUozzqk7SxfDMxDVBwVmI5zcaVUSzKAc/edit?usp=sharing"",""ประจวบคีรีขันธ์!L647"")+IMPORTRANGE(""https://docs.google.com/spreadsheets/d/1vVf6wykvW_lAyu7Yo9L4hUTqHqIeP_qcVuxCtosJEbg/edit?usp=sharing"",""ปราจีนบุรี!L647"")+IMPORTRANGE(""https://docs.googl"&amp;"e.com/spreadsheets/d/1BIDqLLg5jk3v59G8NlR8rk5xfQDKne0sAvZHSj7TI6I/edit?usp=sharing"",""พระนครศรีอยุธยา!L647"")+IMPORTRANGE(""https://docs.google.com/spreadsheets/d/1YXvxf8Yu6_rV4hTBrwMqAcAnv6DfhUxh5emyM3CJp_w/edit?usp=sharing"",""เพชรบุรี!L647"")+IMPORTRA"&amp;"NGE(""https://docs.google.com/spreadsheets/d/19KBlQQs7uwvsao6t2n-KvW3Ax8J8uRRfZPq1zPbXgKc/edit?usp=sharing"",""ระยอง!L647"")+IMPORTRANGE(""https://docs.google.com/spreadsheets/d/1jQ6P4QcrGM89YfqcC_PxOHGCMq5ezhucwJd8ci-NHng/edit?usp=sharing"",""ราชบุรี!L64"&amp;"7"")+IMPORTRANGE(""https://docs.google.com/spreadsheets/d/1lufeA2cfFqM-elVq2hznhDzC6Pr7wkJ9ZG_sYNGCMCU/edit?usp=sharing"",""ลพบุรี!L647"")+IMPORTRANGE(""https://docs.google.com/spreadsheets/d/10oOiF7loTyfsTkbd4MpaIm0HQ9SwB7IYHdIUvt-U1Uc/edit?usp=sharing"""&amp;",""สระแก้ว!L647"")+IMPORTRANGE(""https://docs.google.com/spreadsheets/d/1xmPlrr1QbdSIKvl1dWUl9K4PjAfSL9oeMr_37QVzcxc/edit?usp=sharing"",""สระบุรี!L647"")+IMPORTRANGE(""https://docs.google.com/spreadsheets/d/1j51vR6CYVGhABJpv6tkstgok82RLpXieLzW1yOY5rHw/edi"&amp;"t?usp=sharing"",""สิงห์บุรี!L647"")+IMPORTRANGE(""https://docs.google.com/spreadsheets/d/1H1EalTWKUSzO4Z1-1CwzoDUaVffgrThEBe2sl74kKG0/edit?usp=sharing"",""สุพรรณบุรี!L647"")+IMPORTRANGE(""https://docs.google.com/spreadsheets/d/1BmIruG_sIrJLYao_Pdr7zVArWsf"&amp;"oBt2692TMi6x_854/edit?usp=sharing"",""อ่างทอง!L647"")"),0)</f>
        <v>0</v>
      </c>
      <c r="M647" s="72">
        <f ca="1">IFERROR(__xludf.DUMMYFUNCTION("IMPORTRANGE(""https://docs.google.com/spreadsheets/d/13wPX838HrBrQMCywv1BsuMkt4PEKTChp52zj44s2izQ/edit?usp=sharing"",""กาญจนบุรี!M647"")+IMPORTRANGE(""https://docs.google.com/spreadsheets/d/1ddFKvqj1W1NEiWytbGlB1zMx_ykJDVtmfEQ-6-lIUBA/edit?usp=sharing"","&amp;"""จันทบุรี!M647"")+IMPORTRANGE(""https://docs.google.com/spreadsheets/d/1T1PQvRODqOBZk8BRht_U031fIS1beLA0Ub2CEytj2q0/edit?usp=sharing"",""ฉะเชิงเทรา!M647"")+IMPORTRANGE(""https://docs.google.com/spreadsheets/d/11tr1B-Bhyr79v2bkwVh5h_fR-PStkgjlZtkrZpYurG0/"&amp;"edit?usp=sharing"",""ชลบุรี!M647"")+IMPORTRANGE(""https://docs.google.com/spreadsheets/d/1hh-FVnSX0vozXhGluamEcS54Dw9_zqW0N7qJUWgJ0Sw/edit?usp=sharing"",""ชัยนาท!M647"")+IMPORTRANGE(""https://docs.google.com/spreadsheets/d/1jkqa6GXxSacMcY1eN8AHjMNJ_7dDXMJ"&amp;"VRLDlaFSOdPM/edit?usp=sharing"",""ตราด!M647"")+IMPORTRANGE(""https://docs.google.com/spreadsheets/d/18hSgUJ3VwClqi_qtULmmW3cLr0oe3OKaSYoKzdpTsYQ/edit?usp=sharing"",""นครนายก!M647"")+IMPORTRANGE(""https://docs.google.com/spreadsheets/d/1YTZo6WM2dQ6Ix6FSdnL"&amp;"5P7uVnVKu40sxZu975tgG10E/edit?usp=sharing"",""นครปฐม!M647"")+IMPORTRANGE(""https://docs.google.com/spreadsheets/d/1OYoGg4WDg5RIzwGeB10padOxJF9E_Vljuvvct_M7RDo/edit?usp=sharing"",""ปทุมธานี!M647"")+IMPORTRANGE(""https://docs.google.com/spreadsheets/d/1GbCI"&amp;"E4D4wk9FUozzqk7SxfDMxDVBwVmI5zcaVUSzKAc/edit?usp=sharing"",""ประจวบคีรีขันธ์!M647"")+IMPORTRANGE(""https://docs.google.com/spreadsheets/d/1vVf6wykvW_lAyu7Yo9L4hUTqHqIeP_qcVuxCtosJEbg/edit?usp=sharing"",""ปราจีนบุรี!M647"")+IMPORTRANGE(""https://docs.googl"&amp;"e.com/spreadsheets/d/1BIDqLLg5jk3v59G8NlR8rk5xfQDKne0sAvZHSj7TI6I/edit?usp=sharing"",""พระนครศรีอยุธยา!M647"")+IMPORTRANGE(""https://docs.google.com/spreadsheets/d/1YXvxf8Yu6_rV4hTBrwMqAcAnv6DfhUxh5emyM3CJp_w/edit?usp=sharing"",""เพชรบุรี!M647"")+IMPORTRA"&amp;"NGE(""https://docs.google.com/spreadsheets/d/19KBlQQs7uwvsao6t2n-KvW3Ax8J8uRRfZPq1zPbXgKc/edit?usp=sharing"",""ระยอง!M647"")+IMPORTRANGE(""https://docs.google.com/spreadsheets/d/1jQ6P4QcrGM89YfqcC_PxOHGCMq5ezhucwJd8ci-NHng/edit?usp=sharing"",""ราชบุรี!M64"&amp;"7"")+IMPORTRANGE(""https://docs.google.com/spreadsheets/d/1lufeA2cfFqM-elVq2hznhDzC6Pr7wkJ9ZG_sYNGCMCU/edit?usp=sharing"",""ลพบุรี!M647"")+IMPORTRANGE(""https://docs.google.com/spreadsheets/d/10oOiF7loTyfsTkbd4MpaIm0HQ9SwB7IYHdIUvt-U1Uc/edit?usp=sharing"""&amp;",""สระแก้ว!M647"")+IMPORTRANGE(""https://docs.google.com/spreadsheets/d/1xmPlrr1QbdSIKvl1dWUl9K4PjAfSL9oeMr_37QVzcxc/edit?usp=sharing"",""สระบุรี!M647"")+IMPORTRANGE(""https://docs.google.com/spreadsheets/d/1j51vR6CYVGhABJpv6tkstgok82RLpXieLzW1yOY5rHw/edi"&amp;"t?usp=sharing"",""สิงห์บุรี!M647"")+IMPORTRANGE(""https://docs.google.com/spreadsheets/d/1H1EalTWKUSzO4Z1-1CwzoDUaVffgrThEBe2sl74kKG0/edit?usp=sharing"",""สุพรรณบุรี!M647"")+IMPORTRANGE(""https://docs.google.com/spreadsheets/d/1BmIruG_sIrJLYao_Pdr7zVArWsf"&amp;"oBt2692TMi6x_854/edit?usp=sharing"",""อ่างทอง!M647"")"),0)</f>
        <v>0</v>
      </c>
      <c r="N647" s="72">
        <f ca="1">IFERROR(__xludf.DUMMYFUNCTION("IMPORTRANGE(""https://docs.google.com/spreadsheets/d/13wPX838HrBrQMCywv1BsuMkt4PEKTChp52zj44s2izQ/edit?usp=sharing"",""กาญจนบุรี!N647"")+IMPORTRANGE(""https://docs.google.com/spreadsheets/d/1ddFKvqj1W1NEiWytbGlB1zMx_ykJDVtmfEQ-6-lIUBA/edit?usp=sharing"","&amp;"""จันทบุรี!N647"")+IMPORTRANGE(""https://docs.google.com/spreadsheets/d/1T1PQvRODqOBZk8BRht_U031fIS1beLA0Ub2CEytj2q0/edit?usp=sharing"",""ฉะเชิงเทรา!N647"")+IMPORTRANGE(""https://docs.google.com/spreadsheets/d/11tr1B-Bhyr79v2bkwVh5h_fR-PStkgjlZtkrZpYurG0/"&amp;"edit?usp=sharing"",""ชลบุรี!N647"")+IMPORTRANGE(""https://docs.google.com/spreadsheets/d/1hh-FVnSX0vozXhGluamEcS54Dw9_zqW0N7qJUWgJ0Sw/edit?usp=sharing"",""ชัยนาท!N647"")+IMPORTRANGE(""https://docs.google.com/spreadsheets/d/1jkqa6GXxSacMcY1eN8AHjMNJ_7dDXMJ"&amp;"VRLDlaFSOdPM/edit?usp=sharing"",""ตราด!N647"")+IMPORTRANGE(""https://docs.google.com/spreadsheets/d/18hSgUJ3VwClqi_qtULmmW3cLr0oe3OKaSYoKzdpTsYQ/edit?usp=sharing"",""นครนายก!N647"")+IMPORTRANGE(""https://docs.google.com/spreadsheets/d/1YTZo6WM2dQ6Ix6FSdnL"&amp;"5P7uVnVKu40sxZu975tgG10E/edit?usp=sharing"",""นครปฐม!N647"")+IMPORTRANGE(""https://docs.google.com/spreadsheets/d/1OYoGg4WDg5RIzwGeB10padOxJF9E_Vljuvvct_M7RDo/edit?usp=sharing"",""ปทุมธานี!N647"")+IMPORTRANGE(""https://docs.google.com/spreadsheets/d/1GbCI"&amp;"E4D4wk9FUozzqk7SxfDMxDVBwVmI5zcaVUSzKAc/edit?usp=sharing"",""ประจวบคีรีขันธ์!N647"")+IMPORTRANGE(""https://docs.google.com/spreadsheets/d/1vVf6wykvW_lAyu7Yo9L4hUTqHqIeP_qcVuxCtosJEbg/edit?usp=sharing"",""ปราจีนบุรี!N647"")+IMPORTRANGE(""https://docs.googl"&amp;"e.com/spreadsheets/d/1BIDqLLg5jk3v59G8NlR8rk5xfQDKne0sAvZHSj7TI6I/edit?usp=sharing"",""พระนครศรีอยุธยา!N647"")+IMPORTRANGE(""https://docs.google.com/spreadsheets/d/1YXvxf8Yu6_rV4hTBrwMqAcAnv6DfhUxh5emyM3CJp_w/edit?usp=sharing"",""เพชรบุรี!N647"")+IMPORTRA"&amp;"NGE(""https://docs.google.com/spreadsheets/d/19KBlQQs7uwvsao6t2n-KvW3Ax8J8uRRfZPq1zPbXgKc/edit?usp=sharing"",""ระยอง!N647"")+IMPORTRANGE(""https://docs.google.com/spreadsheets/d/1jQ6P4QcrGM89YfqcC_PxOHGCMq5ezhucwJd8ci-NHng/edit?usp=sharing"",""ราชบุรี!N64"&amp;"7"")+IMPORTRANGE(""https://docs.google.com/spreadsheets/d/1lufeA2cfFqM-elVq2hznhDzC6Pr7wkJ9ZG_sYNGCMCU/edit?usp=sharing"",""ลพบุรี!N647"")+IMPORTRANGE(""https://docs.google.com/spreadsheets/d/10oOiF7loTyfsTkbd4MpaIm0HQ9SwB7IYHdIUvt-U1Uc/edit?usp=sharing"""&amp;",""สระแก้ว!N647"")+IMPORTRANGE(""https://docs.google.com/spreadsheets/d/1xmPlrr1QbdSIKvl1dWUl9K4PjAfSL9oeMr_37QVzcxc/edit?usp=sharing"",""สระบุรี!N647"")+IMPORTRANGE(""https://docs.google.com/spreadsheets/d/1j51vR6CYVGhABJpv6tkstgok82RLpXieLzW1yOY5rHw/edi"&amp;"t?usp=sharing"",""สิงห์บุรี!N647"")+IMPORTRANGE(""https://docs.google.com/spreadsheets/d/1H1EalTWKUSzO4Z1-1CwzoDUaVffgrThEBe2sl74kKG0/edit?usp=sharing"",""สุพรรณบุรี!N647"")+IMPORTRANGE(""https://docs.google.com/spreadsheets/d/1BmIruG_sIrJLYao_Pdr7zVArWsf"&amp;"oBt2692TMi6x_854/edit?usp=sharing"",""อ่างทอง!N647"")"),0)</f>
        <v>0</v>
      </c>
      <c r="O647" s="72">
        <f t="shared" ca="1" si="447"/>
        <v>0</v>
      </c>
      <c r="P647" s="72">
        <f t="shared" ca="1" si="448"/>
        <v>0</v>
      </c>
      <c r="Q647" s="129">
        <f ca="1">IFERROR(__xludf.DUMMYFUNCTION("IMPORTRANGE(""https://docs.google.com/spreadsheets/d/13wPX838HrBrQMCywv1BsuMkt4PEKTChp52zj44s2izQ/edit?usp=sharing"",""กาญจนบุรี!Q647"")+IMPORTRANGE(""https://docs.google.com/spreadsheets/d/1ddFKvqj1W1NEiWytbGlB1zMx_ykJDVtmfEQ-6-lIUBA/edit?usp=sharing"","&amp;"""จันทบุรี!Q647"")+IMPORTRANGE(""https://docs.google.com/spreadsheets/d/1T1PQvRODqOBZk8BRht_U031fIS1beLA0Ub2CEytj2q0/edit?usp=sharing"",""ฉะเชิงเทรา!Q647"")+IMPORTRANGE(""https://docs.google.com/spreadsheets/d/11tr1B-Bhyr79v2bkwVh5h_fR-PStkgjlZtkrZpYurG0/"&amp;"edit?usp=sharing"",""ชลบุรี!Q647"")+IMPORTRANGE(""https://docs.google.com/spreadsheets/d/1hh-FVnSX0vozXhGluamEcS54Dw9_zqW0N7qJUWgJ0Sw/edit?usp=sharing"",""ชัยนาท!Q647"")+IMPORTRANGE(""https://docs.google.com/spreadsheets/d/1jkqa6GXxSacMcY1eN8AHjMNJ_7dDXMJ"&amp;"VRLDlaFSOdPM/edit?usp=sharing"",""ตราด!Q647"")+IMPORTRANGE(""https://docs.google.com/spreadsheets/d/18hSgUJ3VwClqi_qtULmmW3cLr0oe3OKaSYoKzdpTsYQ/edit?usp=sharing"",""นครนายก!Q647"")+IMPORTRANGE(""https://docs.google.com/spreadsheets/d/1YTZo6WM2dQ6Ix6FSdnL"&amp;"5P7uVnVKu40sxZu975tgG10E/edit?usp=sharing"",""นครปฐม!Q647"")+IMPORTRANGE(""https://docs.google.com/spreadsheets/d/1OYoGg4WDg5RIzwGeB10padOxJF9E_Vljuvvct_M7RDo/edit?usp=sharing"",""ปทุมธานี!Q647"")+IMPORTRANGE(""https://docs.google.com/spreadsheets/d/1GbCI"&amp;"E4D4wk9FUozzqk7SxfDMxDVBwVmI5zcaVUSzKAc/edit?usp=sharing"",""ประจวบคีรีขันธ์!Q647"")+IMPORTRANGE(""https://docs.google.com/spreadsheets/d/1vVf6wykvW_lAyu7Yo9L4hUTqHqIeP_qcVuxCtosJEbg/edit?usp=sharing"",""ปราจีนบุรี!Q647"")+IMPORTRANGE(""https://docs.googl"&amp;"e.com/spreadsheets/d/1BIDqLLg5jk3v59G8NlR8rk5xfQDKne0sAvZHSj7TI6I/edit?usp=sharing"",""พระนครศรีอยุธยา!Q647"")+IMPORTRANGE(""https://docs.google.com/spreadsheets/d/1YXvxf8Yu6_rV4hTBrwMqAcAnv6DfhUxh5emyM3CJp_w/edit?usp=sharing"",""เพชรบุรี!Q647"")+IMPORTRA"&amp;"NGE(""https://docs.google.com/spreadsheets/d/19KBlQQs7uwvsao6t2n-KvW3Ax8J8uRRfZPq1zPbXgKc/edit?usp=sharing"",""ระยอง!Q647"")+IMPORTRANGE(""https://docs.google.com/spreadsheets/d/1jQ6P4QcrGM89YfqcC_PxOHGCMq5ezhucwJd8ci-NHng/edit?usp=sharing"",""ราชบุรี!Q64"&amp;"7"")+IMPORTRANGE(""https://docs.google.com/spreadsheets/d/1lufeA2cfFqM-elVq2hznhDzC6Pr7wkJ9ZG_sYNGCMCU/edit?usp=sharing"",""ลพบุรี!Q647"")+IMPORTRANGE(""https://docs.google.com/spreadsheets/d/10oOiF7loTyfsTkbd4MpaIm0HQ9SwB7IYHdIUvt-U1Uc/edit?usp=sharing"""&amp;",""สระแก้ว!Q647"")+IMPORTRANGE(""https://docs.google.com/spreadsheets/d/1xmPlrr1QbdSIKvl1dWUl9K4PjAfSL9oeMr_37QVzcxc/edit?usp=sharing"",""สระบุรี!Q647"")+IMPORTRANGE(""https://docs.google.com/spreadsheets/d/1j51vR6CYVGhABJpv6tkstgok82RLpXieLzW1yOY5rHw/edi"&amp;"t?usp=sharing"",""สิงห์บุรี!Q647"")+IMPORTRANGE(""https://docs.google.com/spreadsheets/d/1H1EalTWKUSzO4Z1-1CwzoDUaVffgrThEBe2sl74kKG0/edit?usp=sharing"",""สุพรรณบุรี!Q647"")+IMPORTRANGE(""https://docs.google.com/spreadsheets/d/1BmIruG_sIrJLYao_Pdr7zVArWsf"&amp;"oBt2692TMi6x_854/edit?usp=sharing"",""อ่างทอง!Q647"")"),417660)</f>
        <v>417660</v>
      </c>
      <c r="R647" s="130">
        <f ca="1">IFERROR(__xludf.DUMMYFUNCTION("IMPORTRANGE(""https://docs.google.com/spreadsheets/d/13wPX838HrBrQMCywv1BsuMkt4PEKTChp52zj44s2izQ/edit?usp=sharing"",""กาญจนบุรี!R647"")+IMPORTRANGE(""https://docs.google.com/spreadsheets/d/1ddFKvqj1W1NEiWytbGlB1zMx_ykJDVtmfEQ-6-lIUBA/edit?usp=sharing"","&amp;"""จันทบุรี!R647"")+IMPORTRANGE(""https://docs.google.com/spreadsheets/d/1T1PQvRODqOBZk8BRht_U031fIS1beLA0Ub2CEytj2q0/edit?usp=sharing"",""ฉะเชิงเทรา!R647"")+IMPORTRANGE(""https://docs.google.com/spreadsheets/d/11tr1B-Bhyr79v2bkwVh5h_fR-PStkgjlZtkrZpYurG0/"&amp;"edit?usp=sharing"",""ชลบุรี!R647"")+IMPORTRANGE(""https://docs.google.com/spreadsheets/d/1hh-FVnSX0vozXhGluamEcS54Dw9_zqW0N7qJUWgJ0Sw/edit?usp=sharing"",""ชัยนาท!R647"")+IMPORTRANGE(""https://docs.google.com/spreadsheets/d/1jkqa6GXxSacMcY1eN8AHjMNJ_7dDXMJ"&amp;"VRLDlaFSOdPM/edit?usp=sharing"",""ตราด!R647"")+IMPORTRANGE(""https://docs.google.com/spreadsheets/d/18hSgUJ3VwClqi_qtULmmW3cLr0oe3OKaSYoKzdpTsYQ/edit?usp=sharing"",""นครนายก!R647"")+IMPORTRANGE(""https://docs.google.com/spreadsheets/d/1YTZo6WM2dQ6Ix6FSdnL"&amp;"5P7uVnVKu40sxZu975tgG10E/edit?usp=sharing"",""นครปฐม!R647"")+IMPORTRANGE(""https://docs.google.com/spreadsheets/d/1OYoGg4WDg5RIzwGeB10padOxJF9E_Vljuvvct_M7RDo/edit?usp=sharing"",""ปทุมธานี!R647"")+IMPORTRANGE(""https://docs.google.com/spreadsheets/d/1GbCI"&amp;"E4D4wk9FUozzqk7SxfDMxDVBwVmI5zcaVUSzKAc/edit?usp=sharing"",""ประจวบคีรีขันธ์!R647"")+IMPORTRANGE(""https://docs.google.com/spreadsheets/d/1vVf6wykvW_lAyu7Yo9L4hUTqHqIeP_qcVuxCtosJEbg/edit?usp=sharing"",""ปราจีนบุรี!R647"")+IMPORTRANGE(""https://docs.googl"&amp;"e.com/spreadsheets/d/1BIDqLLg5jk3v59G8NlR8rk5xfQDKne0sAvZHSj7TI6I/edit?usp=sharing"",""พระนครศรีอยุธยา!R647"")+IMPORTRANGE(""https://docs.google.com/spreadsheets/d/1YXvxf8Yu6_rV4hTBrwMqAcAnv6DfhUxh5emyM3CJp_w/edit?usp=sharing"",""เพชรบุรี!R647"")+IMPORTRA"&amp;"NGE(""https://docs.google.com/spreadsheets/d/19KBlQQs7uwvsao6t2n-KvW3Ax8J8uRRfZPq1zPbXgKc/edit?usp=sharing"",""ระยอง!R647"")+IMPORTRANGE(""https://docs.google.com/spreadsheets/d/1jQ6P4QcrGM89YfqcC_PxOHGCMq5ezhucwJd8ci-NHng/edit?usp=sharing"",""ราชบุรี!R64"&amp;"7"")+IMPORTRANGE(""https://docs.google.com/spreadsheets/d/1lufeA2cfFqM-elVq2hznhDzC6Pr7wkJ9ZG_sYNGCMCU/edit?usp=sharing"",""ลพบุรี!R647"")+IMPORTRANGE(""https://docs.google.com/spreadsheets/d/10oOiF7loTyfsTkbd4MpaIm0HQ9SwB7IYHdIUvt-U1Uc/edit?usp=sharing"""&amp;",""สระแก้ว!R647"")+IMPORTRANGE(""https://docs.google.com/spreadsheets/d/1xmPlrr1QbdSIKvl1dWUl9K4PjAfSL9oeMr_37QVzcxc/edit?usp=sharing"",""สระบุรี!R647"")+IMPORTRANGE(""https://docs.google.com/spreadsheets/d/1j51vR6CYVGhABJpv6tkstgok82RLpXieLzW1yOY5rHw/edi"&amp;"t?usp=sharing"",""สิงห์บุรี!R647"")+IMPORTRANGE(""https://docs.google.com/spreadsheets/d/1H1EalTWKUSzO4Z1-1CwzoDUaVffgrThEBe2sl74kKG0/edit?usp=sharing"",""สุพรรณบุรี!R647"")+IMPORTRANGE(""https://docs.google.com/spreadsheets/d/1BmIruG_sIrJLYao_Pdr7zVArWsf"&amp;"oBt2692TMi6x_854/edit?usp=sharing"",""อ่างทอง!R647"")"),417660)</f>
        <v>417660</v>
      </c>
      <c r="S647" s="130">
        <f ca="1">IFERROR(__xludf.DUMMYFUNCTION("IMPORTRANGE(""https://docs.google.com/spreadsheets/d/13wPX838HrBrQMCywv1BsuMkt4PEKTChp52zj44s2izQ/edit?usp=sharing"",""กาญจนบุรี!S647"")+IMPORTRANGE(""https://docs.google.com/spreadsheets/d/1ddFKvqj1W1NEiWytbGlB1zMx_ykJDVtmfEQ-6-lIUBA/edit?usp=sharing"","&amp;"""จันทบุรี!S647"")+IMPORTRANGE(""https://docs.google.com/spreadsheets/d/1T1PQvRODqOBZk8BRht_U031fIS1beLA0Ub2CEytj2q0/edit?usp=sharing"",""ฉะเชิงเทรา!S647"")+IMPORTRANGE(""https://docs.google.com/spreadsheets/d/11tr1B-Bhyr79v2bkwVh5h_fR-PStkgjlZtkrZpYurG0/"&amp;"edit?usp=sharing"",""ชลบุรี!S647"")+IMPORTRANGE(""https://docs.google.com/spreadsheets/d/1hh-FVnSX0vozXhGluamEcS54Dw9_zqW0N7qJUWgJ0Sw/edit?usp=sharing"",""ชัยนาท!S647"")+IMPORTRANGE(""https://docs.google.com/spreadsheets/d/1jkqa6GXxSacMcY1eN8AHjMNJ_7dDXMJ"&amp;"VRLDlaFSOdPM/edit?usp=sharing"",""ตราด!S647"")+IMPORTRANGE(""https://docs.google.com/spreadsheets/d/18hSgUJ3VwClqi_qtULmmW3cLr0oe3OKaSYoKzdpTsYQ/edit?usp=sharing"",""นครนายก!S647"")+IMPORTRANGE(""https://docs.google.com/spreadsheets/d/1YTZo6WM2dQ6Ix6FSdnL"&amp;"5P7uVnVKu40sxZu975tgG10E/edit?usp=sharing"",""นครปฐม!S647"")+IMPORTRANGE(""https://docs.google.com/spreadsheets/d/1OYoGg4WDg5RIzwGeB10padOxJF9E_Vljuvvct_M7RDo/edit?usp=sharing"",""ปทุมธานี!S647"")+IMPORTRANGE(""https://docs.google.com/spreadsheets/d/1GbCI"&amp;"E4D4wk9FUozzqk7SxfDMxDVBwVmI5zcaVUSzKAc/edit?usp=sharing"",""ประจวบคีรีขันธ์!S647"")+IMPORTRANGE(""https://docs.google.com/spreadsheets/d/1vVf6wykvW_lAyu7Yo9L4hUTqHqIeP_qcVuxCtosJEbg/edit?usp=sharing"",""ปราจีนบุรี!S647"")+IMPORTRANGE(""https://docs.googl"&amp;"e.com/spreadsheets/d/1BIDqLLg5jk3v59G8NlR8rk5xfQDKne0sAvZHSj7TI6I/edit?usp=sharing"",""พระนครศรีอยุธยา!S647"")+IMPORTRANGE(""https://docs.google.com/spreadsheets/d/1YXvxf8Yu6_rV4hTBrwMqAcAnv6DfhUxh5emyM3CJp_w/edit?usp=sharing"",""เพชรบุรี!S647"")+IMPORTRA"&amp;"NGE(""https://docs.google.com/spreadsheets/d/19KBlQQs7uwvsao6t2n-KvW3Ax8J8uRRfZPq1zPbXgKc/edit?usp=sharing"",""ระยอง!S647"")+IMPORTRANGE(""https://docs.google.com/spreadsheets/d/1jQ6P4QcrGM89YfqcC_PxOHGCMq5ezhucwJd8ci-NHng/edit?usp=sharing"",""ราชบุรี!S64"&amp;"7"")+IMPORTRANGE(""https://docs.google.com/spreadsheets/d/1lufeA2cfFqM-elVq2hznhDzC6Pr7wkJ9ZG_sYNGCMCU/edit?usp=sharing"",""ลพบุรี!S647"")+IMPORTRANGE(""https://docs.google.com/spreadsheets/d/10oOiF7loTyfsTkbd4MpaIm0HQ9SwB7IYHdIUvt-U1Uc/edit?usp=sharing"""&amp;",""สระแก้ว!S647"")+IMPORTRANGE(""https://docs.google.com/spreadsheets/d/1xmPlrr1QbdSIKvl1dWUl9K4PjAfSL9oeMr_37QVzcxc/edit?usp=sharing"",""สระบุรี!S647"")+IMPORTRANGE(""https://docs.google.com/spreadsheets/d/1j51vR6CYVGhABJpv6tkstgok82RLpXieLzW1yOY5rHw/edi"&amp;"t?usp=sharing"",""สิงห์บุรี!S647"")+IMPORTRANGE(""https://docs.google.com/spreadsheets/d/1H1EalTWKUSzO4Z1-1CwzoDUaVffgrThEBe2sl74kKG0/edit?usp=sharing"",""สุพรรณบุรี!S647"")+IMPORTRANGE(""https://docs.google.com/spreadsheets/d/1BmIruG_sIrJLYao_Pdr7zVArWsf"&amp;"oBt2692TMi6x_854/edit?usp=sharing"",""อ่างทอง!S647"")"),88735)</f>
        <v>88735</v>
      </c>
      <c r="T647" s="130">
        <f t="shared" ca="1" si="450"/>
        <v>21.245750131686062</v>
      </c>
      <c r="U647" s="130">
        <f t="shared" ca="1" si="451"/>
        <v>21.245750131686062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 t="shared" ref="L648:N648" ca="1" si="458">L649+L650</f>
        <v>0</v>
      </c>
      <c r="M648" s="72">
        <f t="shared" ca="1" si="458"/>
        <v>0</v>
      </c>
      <c r="N648" s="72">
        <f t="shared" ca="1" si="458"/>
        <v>0</v>
      </c>
      <c r="O648" s="72">
        <f t="shared" ca="1" si="447"/>
        <v>0</v>
      </c>
      <c r="P648" s="72">
        <f t="shared" ca="1" si="448"/>
        <v>0</v>
      </c>
      <c r="Q648" s="129">
        <f t="shared" ref="Q648:S648" ca="1" si="459">Q649+Q650</f>
        <v>0</v>
      </c>
      <c r="R648" s="130">
        <f t="shared" ca="1" si="459"/>
        <v>0</v>
      </c>
      <c r="S648" s="130">
        <f t="shared" ca="1" si="459"/>
        <v>0</v>
      </c>
      <c r="T648" s="130">
        <f t="shared" ca="1" si="450"/>
        <v>0</v>
      </c>
      <c r="U648" s="130">
        <f t="shared" ca="1" si="451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f ca="1">IFERROR(__xludf.DUMMYFUNCTION("IMPORTRANGE(""https://docs.google.com/spreadsheets/d/13wPX838HrBrQMCywv1BsuMkt4PEKTChp52zj44s2izQ/edit?usp=sharing"",""กาญจนบุรี!L649"")+IMPORTRANGE(""https://docs.google.com/spreadsheets/d/1ddFKvqj1W1NEiWytbGlB1zMx_ykJDVtmfEQ-6-lIUBA/edit?usp=sharing"","&amp;"""จันทบุรี!L649"")+IMPORTRANGE(""https://docs.google.com/spreadsheets/d/1T1PQvRODqOBZk8BRht_U031fIS1beLA0Ub2CEytj2q0/edit?usp=sharing"",""ฉะเชิงเทรา!L649"")+IMPORTRANGE(""https://docs.google.com/spreadsheets/d/11tr1B-Bhyr79v2bkwVh5h_fR-PStkgjlZtkrZpYurG0/"&amp;"edit?usp=sharing"",""ชลบุรี!L649"")+IMPORTRANGE(""https://docs.google.com/spreadsheets/d/1hh-FVnSX0vozXhGluamEcS54Dw9_zqW0N7qJUWgJ0Sw/edit?usp=sharing"",""ชัยนาท!L649"")+IMPORTRANGE(""https://docs.google.com/spreadsheets/d/1jkqa6GXxSacMcY1eN8AHjMNJ_7dDXMJ"&amp;"VRLDlaFSOdPM/edit?usp=sharing"",""ตราด!L649"")+IMPORTRANGE(""https://docs.google.com/spreadsheets/d/18hSgUJ3VwClqi_qtULmmW3cLr0oe3OKaSYoKzdpTsYQ/edit?usp=sharing"",""นครนายก!L649"")+IMPORTRANGE(""https://docs.google.com/spreadsheets/d/1YTZo6WM2dQ6Ix6FSdnL"&amp;"5P7uVnVKu40sxZu975tgG10E/edit?usp=sharing"",""นครปฐม!L649"")+IMPORTRANGE(""https://docs.google.com/spreadsheets/d/1OYoGg4WDg5RIzwGeB10padOxJF9E_Vljuvvct_M7RDo/edit?usp=sharing"",""ปทุมธานี!L649"")+IMPORTRANGE(""https://docs.google.com/spreadsheets/d/1GbCI"&amp;"E4D4wk9FUozzqk7SxfDMxDVBwVmI5zcaVUSzKAc/edit?usp=sharing"",""ประจวบคีรีขันธ์!L649"")+IMPORTRANGE(""https://docs.google.com/spreadsheets/d/1vVf6wykvW_lAyu7Yo9L4hUTqHqIeP_qcVuxCtosJEbg/edit?usp=sharing"",""ปราจีนบุรี!L649"")+IMPORTRANGE(""https://docs.googl"&amp;"e.com/spreadsheets/d/1BIDqLLg5jk3v59G8NlR8rk5xfQDKne0sAvZHSj7TI6I/edit?usp=sharing"",""พระนครศรีอยุธยา!L649"")+IMPORTRANGE(""https://docs.google.com/spreadsheets/d/1YXvxf8Yu6_rV4hTBrwMqAcAnv6DfhUxh5emyM3CJp_w/edit?usp=sharing"",""เพชรบุรี!L649"")+IMPORTRA"&amp;"NGE(""https://docs.google.com/spreadsheets/d/19KBlQQs7uwvsao6t2n-KvW3Ax8J8uRRfZPq1zPbXgKc/edit?usp=sharing"",""ระยอง!L649"")+IMPORTRANGE(""https://docs.google.com/spreadsheets/d/1jQ6P4QcrGM89YfqcC_PxOHGCMq5ezhucwJd8ci-NHng/edit?usp=sharing"",""ราชบุรี!L64"&amp;"9"")+IMPORTRANGE(""https://docs.google.com/spreadsheets/d/1lufeA2cfFqM-elVq2hznhDzC6Pr7wkJ9ZG_sYNGCMCU/edit?usp=sharing"",""ลพบุรี!L649"")+IMPORTRANGE(""https://docs.google.com/spreadsheets/d/10oOiF7loTyfsTkbd4MpaIm0HQ9SwB7IYHdIUvt-U1Uc/edit?usp=sharing"""&amp;",""สระแก้ว!L649"")+IMPORTRANGE(""https://docs.google.com/spreadsheets/d/1xmPlrr1QbdSIKvl1dWUl9K4PjAfSL9oeMr_37QVzcxc/edit?usp=sharing"",""สระบุรี!L649"")+IMPORTRANGE(""https://docs.google.com/spreadsheets/d/1j51vR6CYVGhABJpv6tkstgok82RLpXieLzW1yOY5rHw/edi"&amp;"t?usp=sharing"",""สิงห์บุรี!L649"")+IMPORTRANGE(""https://docs.google.com/spreadsheets/d/1H1EalTWKUSzO4Z1-1CwzoDUaVffgrThEBe2sl74kKG0/edit?usp=sharing"",""สุพรรณบุรี!L649"")+IMPORTRANGE(""https://docs.google.com/spreadsheets/d/1BmIruG_sIrJLYao_Pdr7zVArWsf"&amp;"oBt2692TMi6x_854/edit?usp=sharing"",""อ่างทอง!L649"")"),0)</f>
        <v>0</v>
      </c>
      <c r="M649" s="75">
        <f ca="1">IFERROR(__xludf.DUMMYFUNCTION("IMPORTRANGE(""https://docs.google.com/spreadsheets/d/13wPX838HrBrQMCywv1BsuMkt4PEKTChp52zj44s2izQ/edit?usp=sharing"",""กาญจนบุรี!M649"")+IMPORTRANGE(""https://docs.google.com/spreadsheets/d/1ddFKvqj1W1NEiWytbGlB1zMx_ykJDVtmfEQ-6-lIUBA/edit?usp=sharing"","&amp;"""จันทบุรี!M649"")+IMPORTRANGE(""https://docs.google.com/spreadsheets/d/1T1PQvRODqOBZk8BRht_U031fIS1beLA0Ub2CEytj2q0/edit?usp=sharing"",""ฉะเชิงเทรา!M649"")+IMPORTRANGE(""https://docs.google.com/spreadsheets/d/11tr1B-Bhyr79v2bkwVh5h_fR-PStkgjlZtkrZpYurG0/"&amp;"edit?usp=sharing"",""ชลบุรี!M649"")+IMPORTRANGE(""https://docs.google.com/spreadsheets/d/1hh-FVnSX0vozXhGluamEcS54Dw9_zqW0N7qJUWgJ0Sw/edit?usp=sharing"",""ชัยนาท!M649"")+IMPORTRANGE(""https://docs.google.com/spreadsheets/d/1jkqa6GXxSacMcY1eN8AHjMNJ_7dDXMJ"&amp;"VRLDlaFSOdPM/edit?usp=sharing"",""ตราด!M649"")+IMPORTRANGE(""https://docs.google.com/spreadsheets/d/18hSgUJ3VwClqi_qtULmmW3cLr0oe3OKaSYoKzdpTsYQ/edit?usp=sharing"",""นครนายก!M649"")+IMPORTRANGE(""https://docs.google.com/spreadsheets/d/1YTZo6WM2dQ6Ix6FSdnL"&amp;"5P7uVnVKu40sxZu975tgG10E/edit?usp=sharing"",""นครปฐม!M649"")+IMPORTRANGE(""https://docs.google.com/spreadsheets/d/1OYoGg4WDg5RIzwGeB10padOxJF9E_Vljuvvct_M7RDo/edit?usp=sharing"",""ปทุมธานี!M649"")+IMPORTRANGE(""https://docs.google.com/spreadsheets/d/1GbCI"&amp;"E4D4wk9FUozzqk7SxfDMxDVBwVmI5zcaVUSzKAc/edit?usp=sharing"",""ประจวบคีรีขันธ์!M649"")+IMPORTRANGE(""https://docs.google.com/spreadsheets/d/1vVf6wykvW_lAyu7Yo9L4hUTqHqIeP_qcVuxCtosJEbg/edit?usp=sharing"",""ปราจีนบุรี!M649"")+IMPORTRANGE(""https://docs.googl"&amp;"e.com/spreadsheets/d/1BIDqLLg5jk3v59G8NlR8rk5xfQDKne0sAvZHSj7TI6I/edit?usp=sharing"",""พระนครศรีอยุธยา!M649"")+IMPORTRANGE(""https://docs.google.com/spreadsheets/d/1YXvxf8Yu6_rV4hTBrwMqAcAnv6DfhUxh5emyM3CJp_w/edit?usp=sharing"",""เพชรบุรี!M649"")+IMPORTRA"&amp;"NGE(""https://docs.google.com/spreadsheets/d/19KBlQQs7uwvsao6t2n-KvW3Ax8J8uRRfZPq1zPbXgKc/edit?usp=sharing"",""ระยอง!M649"")+IMPORTRANGE(""https://docs.google.com/spreadsheets/d/1jQ6P4QcrGM89YfqcC_PxOHGCMq5ezhucwJd8ci-NHng/edit?usp=sharing"",""ราชบุรี!M64"&amp;"9"")+IMPORTRANGE(""https://docs.google.com/spreadsheets/d/1lufeA2cfFqM-elVq2hznhDzC6Pr7wkJ9ZG_sYNGCMCU/edit?usp=sharing"",""ลพบุรี!M649"")+IMPORTRANGE(""https://docs.google.com/spreadsheets/d/10oOiF7loTyfsTkbd4MpaIm0HQ9SwB7IYHdIUvt-U1Uc/edit?usp=sharing"""&amp;",""สระแก้ว!M649"")+IMPORTRANGE(""https://docs.google.com/spreadsheets/d/1xmPlrr1QbdSIKvl1dWUl9K4PjAfSL9oeMr_37QVzcxc/edit?usp=sharing"",""สระบุรี!M649"")+IMPORTRANGE(""https://docs.google.com/spreadsheets/d/1j51vR6CYVGhABJpv6tkstgok82RLpXieLzW1yOY5rHw/edi"&amp;"t?usp=sharing"",""สิงห์บุรี!M649"")+IMPORTRANGE(""https://docs.google.com/spreadsheets/d/1H1EalTWKUSzO4Z1-1CwzoDUaVffgrThEBe2sl74kKG0/edit?usp=sharing"",""สุพรรณบุรี!M649"")+IMPORTRANGE(""https://docs.google.com/spreadsheets/d/1BmIruG_sIrJLYao_Pdr7zVArWsf"&amp;"oBt2692TMi6x_854/edit?usp=sharing"",""อ่างทอง!M649"")"),0)</f>
        <v>0</v>
      </c>
      <c r="N649" s="75">
        <f ca="1">IFERROR(__xludf.DUMMYFUNCTION("IMPORTRANGE(""https://docs.google.com/spreadsheets/d/13wPX838HrBrQMCywv1BsuMkt4PEKTChp52zj44s2izQ/edit?usp=sharing"",""กาญจนบุรี!N649"")+IMPORTRANGE(""https://docs.google.com/spreadsheets/d/1ddFKvqj1W1NEiWytbGlB1zMx_ykJDVtmfEQ-6-lIUBA/edit?usp=sharing"","&amp;"""จันทบุรี!N649"")+IMPORTRANGE(""https://docs.google.com/spreadsheets/d/1T1PQvRODqOBZk8BRht_U031fIS1beLA0Ub2CEytj2q0/edit?usp=sharing"",""ฉะเชิงเทรา!N649"")+IMPORTRANGE(""https://docs.google.com/spreadsheets/d/11tr1B-Bhyr79v2bkwVh5h_fR-PStkgjlZtkrZpYurG0/"&amp;"edit?usp=sharing"",""ชลบุรี!N649"")+IMPORTRANGE(""https://docs.google.com/spreadsheets/d/1hh-FVnSX0vozXhGluamEcS54Dw9_zqW0N7qJUWgJ0Sw/edit?usp=sharing"",""ชัยนาท!N649"")+IMPORTRANGE(""https://docs.google.com/spreadsheets/d/1jkqa6GXxSacMcY1eN8AHjMNJ_7dDXMJ"&amp;"VRLDlaFSOdPM/edit?usp=sharing"",""ตราด!N649"")+IMPORTRANGE(""https://docs.google.com/spreadsheets/d/18hSgUJ3VwClqi_qtULmmW3cLr0oe3OKaSYoKzdpTsYQ/edit?usp=sharing"",""นครนายก!N649"")+IMPORTRANGE(""https://docs.google.com/spreadsheets/d/1YTZo6WM2dQ6Ix6FSdnL"&amp;"5P7uVnVKu40sxZu975tgG10E/edit?usp=sharing"",""นครปฐม!N649"")+IMPORTRANGE(""https://docs.google.com/spreadsheets/d/1OYoGg4WDg5RIzwGeB10padOxJF9E_Vljuvvct_M7RDo/edit?usp=sharing"",""ปทุมธานี!N649"")+IMPORTRANGE(""https://docs.google.com/spreadsheets/d/1GbCI"&amp;"E4D4wk9FUozzqk7SxfDMxDVBwVmI5zcaVUSzKAc/edit?usp=sharing"",""ประจวบคีรีขันธ์!N649"")+IMPORTRANGE(""https://docs.google.com/spreadsheets/d/1vVf6wykvW_lAyu7Yo9L4hUTqHqIeP_qcVuxCtosJEbg/edit?usp=sharing"",""ปราจีนบุรี!N649"")+IMPORTRANGE(""https://docs.googl"&amp;"e.com/spreadsheets/d/1BIDqLLg5jk3v59G8NlR8rk5xfQDKne0sAvZHSj7TI6I/edit?usp=sharing"",""พระนครศรีอยุธยา!N649"")+IMPORTRANGE(""https://docs.google.com/spreadsheets/d/1YXvxf8Yu6_rV4hTBrwMqAcAnv6DfhUxh5emyM3CJp_w/edit?usp=sharing"",""เพชรบุรี!N649"")+IMPORTRA"&amp;"NGE(""https://docs.google.com/spreadsheets/d/19KBlQQs7uwvsao6t2n-KvW3Ax8J8uRRfZPq1zPbXgKc/edit?usp=sharing"",""ระยอง!N649"")+IMPORTRANGE(""https://docs.google.com/spreadsheets/d/1jQ6P4QcrGM89YfqcC_PxOHGCMq5ezhucwJd8ci-NHng/edit?usp=sharing"",""ราชบุรี!N64"&amp;"9"")+IMPORTRANGE(""https://docs.google.com/spreadsheets/d/1lufeA2cfFqM-elVq2hznhDzC6Pr7wkJ9ZG_sYNGCMCU/edit?usp=sharing"",""ลพบุรี!N649"")+IMPORTRANGE(""https://docs.google.com/spreadsheets/d/10oOiF7loTyfsTkbd4MpaIm0HQ9SwB7IYHdIUvt-U1Uc/edit?usp=sharing"""&amp;",""สระแก้ว!N649"")+IMPORTRANGE(""https://docs.google.com/spreadsheets/d/1xmPlrr1QbdSIKvl1dWUl9K4PjAfSL9oeMr_37QVzcxc/edit?usp=sharing"",""สระบุรี!N649"")+IMPORTRANGE(""https://docs.google.com/spreadsheets/d/1j51vR6CYVGhABJpv6tkstgok82RLpXieLzW1yOY5rHw/edi"&amp;"t?usp=sharing"",""สิงห์บุรี!N649"")+IMPORTRANGE(""https://docs.google.com/spreadsheets/d/1H1EalTWKUSzO4Z1-1CwzoDUaVffgrThEBe2sl74kKG0/edit?usp=sharing"",""สุพรรณบุรี!N649"")+IMPORTRANGE(""https://docs.google.com/spreadsheets/d/1BmIruG_sIrJLYao_Pdr7zVArWsf"&amp;"oBt2692TMi6x_854/edit?usp=sharing"",""อ่างทอง!N649"")"),0)</f>
        <v>0</v>
      </c>
      <c r="O649" s="75">
        <f t="shared" ca="1" si="447"/>
        <v>0</v>
      </c>
      <c r="P649" s="75">
        <f t="shared" ca="1" si="448"/>
        <v>0</v>
      </c>
      <c r="Q649" s="74">
        <f ca="1">IFERROR(__xludf.DUMMYFUNCTION("IMPORTRANGE(""https://docs.google.com/spreadsheets/d/13wPX838HrBrQMCywv1BsuMkt4PEKTChp52zj44s2izQ/edit?usp=sharing"",""กาญจนบุรี!Q649"")+IMPORTRANGE(""https://docs.google.com/spreadsheets/d/1ddFKvqj1W1NEiWytbGlB1zMx_ykJDVtmfEQ-6-lIUBA/edit?usp=sharing"","&amp;"""จันทบุรี!Q649"")+IMPORTRANGE(""https://docs.google.com/spreadsheets/d/1T1PQvRODqOBZk8BRht_U031fIS1beLA0Ub2CEytj2q0/edit?usp=sharing"",""ฉะเชิงเทรา!Q649"")+IMPORTRANGE(""https://docs.google.com/spreadsheets/d/11tr1B-Bhyr79v2bkwVh5h_fR-PStkgjlZtkrZpYurG0/"&amp;"edit?usp=sharing"",""ชลบุรี!Q649"")+IMPORTRANGE(""https://docs.google.com/spreadsheets/d/1hh-FVnSX0vozXhGluamEcS54Dw9_zqW0N7qJUWgJ0Sw/edit?usp=sharing"",""ชัยนาท!Q649"")+IMPORTRANGE(""https://docs.google.com/spreadsheets/d/1jkqa6GXxSacMcY1eN8AHjMNJ_7dDXMJ"&amp;"VRLDlaFSOdPM/edit?usp=sharing"",""ตราด!Q649"")+IMPORTRANGE(""https://docs.google.com/spreadsheets/d/18hSgUJ3VwClqi_qtULmmW3cLr0oe3OKaSYoKzdpTsYQ/edit?usp=sharing"",""นครนายก!Q649"")+IMPORTRANGE(""https://docs.google.com/spreadsheets/d/1YTZo6WM2dQ6Ix6FSdnL"&amp;"5P7uVnVKu40sxZu975tgG10E/edit?usp=sharing"",""นครปฐม!Q649"")+IMPORTRANGE(""https://docs.google.com/spreadsheets/d/1OYoGg4WDg5RIzwGeB10padOxJF9E_Vljuvvct_M7RDo/edit?usp=sharing"",""ปทุมธานี!Q649"")+IMPORTRANGE(""https://docs.google.com/spreadsheets/d/1GbCI"&amp;"E4D4wk9FUozzqk7SxfDMxDVBwVmI5zcaVUSzKAc/edit?usp=sharing"",""ประจวบคีรีขันธ์!Q649"")+IMPORTRANGE(""https://docs.google.com/spreadsheets/d/1vVf6wykvW_lAyu7Yo9L4hUTqHqIeP_qcVuxCtosJEbg/edit?usp=sharing"",""ปราจีนบุรี!Q649"")+IMPORTRANGE(""https://docs.googl"&amp;"e.com/spreadsheets/d/1BIDqLLg5jk3v59G8NlR8rk5xfQDKne0sAvZHSj7TI6I/edit?usp=sharing"",""พระนครศรีอยุธยา!Q649"")+IMPORTRANGE(""https://docs.google.com/spreadsheets/d/1YXvxf8Yu6_rV4hTBrwMqAcAnv6DfhUxh5emyM3CJp_w/edit?usp=sharing"",""เพชรบุรี!Q649"")+IMPORTRA"&amp;"NGE(""https://docs.google.com/spreadsheets/d/19KBlQQs7uwvsao6t2n-KvW3Ax8J8uRRfZPq1zPbXgKc/edit?usp=sharing"",""ระยอง!Q649"")+IMPORTRANGE(""https://docs.google.com/spreadsheets/d/1jQ6P4QcrGM89YfqcC_PxOHGCMq5ezhucwJd8ci-NHng/edit?usp=sharing"",""ราชบุรี!Q64"&amp;"9"")+IMPORTRANGE(""https://docs.google.com/spreadsheets/d/1lufeA2cfFqM-elVq2hznhDzC6Pr7wkJ9ZG_sYNGCMCU/edit?usp=sharing"",""ลพบุรี!Q649"")+IMPORTRANGE(""https://docs.google.com/spreadsheets/d/10oOiF7loTyfsTkbd4MpaIm0HQ9SwB7IYHdIUvt-U1Uc/edit?usp=sharing"""&amp;",""สระแก้ว!Q649"")+IMPORTRANGE(""https://docs.google.com/spreadsheets/d/1xmPlrr1QbdSIKvl1dWUl9K4PjAfSL9oeMr_37QVzcxc/edit?usp=sharing"",""สระบุรี!Q649"")+IMPORTRANGE(""https://docs.google.com/spreadsheets/d/1j51vR6CYVGhABJpv6tkstgok82RLpXieLzW1yOY5rHw/edi"&amp;"t?usp=sharing"",""สิงห์บุรี!Q649"")+IMPORTRANGE(""https://docs.google.com/spreadsheets/d/1H1EalTWKUSzO4Z1-1CwzoDUaVffgrThEBe2sl74kKG0/edit?usp=sharing"",""สุพรรณบุรี!Q649"")+IMPORTRANGE(""https://docs.google.com/spreadsheets/d/1BmIruG_sIrJLYao_Pdr7zVArWsf"&amp;"oBt2692TMi6x_854/edit?usp=sharing"",""อ่างทอง!Q649"")"),0)</f>
        <v>0</v>
      </c>
      <c r="R649" s="75">
        <f ca="1">IFERROR(__xludf.DUMMYFUNCTION("IMPORTRANGE(""https://docs.google.com/spreadsheets/d/13wPX838HrBrQMCywv1BsuMkt4PEKTChp52zj44s2izQ/edit?usp=sharing"",""กาญจนบุรี!R649"")+IMPORTRANGE(""https://docs.google.com/spreadsheets/d/1ddFKvqj1W1NEiWytbGlB1zMx_ykJDVtmfEQ-6-lIUBA/edit?usp=sharing"","&amp;"""จันทบุรี!R649"")+IMPORTRANGE(""https://docs.google.com/spreadsheets/d/1T1PQvRODqOBZk8BRht_U031fIS1beLA0Ub2CEytj2q0/edit?usp=sharing"",""ฉะเชิงเทรา!R649"")+IMPORTRANGE(""https://docs.google.com/spreadsheets/d/11tr1B-Bhyr79v2bkwVh5h_fR-PStkgjlZtkrZpYurG0/"&amp;"edit?usp=sharing"",""ชลบุรี!R649"")+IMPORTRANGE(""https://docs.google.com/spreadsheets/d/1hh-FVnSX0vozXhGluamEcS54Dw9_zqW0N7qJUWgJ0Sw/edit?usp=sharing"",""ชัยนาท!R649"")+IMPORTRANGE(""https://docs.google.com/spreadsheets/d/1jkqa6GXxSacMcY1eN8AHjMNJ_7dDXMJ"&amp;"VRLDlaFSOdPM/edit?usp=sharing"",""ตราด!R649"")+IMPORTRANGE(""https://docs.google.com/spreadsheets/d/18hSgUJ3VwClqi_qtULmmW3cLr0oe3OKaSYoKzdpTsYQ/edit?usp=sharing"",""นครนายก!R649"")+IMPORTRANGE(""https://docs.google.com/spreadsheets/d/1YTZo6WM2dQ6Ix6FSdnL"&amp;"5P7uVnVKu40sxZu975tgG10E/edit?usp=sharing"",""นครปฐม!R649"")+IMPORTRANGE(""https://docs.google.com/spreadsheets/d/1OYoGg4WDg5RIzwGeB10padOxJF9E_Vljuvvct_M7RDo/edit?usp=sharing"",""ปทุมธานี!R649"")+IMPORTRANGE(""https://docs.google.com/spreadsheets/d/1GbCI"&amp;"E4D4wk9FUozzqk7SxfDMxDVBwVmI5zcaVUSzKAc/edit?usp=sharing"",""ประจวบคีรีขันธ์!R649"")+IMPORTRANGE(""https://docs.google.com/spreadsheets/d/1vVf6wykvW_lAyu7Yo9L4hUTqHqIeP_qcVuxCtosJEbg/edit?usp=sharing"",""ปราจีนบุรี!R649"")+IMPORTRANGE(""https://docs.googl"&amp;"e.com/spreadsheets/d/1BIDqLLg5jk3v59G8NlR8rk5xfQDKne0sAvZHSj7TI6I/edit?usp=sharing"",""พระนครศรีอยุธยา!R649"")+IMPORTRANGE(""https://docs.google.com/spreadsheets/d/1YXvxf8Yu6_rV4hTBrwMqAcAnv6DfhUxh5emyM3CJp_w/edit?usp=sharing"",""เพชรบุรี!R649"")+IMPORTRA"&amp;"NGE(""https://docs.google.com/spreadsheets/d/19KBlQQs7uwvsao6t2n-KvW3Ax8J8uRRfZPq1zPbXgKc/edit?usp=sharing"",""ระยอง!R649"")+IMPORTRANGE(""https://docs.google.com/spreadsheets/d/1jQ6P4QcrGM89YfqcC_PxOHGCMq5ezhucwJd8ci-NHng/edit?usp=sharing"",""ราชบุรี!R64"&amp;"9"")+IMPORTRANGE(""https://docs.google.com/spreadsheets/d/1lufeA2cfFqM-elVq2hznhDzC6Pr7wkJ9ZG_sYNGCMCU/edit?usp=sharing"",""ลพบุรี!R649"")+IMPORTRANGE(""https://docs.google.com/spreadsheets/d/10oOiF7loTyfsTkbd4MpaIm0HQ9SwB7IYHdIUvt-U1Uc/edit?usp=sharing"""&amp;",""สระแก้ว!R649"")+IMPORTRANGE(""https://docs.google.com/spreadsheets/d/1xmPlrr1QbdSIKvl1dWUl9K4PjAfSL9oeMr_37QVzcxc/edit?usp=sharing"",""สระบุรี!R649"")+IMPORTRANGE(""https://docs.google.com/spreadsheets/d/1j51vR6CYVGhABJpv6tkstgok82RLpXieLzW1yOY5rHw/edi"&amp;"t?usp=sharing"",""สิงห์บุรี!R649"")+IMPORTRANGE(""https://docs.google.com/spreadsheets/d/1H1EalTWKUSzO4Z1-1CwzoDUaVffgrThEBe2sl74kKG0/edit?usp=sharing"",""สุพรรณบุรี!R649"")+IMPORTRANGE(""https://docs.google.com/spreadsheets/d/1BmIruG_sIrJLYao_Pdr7zVArWsf"&amp;"oBt2692TMi6x_854/edit?usp=sharing"",""อ่างทอง!R649"")"),0)</f>
        <v>0</v>
      </c>
      <c r="S649" s="75">
        <f ca="1">IFERROR(__xludf.DUMMYFUNCTION("IMPORTRANGE(""https://docs.google.com/spreadsheets/d/13wPX838HrBrQMCywv1BsuMkt4PEKTChp52zj44s2izQ/edit?usp=sharing"",""กาญจนบุรี!S649"")+IMPORTRANGE(""https://docs.google.com/spreadsheets/d/1ddFKvqj1W1NEiWytbGlB1zMx_ykJDVtmfEQ-6-lIUBA/edit?usp=sharing"","&amp;"""จันทบุรี!S649"")+IMPORTRANGE(""https://docs.google.com/spreadsheets/d/1T1PQvRODqOBZk8BRht_U031fIS1beLA0Ub2CEytj2q0/edit?usp=sharing"",""ฉะเชิงเทรา!S649"")+IMPORTRANGE(""https://docs.google.com/spreadsheets/d/11tr1B-Bhyr79v2bkwVh5h_fR-PStkgjlZtkrZpYurG0/"&amp;"edit?usp=sharing"",""ชลบุรี!S649"")+IMPORTRANGE(""https://docs.google.com/spreadsheets/d/1hh-FVnSX0vozXhGluamEcS54Dw9_zqW0N7qJUWgJ0Sw/edit?usp=sharing"",""ชัยนาท!S649"")+IMPORTRANGE(""https://docs.google.com/spreadsheets/d/1jkqa6GXxSacMcY1eN8AHjMNJ_7dDXMJ"&amp;"VRLDlaFSOdPM/edit?usp=sharing"",""ตราด!S649"")+IMPORTRANGE(""https://docs.google.com/spreadsheets/d/18hSgUJ3VwClqi_qtULmmW3cLr0oe3OKaSYoKzdpTsYQ/edit?usp=sharing"",""นครนายก!S649"")+IMPORTRANGE(""https://docs.google.com/spreadsheets/d/1YTZo6WM2dQ6Ix6FSdnL"&amp;"5P7uVnVKu40sxZu975tgG10E/edit?usp=sharing"",""นครปฐม!S649"")+IMPORTRANGE(""https://docs.google.com/spreadsheets/d/1OYoGg4WDg5RIzwGeB10padOxJF9E_Vljuvvct_M7RDo/edit?usp=sharing"",""ปทุมธานี!S649"")+IMPORTRANGE(""https://docs.google.com/spreadsheets/d/1GbCI"&amp;"E4D4wk9FUozzqk7SxfDMxDVBwVmI5zcaVUSzKAc/edit?usp=sharing"",""ประจวบคีรีขันธ์!S649"")+IMPORTRANGE(""https://docs.google.com/spreadsheets/d/1vVf6wykvW_lAyu7Yo9L4hUTqHqIeP_qcVuxCtosJEbg/edit?usp=sharing"",""ปราจีนบุรี!S649"")+IMPORTRANGE(""https://docs.googl"&amp;"e.com/spreadsheets/d/1BIDqLLg5jk3v59G8NlR8rk5xfQDKne0sAvZHSj7TI6I/edit?usp=sharing"",""พระนครศรีอยุธยา!S649"")+IMPORTRANGE(""https://docs.google.com/spreadsheets/d/1YXvxf8Yu6_rV4hTBrwMqAcAnv6DfhUxh5emyM3CJp_w/edit?usp=sharing"",""เพชรบุรี!S649"")+IMPORTRA"&amp;"NGE(""https://docs.google.com/spreadsheets/d/19KBlQQs7uwvsao6t2n-KvW3Ax8J8uRRfZPq1zPbXgKc/edit?usp=sharing"",""ระยอง!S649"")+IMPORTRANGE(""https://docs.google.com/spreadsheets/d/1jQ6P4QcrGM89YfqcC_PxOHGCMq5ezhucwJd8ci-NHng/edit?usp=sharing"",""ราชบุรี!S64"&amp;"9"")+IMPORTRANGE(""https://docs.google.com/spreadsheets/d/1lufeA2cfFqM-elVq2hznhDzC6Pr7wkJ9ZG_sYNGCMCU/edit?usp=sharing"",""ลพบุรี!S649"")+IMPORTRANGE(""https://docs.google.com/spreadsheets/d/10oOiF7loTyfsTkbd4MpaIm0HQ9SwB7IYHdIUvt-U1Uc/edit?usp=sharing"""&amp;",""สระแก้ว!S649"")+IMPORTRANGE(""https://docs.google.com/spreadsheets/d/1xmPlrr1QbdSIKvl1dWUl9K4PjAfSL9oeMr_37QVzcxc/edit?usp=sharing"",""สระบุรี!S649"")+IMPORTRANGE(""https://docs.google.com/spreadsheets/d/1j51vR6CYVGhABJpv6tkstgok82RLpXieLzW1yOY5rHw/edi"&amp;"t?usp=sharing"",""สิงห์บุรี!S649"")+IMPORTRANGE(""https://docs.google.com/spreadsheets/d/1H1EalTWKUSzO4Z1-1CwzoDUaVffgrThEBe2sl74kKG0/edit?usp=sharing"",""สุพรรณบุรี!S649"")+IMPORTRANGE(""https://docs.google.com/spreadsheets/d/1BmIruG_sIrJLYao_Pdr7zVArWsf"&amp;"oBt2692TMi6x_854/edit?usp=sharing"",""อ่างทอง!S649"")"),0)</f>
        <v>0</v>
      </c>
      <c r="T649" s="131">
        <f t="shared" ca="1" si="450"/>
        <v>0</v>
      </c>
      <c r="U649" s="131">
        <f t="shared" ca="1" si="451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f ca="1">IFERROR(__xludf.DUMMYFUNCTION("IMPORTRANGE(""https://docs.google.com/spreadsheets/d/13wPX838HrBrQMCywv1BsuMkt4PEKTChp52zj44s2izQ/edit?usp=sharing"",""กาญจนบุรี!L650"")+IMPORTRANGE(""https://docs.google.com/spreadsheets/d/1ddFKvqj1W1NEiWytbGlB1zMx_ykJDVtmfEQ-6-lIUBA/edit?usp=sharing"","&amp;"""จันทบุรี!L650"")+IMPORTRANGE(""https://docs.google.com/spreadsheets/d/1T1PQvRODqOBZk8BRht_U031fIS1beLA0Ub2CEytj2q0/edit?usp=sharing"",""ฉะเชิงเทรา!L650"")+IMPORTRANGE(""https://docs.google.com/spreadsheets/d/11tr1B-Bhyr79v2bkwVh5h_fR-PStkgjlZtkrZpYurG0/"&amp;"edit?usp=sharing"",""ชลบุรี!L650"")+IMPORTRANGE(""https://docs.google.com/spreadsheets/d/1hh-FVnSX0vozXhGluamEcS54Dw9_zqW0N7qJUWgJ0Sw/edit?usp=sharing"",""ชัยนาท!L650"")+IMPORTRANGE(""https://docs.google.com/spreadsheets/d/1jkqa6GXxSacMcY1eN8AHjMNJ_7dDXMJ"&amp;"VRLDlaFSOdPM/edit?usp=sharing"",""ตราด!L650"")+IMPORTRANGE(""https://docs.google.com/spreadsheets/d/18hSgUJ3VwClqi_qtULmmW3cLr0oe3OKaSYoKzdpTsYQ/edit?usp=sharing"",""นครนายก!L650"")+IMPORTRANGE(""https://docs.google.com/spreadsheets/d/1YTZo6WM2dQ6Ix6FSdnL"&amp;"5P7uVnVKu40sxZu975tgG10E/edit?usp=sharing"",""นครปฐม!L650"")+IMPORTRANGE(""https://docs.google.com/spreadsheets/d/1OYoGg4WDg5RIzwGeB10padOxJF9E_Vljuvvct_M7RDo/edit?usp=sharing"",""ปทุมธานี!L650"")+IMPORTRANGE(""https://docs.google.com/spreadsheets/d/1GbCI"&amp;"E4D4wk9FUozzqk7SxfDMxDVBwVmI5zcaVUSzKAc/edit?usp=sharing"",""ประจวบคีรีขันธ์!L650"")+IMPORTRANGE(""https://docs.google.com/spreadsheets/d/1vVf6wykvW_lAyu7Yo9L4hUTqHqIeP_qcVuxCtosJEbg/edit?usp=sharing"",""ปราจีนบุรี!L650"")+IMPORTRANGE(""https://docs.googl"&amp;"e.com/spreadsheets/d/1BIDqLLg5jk3v59G8NlR8rk5xfQDKne0sAvZHSj7TI6I/edit?usp=sharing"",""พระนครศรีอยุธยา!L650"")+IMPORTRANGE(""https://docs.google.com/spreadsheets/d/1YXvxf8Yu6_rV4hTBrwMqAcAnv6DfhUxh5emyM3CJp_w/edit?usp=sharing"",""เพชรบุรี!L650"")+IMPORTRA"&amp;"NGE(""https://docs.google.com/spreadsheets/d/19KBlQQs7uwvsao6t2n-KvW3Ax8J8uRRfZPq1zPbXgKc/edit?usp=sharing"",""ระยอง!L650"")+IMPORTRANGE(""https://docs.google.com/spreadsheets/d/1jQ6P4QcrGM89YfqcC_PxOHGCMq5ezhucwJd8ci-NHng/edit?usp=sharing"",""ราชบุรี!L65"&amp;"0"")+IMPORTRANGE(""https://docs.google.com/spreadsheets/d/1lufeA2cfFqM-elVq2hznhDzC6Pr7wkJ9ZG_sYNGCMCU/edit?usp=sharing"",""ลพบุรี!L650"")+IMPORTRANGE(""https://docs.google.com/spreadsheets/d/10oOiF7loTyfsTkbd4MpaIm0HQ9SwB7IYHdIUvt-U1Uc/edit?usp=sharing"""&amp;",""สระแก้ว!L650"")+IMPORTRANGE(""https://docs.google.com/spreadsheets/d/1xmPlrr1QbdSIKvl1dWUl9K4PjAfSL9oeMr_37QVzcxc/edit?usp=sharing"",""สระบุรี!L650"")+IMPORTRANGE(""https://docs.google.com/spreadsheets/d/1j51vR6CYVGhABJpv6tkstgok82RLpXieLzW1yOY5rHw/edi"&amp;"t?usp=sharing"",""สิงห์บุรี!L650"")+IMPORTRANGE(""https://docs.google.com/spreadsheets/d/1H1EalTWKUSzO4Z1-1CwzoDUaVffgrThEBe2sl74kKG0/edit?usp=sharing"",""สุพรรณบุรี!L650"")+IMPORTRANGE(""https://docs.google.com/spreadsheets/d/1BmIruG_sIrJLYao_Pdr7zVArWsf"&amp;"oBt2692TMi6x_854/edit?usp=sharing"",""อ่างทอง!L650"")"),0)</f>
        <v>0</v>
      </c>
      <c r="M650" s="72">
        <f ca="1">IFERROR(__xludf.DUMMYFUNCTION("IMPORTRANGE(""https://docs.google.com/spreadsheets/d/13wPX838HrBrQMCywv1BsuMkt4PEKTChp52zj44s2izQ/edit?usp=sharing"",""กาญจนบุรี!M650"")+IMPORTRANGE(""https://docs.google.com/spreadsheets/d/1ddFKvqj1W1NEiWytbGlB1zMx_ykJDVtmfEQ-6-lIUBA/edit?usp=sharing"","&amp;"""จันทบุรี!M650"")+IMPORTRANGE(""https://docs.google.com/spreadsheets/d/1T1PQvRODqOBZk8BRht_U031fIS1beLA0Ub2CEytj2q0/edit?usp=sharing"",""ฉะเชิงเทรา!M650"")+IMPORTRANGE(""https://docs.google.com/spreadsheets/d/11tr1B-Bhyr79v2bkwVh5h_fR-PStkgjlZtkrZpYurG0/"&amp;"edit?usp=sharing"",""ชลบุรี!M650"")+IMPORTRANGE(""https://docs.google.com/spreadsheets/d/1hh-FVnSX0vozXhGluamEcS54Dw9_zqW0N7qJUWgJ0Sw/edit?usp=sharing"",""ชัยนาท!M650"")+IMPORTRANGE(""https://docs.google.com/spreadsheets/d/1jkqa6GXxSacMcY1eN8AHjMNJ_7dDXMJ"&amp;"VRLDlaFSOdPM/edit?usp=sharing"",""ตราด!M650"")+IMPORTRANGE(""https://docs.google.com/spreadsheets/d/18hSgUJ3VwClqi_qtULmmW3cLr0oe3OKaSYoKzdpTsYQ/edit?usp=sharing"",""นครนายก!M650"")+IMPORTRANGE(""https://docs.google.com/spreadsheets/d/1YTZo6WM2dQ6Ix6FSdnL"&amp;"5P7uVnVKu40sxZu975tgG10E/edit?usp=sharing"",""นครปฐม!M650"")+IMPORTRANGE(""https://docs.google.com/spreadsheets/d/1OYoGg4WDg5RIzwGeB10padOxJF9E_Vljuvvct_M7RDo/edit?usp=sharing"",""ปทุมธานี!M650"")+IMPORTRANGE(""https://docs.google.com/spreadsheets/d/1GbCI"&amp;"E4D4wk9FUozzqk7SxfDMxDVBwVmI5zcaVUSzKAc/edit?usp=sharing"",""ประจวบคีรีขันธ์!M650"")+IMPORTRANGE(""https://docs.google.com/spreadsheets/d/1vVf6wykvW_lAyu7Yo9L4hUTqHqIeP_qcVuxCtosJEbg/edit?usp=sharing"",""ปราจีนบุรี!M650"")+IMPORTRANGE(""https://docs.googl"&amp;"e.com/spreadsheets/d/1BIDqLLg5jk3v59G8NlR8rk5xfQDKne0sAvZHSj7TI6I/edit?usp=sharing"",""พระนครศรีอยุธยา!M650"")+IMPORTRANGE(""https://docs.google.com/spreadsheets/d/1YXvxf8Yu6_rV4hTBrwMqAcAnv6DfhUxh5emyM3CJp_w/edit?usp=sharing"",""เพชรบุรี!M650"")+IMPORTRA"&amp;"NGE(""https://docs.google.com/spreadsheets/d/19KBlQQs7uwvsao6t2n-KvW3Ax8J8uRRfZPq1zPbXgKc/edit?usp=sharing"",""ระยอง!M650"")+IMPORTRANGE(""https://docs.google.com/spreadsheets/d/1jQ6P4QcrGM89YfqcC_PxOHGCMq5ezhucwJd8ci-NHng/edit?usp=sharing"",""ราชบุรี!M65"&amp;"0"")+IMPORTRANGE(""https://docs.google.com/spreadsheets/d/1lufeA2cfFqM-elVq2hznhDzC6Pr7wkJ9ZG_sYNGCMCU/edit?usp=sharing"",""ลพบุรี!M650"")+IMPORTRANGE(""https://docs.google.com/spreadsheets/d/10oOiF7loTyfsTkbd4MpaIm0HQ9SwB7IYHdIUvt-U1Uc/edit?usp=sharing"""&amp;",""สระแก้ว!M650"")+IMPORTRANGE(""https://docs.google.com/spreadsheets/d/1xmPlrr1QbdSIKvl1dWUl9K4PjAfSL9oeMr_37QVzcxc/edit?usp=sharing"",""สระบุรี!M650"")+IMPORTRANGE(""https://docs.google.com/spreadsheets/d/1j51vR6CYVGhABJpv6tkstgok82RLpXieLzW1yOY5rHw/edi"&amp;"t?usp=sharing"",""สิงห์บุรี!M650"")+IMPORTRANGE(""https://docs.google.com/spreadsheets/d/1H1EalTWKUSzO4Z1-1CwzoDUaVffgrThEBe2sl74kKG0/edit?usp=sharing"",""สุพรรณบุรี!M650"")+IMPORTRANGE(""https://docs.google.com/spreadsheets/d/1BmIruG_sIrJLYao_Pdr7zVArWsf"&amp;"oBt2692TMi6x_854/edit?usp=sharing"",""อ่างทอง!M650"")"),0)</f>
        <v>0</v>
      </c>
      <c r="N650" s="72">
        <f ca="1">IFERROR(__xludf.DUMMYFUNCTION("IMPORTRANGE(""https://docs.google.com/spreadsheets/d/13wPX838HrBrQMCywv1BsuMkt4PEKTChp52zj44s2izQ/edit?usp=sharing"",""กาญจนบุรี!N650"")+IMPORTRANGE(""https://docs.google.com/spreadsheets/d/1ddFKvqj1W1NEiWytbGlB1zMx_ykJDVtmfEQ-6-lIUBA/edit?usp=sharing"","&amp;"""จันทบุรี!N650"")+IMPORTRANGE(""https://docs.google.com/spreadsheets/d/1T1PQvRODqOBZk8BRht_U031fIS1beLA0Ub2CEytj2q0/edit?usp=sharing"",""ฉะเชิงเทรา!N650"")+IMPORTRANGE(""https://docs.google.com/spreadsheets/d/11tr1B-Bhyr79v2bkwVh5h_fR-PStkgjlZtkrZpYurG0/"&amp;"edit?usp=sharing"",""ชลบุรี!N650"")+IMPORTRANGE(""https://docs.google.com/spreadsheets/d/1hh-FVnSX0vozXhGluamEcS54Dw9_zqW0N7qJUWgJ0Sw/edit?usp=sharing"",""ชัยนาท!N650"")+IMPORTRANGE(""https://docs.google.com/spreadsheets/d/1jkqa6GXxSacMcY1eN8AHjMNJ_7dDXMJ"&amp;"VRLDlaFSOdPM/edit?usp=sharing"",""ตราด!N650"")+IMPORTRANGE(""https://docs.google.com/spreadsheets/d/18hSgUJ3VwClqi_qtULmmW3cLr0oe3OKaSYoKzdpTsYQ/edit?usp=sharing"",""นครนายก!N650"")+IMPORTRANGE(""https://docs.google.com/spreadsheets/d/1YTZo6WM2dQ6Ix6FSdnL"&amp;"5P7uVnVKu40sxZu975tgG10E/edit?usp=sharing"",""นครปฐม!N650"")+IMPORTRANGE(""https://docs.google.com/spreadsheets/d/1OYoGg4WDg5RIzwGeB10padOxJF9E_Vljuvvct_M7RDo/edit?usp=sharing"",""ปทุมธานี!N650"")+IMPORTRANGE(""https://docs.google.com/spreadsheets/d/1GbCI"&amp;"E4D4wk9FUozzqk7SxfDMxDVBwVmI5zcaVUSzKAc/edit?usp=sharing"",""ประจวบคีรีขันธ์!N650"")+IMPORTRANGE(""https://docs.google.com/spreadsheets/d/1vVf6wykvW_lAyu7Yo9L4hUTqHqIeP_qcVuxCtosJEbg/edit?usp=sharing"",""ปราจีนบุรี!N650"")+IMPORTRANGE(""https://docs.googl"&amp;"e.com/spreadsheets/d/1BIDqLLg5jk3v59G8NlR8rk5xfQDKne0sAvZHSj7TI6I/edit?usp=sharing"",""พระนครศรีอยุธยา!N650"")+IMPORTRANGE(""https://docs.google.com/spreadsheets/d/1YXvxf8Yu6_rV4hTBrwMqAcAnv6DfhUxh5emyM3CJp_w/edit?usp=sharing"",""เพชรบุรี!N650"")+IMPORTRA"&amp;"NGE(""https://docs.google.com/spreadsheets/d/19KBlQQs7uwvsao6t2n-KvW3Ax8J8uRRfZPq1zPbXgKc/edit?usp=sharing"",""ระยอง!N650"")+IMPORTRANGE(""https://docs.google.com/spreadsheets/d/1jQ6P4QcrGM89YfqcC_PxOHGCMq5ezhucwJd8ci-NHng/edit?usp=sharing"",""ราชบุรี!N65"&amp;"0"")+IMPORTRANGE(""https://docs.google.com/spreadsheets/d/1lufeA2cfFqM-elVq2hznhDzC6Pr7wkJ9ZG_sYNGCMCU/edit?usp=sharing"",""ลพบุรี!N650"")+IMPORTRANGE(""https://docs.google.com/spreadsheets/d/10oOiF7loTyfsTkbd4MpaIm0HQ9SwB7IYHdIUvt-U1Uc/edit?usp=sharing"""&amp;",""สระแก้ว!N650"")+IMPORTRANGE(""https://docs.google.com/spreadsheets/d/1xmPlrr1QbdSIKvl1dWUl9K4PjAfSL9oeMr_37QVzcxc/edit?usp=sharing"",""สระบุรี!N650"")+IMPORTRANGE(""https://docs.google.com/spreadsheets/d/1j51vR6CYVGhABJpv6tkstgok82RLpXieLzW1yOY5rHw/edi"&amp;"t?usp=sharing"",""สิงห์บุรี!N650"")+IMPORTRANGE(""https://docs.google.com/spreadsheets/d/1H1EalTWKUSzO4Z1-1CwzoDUaVffgrThEBe2sl74kKG0/edit?usp=sharing"",""สุพรรณบุรี!N650"")+IMPORTRANGE(""https://docs.google.com/spreadsheets/d/1BmIruG_sIrJLYao_Pdr7zVArWsf"&amp;"oBt2692TMi6x_854/edit?usp=sharing"",""อ่างทอง!N650"")"),0)</f>
        <v>0</v>
      </c>
      <c r="O650" s="72">
        <f t="shared" ca="1" si="447"/>
        <v>0</v>
      </c>
      <c r="P650" s="72">
        <f t="shared" ca="1" si="448"/>
        <v>0</v>
      </c>
      <c r="Q650" s="71">
        <f ca="1">IFERROR(__xludf.DUMMYFUNCTION("IMPORTRANGE(""https://docs.google.com/spreadsheets/d/13wPX838HrBrQMCywv1BsuMkt4PEKTChp52zj44s2izQ/edit?usp=sharing"",""กาญจนบุรี!Q650"")+IMPORTRANGE(""https://docs.google.com/spreadsheets/d/1ddFKvqj1W1NEiWytbGlB1zMx_ykJDVtmfEQ-6-lIUBA/edit?usp=sharing"","&amp;"""จันทบุรี!Q650"")+IMPORTRANGE(""https://docs.google.com/spreadsheets/d/1T1PQvRODqOBZk8BRht_U031fIS1beLA0Ub2CEytj2q0/edit?usp=sharing"",""ฉะเชิงเทรา!Q650"")+IMPORTRANGE(""https://docs.google.com/spreadsheets/d/11tr1B-Bhyr79v2bkwVh5h_fR-PStkgjlZtkrZpYurG0/"&amp;"edit?usp=sharing"",""ชลบุรี!Q650"")+IMPORTRANGE(""https://docs.google.com/spreadsheets/d/1hh-FVnSX0vozXhGluamEcS54Dw9_zqW0N7qJUWgJ0Sw/edit?usp=sharing"",""ชัยนาท!Q650"")+IMPORTRANGE(""https://docs.google.com/spreadsheets/d/1jkqa6GXxSacMcY1eN8AHjMNJ_7dDXMJ"&amp;"VRLDlaFSOdPM/edit?usp=sharing"",""ตราด!Q650"")+IMPORTRANGE(""https://docs.google.com/spreadsheets/d/18hSgUJ3VwClqi_qtULmmW3cLr0oe3OKaSYoKzdpTsYQ/edit?usp=sharing"",""นครนายก!Q650"")+IMPORTRANGE(""https://docs.google.com/spreadsheets/d/1YTZo6WM2dQ6Ix6FSdnL"&amp;"5P7uVnVKu40sxZu975tgG10E/edit?usp=sharing"",""นครปฐม!Q650"")+IMPORTRANGE(""https://docs.google.com/spreadsheets/d/1OYoGg4WDg5RIzwGeB10padOxJF9E_Vljuvvct_M7RDo/edit?usp=sharing"",""ปทุมธานี!Q650"")+IMPORTRANGE(""https://docs.google.com/spreadsheets/d/1GbCI"&amp;"E4D4wk9FUozzqk7SxfDMxDVBwVmI5zcaVUSzKAc/edit?usp=sharing"",""ประจวบคีรีขันธ์!Q650"")+IMPORTRANGE(""https://docs.google.com/spreadsheets/d/1vVf6wykvW_lAyu7Yo9L4hUTqHqIeP_qcVuxCtosJEbg/edit?usp=sharing"",""ปราจีนบุรี!Q650"")+IMPORTRANGE(""https://docs.googl"&amp;"e.com/spreadsheets/d/1BIDqLLg5jk3v59G8NlR8rk5xfQDKne0sAvZHSj7TI6I/edit?usp=sharing"",""พระนครศรีอยุธยา!Q650"")+IMPORTRANGE(""https://docs.google.com/spreadsheets/d/1YXvxf8Yu6_rV4hTBrwMqAcAnv6DfhUxh5emyM3CJp_w/edit?usp=sharing"",""เพชรบุรี!Q650"")+IMPORTRA"&amp;"NGE(""https://docs.google.com/spreadsheets/d/19KBlQQs7uwvsao6t2n-KvW3Ax8J8uRRfZPq1zPbXgKc/edit?usp=sharing"",""ระยอง!Q650"")+IMPORTRANGE(""https://docs.google.com/spreadsheets/d/1jQ6P4QcrGM89YfqcC_PxOHGCMq5ezhucwJd8ci-NHng/edit?usp=sharing"",""ราชบุรี!Q65"&amp;"0"")+IMPORTRANGE(""https://docs.google.com/spreadsheets/d/1lufeA2cfFqM-elVq2hznhDzC6Pr7wkJ9ZG_sYNGCMCU/edit?usp=sharing"",""ลพบุรี!Q650"")+IMPORTRANGE(""https://docs.google.com/spreadsheets/d/10oOiF7loTyfsTkbd4MpaIm0HQ9SwB7IYHdIUvt-U1Uc/edit?usp=sharing"""&amp;",""สระแก้ว!Q650"")+IMPORTRANGE(""https://docs.google.com/spreadsheets/d/1xmPlrr1QbdSIKvl1dWUl9K4PjAfSL9oeMr_37QVzcxc/edit?usp=sharing"",""สระบุรี!Q650"")+IMPORTRANGE(""https://docs.google.com/spreadsheets/d/1j51vR6CYVGhABJpv6tkstgok82RLpXieLzW1yOY5rHw/edi"&amp;"t?usp=sharing"",""สิงห์บุรี!Q650"")+IMPORTRANGE(""https://docs.google.com/spreadsheets/d/1H1EalTWKUSzO4Z1-1CwzoDUaVffgrThEBe2sl74kKG0/edit?usp=sharing"",""สุพรรณบุรี!Q650"")+IMPORTRANGE(""https://docs.google.com/spreadsheets/d/1BmIruG_sIrJLYao_Pdr7zVArWsf"&amp;"oBt2692TMi6x_854/edit?usp=sharing"",""อ่างทอง!Q650"")"),0)</f>
        <v>0</v>
      </c>
      <c r="R650" s="72">
        <f ca="1">IFERROR(__xludf.DUMMYFUNCTION("IMPORTRANGE(""https://docs.google.com/spreadsheets/d/13wPX838HrBrQMCywv1BsuMkt4PEKTChp52zj44s2izQ/edit?usp=sharing"",""กาญจนบุรี!R650"")+IMPORTRANGE(""https://docs.google.com/spreadsheets/d/1ddFKvqj1W1NEiWytbGlB1zMx_ykJDVtmfEQ-6-lIUBA/edit?usp=sharing"","&amp;"""จันทบุรี!R650"")+IMPORTRANGE(""https://docs.google.com/spreadsheets/d/1T1PQvRODqOBZk8BRht_U031fIS1beLA0Ub2CEytj2q0/edit?usp=sharing"",""ฉะเชิงเทรา!R650"")+IMPORTRANGE(""https://docs.google.com/spreadsheets/d/11tr1B-Bhyr79v2bkwVh5h_fR-PStkgjlZtkrZpYurG0/"&amp;"edit?usp=sharing"",""ชลบุรี!R650"")+IMPORTRANGE(""https://docs.google.com/spreadsheets/d/1hh-FVnSX0vozXhGluamEcS54Dw9_zqW0N7qJUWgJ0Sw/edit?usp=sharing"",""ชัยนาท!R650"")+IMPORTRANGE(""https://docs.google.com/spreadsheets/d/1jkqa6GXxSacMcY1eN8AHjMNJ_7dDXMJ"&amp;"VRLDlaFSOdPM/edit?usp=sharing"",""ตราด!R650"")+IMPORTRANGE(""https://docs.google.com/spreadsheets/d/18hSgUJ3VwClqi_qtULmmW3cLr0oe3OKaSYoKzdpTsYQ/edit?usp=sharing"",""นครนายก!R650"")+IMPORTRANGE(""https://docs.google.com/spreadsheets/d/1YTZo6WM2dQ6Ix6FSdnL"&amp;"5P7uVnVKu40sxZu975tgG10E/edit?usp=sharing"",""นครปฐม!R650"")+IMPORTRANGE(""https://docs.google.com/spreadsheets/d/1OYoGg4WDg5RIzwGeB10padOxJF9E_Vljuvvct_M7RDo/edit?usp=sharing"",""ปทุมธานี!R650"")+IMPORTRANGE(""https://docs.google.com/spreadsheets/d/1GbCI"&amp;"E4D4wk9FUozzqk7SxfDMxDVBwVmI5zcaVUSzKAc/edit?usp=sharing"",""ประจวบคีรีขันธ์!R650"")+IMPORTRANGE(""https://docs.google.com/spreadsheets/d/1vVf6wykvW_lAyu7Yo9L4hUTqHqIeP_qcVuxCtosJEbg/edit?usp=sharing"",""ปราจีนบุรี!R650"")+IMPORTRANGE(""https://docs.googl"&amp;"e.com/spreadsheets/d/1BIDqLLg5jk3v59G8NlR8rk5xfQDKne0sAvZHSj7TI6I/edit?usp=sharing"",""พระนครศรีอยุธยา!R650"")+IMPORTRANGE(""https://docs.google.com/spreadsheets/d/1YXvxf8Yu6_rV4hTBrwMqAcAnv6DfhUxh5emyM3CJp_w/edit?usp=sharing"",""เพชรบุรี!R650"")+IMPORTRA"&amp;"NGE(""https://docs.google.com/spreadsheets/d/19KBlQQs7uwvsao6t2n-KvW3Ax8J8uRRfZPq1zPbXgKc/edit?usp=sharing"",""ระยอง!R650"")+IMPORTRANGE(""https://docs.google.com/spreadsheets/d/1jQ6P4QcrGM89YfqcC_PxOHGCMq5ezhucwJd8ci-NHng/edit?usp=sharing"",""ราชบุรี!R65"&amp;"0"")+IMPORTRANGE(""https://docs.google.com/spreadsheets/d/1lufeA2cfFqM-elVq2hznhDzC6Pr7wkJ9ZG_sYNGCMCU/edit?usp=sharing"",""ลพบุรี!R650"")+IMPORTRANGE(""https://docs.google.com/spreadsheets/d/10oOiF7loTyfsTkbd4MpaIm0HQ9SwB7IYHdIUvt-U1Uc/edit?usp=sharing"""&amp;",""สระแก้ว!R650"")+IMPORTRANGE(""https://docs.google.com/spreadsheets/d/1xmPlrr1QbdSIKvl1dWUl9K4PjAfSL9oeMr_37QVzcxc/edit?usp=sharing"",""สระบุรี!R650"")+IMPORTRANGE(""https://docs.google.com/spreadsheets/d/1j51vR6CYVGhABJpv6tkstgok82RLpXieLzW1yOY5rHw/edi"&amp;"t?usp=sharing"",""สิงห์บุรี!R650"")+IMPORTRANGE(""https://docs.google.com/spreadsheets/d/1H1EalTWKUSzO4Z1-1CwzoDUaVffgrThEBe2sl74kKG0/edit?usp=sharing"",""สุพรรณบุรี!R650"")+IMPORTRANGE(""https://docs.google.com/spreadsheets/d/1BmIruG_sIrJLYao_Pdr7zVArWsf"&amp;"oBt2692TMi6x_854/edit?usp=sharing"",""อ่างทอง!R650"")"),0)</f>
        <v>0</v>
      </c>
      <c r="S650" s="72">
        <f ca="1">IFERROR(__xludf.DUMMYFUNCTION("IMPORTRANGE(""https://docs.google.com/spreadsheets/d/13wPX838HrBrQMCywv1BsuMkt4PEKTChp52zj44s2izQ/edit?usp=sharing"",""กาญจนบุรี!S650"")+IMPORTRANGE(""https://docs.google.com/spreadsheets/d/1ddFKvqj1W1NEiWytbGlB1zMx_ykJDVtmfEQ-6-lIUBA/edit?usp=sharing"","&amp;"""จันทบุรี!S650"")+IMPORTRANGE(""https://docs.google.com/spreadsheets/d/1T1PQvRODqOBZk8BRht_U031fIS1beLA0Ub2CEytj2q0/edit?usp=sharing"",""ฉะเชิงเทรา!S650"")+IMPORTRANGE(""https://docs.google.com/spreadsheets/d/11tr1B-Bhyr79v2bkwVh5h_fR-PStkgjlZtkrZpYurG0/"&amp;"edit?usp=sharing"",""ชลบุรี!S650"")+IMPORTRANGE(""https://docs.google.com/spreadsheets/d/1hh-FVnSX0vozXhGluamEcS54Dw9_zqW0N7qJUWgJ0Sw/edit?usp=sharing"",""ชัยนาท!S650"")+IMPORTRANGE(""https://docs.google.com/spreadsheets/d/1jkqa6GXxSacMcY1eN8AHjMNJ_7dDXMJ"&amp;"VRLDlaFSOdPM/edit?usp=sharing"",""ตราด!S650"")+IMPORTRANGE(""https://docs.google.com/spreadsheets/d/18hSgUJ3VwClqi_qtULmmW3cLr0oe3OKaSYoKzdpTsYQ/edit?usp=sharing"",""นครนายก!S650"")+IMPORTRANGE(""https://docs.google.com/spreadsheets/d/1YTZo6WM2dQ6Ix6FSdnL"&amp;"5P7uVnVKu40sxZu975tgG10E/edit?usp=sharing"",""นครปฐม!S650"")+IMPORTRANGE(""https://docs.google.com/spreadsheets/d/1OYoGg4WDg5RIzwGeB10padOxJF9E_Vljuvvct_M7RDo/edit?usp=sharing"",""ปทุมธานี!S650"")+IMPORTRANGE(""https://docs.google.com/spreadsheets/d/1GbCI"&amp;"E4D4wk9FUozzqk7SxfDMxDVBwVmI5zcaVUSzKAc/edit?usp=sharing"",""ประจวบคีรีขันธ์!S650"")+IMPORTRANGE(""https://docs.google.com/spreadsheets/d/1vVf6wykvW_lAyu7Yo9L4hUTqHqIeP_qcVuxCtosJEbg/edit?usp=sharing"",""ปราจีนบุรี!S650"")+IMPORTRANGE(""https://docs.googl"&amp;"e.com/spreadsheets/d/1BIDqLLg5jk3v59G8NlR8rk5xfQDKne0sAvZHSj7TI6I/edit?usp=sharing"",""พระนครศรีอยุธยา!S650"")+IMPORTRANGE(""https://docs.google.com/spreadsheets/d/1YXvxf8Yu6_rV4hTBrwMqAcAnv6DfhUxh5emyM3CJp_w/edit?usp=sharing"",""เพชรบุรี!S650"")+IMPORTRA"&amp;"NGE(""https://docs.google.com/spreadsheets/d/19KBlQQs7uwvsao6t2n-KvW3Ax8J8uRRfZPq1zPbXgKc/edit?usp=sharing"",""ระยอง!S650"")+IMPORTRANGE(""https://docs.google.com/spreadsheets/d/1jQ6P4QcrGM89YfqcC_PxOHGCMq5ezhucwJd8ci-NHng/edit?usp=sharing"",""ราชบุรี!S65"&amp;"0"")+IMPORTRANGE(""https://docs.google.com/spreadsheets/d/1lufeA2cfFqM-elVq2hznhDzC6Pr7wkJ9ZG_sYNGCMCU/edit?usp=sharing"",""ลพบุรี!S650"")+IMPORTRANGE(""https://docs.google.com/spreadsheets/d/10oOiF7loTyfsTkbd4MpaIm0HQ9SwB7IYHdIUvt-U1Uc/edit?usp=sharing"""&amp;",""สระแก้ว!S650"")+IMPORTRANGE(""https://docs.google.com/spreadsheets/d/1xmPlrr1QbdSIKvl1dWUl9K4PjAfSL9oeMr_37QVzcxc/edit?usp=sharing"",""สระบุรี!S650"")+IMPORTRANGE(""https://docs.google.com/spreadsheets/d/1j51vR6CYVGhABJpv6tkstgok82RLpXieLzW1yOY5rHw/edi"&amp;"t?usp=sharing"",""สิงห์บุรี!S650"")+IMPORTRANGE(""https://docs.google.com/spreadsheets/d/1H1EalTWKUSzO4Z1-1CwzoDUaVffgrThEBe2sl74kKG0/edit?usp=sharing"",""สุพรรณบุรี!S650"")+IMPORTRANGE(""https://docs.google.com/spreadsheets/d/1BmIruG_sIrJLYao_Pdr7zVArWsf"&amp;"oBt2692TMi6x_854/edit?usp=sharing"",""อ่างทอง!S650"")"),0)</f>
        <v>0</v>
      </c>
      <c r="T650" s="130">
        <f t="shared" ca="1" si="450"/>
        <v>0</v>
      </c>
      <c r="U650" s="130">
        <f t="shared" ca="1" si="451"/>
        <v>0</v>
      </c>
    </row>
    <row r="651" spans="1:21" ht="19.5" x14ac:dyDescent="0.3">
      <c r="A651" s="274"/>
      <c r="B651" s="275"/>
      <c r="C651" s="567" t="s">
        <v>18</v>
      </c>
      <c r="D651" s="728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13wPX838HrBrQMCywv1BsuMkt4PEKTChp52zj44s2izQ/edit?usp=sharing"",""กาญจนบุรี!I652"")+IMPORTRANGE(""https://docs.google.com/spreadsheets/d/1ddFKvqj1W1NEiWytbGlB1zMx_ykJDVtmfEQ-6-lIUBA/edit?usp=sharing"","&amp;"""จันทบุรี!I652"")+IMPORTRANGE(""https://docs.google.com/spreadsheets/d/1T1PQvRODqOBZk8BRht_U031fIS1beLA0Ub2CEytj2q0/edit?usp=sharing"",""ฉะเชิงเทรา!I652"")+IMPORTRANGE(""https://docs.google.com/spreadsheets/d/11tr1B-Bhyr79v2bkwVh5h_fR-PStkgjlZtkrZpYurG0/"&amp;"edit?usp=sharing"",""ชลบุรี!I652"")+IMPORTRANGE(""https://docs.google.com/spreadsheets/d/1hh-FVnSX0vozXhGluamEcS54Dw9_zqW0N7qJUWgJ0Sw/edit?usp=sharing"",""ชัยนาท!I652"")+IMPORTRANGE(""https://docs.google.com/spreadsheets/d/1jkqa6GXxSacMcY1eN8AHjMNJ_7dDXMJ"&amp;"VRLDlaFSOdPM/edit?usp=sharing"",""ตราด!I652"")+IMPORTRANGE(""https://docs.google.com/spreadsheets/d/18hSgUJ3VwClqi_qtULmmW3cLr0oe3OKaSYoKzdpTsYQ/edit?usp=sharing"",""นครนายก!I652"")+IMPORTRANGE(""https://docs.google.com/spreadsheets/d/1YTZo6WM2dQ6Ix6FSdnL"&amp;"5P7uVnVKu40sxZu975tgG10E/edit?usp=sharing"",""นครปฐม!I652"")+IMPORTRANGE(""https://docs.google.com/spreadsheets/d/1OYoGg4WDg5RIzwGeB10padOxJF9E_Vljuvvct_M7RDo/edit?usp=sharing"",""ปทุมธานี!I652"")+IMPORTRANGE(""https://docs.google.com/spreadsheets/d/1GbCI"&amp;"E4D4wk9FUozzqk7SxfDMxDVBwVmI5zcaVUSzKAc/edit?usp=sharing"",""ประจวบคีรีขันธ์!I652"")+IMPORTRANGE(""https://docs.google.com/spreadsheets/d/1vVf6wykvW_lAyu7Yo9L4hUTqHqIeP_qcVuxCtosJEbg/edit?usp=sharing"",""ปราจีนบุรี!I652"")+IMPORTRANGE(""https://docs.googl"&amp;"e.com/spreadsheets/d/1BIDqLLg5jk3v59G8NlR8rk5xfQDKne0sAvZHSj7TI6I/edit?usp=sharing"",""พระนครศรีอยุธยา!I652"")+IMPORTRANGE(""https://docs.google.com/spreadsheets/d/1YXvxf8Yu6_rV4hTBrwMqAcAnv6DfhUxh5emyM3CJp_w/edit?usp=sharing"",""เพชรบุรี!I652"")+IMPORTRA"&amp;"NGE(""https://docs.google.com/spreadsheets/d/19KBlQQs7uwvsao6t2n-KvW3Ax8J8uRRfZPq1zPbXgKc/edit?usp=sharing"",""ระยอง!I652"")+IMPORTRANGE(""https://docs.google.com/spreadsheets/d/1jQ6P4QcrGM89YfqcC_PxOHGCMq5ezhucwJd8ci-NHng/edit?usp=sharing"",""ราชบุรี!I65"&amp;"2"")+IMPORTRANGE(""https://docs.google.com/spreadsheets/d/1lufeA2cfFqM-elVq2hznhDzC6Pr7wkJ9ZG_sYNGCMCU/edit?usp=sharing"",""ลพบุรี!I652"")+IMPORTRANGE(""https://docs.google.com/spreadsheets/d/10oOiF7loTyfsTkbd4MpaIm0HQ9SwB7IYHdIUvt-U1Uc/edit?usp=sharing"""&amp;",""สระแก้ว!I652"")+IMPORTRANGE(""https://docs.google.com/spreadsheets/d/1xmPlrr1QbdSIKvl1dWUl9K4PjAfSL9oeMr_37QVzcxc/edit?usp=sharing"",""สระบุรี!I652"")+IMPORTRANGE(""https://docs.google.com/spreadsheets/d/1j51vR6CYVGhABJpv6tkstgok82RLpXieLzW1yOY5rHw/edi"&amp;"t?usp=sharing"",""สิงห์บุรี!I652"")+IMPORTRANGE(""https://docs.google.com/spreadsheets/d/1H1EalTWKUSzO4Z1-1CwzoDUaVffgrThEBe2sl74kKG0/edit?usp=sharing"",""สุพรรณบุรี!I652"")+IMPORTRANGE(""https://docs.google.com/spreadsheets/d/1BmIruG_sIrJLYao_Pdr7zVArWsf"&amp;"oBt2692TMi6x_854/edit?usp=sharing"",""อ่างทอง!I652"")"),21)</f>
        <v>21</v>
      </c>
      <c r="J652" s="291">
        <f ca="1">IFERROR(__xludf.DUMMYFUNCTION("IMPORTRANGE(""https://docs.google.com/spreadsheets/d/13wPX838HrBrQMCywv1BsuMkt4PEKTChp52zj44s2izQ/edit?usp=sharing"",""กาญจนบุรี!J652"")+IMPORTRANGE(""https://docs.google.com/spreadsheets/d/1ddFKvqj1W1NEiWytbGlB1zMx_ykJDVtmfEQ-6-lIUBA/edit?usp=sharing"","&amp;"""จันทบุรี!J652"")+IMPORTRANGE(""https://docs.google.com/spreadsheets/d/1T1PQvRODqOBZk8BRht_U031fIS1beLA0Ub2CEytj2q0/edit?usp=sharing"",""ฉะเชิงเทรา!J652"")+IMPORTRANGE(""https://docs.google.com/spreadsheets/d/11tr1B-Bhyr79v2bkwVh5h_fR-PStkgjlZtkrZpYurG0/"&amp;"edit?usp=sharing"",""ชลบุรี!J652"")+IMPORTRANGE(""https://docs.google.com/spreadsheets/d/1hh-FVnSX0vozXhGluamEcS54Dw9_zqW0N7qJUWgJ0Sw/edit?usp=sharing"",""ชัยนาท!J652"")+IMPORTRANGE(""https://docs.google.com/spreadsheets/d/1jkqa6GXxSacMcY1eN8AHjMNJ_7dDXMJ"&amp;"VRLDlaFSOdPM/edit?usp=sharing"",""ตราด!J652"")+IMPORTRANGE(""https://docs.google.com/spreadsheets/d/18hSgUJ3VwClqi_qtULmmW3cLr0oe3OKaSYoKzdpTsYQ/edit?usp=sharing"",""นครนายก!J652"")+IMPORTRANGE(""https://docs.google.com/spreadsheets/d/1YTZo6WM2dQ6Ix6FSdnL"&amp;"5P7uVnVKu40sxZu975tgG10E/edit?usp=sharing"",""นครปฐม!J652"")+IMPORTRANGE(""https://docs.google.com/spreadsheets/d/1OYoGg4WDg5RIzwGeB10padOxJF9E_Vljuvvct_M7RDo/edit?usp=sharing"",""ปทุมธานี!J652"")+IMPORTRANGE(""https://docs.google.com/spreadsheets/d/1GbCI"&amp;"E4D4wk9FUozzqk7SxfDMxDVBwVmI5zcaVUSzKAc/edit?usp=sharing"",""ประจวบคีรีขันธ์!J652"")+IMPORTRANGE(""https://docs.google.com/spreadsheets/d/1vVf6wykvW_lAyu7Yo9L4hUTqHqIeP_qcVuxCtosJEbg/edit?usp=sharing"",""ปราจีนบุรี!J652"")+IMPORTRANGE(""https://docs.googl"&amp;"e.com/spreadsheets/d/1BIDqLLg5jk3v59G8NlR8rk5xfQDKne0sAvZHSj7TI6I/edit?usp=sharing"",""พระนครศรีอยุธยา!J652"")+IMPORTRANGE(""https://docs.google.com/spreadsheets/d/1YXvxf8Yu6_rV4hTBrwMqAcAnv6DfhUxh5emyM3CJp_w/edit?usp=sharing"",""เพชรบุรี!J652"")+IMPORTRA"&amp;"NGE(""https://docs.google.com/spreadsheets/d/19KBlQQs7uwvsao6t2n-KvW3Ax8J8uRRfZPq1zPbXgKc/edit?usp=sharing"",""ระยอง!J652"")+IMPORTRANGE(""https://docs.google.com/spreadsheets/d/1jQ6P4QcrGM89YfqcC_PxOHGCMq5ezhucwJd8ci-NHng/edit?usp=sharing"",""ราชบุรี!J65"&amp;"2"")+IMPORTRANGE(""https://docs.google.com/spreadsheets/d/1lufeA2cfFqM-elVq2hznhDzC6Pr7wkJ9ZG_sYNGCMCU/edit?usp=sharing"",""ลพบุรี!J652"")+IMPORTRANGE(""https://docs.google.com/spreadsheets/d/10oOiF7loTyfsTkbd4MpaIm0HQ9SwB7IYHdIUvt-U1Uc/edit?usp=sharing"""&amp;",""สระแก้ว!J652"")+IMPORTRANGE(""https://docs.google.com/spreadsheets/d/1xmPlrr1QbdSIKvl1dWUl9K4PjAfSL9oeMr_37QVzcxc/edit?usp=sharing"",""สระบุรี!J652"")+IMPORTRANGE(""https://docs.google.com/spreadsheets/d/1j51vR6CYVGhABJpv6tkstgok82RLpXieLzW1yOY5rHw/edi"&amp;"t?usp=sharing"",""สิงห์บุรี!J652"")+IMPORTRANGE(""https://docs.google.com/spreadsheets/d/1H1EalTWKUSzO4Z1-1CwzoDUaVffgrThEBe2sl74kKG0/edit?usp=sharing"",""สุพรรณบุรี!J652"")+IMPORTRANGE(""https://docs.google.com/spreadsheets/d/1BmIruG_sIrJLYao_Pdr7zVArWsf"&amp;"oBt2692TMi6x_854/edit?usp=sharing"",""อ่างทอง!J652"")"),73.3)</f>
        <v>73.3</v>
      </c>
      <c r="K652" s="72">
        <f t="shared" ref="K652:K654" ca="1" si="460">IF(I652&gt;0,J652*100/I652,0)</f>
        <v>349.04761904761904</v>
      </c>
      <c r="L652" s="85"/>
      <c r="M652" s="85"/>
      <c r="N652" s="730"/>
      <c r="O652" s="85"/>
      <c r="P652" s="85"/>
      <c r="Q652" s="84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13wPX838HrBrQMCywv1BsuMkt4PEKTChp52zj44s2izQ/edit?usp=sharing"",""กาญจนบุรี!I653"")+IMPORTRANGE(""https://docs.google.com/spreadsheets/d/1ddFKvqj1W1NEiWytbGlB1zMx_ykJDVtmfEQ-6-lIUBA/edit?usp=sharing"","&amp;"""จันทบุรี!I653"")+IMPORTRANGE(""https://docs.google.com/spreadsheets/d/1T1PQvRODqOBZk8BRht_U031fIS1beLA0Ub2CEytj2q0/edit?usp=sharing"",""ฉะเชิงเทรา!I653"")+IMPORTRANGE(""https://docs.google.com/spreadsheets/d/11tr1B-Bhyr79v2bkwVh5h_fR-PStkgjlZtkrZpYurG0/"&amp;"edit?usp=sharing"",""ชลบุรี!I653"")+IMPORTRANGE(""https://docs.google.com/spreadsheets/d/1hh-FVnSX0vozXhGluamEcS54Dw9_zqW0N7qJUWgJ0Sw/edit?usp=sharing"",""ชัยนาท!I653"")+IMPORTRANGE(""https://docs.google.com/spreadsheets/d/1jkqa6GXxSacMcY1eN8AHjMNJ_7dDXMJ"&amp;"VRLDlaFSOdPM/edit?usp=sharing"",""ตราด!I653"")+IMPORTRANGE(""https://docs.google.com/spreadsheets/d/18hSgUJ3VwClqi_qtULmmW3cLr0oe3OKaSYoKzdpTsYQ/edit?usp=sharing"",""นครนายก!I653"")+IMPORTRANGE(""https://docs.google.com/spreadsheets/d/1YTZo6WM2dQ6Ix6FSdnL"&amp;"5P7uVnVKu40sxZu975tgG10E/edit?usp=sharing"",""นครปฐม!I653"")+IMPORTRANGE(""https://docs.google.com/spreadsheets/d/1OYoGg4WDg5RIzwGeB10padOxJF9E_Vljuvvct_M7RDo/edit?usp=sharing"",""ปทุมธานี!I653"")+IMPORTRANGE(""https://docs.google.com/spreadsheets/d/1GbCI"&amp;"E4D4wk9FUozzqk7SxfDMxDVBwVmI5zcaVUSzKAc/edit?usp=sharing"",""ประจวบคีรีขันธ์!I653"")+IMPORTRANGE(""https://docs.google.com/spreadsheets/d/1vVf6wykvW_lAyu7Yo9L4hUTqHqIeP_qcVuxCtosJEbg/edit?usp=sharing"",""ปราจีนบุรี!I653"")+IMPORTRANGE(""https://docs.googl"&amp;"e.com/spreadsheets/d/1BIDqLLg5jk3v59G8NlR8rk5xfQDKne0sAvZHSj7TI6I/edit?usp=sharing"",""พระนครศรีอยุธยา!I653"")+IMPORTRANGE(""https://docs.google.com/spreadsheets/d/1YXvxf8Yu6_rV4hTBrwMqAcAnv6DfhUxh5emyM3CJp_w/edit?usp=sharing"",""เพชรบุรี!I653"")+IMPORTRA"&amp;"NGE(""https://docs.google.com/spreadsheets/d/19KBlQQs7uwvsao6t2n-KvW3Ax8J8uRRfZPq1zPbXgKc/edit?usp=sharing"",""ระยอง!I653"")+IMPORTRANGE(""https://docs.google.com/spreadsheets/d/1jQ6P4QcrGM89YfqcC_PxOHGCMq5ezhucwJd8ci-NHng/edit?usp=sharing"",""ราชบุรี!I65"&amp;"3"")+IMPORTRANGE(""https://docs.google.com/spreadsheets/d/1lufeA2cfFqM-elVq2hznhDzC6Pr7wkJ9ZG_sYNGCMCU/edit?usp=sharing"",""ลพบุรี!I653"")+IMPORTRANGE(""https://docs.google.com/spreadsheets/d/10oOiF7loTyfsTkbd4MpaIm0HQ9SwB7IYHdIUvt-U1Uc/edit?usp=sharing"""&amp;",""สระแก้ว!I653"")+IMPORTRANGE(""https://docs.google.com/spreadsheets/d/1xmPlrr1QbdSIKvl1dWUl9K4PjAfSL9oeMr_37QVzcxc/edit?usp=sharing"",""สระบุรี!I653"")+IMPORTRANGE(""https://docs.google.com/spreadsheets/d/1j51vR6CYVGhABJpv6tkstgok82RLpXieLzW1yOY5rHw/edi"&amp;"t?usp=sharing"",""สิงห์บุรี!I653"")+IMPORTRANGE(""https://docs.google.com/spreadsheets/d/1H1EalTWKUSzO4Z1-1CwzoDUaVffgrThEBe2sl74kKG0/edit?usp=sharing"",""สุพรรณบุรี!I653"")+IMPORTRANGE(""https://docs.google.com/spreadsheets/d/1BmIruG_sIrJLYao_Pdr7zVArWsf"&amp;"oBt2692TMi6x_854/edit?usp=sharing"",""อ่างทอง!I653"")"),122)</f>
        <v>122</v>
      </c>
      <c r="J653" s="291">
        <f ca="1">IFERROR(__xludf.DUMMYFUNCTION("IMPORTRANGE(""https://docs.google.com/spreadsheets/d/13wPX838HrBrQMCywv1BsuMkt4PEKTChp52zj44s2izQ/edit?usp=sharing"",""กาญจนบุรี!J653"")+IMPORTRANGE(""https://docs.google.com/spreadsheets/d/1ddFKvqj1W1NEiWytbGlB1zMx_ykJDVtmfEQ-6-lIUBA/edit?usp=sharing"","&amp;"""จันทบุรี!J653"")+IMPORTRANGE(""https://docs.google.com/spreadsheets/d/1T1PQvRODqOBZk8BRht_U031fIS1beLA0Ub2CEytj2q0/edit?usp=sharing"",""ฉะเชิงเทรา!J653"")+IMPORTRANGE(""https://docs.google.com/spreadsheets/d/11tr1B-Bhyr79v2bkwVh5h_fR-PStkgjlZtkrZpYurG0/"&amp;"edit?usp=sharing"",""ชลบุรี!J653"")+IMPORTRANGE(""https://docs.google.com/spreadsheets/d/1hh-FVnSX0vozXhGluamEcS54Dw9_zqW0N7qJUWgJ0Sw/edit?usp=sharing"",""ชัยนาท!J653"")+IMPORTRANGE(""https://docs.google.com/spreadsheets/d/1jkqa6GXxSacMcY1eN8AHjMNJ_7dDXMJ"&amp;"VRLDlaFSOdPM/edit?usp=sharing"",""ตราด!J653"")+IMPORTRANGE(""https://docs.google.com/spreadsheets/d/18hSgUJ3VwClqi_qtULmmW3cLr0oe3OKaSYoKzdpTsYQ/edit?usp=sharing"",""นครนายก!J653"")+IMPORTRANGE(""https://docs.google.com/spreadsheets/d/1YTZo6WM2dQ6Ix6FSdnL"&amp;"5P7uVnVKu40sxZu975tgG10E/edit?usp=sharing"",""นครปฐม!J653"")+IMPORTRANGE(""https://docs.google.com/spreadsheets/d/1OYoGg4WDg5RIzwGeB10padOxJF9E_Vljuvvct_M7RDo/edit?usp=sharing"",""ปทุมธานี!J653"")+IMPORTRANGE(""https://docs.google.com/spreadsheets/d/1GbCI"&amp;"E4D4wk9FUozzqk7SxfDMxDVBwVmI5zcaVUSzKAc/edit?usp=sharing"",""ประจวบคีรีขันธ์!J653"")+IMPORTRANGE(""https://docs.google.com/spreadsheets/d/1vVf6wykvW_lAyu7Yo9L4hUTqHqIeP_qcVuxCtosJEbg/edit?usp=sharing"",""ปราจีนบุรี!J653"")+IMPORTRANGE(""https://docs.googl"&amp;"e.com/spreadsheets/d/1BIDqLLg5jk3v59G8NlR8rk5xfQDKne0sAvZHSj7TI6I/edit?usp=sharing"",""พระนครศรีอยุธยา!J653"")+IMPORTRANGE(""https://docs.google.com/spreadsheets/d/1YXvxf8Yu6_rV4hTBrwMqAcAnv6DfhUxh5emyM3CJp_w/edit?usp=sharing"",""เพชรบุรี!J653"")+IMPORTRA"&amp;"NGE(""https://docs.google.com/spreadsheets/d/19KBlQQs7uwvsao6t2n-KvW3Ax8J8uRRfZPq1zPbXgKc/edit?usp=sharing"",""ระยอง!J653"")+IMPORTRANGE(""https://docs.google.com/spreadsheets/d/1jQ6P4QcrGM89YfqcC_PxOHGCMq5ezhucwJd8ci-NHng/edit?usp=sharing"",""ราชบุรี!J65"&amp;"3"")+IMPORTRANGE(""https://docs.google.com/spreadsheets/d/1lufeA2cfFqM-elVq2hznhDzC6Pr7wkJ9ZG_sYNGCMCU/edit?usp=sharing"",""ลพบุรี!J653"")+IMPORTRANGE(""https://docs.google.com/spreadsheets/d/10oOiF7loTyfsTkbd4MpaIm0HQ9SwB7IYHdIUvt-U1Uc/edit?usp=sharing"""&amp;",""สระแก้ว!J653"")+IMPORTRANGE(""https://docs.google.com/spreadsheets/d/1xmPlrr1QbdSIKvl1dWUl9K4PjAfSL9oeMr_37QVzcxc/edit?usp=sharing"",""สระบุรี!J653"")+IMPORTRANGE(""https://docs.google.com/spreadsheets/d/1j51vR6CYVGhABJpv6tkstgok82RLpXieLzW1yOY5rHw/edi"&amp;"t?usp=sharing"",""สิงห์บุรี!J653"")+IMPORTRANGE(""https://docs.google.com/spreadsheets/d/1H1EalTWKUSzO4Z1-1CwzoDUaVffgrThEBe2sl74kKG0/edit?usp=sharing"",""สุพรรณบุรี!J653"")+IMPORTRANGE(""https://docs.google.com/spreadsheets/d/1BmIruG_sIrJLYao_Pdr7zVArWsf"&amp;"oBt2692TMi6x_854/edit?usp=sharing"",""อ่างทอง!J653"")"),44)</f>
        <v>44</v>
      </c>
      <c r="K653" s="72">
        <f t="shared" ca="1" si="460"/>
        <v>36.065573770491802</v>
      </c>
      <c r="L653" s="85"/>
      <c r="M653" s="85"/>
      <c r="N653" s="730"/>
      <c r="O653" s="85"/>
      <c r="P653" s="85"/>
      <c r="Q653" s="84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13wPX838HrBrQMCywv1BsuMkt4PEKTChp52zj44s2izQ/edit?usp=sharing"",""กาญจนบุรี!I654"")+IMPORTRANGE(""https://docs.google.com/spreadsheets/d/1ddFKvqj1W1NEiWytbGlB1zMx_ykJDVtmfEQ-6-lIUBA/edit?usp=sharing"","&amp;"""จันทบุรี!I654"")+IMPORTRANGE(""https://docs.google.com/spreadsheets/d/1T1PQvRODqOBZk8BRht_U031fIS1beLA0Ub2CEytj2q0/edit?usp=sharing"",""ฉะเชิงเทรา!I654"")+IMPORTRANGE(""https://docs.google.com/spreadsheets/d/11tr1B-Bhyr79v2bkwVh5h_fR-PStkgjlZtkrZpYurG0/"&amp;"edit?usp=sharing"",""ชลบุรี!I654"")+IMPORTRANGE(""https://docs.google.com/spreadsheets/d/1hh-FVnSX0vozXhGluamEcS54Dw9_zqW0N7qJUWgJ0Sw/edit?usp=sharing"",""ชัยนาท!I654"")+IMPORTRANGE(""https://docs.google.com/spreadsheets/d/1jkqa6GXxSacMcY1eN8AHjMNJ_7dDXMJ"&amp;"VRLDlaFSOdPM/edit?usp=sharing"",""ตราด!I654"")+IMPORTRANGE(""https://docs.google.com/spreadsheets/d/18hSgUJ3VwClqi_qtULmmW3cLr0oe3OKaSYoKzdpTsYQ/edit?usp=sharing"",""นครนายก!I654"")+IMPORTRANGE(""https://docs.google.com/spreadsheets/d/1YTZo6WM2dQ6Ix6FSdnL"&amp;"5P7uVnVKu40sxZu975tgG10E/edit?usp=sharing"",""นครปฐม!I654"")+IMPORTRANGE(""https://docs.google.com/spreadsheets/d/1OYoGg4WDg5RIzwGeB10padOxJF9E_Vljuvvct_M7RDo/edit?usp=sharing"",""ปทุมธานี!I654"")+IMPORTRANGE(""https://docs.google.com/spreadsheets/d/1GbCI"&amp;"E4D4wk9FUozzqk7SxfDMxDVBwVmI5zcaVUSzKAc/edit?usp=sharing"",""ประจวบคีรีขันธ์!I654"")+IMPORTRANGE(""https://docs.google.com/spreadsheets/d/1vVf6wykvW_lAyu7Yo9L4hUTqHqIeP_qcVuxCtosJEbg/edit?usp=sharing"",""ปราจีนบุรี!I654"")+IMPORTRANGE(""https://docs.googl"&amp;"e.com/spreadsheets/d/1BIDqLLg5jk3v59G8NlR8rk5xfQDKne0sAvZHSj7TI6I/edit?usp=sharing"",""พระนครศรีอยุธยา!I654"")+IMPORTRANGE(""https://docs.google.com/spreadsheets/d/1YXvxf8Yu6_rV4hTBrwMqAcAnv6DfhUxh5emyM3CJp_w/edit?usp=sharing"",""เพชรบุรี!I654"")+IMPORTRA"&amp;"NGE(""https://docs.google.com/spreadsheets/d/19KBlQQs7uwvsao6t2n-KvW3Ax8J8uRRfZPq1zPbXgKc/edit?usp=sharing"",""ระยอง!I654"")+IMPORTRANGE(""https://docs.google.com/spreadsheets/d/1jQ6P4QcrGM89YfqcC_PxOHGCMq5ezhucwJd8ci-NHng/edit?usp=sharing"",""ราชบุรี!I65"&amp;"4"")+IMPORTRANGE(""https://docs.google.com/spreadsheets/d/1lufeA2cfFqM-elVq2hznhDzC6Pr7wkJ9ZG_sYNGCMCU/edit?usp=sharing"",""ลพบุรี!I654"")+IMPORTRANGE(""https://docs.google.com/spreadsheets/d/10oOiF7loTyfsTkbd4MpaIm0HQ9SwB7IYHdIUvt-U1Uc/edit?usp=sharing"""&amp;",""สระแก้ว!I654"")+IMPORTRANGE(""https://docs.google.com/spreadsheets/d/1xmPlrr1QbdSIKvl1dWUl9K4PjAfSL9oeMr_37QVzcxc/edit?usp=sharing"",""สระบุรี!I654"")+IMPORTRANGE(""https://docs.google.com/spreadsheets/d/1j51vR6CYVGhABJpv6tkstgok82RLpXieLzW1yOY5rHw/edi"&amp;"t?usp=sharing"",""สิงห์บุรี!I654"")+IMPORTRANGE(""https://docs.google.com/spreadsheets/d/1H1EalTWKUSzO4Z1-1CwzoDUaVffgrThEBe2sl74kKG0/edit?usp=sharing"",""สุพรรณบุรี!I654"")+IMPORTRANGE(""https://docs.google.com/spreadsheets/d/1BmIruG_sIrJLYao_Pdr7zVArWsf"&amp;"oBt2692TMi6x_854/edit?usp=sharing"",""อ่างทอง!I654"")"),955)</f>
        <v>955</v>
      </c>
      <c r="J654" s="601">
        <f ca="1">J657+J660</f>
        <v>544.28</v>
      </c>
      <c r="K654" s="262">
        <f t="shared" ca="1" si="460"/>
        <v>56.992670157068062</v>
      </c>
      <c r="L654" s="85"/>
      <c r="M654" s="85"/>
      <c r="N654" s="730"/>
      <c r="O654" s="85"/>
      <c r="P654" s="85"/>
      <c r="Q654" s="84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f ca="1">IFERROR(__xludf.DUMMYFUNCTION("IMPORTRANGE(""https://docs.google.com/spreadsheets/d/13wPX838HrBrQMCywv1BsuMkt4PEKTChp52zj44s2izQ/edit?usp=sharing"",""กาญจนบุรี!J655"")+IMPORTRANGE(""https://docs.google.com/spreadsheets/d/1ddFKvqj1W1NEiWytbGlB1zMx_ykJDVtmfEQ-6-lIUBA/edit?usp=sharing"","&amp;"""จันทบุรี!J655"")+IMPORTRANGE(""https://docs.google.com/spreadsheets/d/1T1PQvRODqOBZk8BRht_U031fIS1beLA0Ub2CEytj2q0/edit?usp=sharing"",""ฉะเชิงเทรา!J655"")+IMPORTRANGE(""https://docs.google.com/spreadsheets/d/11tr1B-Bhyr79v2bkwVh5h_fR-PStkgjlZtkrZpYurG0/"&amp;"edit?usp=sharing"",""ชลบุรี!J655"")+IMPORTRANGE(""https://docs.google.com/spreadsheets/d/1hh-FVnSX0vozXhGluamEcS54Dw9_zqW0N7qJUWgJ0Sw/edit?usp=sharing"",""ชัยนาท!J655"")+IMPORTRANGE(""https://docs.google.com/spreadsheets/d/1jkqa6GXxSacMcY1eN8AHjMNJ_7dDXMJ"&amp;"VRLDlaFSOdPM/edit?usp=sharing"",""ตราด!J655"")+IMPORTRANGE(""https://docs.google.com/spreadsheets/d/18hSgUJ3VwClqi_qtULmmW3cLr0oe3OKaSYoKzdpTsYQ/edit?usp=sharing"",""นครนายก!J655"")+IMPORTRANGE(""https://docs.google.com/spreadsheets/d/1YTZo6WM2dQ6Ix6FSdnL"&amp;"5P7uVnVKu40sxZu975tgG10E/edit?usp=sharing"",""นครปฐม!J655"")+IMPORTRANGE(""https://docs.google.com/spreadsheets/d/1OYoGg4WDg5RIzwGeB10padOxJF9E_Vljuvvct_M7RDo/edit?usp=sharing"",""ปทุมธานี!J655"")+IMPORTRANGE(""https://docs.google.com/spreadsheets/d/1GbCI"&amp;"E4D4wk9FUozzqk7SxfDMxDVBwVmI5zcaVUSzKAc/edit?usp=sharing"",""ประจวบคีรีขันธ์!J655"")+IMPORTRANGE(""https://docs.google.com/spreadsheets/d/1vVf6wykvW_lAyu7Yo9L4hUTqHqIeP_qcVuxCtosJEbg/edit?usp=sharing"",""ปราจีนบุรี!J655"")+IMPORTRANGE(""https://docs.googl"&amp;"e.com/spreadsheets/d/1BIDqLLg5jk3v59G8NlR8rk5xfQDKne0sAvZHSj7TI6I/edit?usp=sharing"",""พระนครศรีอยุธยา!J655"")+IMPORTRANGE(""https://docs.google.com/spreadsheets/d/1YXvxf8Yu6_rV4hTBrwMqAcAnv6DfhUxh5emyM3CJp_w/edit?usp=sharing"",""เพชรบุรี!J655"")+IMPORTRA"&amp;"NGE(""https://docs.google.com/spreadsheets/d/19KBlQQs7uwvsao6t2n-KvW3Ax8J8uRRfZPq1zPbXgKc/edit?usp=sharing"",""ระยอง!J655"")+IMPORTRANGE(""https://docs.google.com/spreadsheets/d/1jQ6P4QcrGM89YfqcC_PxOHGCMq5ezhucwJd8ci-NHng/edit?usp=sharing"",""ราชบุรี!J65"&amp;"5"")+IMPORTRANGE(""https://docs.google.com/spreadsheets/d/1lufeA2cfFqM-elVq2hznhDzC6Pr7wkJ9ZG_sYNGCMCU/edit?usp=sharing"",""ลพบุรี!J655"")+IMPORTRANGE(""https://docs.google.com/spreadsheets/d/10oOiF7loTyfsTkbd4MpaIm0HQ9SwB7IYHdIUvt-U1Uc/edit?usp=sharing"""&amp;",""สระแก้ว!J655"")+IMPORTRANGE(""https://docs.google.com/spreadsheets/d/1xmPlrr1QbdSIKvl1dWUl9K4PjAfSL9oeMr_37QVzcxc/edit?usp=sharing"",""สระบุรี!J655"")+IMPORTRANGE(""https://docs.google.com/spreadsheets/d/1j51vR6CYVGhABJpv6tkstgok82RLpXieLzW1yOY5rHw/edi"&amp;"t?usp=sharing"",""สิงห์บุรี!J655"")+IMPORTRANGE(""https://docs.google.com/spreadsheets/d/1H1EalTWKUSzO4Z1-1CwzoDUaVffgrThEBe2sl74kKG0/edit?usp=sharing"",""สุพรรณบุรี!J655"")+IMPORTRANGE(""https://docs.google.com/spreadsheets/d/1BmIruG_sIrJLYao_Pdr7zVArWsf"&amp;"oBt2692TMi6x_854/edit?usp=sharing"",""อ่างทอง!J655"")"),46)</f>
        <v>46</v>
      </c>
      <c r="K655" s="85"/>
      <c r="L655" s="85"/>
      <c r="M655" s="85"/>
      <c r="N655" s="730"/>
      <c r="O655" s="85"/>
      <c r="P655" s="85"/>
      <c r="Q655" s="84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f ca="1">IFERROR(__xludf.DUMMYFUNCTION("IMPORTRANGE(""https://docs.google.com/spreadsheets/d/13wPX838HrBrQMCywv1BsuMkt4PEKTChp52zj44s2izQ/edit?usp=sharing"",""กาญจนบุรี!J656"")+IMPORTRANGE(""https://docs.google.com/spreadsheets/d/1ddFKvqj1W1NEiWytbGlB1zMx_ykJDVtmfEQ-6-lIUBA/edit?usp=sharing"","&amp;"""จันทบุรี!J656"")+IMPORTRANGE(""https://docs.google.com/spreadsheets/d/1T1PQvRODqOBZk8BRht_U031fIS1beLA0Ub2CEytj2q0/edit?usp=sharing"",""ฉะเชิงเทรา!J656"")+IMPORTRANGE(""https://docs.google.com/spreadsheets/d/11tr1B-Bhyr79v2bkwVh5h_fR-PStkgjlZtkrZpYurG0/"&amp;"edit?usp=sharing"",""ชลบุรี!J656"")+IMPORTRANGE(""https://docs.google.com/spreadsheets/d/1hh-FVnSX0vozXhGluamEcS54Dw9_zqW0N7qJUWgJ0Sw/edit?usp=sharing"",""ชัยนาท!J656"")+IMPORTRANGE(""https://docs.google.com/spreadsheets/d/1jkqa6GXxSacMcY1eN8AHjMNJ_7dDXMJ"&amp;"VRLDlaFSOdPM/edit?usp=sharing"",""ตราด!J656"")+IMPORTRANGE(""https://docs.google.com/spreadsheets/d/18hSgUJ3VwClqi_qtULmmW3cLr0oe3OKaSYoKzdpTsYQ/edit?usp=sharing"",""นครนายก!J656"")+IMPORTRANGE(""https://docs.google.com/spreadsheets/d/1YTZo6WM2dQ6Ix6FSdnL"&amp;"5P7uVnVKu40sxZu975tgG10E/edit?usp=sharing"",""นครปฐม!J656"")+IMPORTRANGE(""https://docs.google.com/spreadsheets/d/1OYoGg4WDg5RIzwGeB10padOxJF9E_Vljuvvct_M7RDo/edit?usp=sharing"",""ปทุมธานี!J656"")+IMPORTRANGE(""https://docs.google.com/spreadsheets/d/1GbCI"&amp;"E4D4wk9FUozzqk7SxfDMxDVBwVmI5zcaVUSzKAc/edit?usp=sharing"",""ประจวบคีรีขันธ์!J656"")+IMPORTRANGE(""https://docs.google.com/spreadsheets/d/1vVf6wykvW_lAyu7Yo9L4hUTqHqIeP_qcVuxCtosJEbg/edit?usp=sharing"",""ปราจีนบุรี!J656"")+IMPORTRANGE(""https://docs.googl"&amp;"e.com/spreadsheets/d/1BIDqLLg5jk3v59G8NlR8rk5xfQDKne0sAvZHSj7TI6I/edit?usp=sharing"",""พระนครศรีอยุธยา!J656"")+IMPORTRANGE(""https://docs.google.com/spreadsheets/d/1YXvxf8Yu6_rV4hTBrwMqAcAnv6DfhUxh5emyM3CJp_w/edit?usp=sharing"",""เพชรบุรี!J656"")+IMPORTRA"&amp;"NGE(""https://docs.google.com/spreadsheets/d/19KBlQQs7uwvsao6t2n-KvW3Ax8J8uRRfZPq1zPbXgKc/edit?usp=sharing"",""ระยอง!J656"")+IMPORTRANGE(""https://docs.google.com/spreadsheets/d/1jQ6P4QcrGM89YfqcC_PxOHGCMq5ezhucwJd8ci-NHng/edit?usp=sharing"",""ราชบุรี!J65"&amp;"6"")+IMPORTRANGE(""https://docs.google.com/spreadsheets/d/1lufeA2cfFqM-elVq2hznhDzC6Pr7wkJ9ZG_sYNGCMCU/edit?usp=sharing"",""ลพบุรี!J656"")+IMPORTRANGE(""https://docs.google.com/spreadsheets/d/10oOiF7loTyfsTkbd4MpaIm0HQ9SwB7IYHdIUvt-U1Uc/edit?usp=sharing"""&amp;",""สระแก้ว!J656"")+IMPORTRANGE(""https://docs.google.com/spreadsheets/d/1xmPlrr1QbdSIKvl1dWUl9K4PjAfSL9oeMr_37QVzcxc/edit?usp=sharing"",""สระบุรี!J656"")+IMPORTRANGE(""https://docs.google.com/spreadsheets/d/1j51vR6CYVGhABJpv6tkstgok82RLpXieLzW1yOY5rHw/edi"&amp;"t?usp=sharing"",""สิงห์บุรี!J656"")+IMPORTRANGE(""https://docs.google.com/spreadsheets/d/1H1EalTWKUSzO4Z1-1CwzoDUaVffgrThEBe2sl74kKG0/edit?usp=sharing"",""สุพรรณบุรี!J656"")+IMPORTRANGE(""https://docs.google.com/spreadsheets/d/1BmIruG_sIrJLYao_Pdr7zVArWsf"&amp;"oBt2692TMi6x_854/edit?usp=sharing"",""อ่างทอง!J656"")"),49)</f>
        <v>49</v>
      </c>
      <c r="K656" s="85"/>
      <c r="L656" s="85"/>
      <c r="M656" s="85"/>
      <c r="N656" s="730"/>
      <c r="O656" s="85"/>
      <c r="P656" s="85"/>
      <c r="Q656" s="84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13wPX838HrBrQMCywv1BsuMkt4PEKTChp52zj44s2izQ/edit?usp=sharing"",""กาญจนบุรี!I657"")+IMPORTRANGE(""https://docs.google.com/spreadsheets/d/1ddFKvqj1W1NEiWytbGlB1zMx_ykJDVtmfEQ-6-lIUBA/edit?usp=sharing"","&amp;"""จันทบุรี!I657"")+IMPORTRANGE(""https://docs.google.com/spreadsheets/d/1T1PQvRODqOBZk8BRht_U031fIS1beLA0Ub2CEytj2q0/edit?usp=sharing"",""ฉะเชิงเทรา!I657"")+IMPORTRANGE(""https://docs.google.com/spreadsheets/d/11tr1B-Bhyr79v2bkwVh5h_fR-PStkgjlZtkrZpYurG0/"&amp;"edit?usp=sharing"",""ชลบุรี!I657"")+IMPORTRANGE(""https://docs.google.com/spreadsheets/d/1hh-FVnSX0vozXhGluamEcS54Dw9_zqW0N7qJUWgJ0Sw/edit?usp=sharing"",""ชัยนาท!I657"")+IMPORTRANGE(""https://docs.google.com/spreadsheets/d/1jkqa6GXxSacMcY1eN8AHjMNJ_7dDXMJ"&amp;"VRLDlaFSOdPM/edit?usp=sharing"",""ตราด!I657"")+IMPORTRANGE(""https://docs.google.com/spreadsheets/d/18hSgUJ3VwClqi_qtULmmW3cLr0oe3OKaSYoKzdpTsYQ/edit?usp=sharing"",""นครนายก!I657"")+IMPORTRANGE(""https://docs.google.com/spreadsheets/d/1YTZo6WM2dQ6Ix6FSdnL"&amp;"5P7uVnVKu40sxZu975tgG10E/edit?usp=sharing"",""นครปฐม!I657"")+IMPORTRANGE(""https://docs.google.com/spreadsheets/d/1OYoGg4WDg5RIzwGeB10padOxJF9E_Vljuvvct_M7RDo/edit?usp=sharing"",""ปทุมธานี!I657"")+IMPORTRANGE(""https://docs.google.com/spreadsheets/d/1GbCI"&amp;"E4D4wk9FUozzqk7SxfDMxDVBwVmI5zcaVUSzKAc/edit?usp=sharing"",""ประจวบคีรีขันธ์!I657"")+IMPORTRANGE(""https://docs.google.com/spreadsheets/d/1vVf6wykvW_lAyu7Yo9L4hUTqHqIeP_qcVuxCtosJEbg/edit?usp=sharing"",""ปราจีนบุรี!I657"")+IMPORTRANGE(""https://docs.googl"&amp;"e.com/spreadsheets/d/1BIDqLLg5jk3v59G8NlR8rk5xfQDKne0sAvZHSj7TI6I/edit?usp=sharing"",""พระนครศรีอยุธยา!I657"")+IMPORTRANGE(""https://docs.google.com/spreadsheets/d/1YXvxf8Yu6_rV4hTBrwMqAcAnv6DfhUxh5emyM3CJp_w/edit?usp=sharing"",""เพชรบุรี!I657"")+IMPORTRA"&amp;"NGE(""https://docs.google.com/spreadsheets/d/19KBlQQs7uwvsao6t2n-KvW3Ax8J8uRRfZPq1zPbXgKc/edit?usp=sharing"",""ระยอง!I657"")+IMPORTRANGE(""https://docs.google.com/spreadsheets/d/1jQ6P4QcrGM89YfqcC_PxOHGCMq5ezhucwJd8ci-NHng/edit?usp=sharing"",""ราชบุรี!I65"&amp;"7"")+IMPORTRANGE(""https://docs.google.com/spreadsheets/d/1lufeA2cfFqM-elVq2hznhDzC6Pr7wkJ9ZG_sYNGCMCU/edit?usp=sharing"",""ลพบุรี!I657"")+IMPORTRANGE(""https://docs.google.com/spreadsheets/d/10oOiF7loTyfsTkbd4MpaIm0HQ9SwB7IYHdIUvt-U1Uc/edit?usp=sharing"""&amp;",""สระแก้ว!I657"")+IMPORTRANGE(""https://docs.google.com/spreadsheets/d/1xmPlrr1QbdSIKvl1dWUl9K4PjAfSL9oeMr_37QVzcxc/edit?usp=sharing"",""สระบุรี!I657"")+IMPORTRANGE(""https://docs.google.com/spreadsheets/d/1j51vR6CYVGhABJpv6tkstgok82RLpXieLzW1yOY5rHw/edi"&amp;"t?usp=sharing"",""สิงห์บุรี!I657"")+IMPORTRANGE(""https://docs.google.com/spreadsheets/d/1H1EalTWKUSzO4Z1-1CwzoDUaVffgrThEBe2sl74kKG0/edit?usp=sharing"",""สุพรรณบุรี!I657"")+IMPORTRANGE(""https://docs.google.com/spreadsheets/d/1BmIruG_sIrJLYao_Pdr7zVArWsf"&amp;"oBt2692TMi6x_854/edit?usp=sharing"",""อ่างทอง!I657"")"),505)</f>
        <v>505</v>
      </c>
      <c r="J657" s="292">
        <f ca="1">IFERROR(__xludf.DUMMYFUNCTION("IMPORTRANGE(""https://docs.google.com/spreadsheets/d/13wPX838HrBrQMCywv1BsuMkt4PEKTChp52zj44s2izQ/edit?usp=sharing"",""กาญจนบุรี!J657"")+IMPORTRANGE(""https://docs.google.com/spreadsheets/d/1ddFKvqj1W1NEiWytbGlB1zMx_ykJDVtmfEQ-6-lIUBA/edit?usp=sharing"","&amp;"""จันทบุรี!J657"")+IMPORTRANGE(""https://docs.google.com/spreadsheets/d/1T1PQvRODqOBZk8BRht_U031fIS1beLA0Ub2CEytj2q0/edit?usp=sharing"",""ฉะเชิงเทรา!J657"")+IMPORTRANGE(""https://docs.google.com/spreadsheets/d/11tr1B-Bhyr79v2bkwVh5h_fR-PStkgjlZtkrZpYurG0/"&amp;"edit?usp=sharing"",""ชลบุรี!J657"")+IMPORTRANGE(""https://docs.google.com/spreadsheets/d/1hh-FVnSX0vozXhGluamEcS54Dw9_zqW0N7qJUWgJ0Sw/edit?usp=sharing"",""ชัยนาท!J657"")+IMPORTRANGE(""https://docs.google.com/spreadsheets/d/1jkqa6GXxSacMcY1eN8AHjMNJ_7dDXMJ"&amp;"VRLDlaFSOdPM/edit?usp=sharing"",""ตราด!J657"")+IMPORTRANGE(""https://docs.google.com/spreadsheets/d/18hSgUJ3VwClqi_qtULmmW3cLr0oe3OKaSYoKzdpTsYQ/edit?usp=sharing"",""นครนายก!J657"")+IMPORTRANGE(""https://docs.google.com/spreadsheets/d/1YTZo6WM2dQ6Ix6FSdnL"&amp;"5P7uVnVKu40sxZu975tgG10E/edit?usp=sharing"",""นครปฐม!J657"")+IMPORTRANGE(""https://docs.google.com/spreadsheets/d/1OYoGg4WDg5RIzwGeB10padOxJF9E_Vljuvvct_M7RDo/edit?usp=sharing"",""ปทุมธานี!J657"")+IMPORTRANGE(""https://docs.google.com/spreadsheets/d/1GbCI"&amp;"E4D4wk9FUozzqk7SxfDMxDVBwVmI5zcaVUSzKAc/edit?usp=sharing"",""ประจวบคีรีขันธ์!J657"")+IMPORTRANGE(""https://docs.google.com/spreadsheets/d/1vVf6wykvW_lAyu7Yo9L4hUTqHqIeP_qcVuxCtosJEbg/edit?usp=sharing"",""ปราจีนบุรี!J657"")+IMPORTRANGE(""https://docs.googl"&amp;"e.com/spreadsheets/d/1BIDqLLg5jk3v59G8NlR8rk5xfQDKne0sAvZHSj7TI6I/edit?usp=sharing"",""พระนครศรีอยุธยา!J657"")+IMPORTRANGE(""https://docs.google.com/spreadsheets/d/1YXvxf8Yu6_rV4hTBrwMqAcAnv6DfhUxh5emyM3CJp_w/edit?usp=sharing"",""เพชรบุรี!J657"")+IMPORTRA"&amp;"NGE(""https://docs.google.com/spreadsheets/d/19KBlQQs7uwvsao6t2n-KvW3Ax8J8uRRfZPq1zPbXgKc/edit?usp=sharing"",""ระยอง!J657"")+IMPORTRANGE(""https://docs.google.com/spreadsheets/d/1jQ6P4QcrGM89YfqcC_PxOHGCMq5ezhucwJd8ci-NHng/edit?usp=sharing"",""ราชบุรี!J65"&amp;"7"")+IMPORTRANGE(""https://docs.google.com/spreadsheets/d/1lufeA2cfFqM-elVq2hznhDzC6Pr7wkJ9ZG_sYNGCMCU/edit?usp=sharing"",""ลพบุรี!J657"")+IMPORTRANGE(""https://docs.google.com/spreadsheets/d/10oOiF7loTyfsTkbd4MpaIm0HQ9SwB7IYHdIUvt-U1Uc/edit?usp=sharing"""&amp;",""สระแก้ว!J657"")+IMPORTRANGE(""https://docs.google.com/spreadsheets/d/1xmPlrr1QbdSIKvl1dWUl9K4PjAfSL9oeMr_37QVzcxc/edit?usp=sharing"",""สระบุรี!J657"")+IMPORTRANGE(""https://docs.google.com/spreadsheets/d/1j51vR6CYVGhABJpv6tkstgok82RLpXieLzW1yOY5rHw/edi"&amp;"t?usp=sharing"",""สิงห์บุรี!J657"")+IMPORTRANGE(""https://docs.google.com/spreadsheets/d/1H1EalTWKUSzO4Z1-1CwzoDUaVffgrThEBe2sl74kKG0/edit?usp=sharing"",""สุพรรณบุรี!J657"")+IMPORTRANGE(""https://docs.google.com/spreadsheets/d/1BmIruG_sIrJLYao_Pdr7zVArWsf"&amp;"oBt2692TMi6x_854/edit?usp=sharing"",""อ่างทอง!J657"")"),544.28)</f>
        <v>544.28</v>
      </c>
      <c r="K657" s="85"/>
      <c r="L657" s="85"/>
      <c r="M657" s="85"/>
      <c r="N657" s="730"/>
      <c r="O657" s="85"/>
      <c r="P657" s="85"/>
      <c r="Q657" s="84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f ca="1">IFERROR(__xludf.DUMMYFUNCTION("IMPORTRANGE(""https://docs.google.com/spreadsheets/d/13wPX838HrBrQMCywv1BsuMkt4PEKTChp52zj44s2izQ/edit?usp=sharing"",""กาญจนบุรี!J658"")+IMPORTRANGE(""https://docs.google.com/spreadsheets/d/1ddFKvqj1W1NEiWytbGlB1zMx_ykJDVtmfEQ-6-lIUBA/edit?usp=sharing"","&amp;"""จันทบุรี!J658"")+IMPORTRANGE(""https://docs.google.com/spreadsheets/d/1T1PQvRODqOBZk8BRht_U031fIS1beLA0Ub2CEytj2q0/edit?usp=sharing"",""ฉะเชิงเทรา!J658"")+IMPORTRANGE(""https://docs.google.com/spreadsheets/d/11tr1B-Bhyr79v2bkwVh5h_fR-PStkgjlZtkrZpYurG0/"&amp;"edit?usp=sharing"",""ชลบุรี!J658"")+IMPORTRANGE(""https://docs.google.com/spreadsheets/d/1hh-FVnSX0vozXhGluamEcS54Dw9_zqW0N7qJUWgJ0Sw/edit?usp=sharing"",""ชัยนาท!J658"")+IMPORTRANGE(""https://docs.google.com/spreadsheets/d/1jkqa6GXxSacMcY1eN8AHjMNJ_7dDXMJ"&amp;"VRLDlaFSOdPM/edit?usp=sharing"",""ตราด!J658"")+IMPORTRANGE(""https://docs.google.com/spreadsheets/d/18hSgUJ3VwClqi_qtULmmW3cLr0oe3OKaSYoKzdpTsYQ/edit?usp=sharing"",""นครนายก!J658"")+IMPORTRANGE(""https://docs.google.com/spreadsheets/d/1YTZo6WM2dQ6Ix6FSdnL"&amp;"5P7uVnVKu40sxZu975tgG10E/edit?usp=sharing"",""นครปฐม!J658"")+IMPORTRANGE(""https://docs.google.com/spreadsheets/d/1OYoGg4WDg5RIzwGeB10padOxJF9E_Vljuvvct_M7RDo/edit?usp=sharing"",""ปทุมธานี!J658"")+IMPORTRANGE(""https://docs.google.com/spreadsheets/d/1GbCI"&amp;"E4D4wk9FUozzqk7SxfDMxDVBwVmI5zcaVUSzKAc/edit?usp=sharing"",""ประจวบคีรีขันธ์!J658"")+IMPORTRANGE(""https://docs.google.com/spreadsheets/d/1vVf6wykvW_lAyu7Yo9L4hUTqHqIeP_qcVuxCtosJEbg/edit?usp=sharing"",""ปราจีนบุรี!J658"")+IMPORTRANGE(""https://docs.googl"&amp;"e.com/spreadsheets/d/1BIDqLLg5jk3v59G8NlR8rk5xfQDKne0sAvZHSj7TI6I/edit?usp=sharing"",""พระนครศรีอยุธยา!J658"")+IMPORTRANGE(""https://docs.google.com/spreadsheets/d/1YXvxf8Yu6_rV4hTBrwMqAcAnv6DfhUxh5emyM3CJp_w/edit?usp=sharing"",""เพชรบุรี!J658"")+IMPORTRA"&amp;"NGE(""https://docs.google.com/spreadsheets/d/19KBlQQs7uwvsao6t2n-KvW3Ax8J8uRRfZPq1zPbXgKc/edit?usp=sharing"",""ระยอง!J658"")+IMPORTRANGE(""https://docs.google.com/spreadsheets/d/1jQ6P4QcrGM89YfqcC_PxOHGCMq5ezhucwJd8ci-NHng/edit?usp=sharing"",""ราชบุรี!J65"&amp;"8"")+IMPORTRANGE(""https://docs.google.com/spreadsheets/d/1lufeA2cfFqM-elVq2hznhDzC6Pr7wkJ9ZG_sYNGCMCU/edit?usp=sharing"",""ลพบุรี!J658"")+IMPORTRANGE(""https://docs.google.com/spreadsheets/d/10oOiF7loTyfsTkbd4MpaIm0HQ9SwB7IYHdIUvt-U1Uc/edit?usp=sharing"""&amp;",""สระแก้ว!J658"")+IMPORTRANGE(""https://docs.google.com/spreadsheets/d/1xmPlrr1QbdSIKvl1dWUl9K4PjAfSL9oeMr_37QVzcxc/edit?usp=sharing"",""สระบุรี!J658"")+IMPORTRANGE(""https://docs.google.com/spreadsheets/d/1j51vR6CYVGhABJpv6tkstgok82RLpXieLzW1yOY5rHw/edi"&amp;"t?usp=sharing"",""สิงห์บุรี!J658"")+IMPORTRANGE(""https://docs.google.com/spreadsheets/d/1H1EalTWKUSzO4Z1-1CwzoDUaVffgrThEBe2sl74kKG0/edit?usp=sharing"",""สุพรรณบุรี!J658"")+IMPORTRANGE(""https://docs.google.com/spreadsheets/d/1BmIruG_sIrJLYao_Pdr7zVArWsf"&amp;"oBt2692TMi6x_854/edit?usp=sharing"",""อ่างทอง!J658"")"),0)</f>
        <v>0</v>
      </c>
      <c r="K658" s="85"/>
      <c r="L658" s="85"/>
      <c r="M658" s="85"/>
      <c r="N658" s="730"/>
      <c r="O658" s="85"/>
      <c r="P658" s="85"/>
      <c r="Q658" s="84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f ca="1">IFERROR(__xludf.DUMMYFUNCTION("IMPORTRANGE(""https://docs.google.com/spreadsheets/d/13wPX838HrBrQMCywv1BsuMkt4PEKTChp52zj44s2izQ/edit?usp=sharing"",""กาญจนบุรี!J659"")+IMPORTRANGE(""https://docs.google.com/spreadsheets/d/1ddFKvqj1W1NEiWytbGlB1zMx_ykJDVtmfEQ-6-lIUBA/edit?usp=sharing"","&amp;"""จันทบุรี!J659"")+IMPORTRANGE(""https://docs.google.com/spreadsheets/d/1T1PQvRODqOBZk8BRht_U031fIS1beLA0Ub2CEytj2q0/edit?usp=sharing"",""ฉะเชิงเทรา!J659"")+IMPORTRANGE(""https://docs.google.com/spreadsheets/d/11tr1B-Bhyr79v2bkwVh5h_fR-PStkgjlZtkrZpYurG0/"&amp;"edit?usp=sharing"",""ชลบุรี!J659"")+IMPORTRANGE(""https://docs.google.com/spreadsheets/d/1hh-FVnSX0vozXhGluamEcS54Dw9_zqW0N7qJUWgJ0Sw/edit?usp=sharing"",""ชัยนาท!J659"")+IMPORTRANGE(""https://docs.google.com/spreadsheets/d/1jkqa6GXxSacMcY1eN8AHjMNJ_7dDXMJ"&amp;"VRLDlaFSOdPM/edit?usp=sharing"",""ตราด!J659"")+IMPORTRANGE(""https://docs.google.com/spreadsheets/d/18hSgUJ3VwClqi_qtULmmW3cLr0oe3OKaSYoKzdpTsYQ/edit?usp=sharing"",""นครนายก!J659"")+IMPORTRANGE(""https://docs.google.com/spreadsheets/d/1YTZo6WM2dQ6Ix6FSdnL"&amp;"5P7uVnVKu40sxZu975tgG10E/edit?usp=sharing"",""นครปฐม!J659"")+IMPORTRANGE(""https://docs.google.com/spreadsheets/d/1OYoGg4WDg5RIzwGeB10padOxJF9E_Vljuvvct_M7RDo/edit?usp=sharing"",""ปทุมธานี!J659"")+IMPORTRANGE(""https://docs.google.com/spreadsheets/d/1GbCI"&amp;"E4D4wk9FUozzqk7SxfDMxDVBwVmI5zcaVUSzKAc/edit?usp=sharing"",""ประจวบคีรีขันธ์!J659"")+IMPORTRANGE(""https://docs.google.com/spreadsheets/d/1vVf6wykvW_lAyu7Yo9L4hUTqHqIeP_qcVuxCtosJEbg/edit?usp=sharing"",""ปราจีนบุรี!J659"")+IMPORTRANGE(""https://docs.googl"&amp;"e.com/spreadsheets/d/1BIDqLLg5jk3v59G8NlR8rk5xfQDKne0sAvZHSj7TI6I/edit?usp=sharing"",""พระนครศรีอยุธยา!J659"")+IMPORTRANGE(""https://docs.google.com/spreadsheets/d/1YXvxf8Yu6_rV4hTBrwMqAcAnv6DfhUxh5emyM3CJp_w/edit?usp=sharing"",""เพชรบุรี!J659"")+IMPORTRA"&amp;"NGE(""https://docs.google.com/spreadsheets/d/19KBlQQs7uwvsao6t2n-KvW3Ax8J8uRRfZPq1zPbXgKc/edit?usp=sharing"",""ระยอง!J659"")+IMPORTRANGE(""https://docs.google.com/spreadsheets/d/1jQ6P4QcrGM89YfqcC_PxOHGCMq5ezhucwJd8ci-NHng/edit?usp=sharing"",""ราชบุรี!J65"&amp;"9"")+IMPORTRANGE(""https://docs.google.com/spreadsheets/d/1lufeA2cfFqM-elVq2hznhDzC6Pr7wkJ9ZG_sYNGCMCU/edit?usp=sharing"",""ลพบุรี!J659"")+IMPORTRANGE(""https://docs.google.com/spreadsheets/d/10oOiF7loTyfsTkbd4MpaIm0HQ9SwB7IYHdIUvt-U1Uc/edit?usp=sharing"""&amp;",""สระแก้ว!J659"")+IMPORTRANGE(""https://docs.google.com/spreadsheets/d/1xmPlrr1QbdSIKvl1dWUl9K4PjAfSL9oeMr_37QVzcxc/edit?usp=sharing"",""สระบุรี!J659"")+IMPORTRANGE(""https://docs.google.com/spreadsheets/d/1j51vR6CYVGhABJpv6tkstgok82RLpXieLzW1yOY5rHw/edi"&amp;"t?usp=sharing"",""สิงห์บุรี!J659"")+IMPORTRANGE(""https://docs.google.com/spreadsheets/d/1H1EalTWKUSzO4Z1-1CwzoDUaVffgrThEBe2sl74kKG0/edit?usp=sharing"",""สุพรรณบุรี!J659"")+IMPORTRANGE(""https://docs.google.com/spreadsheets/d/1BmIruG_sIrJLYao_Pdr7zVArWsf"&amp;"oBt2692TMi6x_854/edit?usp=sharing"",""อ่างทอง!J659"")"),0)</f>
        <v>0</v>
      </c>
      <c r="K659" s="85"/>
      <c r="L659" s="85"/>
      <c r="M659" s="85"/>
      <c r="N659" s="730"/>
      <c r="O659" s="85"/>
      <c r="P659" s="85"/>
      <c r="Q659" s="84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13wPX838HrBrQMCywv1BsuMkt4PEKTChp52zj44s2izQ/edit?usp=sharing"",""กาญจนบุรี!I660"")+IMPORTRANGE(""https://docs.google.com/spreadsheets/d/1ddFKvqj1W1NEiWytbGlB1zMx_ykJDVtmfEQ-6-lIUBA/edit?usp=sharing"","&amp;"""จันทบุรี!I660"")+IMPORTRANGE(""https://docs.google.com/spreadsheets/d/1T1PQvRODqOBZk8BRht_U031fIS1beLA0Ub2CEytj2q0/edit?usp=sharing"",""ฉะเชิงเทรา!I660"")+IMPORTRANGE(""https://docs.google.com/spreadsheets/d/11tr1B-Bhyr79v2bkwVh5h_fR-PStkgjlZtkrZpYurG0/"&amp;"edit?usp=sharing"",""ชลบุรี!I660"")+IMPORTRANGE(""https://docs.google.com/spreadsheets/d/1hh-FVnSX0vozXhGluamEcS54Dw9_zqW0N7qJUWgJ0Sw/edit?usp=sharing"",""ชัยนาท!I660"")+IMPORTRANGE(""https://docs.google.com/spreadsheets/d/1jkqa6GXxSacMcY1eN8AHjMNJ_7dDXMJ"&amp;"VRLDlaFSOdPM/edit?usp=sharing"",""ตราด!I660"")+IMPORTRANGE(""https://docs.google.com/spreadsheets/d/18hSgUJ3VwClqi_qtULmmW3cLr0oe3OKaSYoKzdpTsYQ/edit?usp=sharing"",""นครนายก!I660"")+IMPORTRANGE(""https://docs.google.com/spreadsheets/d/1YTZo6WM2dQ6Ix6FSdnL"&amp;"5P7uVnVKu40sxZu975tgG10E/edit?usp=sharing"",""นครปฐม!I660"")+IMPORTRANGE(""https://docs.google.com/spreadsheets/d/1OYoGg4WDg5RIzwGeB10padOxJF9E_Vljuvvct_M7RDo/edit?usp=sharing"",""ปทุมธานี!I660"")+IMPORTRANGE(""https://docs.google.com/spreadsheets/d/1GbCI"&amp;"E4D4wk9FUozzqk7SxfDMxDVBwVmI5zcaVUSzKAc/edit?usp=sharing"",""ประจวบคีรีขันธ์!I660"")+IMPORTRANGE(""https://docs.google.com/spreadsheets/d/1vVf6wykvW_lAyu7Yo9L4hUTqHqIeP_qcVuxCtosJEbg/edit?usp=sharing"",""ปราจีนบุรี!I660"")+IMPORTRANGE(""https://docs.googl"&amp;"e.com/spreadsheets/d/1BIDqLLg5jk3v59G8NlR8rk5xfQDKne0sAvZHSj7TI6I/edit?usp=sharing"",""พระนครศรีอยุธยา!I660"")+IMPORTRANGE(""https://docs.google.com/spreadsheets/d/1YXvxf8Yu6_rV4hTBrwMqAcAnv6DfhUxh5emyM3CJp_w/edit?usp=sharing"",""เพชรบุรี!I660"")+IMPORTRA"&amp;"NGE(""https://docs.google.com/spreadsheets/d/19KBlQQs7uwvsao6t2n-KvW3Ax8J8uRRfZPq1zPbXgKc/edit?usp=sharing"",""ระยอง!I660"")+IMPORTRANGE(""https://docs.google.com/spreadsheets/d/1jQ6P4QcrGM89YfqcC_PxOHGCMq5ezhucwJd8ci-NHng/edit?usp=sharing"",""ราชบุรี!I66"&amp;"0"")+IMPORTRANGE(""https://docs.google.com/spreadsheets/d/1lufeA2cfFqM-elVq2hznhDzC6Pr7wkJ9ZG_sYNGCMCU/edit?usp=sharing"",""ลพบุรี!I660"")+IMPORTRANGE(""https://docs.google.com/spreadsheets/d/10oOiF7loTyfsTkbd4MpaIm0HQ9SwB7IYHdIUvt-U1Uc/edit?usp=sharing"""&amp;",""สระแก้ว!I660"")+IMPORTRANGE(""https://docs.google.com/spreadsheets/d/1xmPlrr1QbdSIKvl1dWUl9K4PjAfSL9oeMr_37QVzcxc/edit?usp=sharing"",""สระบุรี!I660"")+IMPORTRANGE(""https://docs.google.com/spreadsheets/d/1j51vR6CYVGhABJpv6tkstgok82RLpXieLzW1yOY5rHw/edi"&amp;"t?usp=sharing"",""สิงห์บุรี!I660"")+IMPORTRANGE(""https://docs.google.com/spreadsheets/d/1H1EalTWKUSzO4Z1-1CwzoDUaVffgrThEBe2sl74kKG0/edit?usp=sharing"",""สุพรรณบุรี!I660"")+IMPORTRANGE(""https://docs.google.com/spreadsheets/d/1BmIruG_sIrJLYao_Pdr7zVArWsf"&amp;"oBt2692TMi6x_854/edit?usp=sharing"",""อ่างทอง!I660"")"),450)</f>
        <v>450</v>
      </c>
      <c r="J660" s="292">
        <f ca="1">IFERROR(__xludf.DUMMYFUNCTION("IMPORTRANGE(""https://docs.google.com/spreadsheets/d/13wPX838HrBrQMCywv1BsuMkt4PEKTChp52zj44s2izQ/edit?usp=sharing"",""กาญจนบุรี!J660"")+IMPORTRANGE(""https://docs.google.com/spreadsheets/d/1ddFKvqj1W1NEiWytbGlB1zMx_ykJDVtmfEQ-6-lIUBA/edit?usp=sharing"","&amp;"""จันทบุรี!J660"")+IMPORTRANGE(""https://docs.google.com/spreadsheets/d/1T1PQvRODqOBZk8BRht_U031fIS1beLA0Ub2CEytj2q0/edit?usp=sharing"",""ฉะเชิงเทรา!J660"")+IMPORTRANGE(""https://docs.google.com/spreadsheets/d/11tr1B-Bhyr79v2bkwVh5h_fR-PStkgjlZtkrZpYurG0/"&amp;"edit?usp=sharing"",""ชลบุรี!J660"")+IMPORTRANGE(""https://docs.google.com/spreadsheets/d/1hh-FVnSX0vozXhGluamEcS54Dw9_zqW0N7qJUWgJ0Sw/edit?usp=sharing"",""ชัยนาท!J660"")+IMPORTRANGE(""https://docs.google.com/spreadsheets/d/1jkqa6GXxSacMcY1eN8AHjMNJ_7dDXMJ"&amp;"VRLDlaFSOdPM/edit?usp=sharing"",""ตราด!J660"")+IMPORTRANGE(""https://docs.google.com/spreadsheets/d/18hSgUJ3VwClqi_qtULmmW3cLr0oe3OKaSYoKzdpTsYQ/edit?usp=sharing"",""นครนายก!J660"")+IMPORTRANGE(""https://docs.google.com/spreadsheets/d/1YTZo6WM2dQ6Ix6FSdnL"&amp;"5P7uVnVKu40sxZu975tgG10E/edit?usp=sharing"",""นครปฐม!J660"")+IMPORTRANGE(""https://docs.google.com/spreadsheets/d/1OYoGg4WDg5RIzwGeB10padOxJF9E_Vljuvvct_M7RDo/edit?usp=sharing"",""ปทุมธานี!J660"")+IMPORTRANGE(""https://docs.google.com/spreadsheets/d/1GbCI"&amp;"E4D4wk9FUozzqk7SxfDMxDVBwVmI5zcaVUSzKAc/edit?usp=sharing"",""ประจวบคีรีขันธ์!J660"")+IMPORTRANGE(""https://docs.google.com/spreadsheets/d/1vVf6wykvW_lAyu7Yo9L4hUTqHqIeP_qcVuxCtosJEbg/edit?usp=sharing"",""ปราจีนบุรี!J660"")+IMPORTRANGE(""https://docs.googl"&amp;"e.com/spreadsheets/d/1BIDqLLg5jk3v59G8NlR8rk5xfQDKne0sAvZHSj7TI6I/edit?usp=sharing"",""พระนครศรีอยุธยา!J660"")+IMPORTRANGE(""https://docs.google.com/spreadsheets/d/1YXvxf8Yu6_rV4hTBrwMqAcAnv6DfhUxh5emyM3CJp_w/edit?usp=sharing"",""เพชรบุรี!J660"")+IMPORTRA"&amp;"NGE(""https://docs.google.com/spreadsheets/d/19KBlQQs7uwvsao6t2n-KvW3Ax8J8uRRfZPq1zPbXgKc/edit?usp=sharing"",""ระยอง!J660"")+IMPORTRANGE(""https://docs.google.com/spreadsheets/d/1jQ6P4QcrGM89YfqcC_PxOHGCMq5ezhucwJd8ci-NHng/edit?usp=sharing"",""ราชบุรี!J66"&amp;"0"")+IMPORTRANGE(""https://docs.google.com/spreadsheets/d/1lufeA2cfFqM-elVq2hznhDzC6Pr7wkJ9ZG_sYNGCMCU/edit?usp=sharing"",""ลพบุรี!J660"")+IMPORTRANGE(""https://docs.google.com/spreadsheets/d/10oOiF7loTyfsTkbd4MpaIm0HQ9SwB7IYHdIUvt-U1Uc/edit?usp=sharing"""&amp;",""สระแก้ว!J660"")+IMPORTRANGE(""https://docs.google.com/spreadsheets/d/1xmPlrr1QbdSIKvl1dWUl9K4PjAfSL9oeMr_37QVzcxc/edit?usp=sharing"",""สระบุรี!J660"")+IMPORTRANGE(""https://docs.google.com/spreadsheets/d/1j51vR6CYVGhABJpv6tkstgok82RLpXieLzW1yOY5rHw/edi"&amp;"t?usp=sharing"",""สิงห์บุรี!J660"")+IMPORTRANGE(""https://docs.google.com/spreadsheets/d/1H1EalTWKUSzO4Z1-1CwzoDUaVffgrThEBe2sl74kKG0/edit?usp=sharing"",""สุพรรณบุรี!J660"")+IMPORTRANGE(""https://docs.google.com/spreadsheets/d/1BmIruG_sIrJLYao_Pdr7zVArWsf"&amp;"oBt2692TMi6x_854/edit?usp=sharing"",""อ่างทอง!J660"")"),0)</f>
        <v>0</v>
      </c>
      <c r="K660" s="85"/>
      <c r="L660" s="85"/>
      <c r="M660" s="85"/>
      <c r="N660" s="730"/>
      <c r="O660" s="85"/>
      <c r="P660" s="85"/>
      <c r="Q660" s="84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13wPX838HrBrQMCywv1BsuMkt4PEKTChp52zj44s2izQ/edit?usp=sharing"",""กาญจนบุรี!I661"")+IMPORTRANGE(""https://docs.google.com/spreadsheets/d/1ddFKvqj1W1NEiWytbGlB1zMx_ykJDVtmfEQ-6-lIUBA/edit?usp=sharing"","&amp;"""จันทบุรี!I661"")+IMPORTRANGE(""https://docs.google.com/spreadsheets/d/1T1PQvRODqOBZk8BRht_U031fIS1beLA0Ub2CEytj2q0/edit?usp=sharing"",""ฉะเชิงเทรา!I661"")+IMPORTRANGE(""https://docs.google.com/spreadsheets/d/11tr1B-Bhyr79v2bkwVh5h_fR-PStkgjlZtkrZpYurG0/"&amp;"edit?usp=sharing"",""ชลบุรี!I661"")+IMPORTRANGE(""https://docs.google.com/spreadsheets/d/1hh-FVnSX0vozXhGluamEcS54Dw9_zqW0N7qJUWgJ0Sw/edit?usp=sharing"",""ชัยนาท!I661"")+IMPORTRANGE(""https://docs.google.com/spreadsheets/d/1jkqa6GXxSacMcY1eN8AHjMNJ_7dDXMJ"&amp;"VRLDlaFSOdPM/edit?usp=sharing"",""ตราด!I661"")+IMPORTRANGE(""https://docs.google.com/spreadsheets/d/18hSgUJ3VwClqi_qtULmmW3cLr0oe3OKaSYoKzdpTsYQ/edit?usp=sharing"",""นครนายก!I661"")+IMPORTRANGE(""https://docs.google.com/spreadsheets/d/1YTZo6WM2dQ6Ix6FSdnL"&amp;"5P7uVnVKu40sxZu975tgG10E/edit?usp=sharing"",""นครปฐม!I661"")+IMPORTRANGE(""https://docs.google.com/spreadsheets/d/1OYoGg4WDg5RIzwGeB10padOxJF9E_Vljuvvct_M7RDo/edit?usp=sharing"",""ปทุมธานี!I661"")+IMPORTRANGE(""https://docs.google.com/spreadsheets/d/1GbCI"&amp;"E4D4wk9FUozzqk7SxfDMxDVBwVmI5zcaVUSzKAc/edit?usp=sharing"",""ประจวบคีรีขันธ์!I661"")+IMPORTRANGE(""https://docs.google.com/spreadsheets/d/1vVf6wykvW_lAyu7Yo9L4hUTqHqIeP_qcVuxCtosJEbg/edit?usp=sharing"",""ปราจีนบุรี!I661"")+IMPORTRANGE(""https://docs.googl"&amp;"e.com/spreadsheets/d/1BIDqLLg5jk3v59G8NlR8rk5xfQDKne0sAvZHSj7TI6I/edit?usp=sharing"",""พระนครศรีอยุธยา!I661"")+IMPORTRANGE(""https://docs.google.com/spreadsheets/d/1YXvxf8Yu6_rV4hTBrwMqAcAnv6DfhUxh5emyM3CJp_w/edit?usp=sharing"",""เพชรบุรี!I661"")+IMPORTRA"&amp;"NGE(""https://docs.google.com/spreadsheets/d/19KBlQQs7uwvsao6t2n-KvW3Ax8J8uRRfZPq1zPbXgKc/edit?usp=sharing"",""ระยอง!I661"")+IMPORTRANGE(""https://docs.google.com/spreadsheets/d/1jQ6P4QcrGM89YfqcC_PxOHGCMq5ezhucwJd8ci-NHng/edit?usp=sharing"",""ราชบุรี!I66"&amp;"1"")+IMPORTRANGE(""https://docs.google.com/spreadsheets/d/1lufeA2cfFqM-elVq2hznhDzC6Pr7wkJ9ZG_sYNGCMCU/edit?usp=sharing"",""ลพบุรี!I661"")+IMPORTRANGE(""https://docs.google.com/spreadsheets/d/10oOiF7loTyfsTkbd4MpaIm0HQ9SwB7IYHdIUvt-U1Uc/edit?usp=sharing"""&amp;",""สระแก้ว!I661"")+IMPORTRANGE(""https://docs.google.com/spreadsheets/d/1xmPlrr1QbdSIKvl1dWUl9K4PjAfSL9oeMr_37QVzcxc/edit?usp=sharing"",""สระบุรี!I661"")+IMPORTRANGE(""https://docs.google.com/spreadsheets/d/1j51vR6CYVGhABJpv6tkstgok82RLpXieLzW1yOY5rHw/edi"&amp;"t?usp=sharing"",""สิงห์บุรี!I661"")+IMPORTRANGE(""https://docs.google.com/spreadsheets/d/1H1EalTWKUSzO4Z1-1CwzoDUaVffgrThEBe2sl74kKG0/edit?usp=sharing"",""สุพรรณบุรี!I661"")+IMPORTRANGE(""https://docs.google.com/spreadsheets/d/1BmIruG_sIrJLYao_Pdr7zVArWsf"&amp;"oBt2692TMi6x_854/edit?usp=sharing"",""อ่างทอง!I661"")"),1250)</f>
        <v>1250</v>
      </c>
      <c r="J661" s="601">
        <f ca="1">J667+J670</f>
        <v>404.88</v>
      </c>
      <c r="K661" s="262">
        <f ca="1">IF(I661&gt;0,J661*100/I661,0)</f>
        <v>32.3904</v>
      </c>
      <c r="L661" s="85"/>
      <c r="M661" s="85"/>
      <c r="N661" s="730"/>
      <c r="O661" s="85"/>
      <c r="P661" s="85"/>
      <c r="Q661" s="84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f ca="1">IFERROR(__xludf.DUMMYFUNCTION("IMPORTRANGE(""https://docs.google.com/spreadsheets/d/13wPX838HrBrQMCywv1BsuMkt4PEKTChp52zj44s2izQ/edit?usp=sharing"",""กาญจนบุรี!J662"")+IMPORTRANGE(""https://docs.google.com/spreadsheets/d/1ddFKvqj1W1NEiWytbGlB1zMx_ykJDVtmfEQ-6-lIUBA/edit?usp=sharing"","&amp;"""จันทบุรี!J662"")+IMPORTRANGE(""https://docs.google.com/spreadsheets/d/1T1PQvRODqOBZk8BRht_U031fIS1beLA0Ub2CEytj2q0/edit?usp=sharing"",""ฉะเชิงเทรา!J662"")+IMPORTRANGE(""https://docs.google.com/spreadsheets/d/11tr1B-Bhyr79v2bkwVh5h_fR-PStkgjlZtkrZpYurG0/"&amp;"edit?usp=sharing"",""ชลบุรี!J662"")+IMPORTRANGE(""https://docs.google.com/spreadsheets/d/1hh-FVnSX0vozXhGluamEcS54Dw9_zqW0N7qJUWgJ0Sw/edit?usp=sharing"",""ชัยนาท!J662"")+IMPORTRANGE(""https://docs.google.com/spreadsheets/d/1jkqa6GXxSacMcY1eN8AHjMNJ_7dDXMJ"&amp;"VRLDlaFSOdPM/edit?usp=sharing"",""ตราด!J662"")+IMPORTRANGE(""https://docs.google.com/spreadsheets/d/18hSgUJ3VwClqi_qtULmmW3cLr0oe3OKaSYoKzdpTsYQ/edit?usp=sharing"",""นครนายก!J662"")+IMPORTRANGE(""https://docs.google.com/spreadsheets/d/1YTZo6WM2dQ6Ix6FSdnL"&amp;"5P7uVnVKu40sxZu975tgG10E/edit?usp=sharing"",""นครปฐม!J662"")+IMPORTRANGE(""https://docs.google.com/spreadsheets/d/1OYoGg4WDg5RIzwGeB10padOxJF9E_Vljuvvct_M7RDo/edit?usp=sharing"",""ปทุมธานี!J662"")+IMPORTRANGE(""https://docs.google.com/spreadsheets/d/1GbCI"&amp;"E4D4wk9FUozzqk7SxfDMxDVBwVmI5zcaVUSzKAc/edit?usp=sharing"",""ประจวบคีรีขันธ์!J662"")+IMPORTRANGE(""https://docs.google.com/spreadsheets/d/1vVf6wykvW_lAyu7Yo9L4hUTqHqIeP_qcVuxCtosJEbg/edit?usp=sharing"",""ปราจีนบุรี!J662"")+IMPORTRANGE(""https://docs.googl"&amp;"e.com/spreadsheets/d/1BIDqLLg5jk3v59G8NlR8rk5xfQDKne0sAvZHSj7TI6I/edit?usp=sharing"",""พระนครศรีอยุธยา!J662"")+IMPORTRANGE(""https://docs.google.com/spreadsheets/d/1YXvxf8Yu6_rV4hTBrwMqAcAnv6DfhUxh5emyM3CJp_w/edit?usp=sharing"",""เพชรบุรี!J662"")+IMPORTRA"&amp;"NGE(""https://docs.google.com/spreadsheets/d/19KBlQQs7uwvsao6t2n-KvW3Ax8J8uRRfZPq1zPbXgKc/edit?usp=sharing"",""ระยอง!J662"")+IMPORTRANGE(""https://docs.google.com/spreadsheets/d/1jQ6P4QcrGM89YfqcC_PxOHGCMq5ezhucwJd8ci-NHng/edit?usp=sharing"",""ราชบุรี!J66"&amp;"2"")+IMPORTRANGE(""https://docs.google.com/spreadsheets/d/1lufeA2cfFqM-elVq2hznhDzC6Pr7wkJ9ZG_sYNGCMCU/edit?usp=sharing"",""ลพบุรี!J662"")+IMPORTRANGE(""https://docs.google.com/spreadsheets/d/10oOiF7loTyfsTkbd4MpaIm0HQ9SwB7IYHdIUvt-U1Uc/edit?usp=sharing"""&amp;",""สระแก้ว!J662"")+IMPORTRANGE(""https://docs.google.com/spreadsheets/d/1xmPlrr1QbdSIKvl1dWUl9K4PjAfSL9oeMr_37QVzcxc/edit?usp=sharing"",""สระบุรี!J662"")+IMPORTRANGE(""https://docs.google.com/spreadsheets/d/1j51vR6CYVGhABJpv6tkstgok82RLpXieLzW1yOY5rHw/edi"&amp;"t?usp=sharing"",""สิงห์บุรี!J662"")+IMPORTRANGE(""https://docs.google.com/spreadsheets/d/1H1EalTWKUSzO4Z1-1CwzoDUaVffgrThEBe2sl74kKG0/edit?usp=sharing"",""สุพรรณบุรี!J662"")+IMPORTRANGE(""https://docs.google.com/spreadsheets/d/1BmIruG_sIrJLYao_Pdr7zVArWsf"&amp;"oBt2692TMi6x_854/edit?usp=sharing"",""อ่างทอง!J662"")"),1)</f>
        <v>1</v>
      </c>
      <c r="K662" s="85"/>
      <c r="L662" s="730"/>
      <c r="M662" s="85"/>
      <c r="N662" s="730"/>
      <c r="O662" s="85"/>
      <c r="P662" s="85"/>
      <c r="Q662" s="732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f ca="1">IFERROR(__xludf.DUMMYFUNCTION("IMPORTRANGE(""https://docs.google.com/spreadsheets/d/13wPX838HrBrQMCywv1BsuMkt4PEKTChp52zj44s2izQ/edit?usp=sharing"",""กาญจนบุรี!J663"")+IMPORTRANGE(""https://docs.google.com/spreadsheets/d/1ddFKvqj1W1NEiWytbGlB1zMx_ykJDVtmfEQ-6-lIUBA/edit?usp=sharing"","&amp;"""จันทบุรี!J663"")+IMPORTRANGE(""https://docs.google.com/spreadsheets/d/1T1PQvRODqOBZk8BRht_U031fIS1beLA0Ub2CEytj2q0/edit?usp=sharing"",""ฉะเชิงเทรา!J663"")+IMPORTRANGE(""https://docs.google.com/spreadsheets/d/11tr1B-Bhyr79v2bkwVh5h_fR-PStkgjlZtkrZpYurG0/"&amp;"edit?usp=sharing"",""ชลบุรี!J663"")+IMPORTRANGE(""https://docs.google.com/spreadsheets/d/1hh-FVnSX0vozXhGluamEcS54Dw9_zqW0N7qJUWgJ0Sw/edit?usp=sharing"",""ชัยนาท!J663"")+IMPORTRANGE(""https://docs.google.com/spreadsheets/d/1jkqa6GXxSacMcY1eN8AHjMNJ_7dDXMJ"&amp;"VRLDlaFSOdPM/edit?usp=sharing"",""ตราด!J663"")+IMPORTRANGE(""https://docs.google.com/spreadsheets/d/18hSgUJ3VwClqi_qtULmmW3cLr0oe3OKaSYoKzdpTsYQ/edit?usp=sharing"",""นครนายก!J663"")+IMPORTRANGE(""https://docs.google.com/spreadsheets/d/1YTZo6WM2dQ6Ix6FSdnL"&amp;"5P7uVnVKu40sxZu975tgG10E/edit?usp=sharing"",""นครปฐม!J663"")+IMPORTRANGE(""https://docs.google.com/spreadsheets/d/1OYoGg4WDg5RIzwGeB10padOxJF9E_Vljuvvct_M7RDo/edit?usp=sharing"",""ปทุมธานี!J663"")+IMPORTRANGE(""https://docs.google.com/spreadsheets/d/1GbCI"&amp;"E4D4wk9FUozzqk7SxfDMxDVBwVmI5zcaVUSzKAc/edit?usp=sharing"",""ประจวบคีรีขันธ์!J663"")+IMPORTRANGE(""https://docs.google.com/spreadsheets/d/1vVf6wykvW_lAyu7Yo9L4hUTqHqIeP_qcVuxCtosJEbg/edit?usp=sharing"",""ปราจีนบุรี!J663"")+IMPORTRANGE(""https://docs.googl"&amp;"e.com/spreadsheets/d/1BIDqLLg5jk3v59G8NlR8rk5xfQDKne0sAvZHSj7TI6I/edit?usp=sharing"",""พระนครศรีอยุธยา!J663"")+IMPORTRANGE(""https://docs.google.com/spreadsheets/d/1YXvxf8Yu6_rV4hTBrwMqAcAnv6DfhUxh5emyM3CJp_w/edit?usp=sharing"",""เพชรบุรี!J663"")+IMPORTRA"&amp;"NGE(""https://docs.google.com/spreadsheets/d/19KBlQQs7uwvsao6t2n-KvW3Ax8J8uRRfZPq1zPbXgKc/edit?usp=sharing"",""ระยอง!J663"")+IMPORTRANGE(""https://docs.google.com/spreadsheets/d/1jQ6P4QcrGM89YfqcC_PxOHGCMq5ezhucwJd8ci-NHng/edit?usp=sharing"",""ราชบุรี!J66"&amp;"3"")+IMPORTRANGE(""https://docs.google.com/spreadsheets/d/1lufeA2cfFqM-elVq2hznhDzC6Pr7wkJ9ZG_sYNGCMCU/edit?usp=sharing"",""ลพบุรี!J663"")+IMPORTRANGE(""https://docs.google.com/spreadsheets/d/10oOiF7loTyfsTkbd4MpaIm0HQ9SwB7IYHdIUvt-U1Uc/edit?usp=sharing"""&amp;",""สระแก้ว!J663"")+IMPORTRANGE(""https://docs.google.com/spreadsheets/d/1xmPlrr1QbdSIKvl1dWUl9K4PjAfSL9oeMr_37QVzcxc/edit?usp=sharing"",""สระบุรี!J663"")+IMPORTRANGE(""https://docs.google.com/spreadsheets/d/1j51vR6CYVGhABJpv6tkstgok82RLpXieLzW1yOY5rHw/edi"&amp;"t?usp=sharing"",""สิงห์บุรี!J663"")+IMPORTRANGE(""https://docs.google.com/spreadsheets/d/1H1EalTWKUSzO4Z1-1CwzoDUaVffgrThEBe2sl74kKG0/edit?usp=sharing"",""สุพรรณบุรี!J663"")+IMPORTRANGE(""https://docs.google.com/spreadsheets/d/1BmIruG_sIrJLYao_Pdr7zVArWsf"&amp;"oBt2692TMi6x_854/edit?usp=sharing"",""อ่างทอง!J663"")"),11)</f>
        <v>11</v>
      </c>
      <c r="K663" s="85"/>
      <c r="L663" s="730"/>
      <c r="M663" s="85"/>
      <c r="N663" s="730"/>
      <c r="O663" s="85"/>
      <c r="P663" s="85"/>
      <c r="Q663" s="732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0"/>
      <c r="M664" s="85"/>
      <c r="N664" s="730"/>
      <c r="O664" s="85"/>
      <c r="P664" s="85"/>
      <c r="Q664" s="732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f ca="1">IFERROR(__xludf.DUMMYFUNCTION("IMPORTRANGE(""https://docs.google.com/spreadsheets/d/13wPX838HrBrQMCywv1BsuMkt4PEKTChp52zj44s2izQ/edit?usp=sharing"",""กาญจนบุรี!J665"")+IMPORTRANGE(""https://docs.google.com/spreadsheets/d/1ddFKvqj1W1NEiWytbGlB1zMx_ykJDVtmfEQ-6-lIUBA/edit?usp=sharing"","&amp;"""จันทบุรี!J665"")+IMPORTRANGE(""https://docs.google.com/spreadsheets/d/1T1PQvRODqOBZk8BRht_U031fIS1beLA0Ub2CEytj2q0/edit?usp=sharing"",""ฉะเชิงเทรา!J665"")+IMPORTRANGE(""https://docs.google.com/spreadsheets/d/11tr1B-Bhyr79v2bkwVh5h_fR-PStkgjlZtkrZpYurG0/"&amp;"edit?usp=sharing"",""ชลบุรี!J665"")+IMPORTRANGE(""https://docs.google.com/spreadsheets/d/1hh-FVnSX0vozXhGluamEcS54Dw9_zqW0N7qJUWgJ0Sw/edit?usp=sharing"",""ชัยนาท!J665"")+IMPORTRANGE(""https://docs.google.com/spreadsheets/d/1jkqa6GXxSacMcY1eN8AHjMNJ_7dDXMJ"&amp;"VRLDlaFSOdPM/edit?usp=sharing"",""ตราด!J665"")+IMPORTRANGE(""https://docs.google.com/spreadsheets/d/18hSgUJ3VwClqi_qtULmmW3cLr0oe3OKaSYoKzdpTsYQ/edit?usp=sharing"",""นครนายก!J665"")+IMPORTRANGE(""https://docs.google.com/spreadsheets/d/1YTZo6WM2dQ6Ix6FSdnL"&amp;"5P7uVnVKu40sxZu975tgG10E/edit?usp=sharing"",""นครปฐม!J665"")+IMPORTRANGE(""https://docs.google.com/spreadsheets/d/1OYoGg4WDg5RIzwGeB10padOxJF9E_Vljuvvct_M7RDo/edit?usp=sharing"",""ปทุมธานี!J665"")+IMPORTRANGE(""https://docs.google.com/spreadsheets/d/1GbCI"&amp;"E4D4wk9FUozzqk7SxfDMxDVBwVmI5zcaVUSzKAc/edit?usp=sharing"",""ประจวบคีรีขันธ์!J665"")+IMPORTRANGE(""https://docs.google.com/spreadsheets/d/1vVf6wykvW_lAyu7Yo9L4hUTqHqIeP_qcVuxCtosJEbg/edit?usp=sharing"",""ปราจีนบุรี!J665"")+IMPORTRANGE(""https://docs.googl"&amp;"e.com/spreadsheets/d/1BIDqLLg5jk3v59G8NlR8rk5xfQDKne0sAvZHSj7TI6I/edit?usp=sharing"",""พระนครศรีอยุธยา!J665"")+IMPORTRANGE(""https://docs.google.com/spreadsheets/d/1YXvxf8Yu6_rV4hTBrwMqAcAnv6DfhUxh5emyM3CJp_w/edit?usp=sharing"",""เพชรบุรี!J665"")+IMPORTRA"&amp;"NGE(""https://docs.google.com/spreadsheets/d/19KBlQQs7uwvsao6t2n-KvW3Ax8J8uRRfZPq1zPbXgKc/edit?usp=sharing"",""ระยอง!J665"")+IMPORTRANGE(""https://docs.google.com/spreadsheets/d/1jQ6P4QcrGM89YfqcC_PxOHGCMq5ezhucwJd8ci-NHng/edit?usp=sharing"",""ราชบุรี!J66"&amp;"5"")+IMPORTRANGE(""https://docs.google.com/spreadsheets/d/1lufeA2cfFqM-elVq2hznhDzC6Pr7wkJ9ZG_sYNGCMCU/edit?usp=sharing"",""ลพบุรี!J665"")+IMPORTRANGE(""https://docs.google.com/spreadsheets/d/10oOiF7loTyfsTkbd4MpaIm0HQ9SwB7IYHdIUvt-U1Uc/edit?usp=sharing"""&amp;",""สระแก้ว!J665"")+IMPORTRANGE(""https://docs.google.com/spreadsheets/d/1xmPlrr1QbdSIKvl1dWUl9K4PjAfSL9oeMr_37QVzcxc/edit?usp=sharing"",""สระบุรี!J665"")+IMPORTRANGE(""https://docs.google.com/spreadsheets/d/1j51vR6CYVGhABJpv6tkstgok82RLpXieLzW1yOY5rHw/edi"&amp;"t?usp=sharing"",""สิงห์บุรี!J665"")+IMPORTRANGE(""https://docs.google.com/spreadsheets/d/1H1EalTWKUSzO4Z1-1CwzoDUaVffgrThEBe2sl74kKG0/edit?usp=sharing"",""สุพรรณบุรี!J665"")+IMPORTRANGE(""https://docs.google.com/spreadsheets/d/1BmIruG_sIrJLYao_Pdr7zVArWsf"&amp;"oBt2692TMi6x_854/edit?usp=sharing"",""อ่างทอง!J665"")"),23)</f>
        <v>23</v>
      </c>
      <c r="K665" s="85"/>
      <c r="L665" s="730"/>
      <c r="M665" s="85"/>
      <c r="N665" s="730"/>
      <c r="O665" s="85"/>
      <c r="P665" s="85"/>
      <c r="Q665" s="732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f ca="1">IFERROR(__xludf.DUMMYFUNCTION("IMPORTRANGE(""https://docs.google.com/spreadsheets/d/13wPX838HrBrQMCywv1BsuMkt4PEKTChp52zj44s2izQ/edit?usp=sharing"",""กาญจนบุรี!J666"")+IMPORTRANGE(""https://docs.google.com/spreadsheets/d/1ddFKvqj1W1NEiWytbGlB1zMx_ykJDVtmfEQ-6-lIUBA/edit?usp=sharing"","&amp;"""จันทบุรี!J666"")+IMPORTRANGE(""https://docs.google.com/spreadsheets/d/1T1PQvRODqOBZk8BRht_U031fIS1beLA0Ub2CEytj2q0/edit?usp=sharing"",""ฉะเชิงเทรา!J666"")+IMPORTRANGE(""https://docs.google.com/spreadsheets/d/11tr1B-Bhyr79v2bkwVh5h_fR-PStkgjlZtkrZpYurG0/"&amp;"edit?usp=sharing"",""ชลบุรี!J666"")+IMPORTRANGE(""https://docs.google.com/spreadsheets/d/1hh-FVnSX0vozXhGluamEcS54Dw9_zqW0N7qJUWgJ0Sw/edit?usp=sharing"",""ชัยนาท!J666"")+IMPORTRANGE(""https://docs.google.com/spreadsheets/d/1jkqa6GXxSacMcY1eN8AHjMNJ_7dDXMJ"&amp;"VRLDlaFSOdPM/edit?usp=sharing"",""ตราด!J666"")+IMPORTRANGE(""https://docs.google.com/spreadsheets/d/18hSgUJ3VwClqi_qtULmmW3cLr0oe3OKaSYoKzdpTsYQ/edit?usp=sharing"",""นครนายก!J666"")+IMPORTRANGE(""https://docs.google.com/spreadsheets/d/1YTZo6WM2dQ6Ix6FSdnL"&amp;"5P7uVnVKu40sxZu975tgG10E/edit?usp=sharing"",""นครปฐม!J666"")+IMPORTRANGE(""https://docs.google.com/spreadsheets/d/1OYoGg4WDg5RIzwGeB10padOxJF9E_Vljuvvct_M7RDo/edit?usp=sharing"",""ปทุมธานี!J666"")+IMPORTRANGE(""https://docs.google.com/spreadsheets/d/1GbCI"&amp;"E4D4wk9FUozzqk7SxfDMxDVBwVmI5zcaVUSzKAc/edit?usp=sharing"",""ประจวบคีรีขันธ์!J666"")+IMPORTRANGE(""https://docs.google.com/spreadsheets/d/1vVf6wykvW_lAyu7Yo9L4hUTqHqIeP_qcVuxCtosJEbg/edit?usp=sharing"",""ปราจีนบุรี!J666"")+IMPORTRANGE(""https://docs.googl"&amp;"e.com/spreadsheets/d/1BIDqLLg5jk3v59G8NlR8rk5xfQDKne0sAvZHSj7TI6I/edit?usp=sharing"",""พระนครศรีอยุธยา!J666"")+IMPORTRANGE(""https://docs.google.com/spreadsheets/d/1YXvxf8Yu6_rV4hTBrwMqAcAnv6DfhUxh5emyM3CJp_w/edit?usp=sharing"",""เพชรบุรี!J666"")+IMPORTRA"&amp;"NGE(""https://docs.google.com/spreadsheets/d/19KBlQQs7uwvsao6t2n-KvW3Ax8J8uRRfZPq1zPbXgKc/edit?usp=sharing"",""ระยอง!J666"")+IMPORTRANGE(""https://docs.google.com/spreadsheets/d/1jQ6P4QcrGM89YfqcC_PxOHGCMq5ezhucwJd8ci-NHng/edit?usp=sharing"",""ราชบุรี!J66"&amp;"6"")+IMPORTRANGE(""https://docs.google.com/spreadsheets/d/1lufeA2cfFqM-elVq2hznhDzC6Pr7wkJ9ZG_sYNGCMCU/edit?usp=sharing"",""ลพบุรี!J666"")+IMPORTRANGE(""https://docs.google.com/spreadsheets/d/10oOiF7loTyfsTkbd4MpaIm0HQ9SwB7IYHdIUvt-U1Uc/edit?usp=sharing"""&amp;",""สระแก้ว!J666"")+IMPORTRANGE(""https://docs.google.com/spreadsheets/d/1xmPlrr1QbdSIKvl1dWUl9K4PjAfSL9oeMr_37QVzcxc/edit?usp=sharing"",""สระบุรี!J666"")+IMPORTRANGE(""https://docs.google.com/spreadsheets/d/1j51vR6CYVGhABJpv6tkstgok82RLpXieLzW1yOY5rHw/edi"&amp;"t?usp=sharing"",""สิงห์บุรี!J666"")+IMPORTRANGE(""https://docs.google.com/spreadsheets/d/1H1EalTWKUSzO4Z1-1CwzoDUaVffgrThEBe2sl74kKG0/edit?usp=sharing"",""สุพรรณบุรี!J666"")+IMPORTRANGE(""https://docs.google.com/spreadsheets/d/1BmIruG_sIrJLYao_Pdr7zVArWsf"&amp;"oBt2692TMi6x_854/edit?usp=sharing"",""อ่างทอง!J666"")"),29)</f>
        <v>29</v>
      </c>
      <c r="K666" s="85"/>
      <c r="L666" s="730"/>
      <c r="M666" s="85"/>
      <c r="N666" s="730"/>
      <c r="O666" s="85"/>
      <c r="P666" s="85"/>
      <c r="Q666" s="732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f ca="1">IFERROR(__xludf.DUMMYFUNCTION("IMPORTRANGE(""https://docs.google.com/spreadsheets/d/13wPX838HrBrQMCywv1BsuMkt4PEKTChp52zj44s2izQ/edit?usp=sharing"",""กาญจนบุรี!J667"")+IMPORTRANGE(""https://docs.google.com/spreadsheets/d/1ddFKvqj1W1NEiWytbGlB1zMx_ykJDVtmfEQ-6-lIUBA/edit?usp=sharing"","&amp;"""จันทบุรี!J667"")+IMPORTRANGE(""https://docs.google.com/spreadsheets/d/1T1PQvRODqOBZk8BRht_U031fIS1beLA0Ub2CEytj2q0/edit?usp=sharing"",""ฉะเชิงเทรา!J667"")+IMPORTRANGE(""https://docs.google.com/spreadsheets/d/11tr1B-Bhyr79v2bkwVh5h_fR-PStkgjlZtkrZpYurG0/"&amp;"edit?usp=sharing"",""ชลบุรี!J667"")+IMPORTRANGE(""https://docs.google.com/spreadsheets/d/1hh-FVnSX0vozXhGluamEcS54Dw9_zqW0N7qJUWgJ0Sw/edit?usp=sharing"",""ชัยนาท!J667"")+IMPORTRANGE(""https://docs.google.com/spreadsheets/d/1jkqa6GXxSacMcY1eN8AHjMNJ_7dDXMJ"&amp;"VRLDlaFSOdPM/edit?usp=sharing"",""ตราด!J667"")+IMPORTRANGE(""https://docs.google.com/spreadsheets/d/18hSgUJ3VwClqi_qtULmmW3cLr0oe3OKaSYoKzdpTsYQ/edit?usp=sharing"",""นครนายก!J667"")+IMPORTRANGE(""https://docs.google.com/spreadsheets/d/1YTZo6WM2dQ6Ix6FSdnL"&amp;"5P7uVnVKu40sxZu975tgG10E/edit?usp=sharing"",""นครปฐม!J667"")+IMPORTRANGE(""https://docs.google.com/spreadsheets/d/1OYoGg4WDg5RIzwGeB10padOxJF9E_Vljuvvct_M7RDo/edit?usp=sharing"",""ปทุมธานี!J667"")+IMPORTRANGE(""https://docs.google.com/spreadsheets/d/1GbCI"&amp;"E4D4wk9FUozzqk7SxfDMxDVBwVmI5zcaVUSzKAc/edit?usp=sharing"",""ประจวบคีรีขันธ์!J667"")+IMPORTRANGE(""https://docs.google.com/spreadsheets/d/1vVf6wykvW_lAyu7Yo9L4hUTqHqIeP_qcVuxCtosJEbg/edit?usp=sharing"",""ปราจีนบุรี!J667"")+IMPORTRANGE(""https://docs.googl"&amp;"e.com/spreadsheets/d/1BIDqLLg5jk3v59G8NlR8rk5xfQDKne0sAvZHSj7TI6I/edit?usp=sharing"",""พระนครศรีอยุธยา!J667"")+IMPORTRANGE(""https://docs.google.com/spreadsheets/d/1YXvxf8Yu6_rV4hTBrwMqAcAnv6DfhUxh5emyM3CJp_w/edit?usp=sharing"",""เพชรบุรี!J667"")+IMPORTRA"&amp;"NGE(""https://docs.google.com/spreadsheets/d/19KBlQQs7uwvsao6t2n-KvW3Ax8J8uRRfZPq1zPbXgKc/edit?usp=sharing"",""ระยอง!J667"")+IMPORTRANGE(""https://docs.google.com/spreadsheets/d/1jQ6P4QcrGM89YfqcC_PxOHGCMq5ezhucwJd8ci-NHng/edit?usp=sharing"",""ราชบุรี!J66"&amp;"7"")+IMPORTRANGE(""https://docs.google.com/spreadsheets/d/1lufeA2cfFqM-elVq2hznhDzC6Pr7wkJ9ZG_sYNGCMCU/edit?usp=sharing"",""ลพบุรี!J667"")+IMPORTRANGE(""https://docs.google.com/spreadsheets/d/10oOiF7loTyfsTkbd4MpaIm0HQ9SwB7IYHdIUvt-U1Uc/edit?usp=sharing"""&amp;",""สระแก้ว!J667"")+IMPORTRANGE(""https://docs.google.com/spreadsheets/d/1xmPlrr1QbdSIKvl1dWUl9K4PjAfSL9oeMr_37QVzcxc/edit?usp=sharing"",""สระบุรี!J667"")+IMPORTRANGE(""https://docs.google.com/spreadsheets/d/1j51vR6CYVGhABJpv6tkstgok82RLpXieLzW1yOY5rHw/edi"&amp;"t?usp=sharing"",""สิงห์บุรี!J667"")+IMPORTRANGE(""https://docs.google.com/spreadsheets/d/1H1EalTWKUSzO4Z1-1CwzoDUaVffgrThEBe2sl74kKG0/edit?usp=sharing"",""สุพรรณบุรี!J667"")+IMPORTRANGE(""https://docs.google.com/spreadsheets/d/1BmIruG_sIrJLYao_Pdr7zVArWsf"&amp;"oBt2692TMi6x_854/edit?usp=sharing"",""อ่างทอง!J667"")"),362.88)</f>
        <v>362.88</v>
      </c>
      <c r="K667" s="85"/>
      <c r="L667" s="730"/>
      <c r="M667" s="85"/>
      <c r="N667" s="730"/>
      <c r="O667" s="85"/>
      <c r="P667" s="85"/>
      <c r="Q667" s="732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f ca="1">IFERROR(__xludf.DUMMYFUNCTION("IMPORTRANGE(""https://docs.google.com/spreadsheets/d/13wPX838HrBrQMCywv1BsuMkt4PEKTChp52zj44s2izQ/edit?usp=sharing"",""กาญจนบุรี!J668"")+IMPORTRANGE(""https://docs.google.com/spreadsheets/d/1ddFKvqj1W1NEiWytbGlB1zMx_ykJDVtmfEQ-6-lIUBA/edit?usp=sharing"","&amp;"""จันทบุรี!J668"")+IMPORTRANGE(""https://docs.google.com/spreadsheets/d/1T1PQvRODqOBZk8BRht_U031fIS1beLA0Ub2CEytj2q0/edit?usp=sharing"",""ฉะเชิงเทรา!J668"")+IMPORTRANGE(""https://docs.google.com/spreadsheets/d/11tr1B-Bhyr79v2bkwVh5h_fR-PStkgjlZtkrZpYurG0/"&amp;"edit?usp=sharing"",""ชลบุรี!J668"")+IMPORTRANGE(""https://docs.google.com/spreadsheets/d/1hh-FVnSX0vozXhGluamEcS54Dw9_zqW0N7qJUWgJ0Sw/edit?usp=sharing"",""ชัยนาท!J668"")+IMPORTRANGE(""https://docs.google.com/spreadsheets/d/1jkqa6GXxSacMcY1eN8AHjMNJ_7dDXMJ"&amp;"VRLDlaFSOdPM/edit?usp=sharing"",""ตราด!J668"")+IMPORTRANGE(""https://docs.google.com/spreadsheets/d/18hSgUJ3VwClqi_qtULmmW3cLr0oe3OKaSYoKzdpTsYQ/edit?usp=sharing"",""นครนายก!J668"")+IMPORTRANGE(""https://docs.google.com/spreadsheets/d/1YTZo6WM2dQ6Ix6FSdnL"&amp;"5P7uVnVKu40sxZu975tgG10E/edit?usp=sharing"",""นครปฐม!J668"")+IMPORTRANGE(""https://docs.google.com/spreadsheets/d/1OYoGg4WDg5RIzwGeB10padOxJF9E_Vljuvvct_M7RDo/edit?usp=sharing"",""ปทุมธานี!J668"")+IMPORTRANGE(""https://docs.google.com/spreadsheets/d/1GbCI"&amp;"E4D4wk9FUozzqk7SxfDMxDVBwVmI5zcaVUSzKAc/edit?usp=sharing"",""ประจวบคีรีขันธ์!J668"")+IMPORTRANGE(""https://docs.google.com/spreadsheets/d/1vVf6wykvW_lAyu7Yo9L4hUTqHqIeP_qcVuxCtosJEbg/edit?usp=sharing"",""ปราจีนบุรี!J668"")+IMPORTRANGE(""https://docs.googl"&amp;"e.com/spreadsheets/d/1BIDqLLg5jk3v59G8NlR8rk5xfQDKne0sAvZHSj7TI6I/edit?usp=sharing"",""พระนครศรีอยุธยา!J668"")+IMPORTRANGE(""https://docs.google.com/spreadsheets/d/1YXvxf8Yu6_rV4hTBrwMqAcAnv6DfhUxh5emyM3CJp_w/edit?usp=sharing"",""เพชรบุรี!J668"")+IMPORTRA"&amp;"NGE(""https://docs.google.com/spreadsheets/d/19KBlQQs7uwvsao6t2n-KvW3Ax8J8uRRfZPq1zPbXgKc/edit?usp=sharing"",""ระยอง!J668"")+IMPORTRANGE(""https://docs.google.com/spreadsheets/d/1jQ6P4QcrGM89YfqcC_PxOHGCMq5ezhucwJd8ci-NHng/edit?usp=sharing"",""ราชบุรี!J66"&amp;"8"")+IMPORTRANGE(""https://docs.google.com/spreadsheets/d/1lufeA2cfFqM-elVq2hznhDzC6Pr7wkJ9ZG_sYNGCMCU/edit?usp=sharing"",""ลพบุรี!J668"")+IMPORTRANGE(""https://docs.google.com/spreadsheets/d/10oOiF7loTyfsTkbd4MpaIm0HQ9SwB7IYHdIUvt-U1Uc/edit?usp=sharing"""&amp;",""สระแก้ว!J668"")+IMPORTRANGE(""https://docs.google.com/spreadsheets/d/1xmPlrr1QbdSIKvl1dWUl9K4PjAfSL9oeMr_37QVzcxc/edit?usp=sharing"",""สระบุรี!J668"")+IMPORTRANGE(""https://docs.google.com/spreadsheets/d/1j51vR6CYVGhABJpv6tkstgok82RLpXieLzW1yOY5rHw/edi"&amp;"t?usp=sharing"",""สิงห์บุรี!J668"")+IMPORTRANGE(""https://docs.google.com/spreadsheets/d/1H1EalTWKUSzO4Z1-1CwzoDUaVffgrThEBe2sl74kKG0/edit?usp=sharing"",""สุพรรณบุรี!J668"")+IMPORTRANGE(""https://docs.google.com/spreadsheets/d/1BmIruG_sIrJLYao_Pdr7zVArWsf"&amp;"oBt2692TMi6x_854/edit?usp=sharing"",""อ่างทอง!J668"")"),4)</f>
        <v>4</v>
      </c>
      <c r="K668" s="85"/>
      <c r="L668" s="730"/>
      <c r="M668" s="85"/>
      <c r="N668" s="730"/>
      <c r="O668" s="85"/>
      <c r="P668" s="85"/>
      <c r="Q668" s="732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f ca="1">IFERROR(__xludf.DUMMYFUNCTION("IMPORTRANGE(""https://docs.google.com/spreadsheets/d/13wPX838HrBrQMCywv1BsuMkt4PEKTChp52zj44s2izQ/edit?usp=sharing"",""กาญจนบุรี!J669"")+IMPORTRANGE(""https://docs.google.com/spreadsheets/d/1ddFKvqj1W1NEiWytbGlB1zMx_ykJDVtmfEQ-6-lIUBA/edit?usp=sharing"","&amp;"""จันทบุรี!J669"")+IMPORTRANGE(""https://docs.google.com/spreadsheets/d/1T1PQvRODqOBZk8BRht_U031fIS1beLA0Ub2CEytj2q0/edit?usp=sharing"",""ฉะเชิงเทรา!J669"")+IMPORTRANGE(""https://docs.google.com/spreadsheets/d/11tr1B-Bhyr79v2bkwVh5h_fR-PStkgjlZtkrZpYurG0/"&amp;"edit?usp=sharing"",""ชลบุรี!J669"")+IMPORTRANGE(""https://docs.google.com/spreadsheets/d/1hh-FVnSX0vozXhGluamEcS54Dw9_zqW0N7qJUWgJ0Sw/edit?usp=sharing"",""ชัยนาท!J669"")+IMPORTRANGE(""https://docs.google.com/spreadsheets/d/1jkqa6GXxSacMcY1eN8AHjMNJ_7dDXMJ"&amp;"VRLDlaFSOdPM/edit?usp=sharing"",""ตราด!J669"")+IMPORTRANGE(""https://docs.google.com/spreadsheets/d/18hSgUJ3VwClqi_qtULmmW3cLr0oe3OKaSYoKzdpTsYQ/edit?usp=sharing"",""นครนายก!J669"")+IMPORTRANGE(""https://docs.google.com/spreadsheets/d/1YTZo6WM2dQ6Ix6FSdnL"&amp;"5P7uVnVKu40sxZu975tgG10E/edit?usp=sharing"",""นครปฐม!J669"")+IMPORTRANGE(""https://docs.google.com/spreadsheets/d/1OYoGg4WDg5RIzwGeB10padOxJF9E_Vljuvvct_M7RDo/edit?usp=sharing"",""ปทุมธานี!J669"")+IMPORTRANGE(""https://docs.google.com/spreadsheets/d/1GbCI"&amp;"E4D4wk9FUozzqk7SxfDMxDVBwVmI5zcaVUSzKAc/edit?usp=sharing"",""ประจวบคีรีขันธ์!J669"")+IMPORTRANGE(""https://docs.google.com/spreadsheets/d/1vVf6wykvW_lAyu7Yo9L4hUTqHqIeP_qcVuxCtosJEbg/edit?usp=sharing"",""ปราจีนบุรี!J669"")+IMPORTRANGE(""https://docs.googl"&amp;"e.com/spreadsheets/d/1BIDqLLg5jk3v59G8NlR8rk5xfQDKne0sAvZHSj7TI6I/edit?usp=sharing"",""พระนครศรีอยุธยา!J669"")+IMPORTRANGE(""https://docs.google.com/spreadsheets/d/1YXvxf8Yu6_rV4hTBrwMqAcAnv6DfhUxh5emyM3CJp_w/edit?usp=sharing"",""เพชรบุรี!J669"")+IMPORTRA"&amp;"NGE(""https://docs.google.com/spreadsheets/d/19KBlQQs7uwvsao6t2n-KvW3Ax8J8uRRfZPq1zPbXgKc/edit?usp=sharing"",""ระยอง!J669"")+IMPORTRANGE(""https://docs.google.com/spreadsheets/d/1jQ6P4QcrGM89YfqcC_PxOHGCMq5ezhucwJd8ci-NHng/edit?usp=sharing"",""ราชบุรี!J66"&amp;"9"")+IMPORTRANGE(""https://docs.google.com/spreadsheets/d/1lufeA2cfFqM-elVq2hznhDzC6Pr7wkJ9ZG_sYNGCMCU/edit?usp=sharing"",""ลพบุรี!J669"")+IMPORTRANGE(""https://docs.google.com/spreadsheets/d/10oOiF7loTyfsTkbd4MpaIm0HQ9SwB7IYHdIUvt-U1Uc/edit?usp=sharing"""&amp;",""สระแก้ว!J669"")+IMPORTRANGE(""https://docs.google.com/spreadsheets/d/1xmPlrr1QbdSIKvl1dWUl9K4PjAfSL9oeMr_37QVzcxc/edit?usp=sharing"",""สระบุรี!J669"")+IMPORTRANGE(""https://docs.google.com/spreadsheets/d/1j51vR6CYVGhABJpv6tkstgok82RLpXieLzW1yOY5rHw/edi"&amp;"t?usp=sharing"",""สิงห์บุรี!J669"")+IMPORTRANGE(""https://docs.google.com/spreadsheets/d/1H1EalTWKUSzO4Z1-1CwzoDUaVffgrThEBe2sl74kKG0/edit?usp=sharing"",""สุพรรณบุรี!J669"")+IMPORTRANGE(""https://docs.google.com/spreadsheets/d/1BmIruG_sIrJLYao_Pdr7zVArWsf"&amp;"oBt2692TMi6x_854/edit?usp=sharing"",""อ่างทอง!J669"")"),4)</f>
        <v>4</v>
      </c>
      <c r="K669" s="85"/>
      <c r="L669" s="730"/>
      <c r="M669" s="85"/>
      <c r="N669" s="730"/>
      <c r="O669" s="85"/>
      <c r="P669" s="85"/>
      <c r="Q669" s="732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f ca="1">IFERROR(__xludf.DUMMYFUNCTION("IMPORTRANGE(""https://docs.google.com/spreadsheets/d/13wPX838HrBrQMCywv1BsuMkt4PEKTChp52zj44s2izQ/edit?usp=sharing"",""กาญจนบุรี!J670"")+IMPORTRANGE(""https://docs.google.com/spreadsheets/d/1ddFKvqj1W1NEiWytbGlB1zMx_ykJDVtmfEQ-6-lIUBA/edit?usp=sharing"","&amp;"""จันทบุรี!J670"")+IMPORTRANGE(""https://docs.google.com/spreadsheets/d/1T1PQvRODqOBZk8BRht_U031fIS1beLA0Ub2CEytj2q0/edit?usp=sharing"",""ฉะเชิงเทรา!J670"")+IMPORTRANGE(""https://docs.google.com/spreadsheets/d/11tr1B-Bhyr79v2bkwVh5h_fR-PStkgjlZtkrZpYurG0/"&amp;"edit?usp=sharing"",""ชลบุรี!J670"")+IMPORTRANGE(""https://docs.google.com/spreadsheets/d/1hh-FVnSX0vozXhGluamEcS54Dw9_zqW0N7qJUWgJ0Sw/edit?usp=sharing"",""ชัยนาท!J670"")+IMPORTRANGE(""https://docs.google.com/spreadsheets/d/1jkqa6GXxSacMcY1eN8AHjMNJ_7dDXMJ"&amp;"VRLDlaFSOdPM/edit?usp=sharing"",""ตราด!J670"")+IMPORTRANGE(""https://docs.google.com/spreadsheets/d/18hSgUJ3VwClqi_qtULmmW3cLr0oe3OKaSYoKzdpTsYQ/edit?usp=sharing"",""นครนายก!J670"")+IMPORTRANGE(""https://docs.google.com/spreadsheets/d/1YTZo6WM2dQ6Ix6FSdnL"&amp;"5P7uVnVKu40sxZu975tgG10E/edit?usp=sharing"",""นครปฐม!J670"")+IMPORTRANGE(""https://docs.google.com/spreadsheets/d/1OYoGg4WDg5RIzwGeB10padOxJF9E_Vljuvvct_M7RDo/edit?usp=sharing"",""ปทุมธานี!J670"")+IMPORTRANGE(""https://docs.google.com/spreadsheets/d/1GbCI"&amp;"E4D4wk9FUozzqk7SxfDMxDVBwVmI5zcaVUSzKAc/edit?usp=sharing"",""ประจวบคีรีขันธ์!J670"")+IMPORTRANGE(""https://docs.google.com/spreadsheets/d/1vVf6wykvW_lAyu7Yo9L4hUTqHqIeP_qcVuxCtosJEbg/edit?usp=sharing"",""ปราจีนบุรี!J670"")+IMPORTRANGE(""https://docs.googl"&amp;"e.com/spreadsheets/d/1BIDqLLg5jk3v59G8NlR8rk5xfQDKne0sAvZHSj7TI6I/edit?usp=sharing"",""พระนครศรีอยุธยา!J670"")+IMPORTRANGE(""https://docs.google.com/spreadsheets/d/1YXvxf8Yu6_rV4hTBrwMqAcAnv6DfhUxh5emyM3CJp_w/edit?usp=sharing"",""เพชรบุรี!J670"")+IMPORTRA"&amp;"NGE(""https://docs.google.com/spreadsheets/d/19KBlQQs7uwvsao6t2n-KvW3Ax8J8uRRfZPq1zPbXgKc/edit?usp=sharing"",""ระยอง!J670"")+IMPORTRANGE(""https://docs.google.com/spreadsheets/d/1jQ6P4QcrGM89YfqcC_PxOHGCMq5ezhucwJd8ci-NHng/edit?usp=sharing"",""ราชบุรี!J67"&amp;"0"")+IMPORTRANGE(""https://docs.google.com/spreadsheets/d/1lufeA2cfFqM-elVq2hznhDzC6Pr7wkJ9ZG_sYNGCMCU/edit?usp=sharing"",""ลพบุรี!J670"")+IMPORTRANGE(""https://docs.google.com/spreadsheets/d/10oOiF7loTyfsTkbd4MpaIm0HQ9SwB7IYHdIUvt-U1Uc/edit?usp=sharing"""&amp;",""สระแก้ว!J670"")+IMPORTRANGE(""https://docs.google.com/spreadsheets/d/1xmPlrr1QbdSIKvl1dWUl9K4PjAfSL9oeMr_37QVzcxc/edit?usp=sharing"",""สระบุรี!J670"")+IMPORTRANGE(""https://docs.google.com/spreadsheets/d/1j51vR6CYVGhABJpv6tkstgok82RLpXieLzW1yOY5rHw/edi"&amp;"t?usp=sharing"",""สิงห์บุรี!J670"")+IMPORTRANGE(""https://docs.google.com/spreadsheets/d/1H1EalTWKUSzO4Z1-1CwzoDUaVffgrThEBe2sl74kKG0/edit?usp=sharing"",""สุพรรณบุรี!J670"")+IMPORTRANGE(""https://docs.google.com/spreadsheets/d/1BmIruG_sIrJLYao_Pdr7zVArWsf"&amp;"oBt2692TMi6x_854/edit?usp=sharing"",""อ่างทอง!J670"")"),42)</f>
        <v>42</v>
      </c>
      <c r="K670" s="85"/>
      <c r="L670" s="730"/>
      <c r="M670" s="85"/>
      <c r="N670" s="730"/>
      <c r="O670" s="85"/>
      <c r="P670" s="85"/>
      <c r="Q670" s="732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13wPX838HrBrQMCywv1BsuMkt4PEKTChp52zj44s2izQ/edit?usp=sharing"",""กาญจนบุรี!J671"")+IMPORTRANGE(""https://docs.google.com/spreadsheets/d/1ddFKvqj1W1NEiWytbGlB1zMx_ykJDVtmfEQ-6-lIUBA/edit?usp=sharing"","&amp;"""จันทบุรี!J671"")+IMPORTRANGE(""https://docs.google.com/spreadsheets/d/1T1PQvRODqOBZk8BRht_U031fIS1beLA0Ub2CEytj2q0/edit?usp=sharing"",""ฉะเชิงเทรา!J671"")+IMPORTRANGE(""https://docs.google.com/spreadsheets/d/11tr1B-Bhyr79v2bkwVh5h_fR-PStkgjlZtkrZpYurG0/"&amp;"edit?usp=sharing"",""ชลบุรี!J671"")+IMPORTRANGE(""https://docs.google.com/spreadsheets/d/1hh-FVnSX0vozXhGluamEcS54Dw9_zqW0N7qJUWgJ0Sw/edit?usp=sharing"",""ชัยนาท!J671"")+IMPORTRANGE(""https://docs.google.com/spreadsheets/d/1jkqa6GXxSacMcY1eN8AHjMNJ_7dDXMJ"&amp;"VRLDlaFSOdPM/edit?usp=sharing"",""ตราด!J671"")+IMPORTRANGE(""https://docs.google.com/spreadsheets/d/18hSgUJ3VwClqi_qtULmmW3cLr0oe3OKaSYoKzdpTsYQ/edit?usp=sharing"",""นครนายก!J671"")+IMPORTRANGE(""https://docs.google.com/spreadsheets/d/1YTZo6WM2dQ6Ix6FSdnL"&amp;"5P7uVnVKu40sxZu975tgG10E/edit?usp=sharing"",""นครปฐม!J671"")+IMPORTRANGE(""https://docs.google.com/spreadsheets/d/1OYoGg4WDg5RIzwGeB10padOxJF9E_Vljuvvct_M7RDo/edit?usp=sharing"",""ปทุมธานี!J671"")+IMPORTRANGE(""https://docs.google.com/spreadsheets/d/1GbCI"&amp;"E4D4wk9FUozzqk7SxfDMxDVBwVmI5zcaVUSzKAc/edit?usp=sharing"",""ประจวบคีรีขันธ์!J671"")+IMPORTRANGE(""https://docs.google.com/spreadsheets/d/1vVf6wykvW_lAyu7Yo9L4hUTqHqIeP_qcVuxCtosJEbg/edit?usp=sharing"",""ปราจีนบุรี!J671"")+IMPORTRANGE(""https://docs.googl"&amp;"e.com/spreadsheets/d/1BIDqLLg5jk3v59G8NlR8rk5xfQDKne0sAvZHSj7TI6I/edit?usp=sharing"",""พระนครศรีอยุธยา!J671"")+IMPORTRANGE(""https://docs.google.com/spreadsheets/d/1YXvxf8Yu6_rV4hTBrwMqAcAnv6DfhUxh5emyM3CJp_w/edit?usp=sharing"",""เพชรบุรี!J671"")+IMPORTRA"&amp;"NGE(""https://docs.google.com/spreadsheets/d/19KBlQQs7uwvsao6t2n-KvW3Ax8J8uRRfZPq1zPbXgKc/edit?usp=sharing"",""ระยอง!J671"")+IMPORTRANGE(""https://docs.google.com/spreadsheets/d/1jQ6P4QcrGM89YfqcC_PxOHGCMq5ezhucwJd8ci-NHng/edit?usp=sharing"",""ราชบุรี!J67"&amp;"1"")+IMPORTRANGE(""https://docs.google.com/spreadsheets/d/1lufeA2cfFqM-elVq2hznhDzC6Pr7wkJ9ZG_sYNGCMCU/edit?usp=sharing"",""ลพบุรี!J671"")+IMPORTRANGE(""https://docs.google.com/spreadsheets/d/10oOiF7loTyfsTkbd4MpaIm0HQ9SwB7IYHdIUvt-U1Uc/edit?usp=sharing"""&amp;",""สระแก้ว!J671"")+IMPORTRANGE(""https://docs.google.com/spreadsheets/d/1xmPlrr1QbdSIKvl1dWUl9K4PjAfSL9oeMr_37QVzcxc/edit?usp=sharing"",""สระบุรี!J671"")+IMPORTRANGE(""https://docs.google.com/spreadsheets/d/1j51vR6CYVGhABJpv6tkstgok82RLpXieLzW1yOY5rHw/edi"&amp;"t?usp=sharing"",""สิงห์บุรี!J671"")+IMPORTRANGE(""https://docs.google.com/spreadsheets/d/1H1EalTWKUSzO4Z1-1CwzoDUaVffgrThEBe2sl74kKG0/edit?usp=sharing"",""สุพรรณบุรี!J671"")+IMPORTRANGE(""https://docs.google.com/spreadsheets/d/1BmIruG_sIrJLYao_Pdr7zVArWsf"&amp;"oBt2692TMi6x_854/edit?usp=sharing"",""อ่างทอง!J671"")"),100)</f>
        <v>100</v>
      </c>
      <c r="K671" s="85"/>
      <c r="L671" s="85"/>
      <c r="M671" s="85"/>
      <c r="N671" s="730"/>
      <c r="O671" s="85"/>
      <c r="P671" s="85"/>
      <c r="Q671" s="84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13wPX838HrBrQMCywv1BsuMkt4PEKTChp52zj44s2izQ/edit?usp=sharing"",""กาญจนบุรี!J672"")+IMPORTRANGE(""https://docs.google.com/spreadsheets/d/1ddFKvqj1W1NEiWytbGlB1zMx_ykJDVtmfEQ-6-lIUBA/edit?usp=sharing"","&amp;"""จันทบุรี!J672"")+IMPORTRANGE(""https://docs.google.com/spreadsheets/d/1T1PQvRODqOBZk8BRht_U031fIS1beLA0Ub2CEytj2q0/edit?usp=sharing"",""ฉะเชิงเทรา!J672"")+IMPORTRANGE(""https://docs.google.com/spreadsheets/d/11tr1B-Bhyr79v2bkwVh5h_fR-PStkgjlZtkrZpYurG0/"&amp;"edit?usp=sharing"",""ชลบุรี!J672"")+IMPORTRANGE(""https://docs.google.com/spreadsheets/d/1hh-FVnSX0vozXhGluamEcS54Dw9_zqW0N7qJUWgJ0Sw/edit?usp=sharing"",""ชัยนาท!J672"")+IMPORTRANGE(""https://docs.google.com/spreadsheets/d/1jkqa6GXxSacMcY1eN8AHjMNJ_7dDXMJ"&amp;"VRLDlaFSOdPM/edit?usp=sharing"",""ตราด!J672"")+IMPORTRANGE(""https://docs.google.com/spreadsheets/d/18hSgUJ3VwClqi_qtULmmW3cLr0oe3OKaSYoKzdpTsYQ/edit?usp=sharing"",""นครนายก!J672"")+IMPORTRANGE(""https://docs.google.com/spreadsheets/d/1YTZo6WM2dQ6Ix6FSdnL"&amp;"5P7uVnVKu40sxZu975tgG10E/edit?usp=sharing"",""นครปฐม!J672"")+IMPORTRANGE(""https://docs.google.com/spreadsheets/d/1OYoGg4WDg5RIzwGeB10padOxJF9E_Vljuvvct_M7RDo/edit?usp=sharing"",""ปทุมธานี!J672"")+IMPORTRANGE(""https://docs.google.com/spreadsheets/d/1GbCI"&amp;"E4D4wk9FUozzqk7SxfDMxDVBwVmI5zcaVUSzKAc/edit?usp=sharing"",""ประจวบคีรีขันธ์!J672"")+IMPORTRANGE(""https://docs.google.com/spreadsheets/d/1vVf6wykvW_lAyu7Yo9L4hUTqHqIeP_qcVuxCtosJEbg/edit?usp=sharing"",""ปราจีนบุรี!J672"")+IMPORTRANGE(""https://docs.googl"&amp;"e.com/spreadsheets/d/1BIDqLLg5jk3v59G8NlR8rk5xfQDKne0sAvZHSj7TI6I/edit?usp=sharing"",""พระนครศรีอยุธยา!J672"")+IMPORTRANGE(""https://docs.google.com/spreadsheets/d/1YXvxf8Yu6_rV4hTBrwMqAcAnv6DfhUxh5emyM3CJp_w/edit?usp=sharing"",""เพชรบุรี!J672"")+IMPORTRA"&amp;"NGE(""https://docs.google.com/spreadsheets/d/19KBlQQs7uwvsao6t2n-KvW3Ax8J8uRRfZPq1zPbXgKc/edit?usp=sharing"",""ระยอง!J672"")+IMPORTRANGE(""https://docs.google.com/spreadsheets/d/1jQ6P4QcrGM89YfqcC_PxOHGCMq5ezhucwJd8ci-NHng/edit?usp=sharing"",""ราชบุรี!J67"&amp;"2"")+IMPORTRANGE(""https://docs.google.com/spreadsheets/d/1lufeA2cfFqM-elVq2hznhDzC6Pr7wkJ9ZG_sYNGCMCU/edit?usp=sharing"",""ลพบุรี!J672"")+IMPORTRANGE(""https://docs.google.com/spreadsheets/d/10oOiF7loTyfsTkbd4MpaIm0HQ9SwB7IYHdIUvt-U1Uc/edit?usp=sharing"""&amp;",""สระแก้ว!J672"")+IMPORTRANGE(""https://docs.google.com/spreadsheets/d/1xmPlrr1QbdSIKvl1dWUl9K4PjAfSL9oeMr_37QVzcxc/edit?usp=sharing"",""สระบุรี!J672"")+IMPORTRANGE(""https://docs.google.com/spreadsheets/d/1j51vR6CYVGhABJpv6tkstgok82RLpXieLzW1yOY5rHw/edi"&amp;"t?usp=sharing"",""สิงห์บุรี!J672"")+IMPORTRANGE(""https://docs.google.com/spreadsheets/d/1H1EalTWKUSzO4Z1-1CwzoDUaVffgrThEBe2sl74kKG0/edit?usp=sharing"",""สุพรรณบุรี!J672"")+IMPORTRANGE(""https://docs.google.com/spreadsheets/d/1BmIruG_sIrJLYao_Pdr7zVArWsf"&amp;"oBt2692TMi6x_854/edit?usp=sharing"",""อ่างทอง!J672"")"),109)</f>
        <v>109</v>
      </c>
      <c r="K672" s="85"/>
      <c r="L672" s="730"/>
      <c r="M672" s="85"/>
      <c r="N672" s="730"/>
      <c r="O672" s="85"/>
      <c r="P672" s="85"/>
      <c r="Q672" s="732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13wPX838HrBrQMCywv1BsuMkt4PEKTChp52zj44s2izQ/edit?usp=sharing"",""กาญจนบุรี!I673"")+IMPORTRANGE(""https://docs.google.com/spreadsheets/d/1ddFKvqj1W1NEiWytbGlB1zMx_ykJDVtmfEQ-6-lIUBA/edit?usp=sharing"","&amp;"""จันทบุรี!I673"")+IMPORTRANGE(""https://docs.google.com/spreadsheets/d/1T1PQvRODqOBZk8BRht_U031fIS1beLA0Ub2CEytj2q0/edit?usp=sharing"",""ฉะเชิงเทรา!I673"")+IMPORTRANGE(""https://docs.google.com/spreadsheets/d/11tr1B-Bhyr79v2bkwVh5h_fR-PStkgjlZtkrZpYurG0/"&amp;"edit?usp=sharing"",""ชลบุรี!I673"")+IMPORTRANGE(""https://docs.google.com/spreadsheets/d/1hh-FVnSX0vozXhGluamEcS54Dw9_zqW0N7qJUWgJ0Sw/edit?usp=sharing"",""ชัยนาท!I673"")+IMPORTRANGE(""https://docs.google.com/spreadsheets/d/1jkqa6GXxSacMcY1eN8AHjMNJ_7dDXMJ"&amp;"VRLDlaFSOdPM/edit?usp=sharing"",""ตราด!I673"")+IMPORTRANGE(""https://docs.google.com/spreadsheets/d/18hSgUJ3VwClqi_qtULmmW3cLr0oe3OKaSYoKzdpTsYQ/edit?usp=sharing"",""นครนายก!I673"")+IMPORTRANGE(""https://docs.google.com/spreadsheets/d/1YTZo6WM2dQ6Ix6FSdnL"&amp;"5P7uVnVKu40sxZu975tgG10E/edit?usp=sharing"",""นครปฐม!I673"")+IMPORTRANGE(""https://docs.google.com/spreadsheets/d/1OYoGg4WDg5RIzwGeB10padOxJF9E_Vljuvvct_M7RDo/edit?usp=sharing"",""ปทุมธานี!I673"")+IMPORTRANGE(""https://docs.google.com/spreadsheets/d/1GbCI"&amp;"E4D4wk9FUozzqk7SxfDMxDVBwVmI5zcaVUSzKAc/edit?usp=sharing"",""ประจวบคีรีขันธ์!I673"")+IMPORTRANGE(""https://docs.google.com/spreadsheets/d/1vVf6wykvW_lAyu7Yo9L4hUTqHqIeP_qcVuxCtosJEbg/edit?usp=sharing"",""ปราจีนบุรี!I673"")+IMPORTRANGE(""https://docs.googl"&amp;"e.com/spreadsheets/d/1BIDqLLg5jk3v59G8NlR8rk5xfQDKne0sAvZHSj7TI6I/edit?usp=sharing"",""พระนครศรีอยุธยา!I673"")+IMPORTRANGE(""https://docs.google.com/spreadsheets/d/1YXvxf8Yu6_rV4hTBrwMqAcAnv6DfhUxh5emyM3CJp_w/edit?usp=sharing"",""เพชรบุรี!I673"")+IMPORTRA"&amp;"NGE(""https://docs.google.com/spreadsheets/d/19KBlQQs7uwvsao6t2n-KvW3Ax8J8uRRfZPq1zPbXgKc/edit?usp=sharing"",""ระยอง!I673"")+IMPORTRANGE(""https://docs.google.com/spreadsheets/d/1jQ6P4QcrGM89YfqcC_PxOHGCMq5ezhucwJd8ci-NHng/edit?usp=sharing"",""ราชบุรี!I67"&amp;"3"")+IMPORTRANGE(""https://docs.google.com/spreadsheets/d/1lufeA2cfFqM-elVq2hznhDzC6Pr7wkJ9ZG_sYNGCMCU/edit?usp=sharing"",""ลพบุรี!I673"")+IMPORTRANGE(""https://docs.google.com/spreadsheets/d/10oOiF7loTyfsTkbd4MpaIm0HQ9SwB7IYHdIUvt-U1Uc/edit?usp=sharing"""&amp;",""สระแก้ว!I673"")+IMPORTRANGE(""https://docs.google.com/spreadsheets/d/1xmPlrr1QbdSIKvl1dWUl9K4PjAfSL9oeMr_37QVzcxc/edit?usp=sharing"",""สระบุรี!I673"")+IMPORTRANGE(""https://docs.google.com/spreadsheets/d/1j51vR6CYVGhABJpv6tkstgok82RLpXieLzW1yOY5rHw/edi"&amp;"t?usp=sharing"",""สิงห์บุรี!I673"")+IMPORTRANGE(""https://docs.google.com/spreadsheets/d/1H1EalTWKUSzO4Z1-1CwzoDUaVffgrThEBe2sl74kKG0/edit?usp=sharing"",""สุพรรณบุรี!I673"")+IMPORTRANGE(""https://docs.google.com/spreadsheets/d/1BmIruG_sIrJLYao_Pdr7zVArWsf"&amp;"oBt2692TMi6x_854/edit?usp=sharing"",""อ่างทอง!I673"")"),2046)</f>
        <v>2046</v>
      </c>
      <c r="J673" s="291">
        <f ca="1">IFERROR(__xludf.DUMMYFUNCTION("IMPORTRANGE(""https://docs.google.com/spreadsheets/d/13wPX838HrBrQMCywv1BsuMkt4PEKTChp52zj44s2izQ/edit?usp=sharing"",""กาญจนบุรี!J673"")+IMPORTRANGE(""https://docs.google.com/spreadsheets/d/1ddFKvqj1W1NEiWytbGlB1zMx_ykJDVtmfEQ-6-lIUBA/edit?usp=sharing"","&amp;"""จันทบุรี!J673"")+IMPORTRANGE(""https://docs.google.com/spreadsheets/d/1T1PQvRODqOBZk8BRht_U031fIS1beLA0Ub2CEytj2q0/edit?usp=sharing"",""ฉะเชิงเทรา!J673"")+IMPORTRANGE(""https://docs.google.com/spreadsheets/d/11tr1B-Bhyr79v2bkwVh5h_fR-PStkgjlZtkrZpYurG0/"&amp;"edit?usp=sharing"",""ชลบุรี!J673"")+IMPORTRANGE(""https://docs.google.com/spreadsheets/d/1hh-FVnSX0vozXhGluamEcS54Dw9_zqW0N7qJUWgJ0Sw/edit?usp=sharing"",""ชัยนาท!J673"")+IMPORTRANGE(""https://docs.google.com/spreadsheets/d/1jkqa6GXxSacMcY1eN8AHjMNJ_7dDXMJ"&amp;"VRLDlaFSOdPM/edit?usp=sharing"",""ตราด!J673"")+IMPORTRANGE(""https://docs.google.com/spreadsheets/d/18hSgUJ3VwClqi_qtULmmW3cLr0oe3OKaSYoKzdpTsYQ/edit?usp=sharing"",""นครนายก!J673"")+IMPORTRANGE(""https://docs.google.com/spreadsheets/d/1YTZo6WM2dQ6Ix6FSdnL"&amp;"5P7uVnVKu40sxZu975tgG10E/edit?usp=sharing"",""นครปฐม!J673"")+IMPORTRANGE(""https://docs.google.com/spreadsheets/d/1OYoGg4WDg5RIzwGeB10padOxJF9E_Vljuvvct_M7RDo/edit?usp=sharing"",""ปทุมธานี!J673"")+IMPORTRANGE(""https://docs.google.com/spreadsheets/d/1GbCI"&amp;"E4D4wk9FUozzqk7SxfDMxDVBwVmI5zcaVUSzKAc/edit?usp=sharing"",""ประจวบคีรีขันธ์!J673"")+IMPORTRANGE(""https://docs.google.com/spreadsheets/d/1vVf6wykvW_lAyu7Yo9L4hUTqHqIeP_qcVuxCtosJEbg/edit?usp=sharing"",""ปราจีนบุรี!J673"")+IMPORTRANGE(""https://docs.googl"&amp;"e.com/spreadsheets/d/1BIDqLLg5jk3v59G8NlR8rk5xfQDKne0sAvZHSj7TI6I/edit?usp=sharing"",""พระนครศรีอยุธยา!J673"")+IMPORTRANGE(""https://docs.google.com/spreadsheets/d/1YXvxf8Yu6_rV4hTBrwMqAcAnv6DfhUxh5emyM3CJp_w/edit?usp=sharing"",""เพชรบุรี!J673"")+IMPORTRA"&amp;"NGE(""https://docs.google.com/spreadsheets/d/19KBlQQs7uwvsao6t2n-KvW3Ax8J8uRRfZPq1zPbXgKc/edit?usp=sharing"",""ระยอง!J673"")+IMPORTRANGE(""https://docs.google.com/spreadsheets/d/1jQ6P4QcrGM89YfqcC_PxOHGCMq5ezhucwJd8ci-NHng/edit?usp=sharing"",""ราชบุรี!J67"&amp;"3"")+IMPORTRANGE(""https://docs.google.com/spreadsheets/d/1lufeA2cfFqM-elVq2hznhDzC6Pr7wkJ9ZG_sYNGCMCU/edit?usp=sharing"",""ลพบุรี!J673"")+IMPORTRANGE(""https://docs.google.com/spreadsheets/d/10oOiF7loTyfsTkbd4MpaIm0HQ9SwB7IYHdIUvt-U1Uc/edit?usp=sharing"""&amp;",""สระแก้ว!J673"")+IMPORTRANGE(""https://docs.google.com/spreadsheets/d/1xmPlrr1QbdSIKvl1dWUl9K4PjAfSL9oeMr_37QVzcxc/edit?usp=sharing"",""สระบุรี!J673"")+IMPORTRANGE(""https://docs.google.com/spreadsheets/d/1j51vR6CYVGhABJpv6tkstgok82RLpXieLzW1yOY5rHw/edi"&amp;"t?usp=sharing"",""สิงห์บุรี!J673"")+IMPORTRANGE(""https://docs.google.com/spreadsheets/d/1H1EalTWKUSzO4Z1-1CwzoDUaVffgrThEBe2sl74kKG0/edit?usp=sharing"",""สุพรรณบุรี!J673"")+IMPORTRANGE(""https://docs.google.com/spreadsheets/d/1BmIruG_sIrJLYao_Pdr7zVArWsf"&amp;"oBt2692TMi6x_854/edit?usp=sharing"",""อ่างทอง!J673"")"),1232.43999999999)</f>
        <v>1232.4399999999901</v>
      </c>
      <c r="K673" s="72">
        <f t="shared" ref="K673:K676" ca="1" si="461">IF(I673&gt;0,J673*100/I673,0)</f>
        <v>60.236559139784461</v>
      </c>
      <c r="L673" s="730"/>
      <c r="M673" s="85"/>
      <c r="N673" s="730"/>
      <c r="O673" s="85"/>
      <c r="P673" s="85"/>
      <c r="Q673" s="732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13wPX838HrBrQMCywv1BsuMkt4PEKTChp52zj44s2izQ/edit?usp=sharing"",""กาญจนบุรี!I674"")+IMPORTRANGE(""https://docs.google.com/spreadsheets/d/1ddFKvqj1W1NEiWytbGlB1zMx_ykJDVtmfEQ-6-lIUBA/edit?usp=sharing"","&amp;"""จันทบุรี!I674"")+IMPORTRANGE(""https://docs.google.com/spreadsheets/d/1T1PQvRODqOBZk8BRht_U031fIS1beLA0Ub2CEytj2q0/edit?usp=sharing"",""ฉะเชิงเทรา!I674"")+IMPORTRANGE(""https://docs.google.com/spreadsheets/d/11tr1B-Bhyr79v2bkwVh5h_fR-PStkgjlZtkrZpYurG0/"&amp;"edit?usp=sharing"",""ชลบุรี!I674"")+IMPORTRANGE(""https://docs.google.com/spreadsheets/d/1hh-FVnSX0vozXhGluamEcS54Dw9_zqW0N7qJUWgJ0Sw/edit?usp=sharing"",""ชัยนาท!I674"")+IMPORTRANGE(""https://docs.google.com/spreadsheets/d/1jkqa6GXxSacMcY1eN8AHjMNJ_7dDXMJ"&amp;"VRLDlaFSOdPM/edit?usp=sharing"",""ตราด!I674"")+IMPORTRANGE(""https://docs.google.com/spreadsheets/d/18hSgUJ3VwClqi_qtULmmW3cLr0oe3OKaSYoKzdpTsYQ/edit?usp=sharing"",""นครนายก!I674"")+IMPORTRANGE(""https://docs.google.com/spreadsheets/d/1YTZo6WM2dQ6Ix6FSdnL"&amp;"5P7uVnVKu40sxZu975tgG10E/edit?usp=sharing"",""นครปฐม!I674"")+IMPORTRANGE(""https://docs.google.com/spreadsheets/d/1OYoGg4WDg5RIzwGeB10padOxJF9E_Vljuvvct_M7RDo/edit?usp=sharing"",""ปทุมธานี!I674"")+IMPORTRANGE(""https://docs.google.com/spreadsheets/d/1GbCI"&amp;"E4D4wk9FUozzqk7SxfDMxDVBwVmI5zcaVUSzKAc/edit?usp=sharing"",""ประจวบคีรีขันธ์!I674"")+IMPORTRANGE(""https://docs.google.com/spreadsheets/d/1vVf6wykvW_lAyu7Yo9L4hUTqHqIeP_qcVuxCtosJEbg/edit?usp=sharing"",""ปราจีนบุรี!I674"")+IMPORTRANGE(""https://docs.googl"&amp;"e.com/spreadsheets/d/1BIDqLLg5jk3v59G8NlR8rk5xfQDKne0sAvZHSj7TI6I/edit?usp=sharing"",""พระนครศรีอยุธยา!I674"")+IMPORTRANGE(""https://docs.google.com/spreadsheets/d/1YXvxf8Yu6_rV4hTBrwMqAcAnv6DfhUxh5emyM3CJp_w/edit?usp=sharing"",""เพชรบุรี!I674"")+IMPORTRA"&amp;"NGE(""https://docs.google.com/spreadsheets/d/19KBlQQs7uwvsao6t2n-KvW3Ax8J8uRRfZPq1zPbXgKc/edit?usp=sharing"",""ระยอง!I674"")+IMPORTRANGE(""https://docs.google.com/spreadsheets/d/1jQ6P4QcrGM89YfqcC_PxOHGCMq5ezhucwJd8ci-NHng/edit?usp=sharing"",""ราชบุรี!I67"&amp;"4"")+IMPORTRANGE(""https://docs.google.com/spreadsheets/d/1lufeA2cfFqM-elVq2hznhDzC6Pr7wkJ9ZG_sYNGCMCU/edit?usp=sharing"",""ลพบุรี!I674"")+IMPORTRANGE(""https://docs.google.com/spreadsheets/d/10oOiF7loTyfsTkbd4MpaIm0HQ9SwB7IYHdIUvt-U1Uc/edit?usp=sharing"""&amp;",""สระแก้ว!I674"")+IMPORTRANGE(""https://docs.google.com/spreadsheets/d/1xmPlrr1QbdSIKvl1dWUl9K4PjAfSL9oeMr_37QVzcxc/edit?usp=sharing"",""สระบุรี!I674"")+IMPORTRANGE(""https://docs.google.com/spreadsheets/d/1j51vR6CYVGhABJpv6tkstgok82RLpXieLzW1yOY5rHw/edi"&amp;"t?usp=sharing"",""สิงห์บุรี!I674"")+IMPORTRANGE(""https://docs.google.com/spreadsheets/d/1H1EalTWKUSzO4Z1-1CwzoDUaVffgrThEBe2sl74kKG0/edit?usp=sharing"",""สุพรรณบุรี!I674"")+IMPORTRANGE(""https://docs.google.com/spreadsheets/d/1BmIruG_sIrJLYao_Pdr7zVArWsf"&amp;"oBt2692TMi6x_854/edit?usp=sharing"",""อ่างทอง!I674"")"),268)</f>
        <v>268</v>
      </c>
      <c r="J674" s="601">
        <f ca="1">J676+J679</f>
        <v>172</v>
      </c>
      <c r="K674" s="262">
        <f t="shared" ca="1" si="461"/>
        <v>64.179104477611943</v>
      </c>
      <c r="L674" s="730"/>
      <c r="M674" s="85"/>
      <c r="N674" s="730"/>
      <c r="O674" s="85"/>
      <c r="P674" s="85"/>
      <c r="Q674" s="732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13wPX838HrBrQMCywv1BsuMkt4PEKTChp52zj44s2izQ/edit?usp=sharing"",""กาญจนบุรี!I675"")+IMPORTRANGE(""https://docs.google.com/spreadsheets/d/1ddFKvqj1W1NEiWytbGlB1zMx_ykJDVtmfEQ-6-lIUBA/edit?usp=sharing"","&amp;"""จันทบุรี!I675"")+IMPORTRANGE(""https://docs.google.com/spreadsheets/d/1T1PQvRODqOBZk8BRht_U031fIS1beLA0Ub2CEytj2q0/edit?usp=sharing"",""ฉะเชิงเทรา!I675"")+IMPORTRANGE(""https://docs.google.com/spreadsheets/d/11tr1B-Bhyr79v2bkwVh5h_fR-PStkgjlZtkrZpYurG0/"&amp;"edit?usp=sharing"",""ชลบุรี!I675"")+IMPORTRANGE(""https://docs.google.com/spreadsheets/d/1hh-FVnSX0vozXhGluamEcS54Dw9_zqW0N7qJUWgJ0Sw/edit?usp=sharing"",""ชัยนาท!I675"")+IMPORTRANGE(""https://docs.google.com/spreadsheets/d/1jkqa6GXxSacMcY1eN8AHjMNJ_7dDXMJ"&amp;"VRLDlaFSOdPM/edit?usp=sharing"",""ตราด!I675"")+IMPORTRANGE(""https://docs.google.com/spreadsheets/d/18hSgUJ3VwClqi_qtULmmW3cLr0oe3OKaSYoKzdpTsYQ/edit?usp=sharing"",""นครนายก!I675"")+IMPORTRANGE(""https://docs.google.com/spreadsheets/d/1YTZo6WM2dQ6Ix6FSdnL"&amp;"5P7uVnVKu40sxZu975tgG10E/edit?usp=sharing"",""นครปฐม!I675"")+IMPORTRANGE(""https://docs.google.com/spreadsheets/d/1OYoGg4WDg5RIzwGeB10padOxJF9E_Vljuvvct_M7RDo/edit?usp=sharing"",""ปทุมธานี!I675"")+IMPORTRANGE(""https://docs.google.com/spreadsheets/d/1GbCI"&amp;"E4D4wk9FUozzqk7SxfDMxDVBwVmI5zcaVUSzKAc/edit?usp=sharing"",""ประจวบคีรีขันธ์!I675"")+IMPORTRANGE(""https://docs.google.com/spreadsheets/d/1vVf6wykvW_lAyu7Yo9L4hUTqHqIeP_qcVuxCtosJEbg/edit?usp=sharing"",""ปราจีนบุรี!I675"")+IMPORTRANGE(""https://docs.googl"&amp;"e.com/spreadsheets/d/1BIDqLLg5jk3v59G8NlR8rk5xfQDKne0sAvZHSj7TI6I/edit?usp=sharing"",""พระนครศรีอยุธยา!I675"")+IMPORTRANGE(""https://docs.google.com/spreadsheets/d/1YXvxf8Yu6_rV4hTBrwMqAcAnv6DfhUxh5emyM3CJp_w/edit?usp=sharing"",""เพชรบุรี!I675"")+IMPORTRA"&amp;"NGE(""https://docs.google.com/spreadsheets/d/19KBlQQs7uwvsao6t2n-KvW3Ax8J8uRRfZPq1zPbXgKc/edit?usp=sharing"",""ระยอง!I675"")+IMPORTRANGE(""https://docs.google.com/spreadsheets/d/1jQ6P4QcrGM89YfqcC_PxOHGCMq5ezhucwJd8ci-NHng/edit?usp=sharing"",""ราชบุรี!I67"&amp;"5"")+IMPORTRANGE(""https://docs.google.com/spreadsheets/d/1lufeA2cfFqM-elVq2hznhDzC6Pr7wkJ9ZG_sYNGCMCU/edit?usp=sharing"",""ลพบุรี!I675"")+IMPORTRANGE(""https://docs.google.com/spreadsheets/d/10oOiF7loTyfsTkbd4MpaIm0HQ9SwB7IYHdIUvt-U1Uc/edit?usp=sharing"""&amp;",""สระแก้ว!I675"")+IMPORTRANGE(""https://docs.google.com/spreadsheets/d/1xmPlrr1QbdSIKvl1dWUl9K4PjAfSL9oeMr_37QVzcxc/edit?usp=sharing"",""สระบุรี!I675"")+IMPORTRANGE(""https://docs.google.com/spreadsheets/d/1j51vR6CYVGhABJpv6tkstgok82RLpXieLzW1yOY5rHw/edi"&amp;"t?usp=sharing"",""สิงห์บุรี!I675"")+IMPORTRANGE(""https://docs.google.com/spreadsheets/d/1H1EalTWKUSzO4Z1-1CwzoDUaVffgrThEBe2sl74kKG0/edit?usp=sharing"",""สุพรรณบุรี!I675"")+IMPORTRANGE(""https://docs.google.com/spreadsheets/d/1BmIruG_sIrJLYao_Pdr7zVArWsf"&amp;"oBt2692TMi6x_854/edit?usp=sharing"",""อ่างทอง!I675"")"),2703)</f>
        <v>2703</v>
      </c>
      <c r="J675" s="601">
        <f ca="1">J678+J681</f>
        <v>1544.359999999999</v>
      </c>
      <c r="K675" s="262">
        <f t="shared" ca="1" si="461"/>
        <v>57.135035146133895</v>
      </c>
      <c r="L675" s="85"/>
      <c r="M675" s="85"/>
      <c r="N675" s="730"/>
      <c r="O675" s="85"/>
      <c r="P675" s="85"/>
      <c r="Q675" s="84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13wPX838HrBrQMCywv1BsuMkt4PEKTChp52zj44s2izQ/edit?usp=sharing"",""กาญจนบุรี!I676"")+IMPORTRANGE(""https://docs.google.com/spreadsheets/d/1ddFKvqj1W1NEiWytbGlB1zMx_ykJDVtmfEQ-6-lIUBA/edit?usp=sharing"","&amp;"""จันทบุรี!I676"")+IMPORTRANGE(""https://docs.google.com/spreadsheets/d/1T1PQvRODqOBZk8BRht_U031fIS1beLA0Ub2CEytj2q0/edit?usp=sharing"",""ฉะเชิงเทรา!I676"")+IMPORTRANGE(""https://docs.google.com/spreadsheets/d/11tr1B-Bhyr79v2bkwVh5h_fR-PStkgjlZtkrZpYurG0/"&amp;"edit?usp=sharing"",""ชลบุรี!I676"")+IMPORTRANGE(""https://docs.google.com/spreadsheets/d/1hh-FVnSX0vozXhGluamEcS54Dw9_zqW0N7qJUWgJ0Sw/edit?usp=sharing"",""ชัยนาท!I676"")+IMPORTRANGE(""https://docs.google.com/spreadsheets/d/1jkqa6GXxSacMcY1eN8AHjMNJ_7dDXMJ"&amp;"VRLDlaFSOdPM/edit?usp=sharing"",""ตราด!I676"")+IMPORTRANGE(""https://docs.google.com/spreadsheets/d/18hSgUJ3VwClqi_qtULmmW3cLr0oe3OKaSYoKzdpTsYQ/edit?usp=sharing"",""นครนายก!I676"")+IMPORTRANGE(""https://docs.google.com/spreadsheets/d/1YTZo6WM2dQ6Ix6FSdnL"&amp;"5P7uVnVKu40sxZu975tgG10E/edit?usp=sharing"",""นครปฐม!I676"")+IMPORTRANGE(""https://docs.google.com/spreadsheets/d/1OYoGg4WDg5RIzwGeB10padOxJF9E_Vljuvvct_M7RDo/edit?usp=sharing"",""ปทุมธานี!I676"")+IMPORTRANGE(""https://docs.google.com/spreadsheets/d/1GbCI"&amp;"E4D4wk9FUozzqk7SxfDMxDVBwVmI5zcaVUSzKAc/edit?usp=sharing"",""ประจวบคีรีขันธ์!I676"")+IMPORTRANGE(""https://docs.google.com/spreadsheets/d/1vVf6wykvW_lAyu7Yo9L4hUTqHqIeP_qcVuxCtosJEbg/edit?usp=sharing"",""ปราจีนบุรี!I676"")+IMPORTRANGE(""https://docs.googl"&amp;"e.com/spreadsheets/d/1BIDqLLg5jk3v59G8NlR8rk5xfQDKne0sAvZHSj7TI6I/edit?usp=sharing"",""พระนครศรีอยุธยา!I676"")+IMPORTRANGE(""https://docs.google.com/spreadsheets/d/1YXvxf8Yu6_rV4hTBrwMqAcAnv6DfhUxh5emyM3CJp_w/edit?usp=sharing"",""เพชรบุรี!I676"")+IMPORTRA"&amp;"NGE(""https://docs.google.com/spreadsheets/d/19KBlQQs7uwvsao6t2n-KvW3Ax8J8uRRfZPq1zPbXgKc/edit?usp=sharing"",""ระยอง!I676"")+IMPORTRANGE(""https://docs.google.com/spreadsheets/d/1jQ6P4QcrGM89YfqcC_PxOHGCMq5ezhucwJd8ci-NHng/edit?usp=sharing"",""ราชบุรี!I67"&amp;"6"")+IMPORTRANGE(""https://docs.google.com/spreadsheets/d/1lufeA2cfFqM-elVq2hznhDzC6Pr7wkJ9ZG_sYNGCMCU/edit?usp=sharing"",""ลพบุรี!I676"")+IMPORTRANGE(""https://docs.google.com/spreadsheets/d/10oOiF7loTyfsTkbd4MpaIm0HQ9SwB7IYHdIUvt-U1Uc/edit?usp=sharing"""&amp;",""สระแก้ว!I676"")+IMPORTRANGE(""https://docs.google.com/spreadsheets/d/1xmPlrr1QbdSIKvl1dWUl9K4PjAfSL9oeMr_37QVzcxc/edit?usp=sharing"",""สระบุรี!I676"")+IMPORTRANGE(""https://docs.google.com/spreadsheets/d/1j51vR6CYVGhABJpv6tkstgok82RLpXieLzW1yOY5rHw/edi"&amp;"t?usp=sharing"",""สิงห์บุรี!I676"")+IMPORTRANGE(""https://docs.google.com/spreadsheets/d/1H1EalTWKUSzO4Z1-1CwzoDUaVffgrThEBe2sl74kKG0/edit?usp=sharing"",""สุพรรณบุรี!I676"")+IMPORTRANGE(""https://docs.google.com/spreadsheets/d/1BmIruG_sIrJLYao_Pdr7zVArWsf"&amp;"oBt2692TMi6x_854/edit?usp=sharing"",""อ่างทอง!I676"")"),173)</f>
        <v>173</v>
      </c>
      <c r="J676" s="291">
        <f ca="1">IFERROR(__xludf.DUMMYFUNCTION("IMPORTRANGE(""https://docs.google.com/spreadsheets/d/13wPX838HrBrQMCywv1BsuMkt4PEKTChp52zj44s2izQ/edit?usp=sharing"",""กาญจนบุรี!J676"")+IMPORTRANGE(""https://docs.google.com/spreadsheets/d/1ddFKvqj1W1NEiWytbGlB1zMx_ykJDVtmfEQ-6-lIUBA/edit?usp=sharing"","&amp;"""จันทบุรี!J676"")+IMPORTRANGE(""https://docs.google.com/spreadsheets/d/1T1PQvRODqOBZk8BRht_U031fIS1beLA0Ub2CEytj2q0/edit?usp=sharing"",""ฉะเชิงเทรา!J676"")+IMPORTRANGE(""https://docs.google.com/spreadsheets/d/11tr1B-Bhyr79v2bkwVh5h_fR-PStkgjlZtkrZpYurG0/"&amp;"edit?usp=sharing"",""ชลบุรี!J676"")+IMPORTRANGE(""https://docs.google.com/spreadsheets/d/1hh-FVnSX0vozXhGluamEcS54Dw9_zqW0N7qJUWgJ0Sw/edit?usp=sharing"",""ชัยนาท!J676"")+IMPORTRANGE(""https://docs.google.com/spreadsheets/d/1jkqa6GXxSacMcY1eN8AHjMNJ_7dDXMJ"&amp;"VRLDlaFSOdPM/edit?usp=sharing"",""ตราด!J676"")+IMPORTRANGE(""https://docs.google.com/spreadsheets/d/18hSgUJ3VwClqi_qtULmmW3cLr0oe3OKaSYoKzdpTsYQ/edit?usp=sharing"",""นครนายก!J676"")+IMPORTRANGE(""https://docs.google.com/spreadsheets/d/1YTZo6WM2dQ6Ix6FSdnL"&amp;"5P7uVnVKu40sxZu975tgG10E/edit?usp=sharing"",""นครปฐม!J676"")+IMPORTRANGE(""https://docs.google.com/spreadsheets/d/1OYoGg4WDg5RIzwGeB10padOxJF9E_Vljuvvct_M7RDo/edit?usp=sharing"",""ปทุมธานี!J676"")+IMPORTRANGE(""https://docs.google.com/spreadsheets/d/1GbCI"&amp;"E4D4wk9FUozzqk7SxfDMxDVBwVmI5zcaVUSzKAc/edit?usp=sharing"",""ประจวบคีรีขันธ์!J676"")+IMPORTRANGE(""https://docs.google.com/spreadsheets/d/1vVf6wykvW_lAyu7Yo9L4hUTqHqIeP_qcVuxCtosJEbg/edit?usp=sharing"",""ปราจีนบุรี!J676"")+IMPORTRANGE(""https://docs.googl"&amp;"e.com/spreadsheets/d/1BIDqLLg5jk3v59G8NlR8rk5xfQDKne0sAvZHSj7TI6I/edit?usp=sharing"",""พระนครศรีอยุธยา!J676"")+IMPORTRANGE(""https://docs.google.com/spreadsheets/d/1YXvxf8Yu6_rV4hTBrwMqAcAnv6DfhUxh5emyM3CJp_w/edit?usp=sharing"",""เพชรบุรี!J676"")+IMPORTRA"&amp;"NGE(""https://docs.google.com/spreadsheets/d/19KBlQQs7uwvsao6t2n-KvW3Ax8J8uRRfZPq1zPbXgKc/edit?usp=sharing"",""ระยอง!J676"")+IMPORTRANGE(""https://docs.google.com/spreadsheets/d/1jQ6P4QcrGM89YfqcC_PxOHGCMq5ezhucwJd8ci-NHng/edit?usp=sharing"",""ราชบุรี!J67"&amp;"6"")+IMPORTRANGE(""https://docs.google.com/spreadsheets/d/1lufeA2cfFqM-elVq2hznhDzC6Pr7wkJ9ZG_sYNGCMCU/edit?usp=sharing"",""ลพบุรี!J676"")+IMPORTRANGE(""https://docs.google.com/spreadsheets/d/10oOiF7loTyfsTkbd4MpaIm0HQ9SwB7IYHdIUvt-U1Uc/edit?usp=sharing"""&amp;",""สระแก้ว!J676"")+IMPORTRANGE(""https://docs.google.com/spreadsheets/d/1xmPlrr1QbdSIKvl1dWUl9K4PjAfSL9oeMr_37QVzcxc/edit?usp=sharing"",""สระบุรี!J676"")+IMPORTRANGE(""https://docs.google.com/spreadsheets/d/1j51vR6CYVGhABJpv6tkstgok82RLpXieLzW1yOY5rHw/edi"&amp;"t?usp=sharing"",""สิงห์บุรี!J676"")+IMPORTRANGE(""https://docs.google.com/spreadsheets/d/1H1EalTWKUSzO4Z1-1CwzoDUaVffgrThEBe2sl74kKG0/edit?usp=sharing"",""สุพรรณบุรี!J676"")+IMPORTRANGE(""https://docs.google.com/spreadsheets/d/1BmIruG_sIrJLYao_Pdr7zVArWsf"&amp;"oBt2692TMi6x_854/edit?usp=sharing"",""อ่างทอง!J676"")"),81)</f>
        <v>81</v>
      </c>
      <c r="K676" s="72">
        <f t="shared" ca="1" si="461"/>
        <v>46.820809248554916</v>
      </c>
      <c r="L676" s="85"/>
      <c r="M676" s="85"/>
      <c r="N676" s="730"/>
      <c r="O676" s="85"/>
      <c r="P676" s="85"/>
      <c r="Q676" s="84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13wPX838HrBrQMCywv1BsuMkt4PEKTChp52zj44s2izQ/edit?usp=sharing"",""กาญจนบุรี!J677"")+IMPORTRANGE(""https://docs.google.com/spreadsheets/d/1ddFKvqj1W1NEiWytbGlB1zMx_ykJDVtmfEQ-6-lIUBA/edit?usp=sharing"","&amp;"""จันทบุรี!J677"")+IMPORTRANGE(""https://docs.google.com/spreadsheets/d/1T1PQvRODqOBZk8BRht_U031fIS1beLA0Ub2CEytj2q0/edit?usp=sharing"",""ฉะเชิงเทรา!J677"")+IMPORTRANGE(""https://docs.google.com/spreadsheets/d/11tr1B-Bhyr79v2bkwVh5h_fR-PStkgjlZtkrZpYurG0/"&amp;"edit?usp=sharing"",""ชลบุรี!J677"")+IMPORTRANGE(""https://docs.google.com/spreadsheets/d/1hh-FVnSX0vozXhGluamEcS54Dw9_zqW0N7qJUWgJ0Sw/edit?usp=sharing"",""ชัยนาท!J677"")+IMPORTRANGE(""https://docs.google.com/spreadsheets/d/1jkqa6GXxSacMcY1eN8AHjMNJ_7dDXMJ"&amp;"VRLDlaFSOdPM/edit?usp=sharing"",""ตราด!J677"")+IMPORTRANGE(""https://docs.google.com/spreadsheets/d/18hSgUJ3VwClqi_qtULmmW3cLr0oe3OKaSYoKzdpTsYQ/edit?usp=sharing"",""นครนายก!J677"")+IMPORTRANGE(""https://docs.google.com/spreadsheets/d/1YTZo6WM2dQ6Ix6FSdnL"&amp;"5P7uVnVKu40sxZu975tgG10E/edit?usp=sharing"",""นครปฐม!J677"")+IMPORTRANGE(""https://docs.google.com/spreadsheets/d/1OYoGg4WDg5RIzwGeB10padOxJF9E_Vljuvvct_M7RDo/edit?usp=sharing"",""ปทุมธานี!J677"")+IMPORTRANGE(""https://docs.google.com/spreadsheets/d/1GbCI"&amp;"E4D4wk9FUozzqk7SxfDMxDVBwVmI5zcaVUSzKAc/edit?usp=sharing"",""ประจวบคีรีขันธ์!J677"")+IMPORTRANGE(""https://docs.google.com/spreadsheets/d/1vVf6wykvW_lAyu7Yo9L4hUTqHqIeP_qcVuxCtosJEbg/edit?usp=sharing"",""ปราจีนบุรี!J677"")+IMPORTRANGE(""https://docs.googl"&amp;"e.com/spreadsheets/d/1BIDqLLg5jk3v59G8NlR8rk5xfQDKne0sAvZHSj7TI6I/edit?usp=sharing"",""พระนครศรีอยุธยา!J677"")+IMPORTRANGE(""https://docs.google.com/spreadsheets/d/1YXvxf8Yu6_rV4hTBrwMqAcAnv6DfhUxh5emyM3CJp_w/edit?usp=sharing"",""เพชรบุรี!J677"")+IMPORTRA"&amp;"NGE(""https://docs.google.com/spreadsheets/d/19KBlQQs7uwvsao6t2n-KvW3Ax8J8uRRfZPq1zPbXgKc/edit?usp=sharing"",""ระยอง!J677"")+IMPORTRANGE(""https://docs.google.com/spreadsheets/d/1jQ6P4QcrGM89YfqcC_PxOHGCMq5ezhucwJd8ci-NHng/edit?usp=sharing"",""ราชบุรี!J67"&amp;"7"")+IMPORTRANGE(""https://docs.google.com/spreadsheets/d/1lufeA2cfFqM-elVq2hznhDzC6Pr7wkJ9ZG_sYNGCMCU/edit?usp=sharing"",""ลพบุรี!J677"")+IMPORTRANGE(""https://docs.google.com/spreadsheets/d/10oOiF7loTyfsTkbd4MpaIm0HQ9SwB7IYHdIUvt-U1Uc/edit?usp=sharing"""&amp;",""สระแก้ว!J677"")+IMPORTRANGE(""https://docs.google.com/spreadsheets/d/1xmPlrr1QbdSIKvl1dWUl9K4PjAfSL9oeMr_37QVzcxc/edit?usp=sharing"",""สระบุรี!J677"")+IMPORTRANGE(""https://docs.google.com/spreadsheets/d/1j51vR6CYVGhABJpv6tkstgok82RLpXieLzW1yOY5rHw/edi"&amp;"t?usp=sharing"",""สิงห์บุรี!J677"")+IMPORTRANGE(""https://docs.google.com/spreadsheets/d/1H1EalTWKUSzO4Z1-1CwzoDUaVffgrThEBe2sl74kKG0/edit?usp=sharing"",""สุพรรณบุรี!J677"")+IMPORTRANGE(""https://docs.google.com/spreadsheets/d/1BmIruG_sIrJLYao_Pdr7zVArWsf"&amp;"oBt2692TMi6x_854/edit?usp=sharing"",""อ่างทอง!J677"")"),92)</f>
        <v>92</v>
      </c>
      <c r="K677" s="85"/>
      <c r="L677" s="730"/>
      <c r="M677" s="85"/>
      <c r="N677" s="730"/>
      <c r="O677" s="85"/>
      <c r="P677" s="85"/>
      <c r="Q677" s="732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13wPX838HrBrQMCywv1BsuMkt4PEKTChp52zj44s2izQ/edit?usp=sharing"",""กาญจนบุรี!I678"")+IMPORTRANGE(""https://docs.google.com/spreadsheets/d/1ddFKvqj1W1NEiWytbGlB1zMx_ykJDVtmfEQ-6-lIUBA/edit?usp=sharing"","&amp;"""จันทบุรี!I678"")+IMPORTRANGE(""https://docs.google.com/spreadsheets/d/1T1PQvRODqOBZk8BRht_U031fIS1beLA0Ub2CEytj2q0/edit?usp=sharing"",""ฉะเชิงเทรา!I678"")+IMPORTRANGE(""https://docs.google.com/spreadsheets/d/11tr1B-Bhyr79v2bkwVh5h_fR-PStkgjlZtkrZpYurG0/"&amp;"edit?usp=sharing"",""ชลบุรี!I678"")+IMPORTRANGE(""https://docs.google.com/spreadsheets/d/1hh-FVnSX0vozXhGluamEcS54Dw9_zqW0N7qJUWgJ0Sw/edit?usp=sharing"",""ชัยนาท!I678"")+IMPORTRANGE(""https://docs.google.com/spreadsheets/d/1jkqa6GXxSacMcY1eN8AHjMNJ_7dDXMJ"&amp;"VRLDlaFSOdPM/edit?usp=sharing"",""ตราด!I678"")+IMPORTRANGE(""https://docs.google.com/spreadsheets/d/18hSgUJ3VwClqi_qtULmmW3cLr0oe3OKaSYoKzdpTsYQ/edit?usp=sharing"",""นครนายก!I678"")+IMPORTRANGE(""https://docs.google.com/spreadsheets/d/1YTZo6WM2dQ6Ix6FSdnL"&amp;"5P7uVnVKu40sxZu975tgG10E/edit?usp=sharing"",""นครปฐม!I678"")+IMPORTRANGE(""https://docs.google.com/spreadsheets/d/1OYoGg4WDg5RIzwGeB10padOxJF9E_Vljuvvct_M7RDo/edit?usp=sharing"",""ปทุมธานี!I678"")+IMPORTRANGE(""https://docs.google.com/spreadsheets/d/1GbCI"&amp;"E4D4wk9FUozzqk7SxfDMxDVBwVmI5zcaVUSzKAc/edit?usp=sharing"",""ประจวบคีรีขันธ์!I678"")+IMPORTRANGE(""https://docs.google.com/spreadsheets/d/1vVf6wykvW_lAyu7Yo9L4hUTqHqIeP_qcVuxCtosJEbg/edit?usp=sharing"",""ปราจีนบุรี!I678"")+IMPORTRANGE(""https://docs.googl"&amp;"e.com/spreadsheets/d/1BIDqLLg5jk3v59G8NlR8rk5xfQDKne0sAvZHSj7TI6I/edit?usp=sharing"",""พระนครศรีอยุธยา!I678"")+IMPORTRANGE(""https://docs.google.com/spreadsheets/d/1YXvxf8Yu6_rV4hTBrwMqAcAnv6DfhUxh5emyM3CJp_w/edit?usp=sharing"",""เพชรบุรี!I678"")+IMPORTRA"&amp;"NGE(""https://docs.google.com/spreadsheets/d/19KBlQQs7uwvsao6t2n-KvW3Ax8J8uRRfZPq1zPbXgKc/edit?usp=sharing"",""ระยอง!I678"")+IMPORTRANGE(""https://docs.google.com/spreadsheets/d/1jQ6P4QcrGM89YfqcC_PxOHGCMq5ezhucwJd8ci-NHng/edit?usp=sharing"",""ราชบุรี!I67"&amp;"8"")+IMPORTRANGE(""https://docs.google.com/spreadsheets/d/1lufeA2cfFqM-elVq2hznhDzC6Pr7wkJ9ZG_sYNGCMCU/edit?usp=sharing"",""ลพบุรี!I678"")+IMPORTRANGE(""https://docs.google.com/spreadsheets/d/10oOiF7loTyfsTkbd4MpaIm0HQ9SwB7IYHdIUvt-U1Uc/edit?usp=sharing"""&amp;",""สระแก้ว!I678"")+IMPORTRANGE(""https://docs.google.com/spreadsheets/d/1xmPlrr1QbdSIKvl1dWUl9K4PjAfSL9oeMr_37QVzcxc/edit?usp=sharing"",""สระบุรี!I678"")+IMPORTRANGE(""https://docs.google.com/spreadsheets/d/1j51vR6CYVGhABJpv6tkstgok82RLpXieLzW1yOY5rHw/edi"&amp;"t?usp=sharing"",""สิงห์บุรี!I678"")+IMPORTRANGE(""https://docs.google.com/spreadsheets/d/1H1EalTWKUSzO4Z1-1CwzoDUaVffgrThEBe2sl74kKG0/edit?usp=sharing"",""สุพรรณบุรี!I678"")+IMPORTRANGE(""https://docs.google.com/spreadsheets/d/1BmIruG_sIrJLYao_Pdr7zVArWsf"&amp;"oBt2692TMi6x_854/edit?usp=sharing"",""อ่างทอง!I678"")"),1751)</f>
        <v>1751</v>
      </c>
      <c r="J678" s="291">
        <f ca="1">IFERROR(__xludf.DUMMYFUNCTION("IMPORTRANGE(""https://docs.google.com/spreadsheets/d/13wPX838HrBrQMCywv1BsuMkt4PEKTChp52zj44s2izQ/edit?usp=sharing"",""กาญจนบุรี!J678"")+IMPORTRANGE(""https://docs.google.com/spreadsheets/d/1ddFKvqj1W1NEiWytbGlB1zMx_ykJDVtmfEQ-6-lIUBA/edit?usp=sharing"","&amp;"""จันทบุรี!J678"")+IMPORTRANGE(""https://docs.google.com/spreadsheets/d/1T1PQvRODqOBZk8BRht_U031fIS1beLA0Ub2CEytj2q0/edit?usp=sharing"",""ฉะเชิงเทรา!J678"")+IMPORTRANGE(""https://docs.google.com/spreadsheets/d/11tr1B-Bhyr79v2bkwVh5h_fR-PStkgjlZtkrZpYurG0/"&amp;"edit?usp=sharing"",""ชลบุรี!J678"")+IMPORTRANGE(""https://docs.google.com/spreadsheets/d/1hh-FVnSX0vozXhGluamEcS54Dw9_zqW0N7qJUWgJ0Sw/edit?usp=sharing"",""ชัยนาท!J678"")+IMPORTRANGE(""https://docs.google.com/spreadsheets/d/1jkqa6GXxSacMcY1eN8AHjMNJ_7dDXMJ"&amp;"VRLDlaFSOdPM/edit?usp=sharing"",""ตราด!J678"")+IMPORTRANGE(""https://docs.google.com/spreadsheets/d/18hSgUJ3VwClqi_qtULmmW3cLr0oe3OKaSYoKzdpTsYQ/edit?usp=sharing"",""นครนายก!J678"")+IMPORTRANGE(""https://docs.google.com/spreadsheets/d/1YTZo6WM2dQ6Ix6FSdnL"&amp;"5P7uVnVKu40sxZu975tgG10E/edit?usp=sharing"",""นครปฐม!J678"")+IMPORTRANGE(""https://docs.google.com/spreadsheets/d/1OYoGg4WDg5RIzwGeB10padOxJF9E_Vljuvvct_M7RDo/edit?usp=sharing"",""ปทุมธานี!J678"")+IMPORTRANGE(""https://docs.google.com/spreadsheets/d/1GbCI"&amp;"E4D4wk9FUozzqk7SxfDMxDVBwVmI5zcaVUSzKAc/edit?usp=sharing"",""ประจวบคีรีขันธ์!J678"")+IMPORTRANGE(""https://docs.google.com/spreadsheets/d/1vVf6wykvW_lAyu7Yo9L4hUTqHqIeP_qcVuxCtosJEbg/edit?usp=sharing"",""ปราจีนบุรี!J678"")+IMPORTRANGE(""https://docs.googl"&amp;"e.com/spreadsheets/d/1BIDqLLg5jk3v59G8NlR8rk5xfQDKne0sAvZHSj7TI6I/edit?usp=sharing"",""พระนครศรีอยุธยา!J678"")+IMPORTRANGE(""https://docs.google.com/spreadsheets/d/1YXvxf8Yu6_rV4hTBrwMqAcAnv6DfhUxh5emyM3CJp_w/edit?usp=sharing"",""เพชรบุรี!J678"")+IMPORTRA"&amp;"NGE(""https://docs.google.com/spreadsheets/d/19KBlQQs7uwvsao6t2n-KvW3Ax8J8uRRfZPq1zPbXgKc/edit?usp=sharing"",""ระยอง!J678"")+IMPORTRANGE(""https://docs.google.com/spreadsheets/d/1jQ6P4QcrGM89YfqcC_PxOHGCMq5ezhucwJd8ci-NHng/edit?usp=sharing"",""ราชบุรี!J67"&amp;"8"")+IMPORTRANGE(""https://docs.google.com/spreadsheets/d/1lufeA2cfFqM-elVq2hznhDzC6Pr7wkJ9ZG_sYNGCMCU/edit?usp=sharing"",""ลพบุรี!J678"")+IMPORTRANGE(""https://docs.google.com/spreadsheets/d/10oOiF7loTyfsTkbd4MpaIm0HQ9SwB7IYHdIUvt-U1Uc/edit?usp=sharing"""&amp;",""สระแก้ว!J678"")+IMPORTRANGE(""https://docs.google.com/spreadsheets/d/1xmPlrr1QbdSIKvl1dWUl9K4PjAfSL9oeMr_37QVzcxc/edit?usp=sharing"",""สระบุรี!J678"")+IMPORTRANGE(""https://docs.google.com/spreadsheets/d/1j51vR6CYVGhABJpv6tkstgok82RLpXieLzW1yOY5rHw/edi"&amp;"t?usp=sharing"",""สิงห์บุรี!J678"")+IMPORTRANGE(""https://docs.google.com/spreadsheets/d/1H1EalTWKUSzO4Z1-1CwzoDUaVffgrThEBe2sl74kKG0/edit?usp=sharing"",""สุพรรณบุรี!J678"")+IMPORTRANGE(""https://docs.google.com/spreadsheets/d/1BmIruG_sIrJLYao_Pdr7zVArWsf"&amp;"oBt2692TMi6x_854/edit?usp=sharing"",""อ่างทอง!J678"")"),981.139999999999)</f>
        <v>981.13999999999896</v>
      </c>
      <c r="K678" s="72">
        <f t="shared" ref="K678:K679" ca="1" si="462">IF(I678&gt;0,J678*100/I678,0)</f>
        <v>56.033123929183269</v>
      </c>
      <c r="L678" s="730"/>
      <c r="M678" s="85"/>
      <c r="N678" s="730"/>
      <c r="O678" s="85"/>
      <c r="P678" s="85"/>
      <c r="Q678" s="732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13wPX838HrBrQMCywv1BsuMkt4PEKTChp52zj44s2izQ/edit?usp=sharing"",""กาญจนบุรี!I679"")+IMPORTRANGE(""https://docs.google.com/spreadsheets/d/1ddFKvqj1W1NEiWytbGlB1zMx_ykJDVtmfEQ-6-lIUBA/edit?usp=sharing"","&amp;"""จันทบุรี!I679"")+IMPORTRANGE(""https://docs.google.com/spreadsheets/d/1T1PQvRODqOBZk8BRht_U031fIS1beLA0Ub2CEytj2q0/edit?usp=sharing"",""ฉะเชิงเทรา!I679"")+IMPORTRANGE(""https://docs.google.com/spreadsheets/d/11tr1B-Bhyr79v2bkwVh5h_fR-PStkgjlZtkrZpYurG0/"&amp;"edit?usp=sharing"",""ชลบุรี!I679"")+IMPORTRANGE(""https://docs.google.com/spreadsheets/d/1hh-FVnSX0vozXhGluamEcS54Dw9_zqW0N7qJUWgJ0Sw/edit?usp=sharing"",""ชัยนาท!I679"")+IMPORTRANGE(""https://docs.google.com/spreadsheets/d/1jkqa6GXxSacMcY1eN8AHjMNJ_7dDXMJ"&amp;"VRLDlaFSOdPM/edit?usp=sharing"",""ตราด!I679"")+IMPORTRANGE(""https://docs.google.com/spreadsheets/d/18hSgUJ3VwClqi_qtULmmW3cLr0oe3OKaSYoKzdpTsYQ/edit?usp=sharing"",""นครนายก!I679"")+IMPORTRANGE(""https://docs.google.com/spreadsheets/d/1YTZo6WM2dQ6Ix6FSdnL"&amp;"5P7uVnVKu40sxZu975tgG10E/edit?usp=sharing"",""นครปฐม!I679"")+IMPORTRANGE(""https://docs.google.com/spreadsheets/d/1OYoGg4WDg5RIzwGeB10padOxJF9E_Vljuvvct_M7RDo/edit?usp=sharing"",""ปทุมธานี!I679"")+IMPORTRANGE(""https://docs.google.com/spreadsheets/d/1GbCI"&amp;"E4D4wk9FUozzqk7SxfDMxDVBwVmI5zcaVUSzKAc/edit?usp=sharing"",""ประจวบคีรีขันธ์!I679"")+IMPORTRANGE(""https://docs.google.com/spreadsheets/d/1vVf6wykvW_lAyu7Yo9L4hUTqHqIeP_qcVuxCtosJEbg/edit?usp=sharing"",""ปราจีนบุรี!I679"")+IMPORTRANGE(""https://docs.googl"&amp;"e.com/spreadsheets/d/1BIDqLLg5jk3v59G8NlR8rk5xfQDKne0sAvZHSj7TI6I/edit?usp=sharing"",""พระนครศรีอยุธยา!I679"")+IMPORTRANGE(""https://docs.google.com/spreadsheets/d/1YXvxf8Yu6_rV4hTBrwMqAcAnv6DfhUxh5emyM3CJp_w/edit?usp=sharing"",""เพชรบุรี!I679"")+IMPORTRA"&amp;"NGE(""https://docs.google.com/spreadsheets/d/19KBlQQs7uwvsao6t2n-KvW3Ax8J8uRRfZPq1zPbXgKc/edit?usp=sharing"",""ระยอง!I679"")+IMPORTRANGE(""https://docs.google.com/spreadsheets/d/1jQ6P4QcrGM89YfqcC_PxOHGCMq5ezhucwJd8ci-NHng/edit?usp=sharing"",""ราชบุรี!I67"&amp;"9"")+IMPORTRANGE(""https://docs.google.com/spreadsheets/d/1lufeA2cfFqM-elVq2hznhDzC6Pr7wkJ9ZG_sYNGCMCU/edit?usp=sharing"",""ลพบุรี!I679"")+IMPORTRANGE(""https://docs.google.com/spreadsheets/d/10oOiF7loTyfsTkbd4MpaIm0HQ9SwB7IYHdIUvt-U1Uc/edit?usp=sharing"""&amp;",""สระแก้ว!I679"")+IMPORTRANGE(""https://docs.google.com/spreadsheets/d/1xmPlrr1QbdSIKvl1dWUl9K4PjAfSL9oeMr_37QVzcxc/edit?usp=sharing"",""สระบุรี!I679"")+IMPORTRANGE(""https://docs.google.com/spreadsheets/d/1j51vR6CYVGhABJpv6tkstgok82RLpXieLzW1yOY5rHw/edi"&amp;"t?usp=sharing"",""สิงห์บุรี!I679"")+IMPORTRANGE(""https://docs.google.com/spreadsheets/d/1H1EalTWKUSzO4Z1-1CwzoDUaVffgrThEBe2sl74kKG0/edit?usp=sharing"",""สุพรรณบุรี!I679"")+IMPORTRANGE(""https://docs.google.com/spreadsheets/d/1BmIruG_sIrJLYao_Pdr7zVArWsf"&amp;"oBt2692TMi6x_854/edit?usp=sharing"",""อ่างทอง!I679"")"),95)</f>
        <v>95</v>
      </c>
      <c r="J679" s="291">
        <f ca="1">IFERROR(__xludf.DUMMYFUNCTION("IMPORTRANGE(""https://docs.google.com/spreadsheets/d/13wPX838HrBrQMCywv1BsuMkt4PEKTChp52zj44s2izQ/edit?usp=sharing"",""กาญจนบุรี!J679"")+IMPORTRANGE(""https://docs.google.com/spreadsheets/d/1ddFKvqj1W1NEiWytbGlB1zMx_ykJDVtmfEQ-6-lIUBA/edit?usp=sharing"","&amp;"""จันทบุรี!J679"")+IMPORTRANGE(""https://docs.google.com/spreadsheets/d/1T1PQvRODqOBZk8BRht_U031fIS1beLA0Ub2CEytj2q0/edit?usp=sharing"",""ฉะเชิงเทรา!J679"")+IMPORTRANGE(""https://docs.google.com/spreadsheets/d/11tr1B-Bhyr79v2bkwVh5h_fR-PStkgjlZtkrZpYurG0/"&amp;"edit?usp=sharing"",""ชลบุรี!J679"")+IMPORTRANGE(""https://docs.google.com/spreadsheets/d/1hh-FVnSX0vozXhGluamEcS54Dw9_zqW0N7qJUWgJ0Sw/edit?usp=sharing"",""ชัยนาท!J679"")+IMPORTRANGE(""https://docs.google.com/spreadsheets/d/1jkqa6GXxSacMcY1eN8AHjMNJ_7dDXMJ"&amp;"VRLDlaFSOdPM/edit?usp=sharing"",""ตราด!J679"")+IMPORTRANGE(""https://docs.google.com/spreadsheets/d/18hSgUJ3VwClqi_qtULmmW3cLr0oe3OKaSYoKzdpTsYQ/edit?usp=sharing"",""นครนายก!J679"")+IMPORTRANGE(""https://docs.google.com/spreadsheets/d/1YTZo6WM2dQ6Ix6FSdnL"&amp;"5P7uVnVKu40sxZu975tgG10E/edit?usp=sharing"",""นครปฐม!J679"")+IMPORTRANGE(""https://docs.google.com/spreadsheets/d/1OYoGg4WDg5RIzwGeB10padOxJF9E_Vljuvvct_M7RDo/edit?usp=sharing"",""ปทุมธานี!J679"")+IMPORTRANGE(""https://docs.google.com/spreadsheets/d/1GbCI"&amp;"E4D4wk9FUozzqk7SxfDMxDVBwVmI5zcaVUSzKAc/edit?usp=sharing"",""ประจวบคีรีขันธ์!J679"")+IMPORTRANGE(""https://docs.google.com/spreadsheets/d/1vVf6wykvW_lAyu7Yo9L4hUTqHqIeP_qcVuxCtosJEbg/edit?usp=sharing"",""ปราจีนบุรี!J679"")+IMPORTRANGE(""https://docs.googl"&amp;"e.com/spreadsheets/d/1BIDqLLg5jk3v59G8NlR8rk5xfQDKne0sAvZHSj7TI6I/edit?usp=sharing"",""พระนครศรีอยุธยา!J679"")+IMPORTRANGE(""https://docs.google.com/spreadsheets/d/1YXvxf8Yu6_rV4hTBrwMqAcAnv6DfhUxh5emyM3CJp_w/edit?usp=sharing"",""เพชรบุรี!J679"")+IMPORTRA"&amp;"NGE(""https://docs.google.com/spreadsheets/d/19KBlQQs7uwvsao6t2n-KvW3Ax8J8uRRfZPq1zPbXgKc/edit?usp=sharing"",""ระยอง!J679"")+IMPORTRANGE(""https://docs.google.com/spreadsheets/d/1jQ6P4QcrGM89YfqcC_PxOHGCMq5ezhucwJd8ci-NHng/edit?usp=sharing"",""ราชบุรี!J67"&amp;"9"")+IMPORTRANGE(""https://docs.google.com/spreadsheets/d/1lufeA2cfFqM-elVq2hznhDzC6Pr7wkJ9ZG_sYNGCMCU/edit?usp=sharing"",""ลพบุรี!J679"")+IMPORTRANGE(""https://docs.google.com/spreadsheets/d/10oOiF7loTyfsTkbd4MpaIm0HQ9SwB7IYHdIUvt-U1Uc/edit?usp=sharing"""&amp;",""สระแก้ว!J679"")+IMPORTRANGE(""https://docs.google.com/spreadsheets/d/1xmPlrr1QbdSIKvl1dWUl9K4PjAfSL9oeMr_37QVzcxc/edit?usp=sharing"",""สระบุรี!J679"")+IMPORTRANGE(""https://docs.google.com/spreadsheets/d/1j51vR6CYVGhABJpv6tkstgok82RLpXieLzW1yOY5rHw/edi"&amp;"t?usp=sharing"",""สิงห์บุรี!J679"")+IMPORTRANGE(""https://docs.google.com/spreadsheets/d/1H1EalTWKUSzO4Z1-1CwzoDUaVffgrThEBe2sl74kKG0/edit?usp=sharing"",""สุพรรณบุรี!J679"")+IMPORTRANGE(""https://docs.google.com/spreadsheets/d/1BmIruG_sIrJLYao_Pdr7zVArWsf"&amp;"oBt2692TMi6x_854/edit?usp=sharing"",""อ่างทอง!J679"")"),91)</f>
        <v>91</v>
      </c>
      <c r="K679" s="72">
        <f t="shared" ca="1" si="462"/>
        <v>95.78947368421052</v>
      </c>
      <c r="L679" s="85"/>
      <c r="M679" s="85"/>
      <c r="N679" s="730"/>
      <c r="O679" s="85"/>
      <c r="P679" s="85"/>
      <c r="Q679" s="84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13wPX838HrBrQMCywv1BsuMkt4PEKTChp52zj44s2izQ/edit?usp=sharing"",""กาญจนบุรี!J680"")+IMPORTRANGE(""https://docs.google.com/spreadsheets/d/1ddFKvqj1W1NEiWytbGlB1zMx_ykJDVtmfEQ-6-lIUBA/edit?usp=sharing"","&amp;"""จันทบุรี!J680"")+IMPORTRANGE(""https://docs.google.com/spreadsheets/d/1T1PQvRODqOBZk8BRht_U031fIS1beLA0Ub2CEytj2q0/edit?usp=sharing"",""ฉะเชิงเทรา!J680"")+IMPORTRANGE(""https://docs.google.com/spreadsheets/d/11tr1B-Bhyr79v2bkwVh5h_fR-PStkgjlZtkrZpYurG0/"&amp;"edit?usp=sharing"",""ชลบุรี!J680"")+IMPORTRANGE(""https://docs.google.com/spreadsheets/d/1hh-FVnSX0vozXhGluamEcS54Dw9_zqW0N7qJUWgJ0Sw/edit?usp=sharing"",""ชัยนาท!J680"")+IMPORTRANGE(""https://docs.google.com/spreadsheets/d/1jkqa6GXxSacMcY1eN8AHjMNJ_7dDXMJ"&amp;"VRLDlaFSOdPM/edit?usp=sharing"",""ตราด!J680"")+IMPORTRANGE(""https://docs.google.com/spreadsheets/d/18hSgUJ3VwClqi_qtULmmW3cLr0oe3OKaSYoKzdpTsYQ/edit?usp=sharing"",""นครนายก!J680"")+IMPORTRANGE(""https://docs.google.com/spreadsheets/d/1YTZo6WM2dQ6Ix6FSdnL"&amp;"5P7uVnVKu40sxZu975tgG10E/edit?usp=sharing"",""นครปฐม!J680"")+IMPORTRANGE(""https://docs.google.com/spreadsheets/d/1OYoGg4WDg5RIzwGeB10padOxJF9E_Vljuvvct_M7RDo/edit?usp=sharing"",""ปทุมธานี!J680"")+IMPORTRANGE(""https://docs.google.com/spreadsheets/d/1GbCI"&amp;"E4D4wk9FUozzqk7SxfDMxDVBwVmI5zcaVUSzKAc/edit?usp=sharing"",""ประจวบคีรีขันธ์!J680"")+IMPORTRANGE(""https://docs.google.com/spreadsheets/d/1vVf6wykvW_lAyu7Yo9L4hUTqHqIeP_qcVuxCtosJEbg/edit?usp=sharing"",""ปราจีนบุรี!J680"")+IMPORTRANGE(""https://docs.googl"&amp;"e.com/spreadsheets/d/1BIDqLLg5jk3v59G8NlR8rk5xfQDKne0sAvZHSj7TI6I/edit?usp=sharing"",""พระนครศรีอยุธยา!J680"")+IMPORTRANGE(""https://docs.google.com/spreadsheets/d/1YXvxf8Yu6_rV4hTBrwMqAcAnv6DfhUxh5emyM3CJp_w/edit?usp=sharing"",""เพชรบุรี!J680"")+IMPORTRA"&amp;"NGE(""https://docs.google.com/spreadsheets/d/19KBlQQs7uwvsao6t2n-KvW3Ax8J8uRRfZPq1zPbXgKc/edit?usp=sharing"",""ระยอง!J680"")+IMPORTRANGE(""https://docs.google.com/spreadsheets/d/1jQ6P4QcrGM89YfqcC_PxOHGCMq5ezhucwJd8ci-NHng/edit?usp=sharing"",""ราชบุรี!J68"&amp;"0"")+IMPORTRANGE(""https://docs.google.com/spreadsheets/d/1lufeA2cfFqM-elVq2hznhDzC6Pr7wkJ9ZG_sYNGCMCU/edit?usp=sharing"",""ลพบุรี!J680"")+IMPORTRANGE(""https://docs.google.com/spreadsheets/d/10oOiF7loTyfsTkbd4MpaIm0HQ9SwB7IYHdIUvt-U1Uc/edit?usp=sharing"""&amp;",""สระแก้ว!J680"")+IMPORTRANGE(""https://docs.google.com/spreadsheets/d/1xmPlrr1QbdSIKvl1dWUl9K4PjAfSL9oeMr_37QVzcxc/edit?usp=sharing"",""สระบุรี!J680"")+IMPORTRANGE(""https://docs.google.com/spreadsheets/d/1j51vR6CYVGhABJpv6tkstgok82RLpXieLzW1yOY5rHw/edi"&amp;"t?usp=sharing"",""สิงห์บุรี!J680"")+IMPORTRANGE(""https://docs.google.com/spreadsheets/d/1H1EalTWKUSzO4Z1-1CwzoDUaVffgrThEBe2sl74kKG0/edit?usp=sharing"",""สุพรรณบุรี!J680"")+IMPORTRANGE(""https://docs.google.com/spreadsheets/d/1BmIruG_sIrJLYao_Pdr7zVArWsf"&amp;"oBt2692TMi6x_854/edit?usp=sharing"",""อ่างทอง!J680"")"),109)</f>
        <v>109</v>
      </c>
      <c r="K680" s="85"/>
      <c r="L680" s="730"/>
      <c r="M680" s="85"/>
      <c r="N680" s="730"/>
      <c r="O680" s="85"/>
      <c r="P680" s="85"/>
      <c r="Q680" s="732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13wPX838HrBrQMCywv1BsuMkt4PEKTChp52zj44s2izQ/edit?usp=sharing"",""กาญจนบุรี!I681"")+IMPORTRANGE(""https://docs.google.com/spreadsheets/d/1ddFKvqj1W1NEiWytbGlB1zMx_ykJDVtmfEQ-6-lIUBA/edit?usp=sharing"","&amp;"""จันทบุรี!I681"")+IMPORTRANGE(""https://docs.google.com/spreadsheets/d/1T1PQvRODqOBZk8BRht_U031fIS1beLA0Ub2CEytj2q0/edit?usp=sharing"",""ฉะเชิงเทรา!I681"")+IMPORTRANGE(""https://docs.google.com/spreadsheets/d/11tr1B-Bhyr79v2bkwVh5h_fR-PStkgjlZtkrZpYurG0/"&amp;"edit?usp=sharing"",""ชลบุรี!I681"")+IMPORTRANGE(""https://docs.google.com/spreadsheets/d/1hh-FVnSX0vozXhGluamEcS54Dw9_zqW0N7qJUWgJ0Sw/edit?usp=sharing"",""ชัยนาท!I681"")+IMPORTRANGE(""https://docs.google.com/spreadsheets/d/1jkqa6GXxSacMcY1eN8AHjMNJ_7dDXMJ"&amp;"VRLDlaFSOdPM/edit?usp=sharing"",""ตราด!I681"")+IMPORTRANGE(""https://docs.google.com/spreadsheets/d/18hSgUJ3VwClqi_qtULmmW3cLr0oe3OKaSYoKzdpTsYQ/edit?usp=sharing"",""นครนายก!I681"")+IMPORTRANGE(""https://docs.google.com/spreadsheets/d/1YTZo6WM2dQ6Ix6FSdnL"&amp;"5P7uVnVKu40sxZu975tgG10E/edit?usp=sharing"",""นครปฐม!I681"")+IMPORTRANGE(""https://docs.google.com/spreadsheets/d/1OYoGg4WDg5RIzwGeB10padOxJF9E_Vljuvvct_M7RDo/edit?usp=sharing"",""ปทุมธานี!I681"")+IMPORTRANGE(""https://docs.google.com/spreadsheets/d/1GbCI"&amp;"E4D4wk9FUozzqk7SxfDMxDVBwVmI5zcaVUSzKAc/edit?usp=sharing"",""ประจวบคีรีขันธ์!I681"")+IMPORTRANGE(""https://docs.google.com/spreadsheets/d/1vVf6wykvW_lAyu7Yo9L4hUTqHqIeP_qcVuxCtosJEbg/edit?usp=sharing"",""ปราจีนบุรี!I681"")+IMPORTRANGE(""https://docs.googl"&amp;"e.com/spreadsheets/d/1BIDqLLg5jk3v59G8NlR8rk5xfQDKne0sAvZHSj7TI6I/edit?usp=sharing"",""พระนครศรีอยุธยา!I681"")+IMPORTRANGE(""https://docs.google.com/spreadsheets/d/1YXvxf8Yu6_rV4hTBrwMqAcAnv6DfhUxh5emyM3CJp_w/edit?usp=sharing"",""เพชรบุรี!I681"")+IMPORTRA"&amp;"NGE(""https://docs.google.com/spreadsheets/d/19KBlQQs7uwvsao6t2n-KvW3Ax8J8uRRfZPq1zPbXgKc/edit?usp=sharing"",""ระยอง!I681"")+IMPORTRANGE(""https://docs.google.com/spreadsheets/d/1jQ6P4QcrGM89YfqcC_PxOHGCMq5ezhucwJd8ci-NHng/edit?usp=sharing"",""ราชบุรี!I68"&amp;"1"")+IMPORTRANGE(""https://docs.google.com/spreadsheets/d/1lufeA2cfFqM-elVq2hznhDzC6Pr7wkJ9ZG_sYNGCMCU/edit?usp=sharing"",""ลพบุรี!I681"")+IMPORTRANGE(""https://docs.google.com/spreadsheets/d/10oOiF7loTyfsTkbd4MpaIm0HQ9SwB7IYHdIUvt-U1Uc/edit?usp=sharing"""&amp;",""สระแก้ว!I681"")+IMPORTRANGE(""https://docs.google.com/spreadsheets/d/1xmPlrr1QbdSIKvl1dWUl9K4PjAfSL9oeMr_37QVzcxc/edit?usp=sharing"",""สระบุรี!I681"")+IMPORTRANGE(""https://docs.google.com/spreadsheets/d/1j51vR6CYVGhABJpv6tkstgok82RLpXieLzW1yOY5rHw/edi"&amp;"t?usp=sharing"",""สิงห์บุรี!I681"")+IMPORTRANGE(""https://docs.google.com/spreadsheets/d/1H1EalTWKUSzO4Z1-1CwzoDUaVffgrThEBe2sl74kKG0/edit?usp=sharing"",""สุพรรณบุรี!I681"")+IMPORTRANGE(""https://docs.google.com/spreadsheets/d/1BmIruG_sIrJLYao_Pdr7zVArWsf"&amp;"oBt2692TMi6x_854/edit?usp=sharing"",""อ่างทอง!I681"")"),952)</f>
        <v>952</v>
      </c>
      <c r="J681" s="291">
        <f ca="1">IFERROR(__xludf.DUMMYFUNCTION("IMPORTRANGE(""https://docs.google.com/spreadsheets/d/13wPX838HrBrQMCywv1BsuMkt4PEKTChp52zj44s2izQ/edit?usp=sharing"",""กาญจนบุรี!J681"")+IMPORTRANGE(""https://docs.google.com/spreadsheets/d/1ddFKvqj1W1NEiWytbGlB1zMx_ykJDVtmfEQ-6-lIUBA/edit?usp=sharing"","&amp;"""จันทบุรี!J681"")+IMPORTRANGE(""https://docs.google.com/spreadsheets/d/1T1PQvRODqOBZk8BRht_U031fIS1beLA0Ub2CEytj2q0/edit?usp=sharing"",""ฉะเชิงเทรา!J681"")+IMPORTRANGE(""https://docs.google.com/spreadsheets/d/11tr1B-Bhyr79v2bkwVh5h_fR-PStkgjlZtkrZpYurG0/"&amp;"edit?usp=sharing"",""ชลบุรี!J681"")+IMPORTRANGE(""https://docs.google.com/spreadsheets/d/1hh-FVnSX0vozXhGluamEcS54Dw9_zqW0N7qJUWgJ0Sw/edit?usp=sharing"",""ชัยนาท!J681"")+IMPORTRANGE(""https://docs.google.com/spreadsheets/d/1jkqa6GXxSacMcY1eN8AHjMNJ_7dDXMJ"&amp;"VRLDlaFSOdPM/edit?usp=sharing"",""ตราด!J681"")+IMPORTRANGE(""https://docs.google.com/spreadsheets/d/18hSgUJ3VwClqi_qtULmmW3cLr0oe3OKaSYoKzdpTsYQ/edit?usp=sharing"",""นครนายก!J681"")+IMPORTRANGE(""https://docs.google.com/spreadsheets/d/1YTZo6WM2dQ6Ix6FSdnL"&amp;"5P7uVnVKu40sxZu975tgG10E/edit?usp=sharing"",""นครปฐม!J681"")+IMPORTRANGE(""https://docs.google.com/spreadsheets/d/1OYoGg4WDg5RIzwGeB10padOxJF9E_Vljuvvct_M7RDo/edit?usp=sharing"",""ปทุมธานี!J681"")+IMPORTRANGE(""https://docs.google.com/spreadsheets/d/1GbCI"&amp;"E4D4wk9FUozzqk7SxfDMxDVBwVmI5zcaVUSzKAc/edit?usp=sharing"",""ประจวบคีรีขันธ์!J681"")+IMPORTRANGE(""https://docs.google.com/spreadsheets/d/1vVf6wykvW_lAyu7Yo9L4hUTqHqIeP_qcVuxCtosJEbg/edit?usp=sharing"",""ปราจีนบุรี!J681"")+IMPORTRANGE(""https://docs.googl"&amp;"e.com/spreadsheets/d/1BIDqLLg5jk3v59G8NlR8rk5xfQDKne0sAvZHSj7TI6I/edit?usp=sharing"",""พระนครศรีอยุธยา!J681"")+IMPORTRANGE(""https://docs.google.com/spreadsheets/d/1YXvxf8Yu6_rV4hTBrwMqAcAnv6DfhUxh5emyM3CJp_w/edit?usp=sharing"",""เพชรบุรี!J681"")+IMPORTRA"&amp;"NGE(""https://docs.google.com/spreadsheets/d/19KBlQQs7uwvsao6t2n-KvW3Ax8J8uRRfZPq1zPbXgKc/edit?usp=sharing"",""ระยอง!J681"")+IMPORTRANGE(""https://docs.google.com/spreadsheets/d/1jQ6P4QcrGM89YfqcC_PxOHGCMq5ezhucwJd8ci-NHng/edit?usp=sharing"",""ราชบุรี!J68"&amp;"1"")+IMPORTRANGE(""https://docs.google.com/spreadsheets/d/1lufeA2cfFqM-elVq2hznhDzC6Pr7wkJ9ZG_sYNGCMCU/edit?usp=sharing"",""ลพบุรี!J681"")+IMPORTRANGE(""https://docs.google.com/spreadsheets/d/10oOiF7loTyfsTkbd4MpaIm0HQ9SwB7IYHdIUvt-U1Uc/edit?usp=sharing"""&amp;",""สระแก้ว!J681"")+IMPORTRANGE(""https://docs.google.com/spreadsheets/d/1xmPlrr1QbdSIKvl1dWUl9K4PjAfSL9oeMr_37QVzcxc/edit?usp=sharing"",""สระบุรี!J681"")+IMPORTRANGE(""https://docs.google.com/spreadsheets/d/1j51vR6CYVGhABJpv6tkstgok82RLpXieLzW1yOY5rHw/edi"&amp;"t?usp=sharing"",""สิงห์บุรี!J681"")+IMPORTRANGE(""https://docs.google.com/spreadsheets/d/1H1EalTWKUSzO4Z1-1CwzoDUaVffgrThEBe2sl74kKG0/edit?usp=sharing"",""สุพรรณบุรี!J681"")+IMPORTRANGE(""https://docs.google.com/spreadsheets/d/1BmIruG_sIrJLYao_Pdr7zVArWsf"&amp;"oBt2692TMi6x_854/edit?usp=sharing"",""อ่างทอง!J681"")"),563.22)</f>
        <v>563.22</v>
      </c>
      <c r="K681" s="72">
        <f t="shared" ref="K681:K682" ca="1" si="463">IF(I681&gt;0,J681*100/I681,0)</f>
        <v>59.161764705882355</v>
      </c>
      <c r="L681" s="730"/>
      <c r="M681" s="85"/>
      <c r="N681" s="730"/>
      <c r="O681" s="85"/>
      <c r="P681" s="85"/>
      <c r="Q681" s="732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13wPX838HrBrQMCywv1BsuMkt4PEKTChp52zj44s2izQ/edit?usp=sharing"",""กาญจนบุรี!I682"")+IMPORTRANGE(""https://docs.google.com/spreadsheets/d/1ddFKvqj1W1NEiWytbGlB1zMx_ykJDVtmfEQ-6-lIUBA/edit?usp=sharing"","&amp;"""จันทบุรี!I682"")+IMPORTRANGE(""https://docs.google.com/spreadsheets/d/1T1PQvRODqOBZk8BRht_U031fIS1beLA0Ub2CEytj2q0/edit?usp=sharing"",""ฉะเชิงเทรา!I682"")+IMPORTRANGE(""https://docs.google.com/spreadsheets/d/11tr1B-Bhyr79v2bkwVh5h_fR-PStkgjlZtkrZpYurG0/"&amp;"edit?usp=sharing"",""ชลบุรี!I682"")+IMPORTRANGE(""https://docs.google.com/spreadsheets/d/1hh-FVnSX0vozXhGluamEcS54Dw9_zqW0N7qJUWgJ0Sw/edit?usp=sharing"",""ชัยนาท!I682"")+IMPORTRANGE(""https://docs.google.com/spreadsheets/d/1jkqa6GXxSacMcY1eN8AHjMNJ_7dDXMJ"&amp;"VRLDlaFSOdPM/edit?usp=sharing"",""ตราด!I682"")+IMPORTRANGE(""https://docs.google.com/spreadsheets/d/18hSgUJ3VwClqi_qtULmmW3cLr0oe3OKaSYoKzdpTsYQ/edit?usp=sharing"",""นครนายก!I682"")+IMPORTRANGE(""https://docs.google.com/spreadsheets/d/1YTZo6WM2dQ6Ix6FSdnL"&amp;"5P7uVnVKu40sxZu975tgG10E/edit?usp=sharing"",""นครปฐม!I682"")+IMPORTRANGE(""https://docs.google.com/spreadsheets/d/1OYoGg4WDg5RIzwGeB10padOxJF9E_Vljuvvct_M7RDo/edit?usp=sharing"",""ปทุมธานี!I682"")+IMPORTRANGE(""https://docs.google.com/spreadsheets/d/1GbCI"&amp;"E4D4wk9FUozzqk7SxfDMxDVBwVmI5zcaVUSzKAc/edit?usp=sharing"",""ประจวบคีรีขันธ์!I682"")+IMPORTRANGE(""https://docs.google.com/spreadsheets/d/1vVf6wykvW_lAyu7Yo9L4hUTqHqIeP_qcVuxCtosJEbg/edit?usp=sharing"",""ปราจีนบุรี!I682"")+IMPORTRANGE(""https://docs.googl"&amp;"e.com/spreadsheets/d/1BIDqLLg5jk3v59G8NlR8rk5xfQDKne0sAvZHSj7TI6I/edit?usp=sharing"",""พระนครศรีอยุธยา!I682"")+IMPORTRANGE(""https://docs.google.com/spreadsheets/d/1YXvxf8Yu6_rV4hTBrwMqAcAnv6DfhUxh5emyM3CJp_w/edit?usp=sharing"",""เพชรบุรี!I682"")+IMPORTRA"&amp;"NGE(""https://docs.google.com/spreadsheets/d/19KBlQQs7uwvsao6t2n-KvW3Ax8J8uRRfZPq1zPbXgKc/edit?usp=sharing"",""ระยอง!I682"")+IMPORTRANGE(""https://docs.google.com/spreadsheets/d/1jQ6P4QcrGM89YfqcC_PxOHGCMq5ezhucwJd8ci-NHng/edit?usp=sharing"",""ราชบุรี!I68"&amp;"2"")+IMPORTRANGE(""https://docs.google.com/spreadsheets/d/1lufeA2cfFqM-elVq2hznhDzC6Pr7wkJ9ZG_sYNGCMCU/edit?usp=sharing"",""ลพบุรี!I682"")+IMPORTRANGE(""https://docs.google.com/spreadsheets/d/10oOiF7loTyfsTkbd4MpaIm0HQ9SwB7IYHdIUvt-U1Uc/edit?usp=sharing"""&amp;",""สระแก้ว!I682"")+IMPORTRANGE(""https://docs.google.com/spreadsheets/d/1xmPlrr1QbdSIKvl1dWUl9K4PjAfSL9oeMr_37QVzcxc/edit?usp=sharing"",""สระบุรี!I682"")+IMPORTRANGE(""https://docs.google.com/spreadsheets/d/1j51vR6CYVGhABJpv6tkstgok82RLpXieLzW1yOY5rHw/edi"&amp;"t?usp=sharing"",""สิงห์บุรี!I682"")+IMPORTRANGE(""https://docs.google.com/spreadsheets/d/1H1EalTWKUSzO4Z1-1CwzoDUaVffgrThEBe2sl74kKG0/edit?usp=sharing"",""สุพรรณบุรี!I682"")+IMPORTRANGE(""https://docs.google.com/spreadsheets/d/1BmIruG_sIrJLYao_Pdr7zVArWsf"&amp;"oBt2692TMi6x_854/edit?usp=sharing"",""อ่างทอง!I682"")"),657)</f>
        <v>657</v>
      </c>
      <c r="J682" s="601">
        <f ca="1">J685+J688</f>
        <v>449.09999999999997</v>
      </c>
      <c r="K682" s="262">
        <f t="shared" ca="1" si="463"/>
        <v>68.356164383561648</v>
      </c>
      <c r="L682" s="85"/>
      <c r="M682" s="85"/>
      <c r="N682" s="730"/>
      <c r="O682" s="85"/>
      <c r="P682" s="85"/>
      <c r="Q682" s="84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f ca="1">IFERROR(__xludf.DUMMYFUNCTION("IMPORTRANGE(""https://docs.google.com/spreadsheets/d/13wPX838HrBrQMCywv1BsuMkt4PEKTChp52zj44s2izQ/edit?usp=sharing"",""กาญจนบุรี!J683"")+IMPORTRANGE(""https://docs.google.com/spreadsheets/d/1ddFKvqj1W1NEiWytbGlB1zMx_ykJDVtmfEQ-6-lIUBA/edit?usp=sharing"","&amp;"""จันทบุรี!J683"")+IMPORTRANGE(""https://docs.google.com/spreadsheets/d/1T1PQvRODqOBZk8BRht_U031fIS1beLA0Ub2CEytj2q0/edit?usp=sharing"",""ฉะเชิงเทรา!J683"")+IMPORTRANGE(""https://docs.google.com/spreadsheets/d/11tr1B-Bhyr79v2bkwVh5h_fR-PStkgjlZtkrZpYurG0/"&amp;"edit?usp=sharing"",""ชลบุรี!J683"")+IMPORTRANGE(""https://docs.google.com/spreadsheets/d/1hh-FVnSX0vozXhGluamEcS54Dw9_zqW0N7qJUWgJ0Sw/edit?usp=sharing"",""ชัยนาท!J683"")+IMPORTRANGE(""https://docs.google.com/spreadsheets/d/1jkqa6GXxSacMcY1eN8AHjMNJ_7dDXMJ"&amp;"VRLDlaFSOdPM/edit?usp=sharing"",""ตราด!J683"")+IMPORTRANGE(""https://docs.google.com/spreadsheets/d/18hSgUJ3VwClqi_qtULmmW3cLr0oe3OKaSYoKzdpTsYQ/edit?usp=sharing"",""นครนายก!J683"")+IMPORTRANGE(""https://docs.google.com/spreadsheets/d/1YTZo6WM2dQ6Ix6FSdnL"&amp;"5P7uVnVKu40sxZu975tgG10E/edit?usp=sharing"",""นครปฐม!J683"")+IMPORTRANGE(""https://docs.google.com/spreadsheets/d/1OYoGg4WDg5RIzwGeB10padOxJF9E_Vljuvvct_M7RDo/edit?usp=sharing"",""ปทุมธานี!J683"")+IMPORTRANGE(""https://docs.google.com/spreadsheets/d/1GbCI"&amp;"E4D4wk9FUozzqk7SxfDMxDVBwVmI5zcaVUSzKAc/edit?usp=sharing"",""ประจวบคีรีขันธ์!J683"")+IMPORTRANGE(""https://docs.google.com/spreadsheets/d/1vVf6wykvW_lAyu7Yo9L4hUTqHqIeP_qcVuxCtosJEbg/edit?usp=sharing"",""ปราจีนบุรี!J683"")+IMPORTRANGE(""https://docs.googl"&amp;"e.com/spreadsheets/d/1BIDqLLg5jk3v59G8NlR8rk5xfQDKne0sAvZHSj7TI6I/edit?usp=sharing"",""พระนครศรีอยุธยา!J683"")+IMPORTRANGE(""https://docs.google.com/spreadsheets/d/1YXvxf8Yu6_rV4hTBrwMqAcAnv6DfhUxh5emyM3CJp_w/edit?usp=sharing"",""เพชรบุรี!J683"")+IMPORTRA"&amp;"NGE(""https://docs.google.com/spreadsheets/d/19KBlQQs7uwvsao6t2n-KvW3Ax8J8uRRfZPq1zPbXgKc/edit?usp=sharing"",""ระยอง!J683"")+IMPORTRANGE(""https://docs.google.com/spreadsheets/d/1jQ6P4QcrGM89YfqcC_PxOHGCMq5ezhucwJd8ci-NHng/edit?usp=sharing"",""ราชบุรี!J68"&amp;"3"")+IMPORTRANGE(""https://docs.google.com/spreadsheets/d/1lufeA2cfFqM-elVq2hznhDzC6Pr7wkJ9ZG_sYNGCMCU/edit?usp=sharing"",""ลพบุรี!J683"")+IMPORTRANGE(""https://docs.google.com/spreadsheets/d/10oOiF7loTyfsTkbd4MpaIm0HQ9SwB7IYHdIUvt-U1Uc/edit?usp=sharing"""&amp;",""สระแก้ว!J683"")+IMPORTRANGE(""https://docs.google.com/spreadsheets/d/1xmPlrr1QbdSIKvl1dWUl9K4PjAfSL9oeMr_37QVzcxc/edit?usp=sharing"",""สระบุรี!J683"")+IMPORTRANGE(""https://docs.google.com/spreadsheets/d/1j51vR6CYVGhABJpv6tkstgok82RLpXieLzW1yOY5rHw/edi"&amp;"t?usp=sharing"",""สิงห์บุรี!J683"")+IMPORTRANGE(""https://docs.google.com/spreadsheets/d/1H1EalTWKUSzO4Z1-1CwzoDUaVffgrThEBe2sl74kKG0/edit?usp=sharing"",""สุพรรณบุรี!J683"")+IMPORTRANGE(""https://docs.google.com/spreadsheets/d/1BmIruG_sIrJLYao_Pdr7zVArWsf"&amp;"oBt2692TMi6x_854/edit?usp=sharing"",""อ่างทอง!J683"")"),14)</f>
        <v>14</v>
      </c>
      <c r="K683" s="85"/>
      <c r="L683" s="730"/>
      <c r="M683" s="85"/>
      <c r="N683" s="730"/>
      <c r="O683" s="85"/>
      <c r="P683" s="85"/>
      <c r="Q683" s="732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f ca="1">IFERROR(__xludf.DUMMYFUNCTION("IMPORTRANGE(""https://docs.google.com/spreadsheets/d/13wPX838HrBrQMCywv1BsuMkt4PEKTChp52zj44s2izQ/edit?usp=sharing"",""กาญจนบุรี!J684"")+IMPORTRANGE(""https://docs.google.com/spreadsheets/d/1ddFKvqj1W1NEiWytbGlB1zMx_ykJDVtmfEQ-6-lIUBA/edit?usp=sharing"","&amp;"""จันทบุรี!J684"")+IMPORTRANGE(""https://docs.google.com/spreadsheets/d/1T1PQvRODqOBZk8BRht_U031fIS1beLA0Ub2CEytj2q0/edit?usp=sharing"",""ฉะเชิงเทรา!J684"")+IMPORTRANGE(""https://docs.google.com/spreadsheets/d/11tr1B-Bhyr79v2bkwVh5h_fR-PStkgjlZtkrZpYurG0/"&amp;"edit?usp=sharing"",""ชลบุรี!J684"")+IMPORTRANGE(""https://docs.google.com/spreadsheets/d/1hh-FVnSX0vozXhGluamEcS54Dw9_zqW0N7qJUWgJ0Sw/edit?usp=sharing"",""ชัยนาท!J684"")+IMPORTRANGE(""https://docs.google.com/spreadsheets/d/1jkqa6GXxSacMcY1eN8AHjMNJ_7dDXMJ"&amp;"VRLDlaFSOdPM/edit?usp=sharing"",""ตราด!J684"")+IMPORTRANGE(""https://docs.google.com/spreadsheets/d/18hSgUJ3VwClqi_qtULmmW3cLr0oe3OKaSYoKzdpTsYQ/edit?usp=sharing"",""นครนายก!J684"")+IMPORTRANGE(""https://docs.google.com/spreadsheets/d/1YTZo6WM2dQ6Ix6FSdnL"&amp;"5P7uVnVKu40sxZu975tgG10E/edit?usp=sharing"",""นครปฐม!J684"")+IMPORTRANGE(""https://docs.google.com/spreadsheets/d/1OYoGg4WDg5RIzwGeB10padOxJF9E_Vljuvvct_M7RDo/edit?usp=sharing"",""ปทุมธานี!J684"")+IMPORTRANGE(""https://docs.google.com/spreadsheets/d/1GbCI"&amp;"E4D4wk9FUozzqk7SxfDMxDVBwVmI5zcaVUSzKAc/edit?usp=sharing"",""ประจวบคีรีขันธ์!J684"")+IMPORTRANGE(""https://docs.google.com/spreadsheets/d/1vVf6wykvW_lAyu7Yo9L4hUTqHqIeP_qcVuxCtosJEbg/edit?usp=sharing"",""ปราจีนบุรี!J684"")+IMPORTRANGE(""https://docs.googl"&amp;"e.com/spreadsheets/d/1BIDqLLg5jk3v59G8NlR8rk5xfQDKne0sAvZHSj7TI6I/edit?usp=sharing"",""พระนครศรีอยุธยา!J684"")+IMPORTRANGE(""https://docs.google.com/spreadsheets/d/1YXvxf8Yu6_rV4hTBrwMqAcAnv6DfhUxh5emyM3CJp_w/edit?usp=sharing"",""เพชรบุรี!J684"")+IMPORTRA"&amp;"NGE(""https://docs.google.com/spreadsheets/d/19KBlQQs7uwvsao6t2n-KvW3Ax8J8uRRfZPq1zPbXgKc/edit?usp=sharing"",""ระยอง!J684"")+IMPORTRANGE(""https://docs.google.com/spreadsheets/d/1jQ6P4QcrGM89YfqcC_PxOHGCMq5ezhucwJd8ci-NHng/edit?usp=sharing"",""ราชบุรี!J68"&amp;"4"")+IMPORTRANGE(""https://docs.google.com/spreadsheets/d/1lufeA2cfFqM-elVq2hznhDzC6Pr7wkJ9ZG_sYNGCMCU/edit?usp=sharing"",""ลพบุรี!J684"")+IMPORTRANGE(""https://docs.google.com/spreadsheets/d/10oOiF7loTyfsTkbd4MpaIm0HQ9SwB7IYHdIUvt-U1Uc/edit?usp=sharing"""&amp;",""สระแก้ว!J684"")+IMPORTRANGE(""https://docs.google.com/spreadsheets/d/1xmPlrr1QbdSIKvl1dWUl9K4PjAfSL9oeMr_37QVzcxc/edit?usp=sharing"",""สระบุรี!J684"")+IMPORTRANGE(""https://docs.google.com/spreadsheets/d/1j51vR6CYVGhABJpv6tkstgok82RLpXieLzW1yOY5rHw/edi"&amp;"t?usp=sharing"",""สิงห์บุรี!J684"")+IMPORTRANGE(""https://docs.google.com/spreadsheets/d/1H1EalTWKUSzO4Z1-1CwzoDUaVffgrThEBe2sl74kKG0/edit?usp=sharing"",""สุพรรณบุรี!J684"")+IMPORTRANGE(""https://docs.google.com/spreadsheets/d/1BmIruG_sIrJLYao_Pdr7zVArWsf"&amp;"oBt2692TMi6x_854/edit?usp=sharing"",""อ่างทอง!J684"")"),10)</f>
        <v>10</v>
      </c>
      <c r="K684" s="85"/>
      <c r="L684" s="730"/>
      <c r="M684" s="85"/>
      <c r="N684" s="730"/>
      <c r="O684" s="85"/>
      <c r="P684" s="85"/>
      <c r="Q684" s="732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f ca="1">IFERROR(__xludf.DUMMYFUNCTION("IMPORTRANGE(""https://docs.google.com/spreadsheets/d/13wPX838HrBrQMCywv1BsuMkt4PEKTChp52zj44s2izQ/edit?usp=sharing"",""กาญจนบุรี!J685"")+IMPORTRANGE(""https://docs.google.com/spreadsheets/d/1ddFKvqj1W1NEiWytbGlB1zMx_ykJDVtmfEQ-6-lIUBA/edit?usp=sharing"","&amp;"""จันทบุรี!J685"")+IMPORTRANGE(""https://docs.google.com/spreadsheets/d/1T1PQvRODqOBZk8BRht_U031fIS1beLA0Ub2CEytj2q0/edit?usp=sharing"",""ฉะเชิงเทรา!J685"")+IMPORTRANGE(""https://docs.google.com/spreadsheets/d/11tr1B-Bhyr79v2bkwVh5h_fR-PStkgjlZtkrZpYurG0/"&amp;"edit?usp=sharing"",""ชลบุรี!J685"")+IMPORTRANGE(""https://docs.google.com/spreadsheets/d/1hh-FVnSX0vozXhGluamEcS54Dw9_zqW0N7qJUWgJ0Sw/edit?usp=sharing"",""ชัยนาท!J685"")+IMPORTRANGE(""https://docs.google.com/spreadsheets/d/1jkqa6GXxSacMcY1eN8AHjMNJ_7dDXMJ"&amp;"VRLDlaFSOdPM/edit?usp=sharing"",""ตราด!J685"")+IMPORTRANGE(""https://docs.google.com/spreadsheets/d/18hSgUJ3VwClqi_qtULmmW3cLr0oe3OKaSYoKzdpTsYQ/edit?usp=sharing"",""นครนายก!J685"")+IMPORTRANGE(""https://docs.google.com/spreadsheets/d/1YTZo6WM2dQ6Ix6FSdnL"&amp;"5P7uVnVKu40sxZu975tgG10E/edit?usp=sharing"",""นครปฐม!J685"")+IMPORTRANGE(""https://docs.google.com/spreadsheets/d/1OYoGg4WDg5RIzwGeB10padOxJF9E_Vljuvvct_M7RDo/edit?usp=sharing"",""ปทุมธานี!J685"")+IMPORTRANGE(""https://docs.google.com/spreadsheets/d/1GbCI"&amp;"E4D4wk9FUozzqk7SxfDMxDVBwVmI5zcaVUSzKAc/edit?usp=sharing"",""ประจวบคีรีขันธ์!J685"")+IMPORTRANGE(""https://docs.google.com/spreadsheets/d/1vVf6wykvW_lAyu7Yo9L4hUTqHqIeP_qcVuxCtosJEbg/edit?usp=sharing"",""ปราจีนบุรี!J685"")+IMPORTRANGE(""https://docs.googl"&amp;"e.com/spreadsheets/d/1BIDqLLg5jk3v59G8NlR8rk5xfQDKne0sAvZHSj7TI6I/edit?usp=sharing"",""พระนครศรีอยุธยา!J685"")+IMPORTRANGE(""https://docs.google.com/spreadsheets/d/1YXvxf8Yu6_rV4hTBrwMqAcAnv6DfhUxh5emyM3CJp_w/edit?usp=sharing"",""เพชรบุรี!J685"")+IMPORTRA"&amp;"NGE(""https://docs.google.com/spreadsheets/d/19KBlQQs7uwvsao6t2n-KvW3Ax8J8uRRfZPq1zPbXgKc/edit?usp=sharing"",""ระยอง!J685"")+IMPORTRANGE(""https://docs.google.com/spreadsheets/d/1jQ6P4QcrGM89YfqcC_PxOHGCMq5ezhucwJd8ci-NHng/edit?usp=sharing"",""ราชบุรี!J68"&amp;"5"")+IMPORTRANGE(""https://docs.google.com/spreadsheets/d/1lufeA2cfFqM-elVq2hznhDzC6Pr7wkJ9ZG_sYNGCMCU/edit?usp=sharing"",""ลพบุรี!J685"")+IMPORTRANGE(""https://docs.google.com/spreadsheets/d/10oOiF7loTyfsTkbd4MpaIm0HQ9SwB7IYHdIUvt-U1Uc/edit?usp=sharing"""&amp;",""สระแก้ว!J685"")+IMPORTRANGE(""https://docs.google.com/spreadsheets/d/1xmPlrr1QbdSIKvl1dWUl9K4PjAfSL9oeMr_37QVzcxc/edit?usp=sharing"",""สระบุรี!J685"")+IMPORTRANGE(""https://docs.google.com/spreadsheets/d/1j51vR6CYVGhABJpv6tkstgok82RLpXieLzW1yOY5rHw/edi"&amp;"t?usp=sharing"",""สิงห์บุรี!J685"")+IMPORTRANGE(""https://docs.google.com/spreadsheets/d/1H1EalTWKUSzO4Z1-1CwzoDUaVffgrThEBe2sl74kKG0/edit?usp=sharing"",""สุพรรณบุรี!J685"")+IMPORTRANGE(""https://docs.google.com/spreadsheets/d/1BmIruG_sIrJLYao_Pdr7zVArWsf"&amp;"oBt2692TMi6x_854/edit?usp=sharing"",""อ่างทอง!J685"")"),103.95)</f>
        <v>103.95</v>
      </c>
      <c r="K685" s="85"/>
      <c r="L685" s="730"/>
      <c r="M685" s="85"/>
      <c r="N685" s="730"/>
      <c r="O685" s="85"/>
      <c r="P685" s="85"/>
      <c r="Q685" s="732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f ca="1">IFERROR(__xludf.DUMMYFUNCTION("IMPORTRANGE(""https://docs.google.com/spreadsheets/d/13wPX838HrBrQMCywv1BsuMkt4PEKTChp52zj44s2izQ/edit?usp=sharing"",""กาญจนบุรี!J686"")+IMPORTRANGE(""https://docs.google.com/spreadsheets/d/1ddFKvqj1W1NEiWytbGlB1zMx_ykJDVtmfEQ-6-lIUBA/edit?usp=sharing"","&amp;"""จันทบุรี!J686"")+IMPORTRANGE(""https://docs.google.com/spreadsheets/d/1T1PQvRODqOBZk8BRht_U031fIS1beLA0Ub2CEytj2q0/edit?usp=sharing"",""ฉะเชิงเทรา!J686"")+IMPORTRANGE(""https://docs.google.com/spreadsheets/d/11tr1B-Bhyr79v2bkwVh5h_fR-PStkgjlZtkrZpYurG0/"&amp;"edit?usp=sharing"",""ชลบุรี!J686"")+IMPORTRANGE(""https://docs.google.com/spreadsheets/d/1hh-FVnSX0vozXhGluamEcS54Dw9_zqW0N7qJUWgJ0Sw/edit?usp=sharing"",""ชัยนาท!J686"")+IMPORTRANGE(""https://docs.google.com/spreadsheets/d/1jkqa6GXxSacMcY1eN8AHjMNJ_7dDXMJ"&amp;"VRLDlaFSOdPM/edit?usp=sharing"",""ตราด!J686"")+IMPORTRANGE(""https://docs.google.com/spreadsheets/d/18hSgUJ3VwClqi_qtULmmW3cLr0oe3OKaSYoKzdpTsYQ/edit?usp=sharing"",""นครนายก!J686"")+IMPORTRANGE(""https://docs.google.com/spreadsheets/d/1YTZo6WM2dQ6Ix6FSdnL"&amp;"5P7uVnVKu40sxZu975tgG10E/edit?usp=sharing"",""นครปฐม!J686"")+IMPORTRANGE(""https://docs.google.com/spreadsheets/d/1OYoGg4WDg5RIzwGeB10padOxJF9E_Vljuvvct_M7RDo/edit?usp=sharing"",""ปทุมธานี!J686"")+IMPORTRANGE(""https://docs.google.com/spreadsheets/d/1GbCI"&amp;"E4D4wk9FUozzqk7SxfDMxDVBwVmI5zcaVUSzKAc/edit?usp=sharing"",""ประจวบคีรีขันธ์!J686"")+IMPORTRANGE(""https://docs.google.com/spreadsheets/d/1vVf6wykvW_lAyu7Yo9L4hUTqHqIeP_qcVuxCtosJEbg/edit?usp=sharing"",""ปราจีนบุรี!J686"")+IMPORTRANGE(""https://docs.googl"&amp;"e.com/spreadsheets/d/1BIDqLLg5jk3v59G8NlR8rk5xfQDKne0sAvZHSj7TI6I/edit?usp=sharing"",""พระนครศรีอยุธยา!J686"")+IMPORTRANGE(""https://docs.google.com/spreadsheets/d/1YXvxf8Yu6_rV4hTBrwMqAcAnv6DfhUxh5emyM3CJp_w/edit?usp=sharing"",""เพชรบุรี!J686"")+IMPORTRA"&amp;"NGE(""https://docs.google.com/spreadsheets/d/19KBlQQs7uwvsao6t2n-KvW3Ax8J8uRRfZPq1zPbXgKc/edit?usp=sharing"",""ระยอง!J686"")+IMPORTRANGE(""https://docs.google.com/spreadsheets/d/1jQ6P4QcrGM89YfqcC_PxOHGCMq5ezhucwJd8ci-NHng/edit?usp=sharing"",""ราชบุรี!J68"&amp;"6"")+IMPORTRANGE(""https://docs.google.com/spreadsheets/d/1lufeA2cfFqM-elVq2hznhDzC6Pr7wkJ9ZG_sYNGCMCU/edit?usp=sharing"",""ลพบุรี!J686"")+IMPORTRANGE(""https://docs.google.com/spreadsheets/d/10oOiF7loTyfsTkbd4MpaIm0HQ9SwB7IYHdIUvt-U1Uc/edit?usp=sharing"""&amp;",""สระแก้ว!J686"")+IMPORTRANGE(""https://docs.google.com/spreadsheets/d/1xmPlrr1QbdSIKvl1dWUl9K4PjAfSL9oeMr_37QVzcxc/edit?usp=sharing"",""สระบุรี!J686"")+IMPORTRANGE(""https://docs.google.com/spreadsheets/d/1j51vR6CYVGhABJpv6tkstgok82RLpXieLzW1yOY5rHw/edi"&amp;"t?usp=sharing"",""สิงห์บุรี!J686"")+IMPORTRANGE(""https://docs.google.com/spreadsheets/d/1H1EalTWKUSzO4Z1-1CwzoDUaVffgrThEBe2sl74kKG0/edit?usp=sharing"",""สุพรรณบุรี!J686"")+IMPORTRANGE(""https://docs.google.com/spreadsheets/d/1BmIruG_sIrJLYao_Pdr7zVArWsf"&amp;"oBt2692TMi6x_854/edit?usp=sharing"",""อ่างทอง!J686"")"),46)</f>
        <v>46</v>
      </c>
      <c r="K686" s="85"/>
      <c r="L686" s="730"/>
      <c r="M686" s="85"/>
      <c r="N686" s="730"/>
      <c r="O686" s="85"/>
      <c r="P686" s="85"/>
      <c r="Q686" s="732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f ca="1">IFERROR(__xludf.DUMMYFUNCTION("IMPORTRANGE(""https://docs.google.com/spreadsheets/d/13wPX838HrBrQMCywv1BsuMkt4PEKTChp52zj44s2izQ/edit?usp=sharing"",""กาญจนบุรี!J687"")+IMPORTRANGE(""https://docs.google.com/spreadsheets/d/1ddFKvqj1W1NEiWytbGlB1zMx_ykJDVtmfEQ-6-lIUBA/edit?usp=sharing"","&amp;"""จันทบุรี!J687"")+IMPORTRANGE(""https://docs.google.com/spreadsheets/d/1T1PQvRODqOBZk8BRht_U031fIS1beLA0Ub2CEytj2q0/edit?usp=sharing"",""ฉะเชิงเทรา!J687"")+IMPORTRANGE(""https://docs.google.com/spreadsheets/d/11tr1B-Bhyr79v2bkwVh5h_fR-PStkgjlZtkrZpYurG0/"&amp;"edit?usp=sharing"",""ชลบุรี!J687"")+IMPORTRANGE(""https://docs.google.com/spreadsheets/d/1hh-FVnSX0vozXhGluamEcS54Dw9_zqW0N7qJUWgJ0Sw/edit?usp=sharing"",""ชัยนาท!J687"")+IMPORTRANGE(""https://docs.google.com/spreadsheets/d/1jkqa6GXxSacMcY1eN8AHjMNJ_7dDXMJ"&amp;"VRLDlaFSOdPM/edit?usp=sharing"",""ตราด!J687"")+IMPORTRANGE(""https://docs.google.com/spreadsheets/d/18hSgUJ3VwClqi_qtULmmW3cLr0oe3OKaSYoKzdpTsYQ/edit?usp=sharing"",""นครนายก!J687"")+IMPORTRANGE(""https://docs.google.com/spreadsheets/d/1YTZo6WM2dQ6Ix6FSdnL"&amp;"5P7uVnVKu40sxZu975tgG10E/edit?usp=sharing"",""นครปฐม!J687"")+IMPORTRANGE(""https://docs.google.com/spreadsheets/d/1OYoGg4WDg5RIzwGeB10padOxJF9E_Vljuvvct_M7RDo/edit?usp=sharing"",""ปทุมธานี!J687"")+IMPORTRANGE(""https://docs.google.com/spreadsheets/d/1GbCI"&amp;"E4D4wk9FUozzqk7SxfDMxDVBwVmI5zcaVUSzKAc/edit?usp=sharing"",""ประจวบคีรีขันธ์!J687"")+IMPORTRANGE(""https://docs.google.com/spreadsheets/d/1vVf6wykvW_lAyu7Yo9L4hUTqHqIeP_qcVuxCtosJEbg/edit?usp=sharing"",""ปราจีนบุรี!J687"")+IMPORTRANGE(""https://docs.googl"&amp;"e.com/spreadsheets/d/1BIDqLLg5jk3v59G8NlR8rk5xfQDKne0sAvZHSj7TI6I/edit?usp=sharing"",""พระนครศรีอยุธยา!J687"")+IMPORTRANGE(""https://docs.google.com/spreadsheets/d/1YXvxf8Yu6_rV4hTBrwMqAcAnv6DfhUxh5emyM3CJp_w/edit?usp=sharing"",""เพชรบุรี!J687"")+IMPORTRA"&amp;"NGE(""https://docs.google.com/spreadsheets/d/19KBlQQs7uwvsao6t2n-KvW3Ax8J8uRRfZPq1zPbXgKc/edit?usp=sharing"",""ระยอง!J687"")+IMPORTRANGE(""https://docs.google.com/spreadsheets/d/1jQ6P4QcrGM89YfqcC_PxOHGCMq5ezhucwJd8ci-NHng/edit?usp=sharing"",""ราชบุรี!J68"&amp;"7"")+IMPORTRANGE(""https://docs.google.com/spreadsheets/d/1lufeA2cfFqM-elVq2hznhDzC6Pr7wkJ9ZG_sYNGCMCU/edit?usp=sharing"",""ลพบุรี!J687"")+IMPORTRANGE(""https://docs.google.com/spreadsheets/d/10oOiF7loTyfsTkbd4MpaIm0HQ9SwB7IYHdIUvt-U1Uc/edit?usp=sharing"""&amp;",""สระแก้ว!J687"")+IMPORTRANGE(""https://docs.google.com/spreadsheets/d/1xmPlrr1QbdSIKvl1dWUl9K4PjAfSL9oeMr_37QVzcxc/edit?usp=sharing"",""สระบุรี!J687"")+IMPORTRANGE(""https://docs.google.com/spreadsheets/d/1j51vR6CYVGhABJpv6tkstgok82RLpXieLzW1yOY5rHw/edi"&amp;"t?usp=sharing"",""สิงห์บุรี!J687"")+IMPORTRANGE(""https://docs.google.com/spreadsheets/d/1H1EalTWKUSzO4Z1-1CwzoDUaVffgrThEBe2sl74kKG0/edit?usp=sharing"",""สุพรรณบุรี!J687"")+IMPORTRANGE(""https://docs.google.com/spreadsheets/d/1BmIruG_sIrJLYao_Pdr7zVArWsf"&amp;"oBt2692TMi6x_854/edit?usp=sharing"",""อ่างทอง!J687"")"),32)</f>
        <v>32</v>
      </c>
      <c r="K687" s="85"/>
      <c r="L687" s="730"/>
      <c r="M687" s="85"/>
      <c r="N687" s="730"/>
      <c r="O687" s="85"/>
      <c r="P687" s="85"/>
      <c r="Q687" s="732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f ca="1">IFERROR(__xludf.DUMMYFUNCTION("IMPORTRANGE(""https://docs.google.com/spreadsheets/d/13wPX838HrBrQMCywv1BsuMkt4PEKTChp52zj44s2izQ/edit?usp=sharing"",""กาญจนบุรี!J688"")+IMPORTRANGE(""https://docs.google.com/spreadsheets/d/1ddFKvqj1W1NEiWytbGlB1zMx_ykJDVtmfEQ-6-lIUBA/edit?usp=sharing"","&amp;"""จันทบุรี!J688"")+IMPORTRANGE(""https://docs.google.com/spreadsheets/d/1T1PQvRODqOBZk8BRht_U031fIS1beLA0Ub2CEytj2q0/edit?usp=sharing"",""ฉะเชิงเทรา!J688"")+IMPORTRANGE(""https://docs.google.com/spreadsheets/d/11tr1B-Bhyr79v2bkwVh5h_fR-PStkgjlZtkrZpYurG0/"&amp;"edit?usp=sharing"",""ชลบุรี!J688"")+IMPORTRANGE(""https://docs.google.com/spreadsheets/d/1hh-FVnSX0vozXhGluamEcS54Dw9_zqW0N7qJUWgJ0Sw/edit?usp=sharing"",""ชัยนาท!J688"")+IMPORTRANGE(""https://docs.google.com/spreadsheets/d/1jkqa6GXxSacMcY1eN8AHjMNJ_7dDXMJ"&amp;"VRLDlaFSOdPM/edit?usp=sharing"",""ตราด!J688"")+IMPORTRANGE(""https://docs.google.com/spreadsheets/d/18hSgUJ3VwClqi_qtULmmW3cLr0oe3OKaSYoKzdpTsYQ/edit?usp=sharing"",""นครนายก!J688"")+IMPORTRANGE(""https://docs.google.com/spreadsheets/d/1YTZo6WM2dQ6Ix6FSdnL"&amp;"5P7uVnVKu40sxZu975tgG10E/edit?usp=sharing"",""นครปฐม!J688"")+IMPORTRANGE(""https://docs.google.com/spreadsheets/d/1OYoGg4WDg5RIzwGeB10padOxJF9E_Vljuvvct_M7RDo/edit?usp=sharing"",""ปทุมธานี!J688"")+IMPORTRANGE(""https://docs.google.com/spreadsheets/d/1GbCI"&amp;"E4D4wk9FUozzqk7SxfDMxDVBwVmI5zcaVUSzKAc/edit?usp=sharing"",""ประจวบคีรีขันธ์!J688"")+IMPORTRANGE(""https://docs.google.com/spreadsheets/d/1vVf6wykvW_lAyu7Yo9L4hUTqHqIeP_qcVuxCtosJEbg/edit?usp=sharing"",""ปราจีนบุรี!J688"")+IMPORTRANGE(""https://docs.googl"&amp;"e.com/spreadsheets/d/1BIDqLLg5jk3v59G8NlR8rk5xfQDKne0sAvZHSj7TI6I/edit?usp=sharing"",""พระนครศรีอยุธยา!J688"")+IMPORTRANGE(""https://docs.google.com/spreadsheets/d/1YXvxf8Yu6_rV4hTBrwMqAcAnv6DfhUxh5emyM3CJp_w/edit?usp=sharing"",""เพชรบุรี!J688"")+IMPORTRA"&amp;"NGE(""https://docs.google.com/spreadsheets/d/19KBlQQs7uwvsao6t2n-KvW3Ax8J8uRRfZPq1zPbXgKc/edit?usp=sharing"",""ระยอง!J688"")+IMPORTRANGE(""https://docs.google.com/spreadsheets/d/1jQ6P4QcrGM89YfqcC_PxOHGCMq5ezhucwJd8ci-NHng/edit?usp=sharing"",""ราชบุรี!J68"&amp;"8"")+IMPORTRANGE(""https://docs.google.com/spreadsheets/d/1lufeA2cfFqM-elVq2hznhDzC6Pr7wkJ9ZG_sYNGCMCU/edit?usp=sharing"",""ลพบุรี!J688"")+IMPORTRANGE(""https://docs.google.com/spreadsheets/d/10oOiF7loTyfsTkbd4MpaIm0HQ9SwB7IYHdIUvt-U1Uc/edit?usp=sharing"""&amp;",""สระแก้ว!J688"")+IMPORTRANGE(""https://docs.google.com/spreadsheets/d/1xmPlrr1QbdSIKvl1dWUl9K4PjAfSL9oeMr_37QVzcxc/edit?usp=sharing"",""สระบุรี!J688"")+IMPORTRANGE(""https://docs.google.com/spreadsheets/d/1j51vR6CYVGhABJpv6tkstgok82RLpXieLzW1yOY5rHw/edi"&amp;"t?usp=sharing"",""สิงห์บุรี!J688"")+IMPORTRANGE(""https://docs.google.com/spreadsheets/d/1H1EalTWKUSzO4Z1-1CwzoDUaVffgrThEBe2sl74kKG0/edit?usp=sharing"",""สุพรรณบุรี!J688"")+IMPORTRANGE(""https://docs.google.com/spreadsheets/d/1BmIruG_sIrJLYao_Pdr7zVArWsf"&amp;"oBt2692TMi6x_854/edit?usp=sharing"",""อ่างทอง!J688"")"),345.15)</f>
        <v>345.15</v>
      </c>
      <c r="K688" s="96"/>
      <c r="L688" s="740"/>
      <c r="M688" s="96"/>
      <c r="N688" s="740"/>
      <c r="O688" s="96"/>
      <c r="P688" s="96"/>
      <c r="Q688" s="741"/>
      <c r="R688" s="96"/>
      <c r="S688" s="740"/>
      <c r="T688" s="96"/>
      <c r="U688" s="96"/>
    </row>
    <row r="689" spans="1:21" ht="19.5" x14ac:dyDescent="0.3">
      <c r="A689" s="706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t="shared" ref="I689:J689" ca="1" si="464">I707</f>
        <v>668</v>
      </c>
      <c r="J689" s="743">
        <f t="shared" ca="1" si="464"/>
        <v>56</v>
      </c>
      <c r="K689" s="744">
        <f ca="1">IF(I689&gt;0,J689*100/I689,0)</f>
        <v>8.3832335329341312</v>
      </c>
      <c r="L689" s="712"/>
      <c r="M689" s="712"/>
      <c r="N689" s="712"/>
      <c r="O689" s="712"/>
      <c r="P689" s="712"/>
      <c r="Q689" s="713"/>
      <c r="R689" s="712"/>
      <c r="S689" s="712"/>
      <c r="T689" s="712"/>
      <c r="U689" s="712"/>
    </row>
    <row r="690" spans="1:21" ht="19.5" x14ac:dyDescent="0.3">
      <c r="A690" s="255"/>
      <c r="B690" s="267"/>
      <c r="C690" s="304" t="s">
        <v>18</v>
      </c>
      <c r="D690" s="1403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262">
        <f t="shared" ref="L690:N690" ca="1" si="465">L691+L692</f>
        <v>0</v>
      </c>
      <c r="M690" s="262">
        <f t="shared" ca="1" si="465"/>
        <v>0</v>
      </c>
      <c r="N690" s="262">
        <f t="shared" ca="1" si="465"/>
        <v>0</v>
      </c>
      <c r="O690" s="262">
        <f t="shared" ref="O690:O698" ca="1" si="466">IF(L690&gt;0,N690*100/L690,0)</f>
        <v>0</v>
      </c>
      <c r="P690" s="262">
        <f t="shared" ref="P690:P698" ca="1" si="467">IF(M690&gt;0,N690*100/M690,0)</f>
        <v>0</v>
      </c>
      <c r="Q690" s="212">
        <f t="shared" ref="Q690:S690" ca="1" si="468">Q691+Q692</f>
        <v>2322060</v>
      </c>
      <c r="R690" s="213">
        <f t="shared" ca="1" si="468"/>
        <v>2322060</v>
      </c>
      <c r="S690" s="213">
        <f t="shared" ca="1" si="468"/>
        <v>755771.46</v>
      </c>
      <c r="T690" s="213">
        <f t="shared" ref="T690:T698" ca="1" si="469">IF(Q690&gt;0,S690*100/Q690,0)</f>
        <v>32.547456138084286</v>
      </c>
      <c r="U690" s="213">
        <f t="shared" ref="U690:U698" ca="1" si="470">IF(R690&gt;0,S690*100/R690,0)</f>
        <v>32.547456138084286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5">
        <f t="shared" ref="L691:N691" ca="1" si="471">L694+L697</f>
        <v>0</v>
      </c>
      <c r="M691" s="75">
        <f t="shared" ca="1" si="471"/>
        <v>0</v>
      </c>
      <c r="N691" s="75">
        <f t="shared" ca="1" si="471"/>
        <v>0</v>
      </c>
      <c r="O691" s="75">
        <f t="shared" ca="1" si="466"/>
        <v>0</v>
      </c>
      <c r="P691" s="75">
        <f t="shared" ca="1" si="467"/>
        <v>0</v>
      </c>
      <c r="Q691" s="215">
        <f t="shared" ref="Q691:S691" ca="1" si="472">Q694+Q697</f>
        <v>0</v>
      </c>
      <c r="R691" s="131">
        <f t="shared" ca="1" si="472"/>
        <v>0</v>
      </c>
      <c r="S691" s="131">
        <f t="shared" ca="1" si="472"/>
        <v>0</v>
      </c>
      <c r="T691" s="131">
        <f t="shared" ca="1" si="469"/>
        <v>0</v>
      </c>
      <c r="U691" s="131">
        <f t="shared" ca="1" si="4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2">
        <f t="shared" ref="L692:N692" ca="1" si="473">L695+L698</f>
        <v>0</v>
      </c>
      <c r="M692" s="72">
        <f t="shared" ca="1" si="473"/>
        <v>0</v>
      </c>
      <c r="N692" s="72">
        <f t="shared" ca="1" si="473"/>
        <v>0</v>
      </c>
      <c r="O692" s="72">
        <f t="shared" ca="1" si="466"/>
        <v>0</v>
      </c>
      <c r="P692" s="72">
        <f t="shared" ca="1" si="467"/>
        <v>0</v>
      </c>
      <c r="Q692" s="129">
        <f t="shared" ref="Q692:S692" ca="1" si="474">Q695+Q698</f>
        <v>2322060</v>
      </c>
      <c r="R692" s="130">
        <f t="shared" ca="1" si="474"/>
        <v>2322060</v>
      </c>
      <c r="S692" s="130">
        <f t="shared" ca="1" si="474"/>
        <v>755771.46</v>
      </c>
      <c r="T692" s="130">
        <f t="shared" ca="1" si="469"/>
        <v>32.547456138084286</v>
      </c>
      <c r="U692" s="130">
        <f t="shared" ca="1" si="470"/>
        <v>32.547456138084286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 t="shared" ref="L693:N693" ca="1" si="475">L694+L695</f>
        <v>0</v>
      </c>
      <c r="M693" s="72">
        <f t="shared" ca="1" si="475"/>
        <v>0</v>
      </c>
      <c r="N693" s="72">
        <f t="shared" ca="1" si="475"/>
        <v>0</v>
      </c>
      <c r="O693" s="72">
        <f t="shared" ca="1" si="466"/>
        <v>0</v>
      </c>
      <c r="P693" s="72">
        <f t="shared" ca="1" si="467"/>
        <v>0</v>
      </c>
      <c r="Q693" s="129">
        <f t="shared" ref="Q693:S693" ca="1" si="476">Q694+Q695</f>
        <v>2322060</v>
      </c>
      <c r="R693" s="130">
        <f t="shared" ca="1" si="476"/>
        <v>2322060</v>
      </c>
      <c r="S693" s="130">
        <f t="shared" ca="1" si="476"/>
        <v>755771.46</v>
      </c>
      <c r="T693" s="130">
        <f t="shared" ca="1" si="469"/>
        <v>32.547456138084286</v>
      </c>
      <c r="U693" s="130">
        <f t="shared" ca="1" si="470"/>
        <v>32.547456138084286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5">
        <f ca="1">IFERROR(__xludf.DUMMYFUNCTION("IMPORTRANGE(""https://docs.google.com/spreadsheets/d/13wPX838HrBrQMCywv1BsuMkt4PEKTChp52zj44s2izQ/edit?usp=sharing"",""กาญจนบุรี!L694"")+IMPORTRANGE(""https://docs.google.com/spreadsheets/d/1ddFKvqj1W1NEiWytbGlB1zMx_ykJDVtmfEQ-6-lIUBA/edit?usp=sharing"","&amp;"""จันทบุรี!L694"")+IMPORTRANGE(""https://docs.google.com/spreadsheets/d/1T1PQvRODqOBZk8BRht_U031fIS1beLA0Ub2CEytj2q0/edit?usp=sharing"",""ฉะเชิงเทรา!L694"")+IMPORTRANGE(""https://docs.google.com/spreadsheets/d/11tr1B-Bhyr79v2bkwVh5h_fR-PStkgjlZtkrZpYurG0/"&amp;"edit?usp=sharing"",""ชลบุรี!L694"")+IMPORTRANGE(""https://docs.google.com/spreadsheets/d/1hh-FVnSX0vozXhGluamEcS54Dw9_zqW0N7qJUWgJ0Sw/edit?usp=sharing"",""ชัยนาท!L694"")+IMPORTRANGE(""https://docs.google.com/spreadsheets/d/1jkqa6GXxSacMcY1eN8AHjMNJ_7dDXMJ"&amp;"VRLDlaFSOdPM/edit?usp=sharing"",""ตราด!L694"")+IMPORTRANGE(""https://docs.google.com/spreadsheets/d/18hSgUJ3VwClqi_qtULmmW3cLr0oe3OKaSYoKzdpTsYQ/edit?usp=sharing"",""นครนายก!L694"")+IMPORTRANGE(""https://docs.google.com/spreadsheets/d/1YTZo6WM2dQ6Ix6FSdnL"&amp;"5P7uVnVKu40sxZu975tgG10E/edit?usp=sharing"",""นครปฐม!L694"")+IMPORTRANGE(""https://docs.google.com/spreadsheets/d/1OYoGg4WDg5RIzwGeB10padOxJF9E_Vljuvvct_M7RDo/edit?usp=sharing"",""ปทุมธานี!L694"")+IMPORTRANGE(""https://docs.google.com/spreadsheets/d/1GbCI"&amp;"E4D4wk9FUozzqk7SxfDMxDVBwVmI5zcaVUSzKAc/edit?usp=sharing"",""ประจวบคีรีขันธ์!L694"")+IMPORTRANGE(""https://docs.google.com/spreadsheets/d/1vVf6wykvW_lAyu7Yo9L4hUTqHqIeP_qcVuxCtosJEbg/edit?usp=sharing"",""ปราจีนบุรี!L694"")+IMPORTRANGE(""https://docs.googl"&amp;"e.com/spreadsheets/d/1BIDqLLg5jk3v59G8NlR8rk5xfQDKne0sAvZHSj7TI6I/edit?usp=sharing"",""พระนครศรีอยุธยา!L694"")+IMPORTRANGE(""https://docs.google.com/spreadsheets/d/1YXvxf8Yu6_rV4hTBrwMqAcAnv6DfhUxh5emyM3CJp_w/edit?usp=sharing"",""เพชรบุรี!L694"")+IMPORTRA"&amp;"NGE(""https://docs.google.com/spreadsheets/d/19KBlQQs7uwvsao6t2n-KvW3Ax8J8uRRfZPq1zPbXgKc/edit?usp=sharing"",""ระยอง!L694"")+IMPORTRANGE(""https://docs.google.com/spreadsheets/d/1jQ6P4QcrGM89YfqcC_PxOHGCMq5ezhucwJd8ci-NHng/edit?usp=sharing"",""ราชบุรี!L69"&amp;"4"")+IMPORTRANGE(""https://docs.google.com/spreadsheets/d/1lufeA2cfFqM-elVq2hznhDzC6Pr7wkJ9ZG_sYNGCMCU/edit?usp=sharing"",""ลพบุรี!L694"")+IMPORTRANGE(""https://docs.google.com/spreadsheets/d/10oOiF7loTyfsTkbd4MpaIm0HQ9SwB7IYHdIUvt-U1Uc/edit?usp=sharing"""&amp;",""สระแก้ว!L694"")+IMPORTRANGE(""https://docs.google.com/spreadsheets/d/1xmPlrr1QbdSIKvl1dWUl9K4PjAfSL9oeMr_37QVzcxc/edit?usp=sharing"",""สระบุรี!L694"")+IMPORTRANGE(""https://docs.google.com/spreadsheets/d/1j51vR6CYVGhABJpv6tkstgok82RLpXieLzW1yOY5rHw/edi"&amp;"t?usp=sharing"",""สิงห์บุรี!L694"")+IMPORTRANGE(""https://docs.google.com/spreadsheets/d/1H1EalTWKUSzO4Z1-1CwzoDUaVffgrThEBe2sl74kKG0/edit?usp=sharing"",""สุพรรณบุรี!L694"")+IMPORTRANGE(""https://docs.google.com/spreadsheets/d/1BmIruG_sIrJLYao_Pdr7zVArWsf"&amp;"oBt2692TMi6x_854/edit?usp=sharing"",""อ่างทอง!L694"")"),0)</f>
        <v>0</v>
      </c>
      <c r="M694" s="75">
        <f ca="1">IFERROR(__xludf.DUMMYFUNCTION("IMPORTRANGE(""https://docs.google.com/spreadsheets/d/13wPX838HrBrQMCywv1BsuMkt4PEKTChp52zj44s2izQ/edit?usp=sharing"",""กาญจนบุรี!M694"")+IMPORTRANGE(""https://docs.google.com/spreadsheets/d/1ddFKvqj1W1NEiWytbGlB1zMx_ykJDVtmfEQ-6-lIUBA/edit?usp=sharing"","&amp;"""จันทบุรี!M694"")+IMPORTRANGE(""https://docs.google.com/spreadsheets/d/1T1PQvRODqOBZk8BRht_U031fIS1beLA0Ub2CEytj2q0/edit?usp=sharing"",""ฉะเชิงเทรา!M694"")+IMPORTRANGE(""https://docs.google.com/spreadsheets/d/11tr1B-Bhyr79v2bkwVh5h_fR-PStkgjlZtkrZpYurG0/"&amp;"edit?usp=sharing"",""ชลบุรี!M694"")+IMPORTRANGE(""https://docs.google.com/spreadsheets/d/1hh-FVnSX0vozXhGluamEcS54Dw9_zqW0N7qJUWgJ0Sw/edit?usp=sharing"",""ชัยนาท!M694"")+IMPORTRANGE(""https://docs.google.com/spreadsheets/d/1jkqa6GXxSacMcY1eN8AHjMNJ_7dDXMJ"&amp;"VRLDlaFSOdPM/edit?usp=sharing"",""ตราด!M694"")+IMPORTRANGE(""https://docs.google.com/spreadsheets/d/18hSgUJ3VwClqi_qtULmmW3cLr0oe3OKaSYoKzdpTsYQ/edit?usp=sharing"",""นครนายก!M694"")+IMPORTRANGE(""https://docs.google.com/spreadsheets/d/1YTZo6WM2dQ6Ix6FSdnL"&amp;"5P7uVnVKu40sxZu975tgG10E/edit?usp=sharing"",""นครปฐม!M694"")+IMPORTRANGE(""https://docs.google.com/spreadsheets/d/1OYoGg4WDg5RIzwGeB10padOxJF9E_Vljuvvct_M7RDo/edit?usp=sharing"",""ปทุมธานี!M694"")+IMPORTRANGE(""https://docs.google.com/spreadsheets/d/1GbCI"&amp;"E4D4wk9FUozzqk7SxfDMxDVBwVmI5zcaVUSzKAc/edit?usp=sharing"",""ประจวบคีรีขันธ์!M694"")+IMPORTRANGE(""https://docs.google.com/spreadsheets/d/1vVf6wykvW_lAyu7Yo9L4hUTqHqIeP_qcVuxCtosJEbg/edit?usp=sharing"",""ปราจีนบุรี!M694"")+IMPORTRANGE(""https://docs.googl"&amp;"e.com/spreadsheets/d/1BIDqLLg5jk3v59G8NlR8rk5xfQDKne0sAvZHSj7TI6I/edit?usp=sharing"",""พระนครศรีอยุธยา!M694"")+IMPORTRANGE(""https://docs.google.com/spreadsheets/d/1YXvxf8Yu6_rV4hTBrwMqAcAnv6DfhUxh5emyM3CJp_w/edit?usp=sharing"",""เพชรบุรี!M694"")+IMPORTRA"&amp;"NGE(""https://docs.google.com/spreadsheets/d/19KBlQQs7uwvsao6t2n-KvW3Ax8J8uRRfZPq1zPbXgKc/edit?usp=sharing"",""ระยอง!M694"")+IMPORTRANGE(""https://docs.google.com/spreadsheets/d/1jQ6P4QcrGM89YfqcC_PxOHGCMq5ezhucwJd8ci-NHng/edit?usp=sharing"",""ราชบุรี!M69"&amp;"4"")+IMPORTRANGE(""https://docs.google.com/spreadsheets/d/1lufeA2cfFqM-elVq2hznhDzC6Pr7wkJ9ZG_sYNGCMCU/edit?usp=sharing"",""ลพบุรี!M694"")+IMPORTRANGE(""https://docs.google.com/spreadsheets/d/10oOiF7loTyfsTkbd4MpaIm0HQ9SwB7IYHdIUvt-U1Uc/edit?usp=sharing"""&amp;",""สระแก้ว!M694"")+IMPORTRANGE(""https://docs.google.com/spreadsheets/d/1xmPlrr1QbdSIKvl1dWUl9K4PjAfSL9oeMr_37QVzcxc/edit?usp=sharing"",""สระบุรี!M694"")+IMPORTRANGE(""https://docs.google.com/spreadsheets/d/1j51vR6CYVGhABJpv6tkstgok82RLpXieLzW1yOY5rHw/edi"&amp;"t?usp=sharing"",""สิงห์บุรี!M694"")+IMPORTRANGE(""https://docs.google.com/spreadsheets/d/1H1EalTWKUSzO4Z1-1CwzoDUaVffgrThEBe2sl74kKG0/edit?usp=sharing"",""สุพรรณบุรี!M694"")+IMPORTRANGE(""https://docs.google.com/spreadsheets/d/1BmIruG_sIrJLYao_Pdr7zVArWsf"&amp;"oBt2692TMi6x_854/edit?usp=sharing"",""อ่างทอง!M694"")"),0)</f>
        <v>0</v>
      </c>
      <c r="N694" s="75">
        <f ca="1">IFERROR(__xludf.DUMMYFUNCTION("IMPORTRANGE(""https://docs.google.com/spreadsheets/d/13wPX838HrBrQMCywv1BsuMkt4PEKTChp52zj44s2izQ/edit?usp=sharing"",""กาญจนบุรี!N694"")+IMPORTRANGE(""https://docs.google.com/spreadsheets/d/1ddFKvqj1W1NEiWytbGlB1zMx_ykJDVtmfEQ-6-lIUBA/edit?usp=sharing"","&amp;"""จันทบุรี!N694"")+IMPORTRANGE(""https://docs.google.com/spreadsheets/d/1T1PQvRODqOBZk8BRht_U031fIS1beLA0Ub2CEytj2q0/edit?usp=sharing"",""ฉะเชิงเทรา!N694"")+IMPORTRANGE(""https://docs.google.com/spreadsheets/d/11tr1B-Bhyr79v2bkwVh5h_fR-PStkgjlZtkrZpYurG0/"&amp;"edit?usp=sharing"",""ชลบุรี!N694"")+IMPORTRANGE(""https://docs.google.com/spreadsheets/d/1hh-FVnSX0vozXhGluamEcS54Dw9_zqW0N7qJUWgJ0Sw/edit?usp=sharing"",""ชัยนาท!N694"")+IMPORTRANGE(""https://docs.google.com/spreadsheets/d/1jkqa6GXxSacMcY1eN8AHjMNJ_7dDXMJ"&amp;"VRLDlaFSOdPM/edit?usp=sharing"",""ตราด!N694"")+IMPORTRANGE(""https://docs.google.com/spreadsheets/d/18hSgUJ3VwClqi_qtULmmW3cLr0oe3OKaSYoKzdpTsYQ/edit?usp=sharing"",""นครนายก!N694"")+IMPORTRANGE(""https://docs.google.com/spreadsheets/d/1YTZo6WM2dQ6Ix6FSdnL"&amp;"5P7uVnVKu40sxZu975tgG10E/edit?usp=sharing"",""นครปฐม!N694"")+IMPORTRANGE(""https://docs.google.com/spreadsheets/d/1OYoGg4WDg5RIzwGeB10padOxJF9E_Vljuvvct_M7RDo/edit?usp=sharing"",""ปทุมธานี!N694"")+IMPORTRANGE(""https://docs.google.com/spreadsheets/d/1GbCI"&amp;"E4D4wk9FUozzqk7SxfDMxDVBwVmI5zcaVUSzKAc/edit?usp=sharing"",""ประจวบคีรีขันธ์!N694"")+IMPORTRANGE(""https://docs.google.com/spreadsheets/d/1vVf6wykvW_lAyu7Yo9L4hUTqHqIeP_qcVuxCtosJEbg/edit?usp=sharing"",""ปราจีนบุรี!N694"")+IMPORTRANGE(""https://docs.googl"&amp;"e.com/spreadsheets/d/1BIDqLLg5jk3v59G8NlR8rk5xfQDKne0sAvZHSj7TI6I/edit?usp=sharing"",""พระนครศรีอยุธยา!N694"")+IMPORTRANGE(""https://docs.google.com/spreadsheets/d/1YXvxf8Yu6_rV4hTBrwMqAcAnv6DfhUxh5emyM3CJp_w/edit?usp=sharing"",""เพชรบุรี!N694"")+IMPORTRA"&amp;"NGE(""https://docs.google.com/spreadsheets/d/19KBlQQs7uwvsao6t2n-KvW3Ax8J8uRRfZPq1zPbXgKc/edit?usp=sharing"",""ระยอง!N694"")+IMPORTRANGE(""https://docs.google.com/spreadsheets/d/1jQ6P4QcrGM89YfqcC_PxOHGCMq5ezhucwJd8ci-NHng/edit?usp=sharing"",""ราชบุรี!N69"&amp;"4"")+IMPORTRANGE(""https://docs.google.com/spreadsheets/d/1lufeA2cfFqM-elVq2hznhDzC6Pr7wkJ9ZG_sYNGCMCU/edit?usp=sharing"",""ลพบุรี!N694"")+IMPORTRANGE(""https://docs.google.com/spreadsheets/d/10oOiF7loTyfsTkbd4MpaIm0HQ9SwB7IYHdIUvt-U1Uc/edit?usp=sharing"""&amp;",""สระแก้ว!N694"")+IMPORTRANGE(""https://docs.google.com/spreadsheets/d/1xmPlrr1QbdSIKvl1dWUl9K4PjAfSL9oeMr_37QVzcxc/edit?usp=sharing"",""สระบุรี!N694"")+IMPORTRANGE(""https://docs.google.com/spreadsheets/d/1j51vR6CYVGhABJpv6tkstgok82RLpXieLzW1yOY5rHw/edi"&amp;"t?usp=sharing"",""สิงห์บุรี!N694"")+IMPORTRANGE(""https://docs.google.com/spreadsheets/d/1H1EalTWKUSzO4Z1-1CwzoDUaVffgrThEBe2sl74kKG0/edit?usp=sharing"",""สุพรรณบุรี!N694"")+IMPORTRANGE(""https://docs.google.com/spreadsheets/d/1BmIruG_sIrJLYao_Pdr7zVArWsf"&amp;"oBt2692TMi6x_854/edit?usp=sharing"",""อ่างทอง!N694"")"),0)</f>
        <v>0</v>
      </c>
      <c r="O694" s="75">
        <f t="shared" ca="1" si="466"/>
        <v>0</v>
      </c>
      <c r="P694" s="75">
        <f t="shared" ca="1" si="467"/>
        <v>0</v>
      </c>
      <c r="Q694" s="74">
        <f ca="1">IFERROR(__xludf.DUMMYFUNCTION("IMPORTRANGE(""https://docs.google.com/spreadsheets/d/13wPX838HrBrQMCywv1BsuMkt4PEKTChp52zj44s2izQ/edit?usp=sharing"",""กาญจนบุรี!Q694"")+IMPORTRANGE(""https://docs.google.com/spreadsheets/d/1ddFKvqj1W1NEiWytbGlB1zMx_ykJDVtmfEQ-6-lIUBA/edit?usp=sharing"","&amp;"""จันทบุรี!Q694"")+IMPORTRANGE(""https://docs.google.com/spreadsheets/d/1T1PQvRODqOBZk8BRht_U031fIS1beLA0Ub2CEytj2q0/edit?usp=sharing"",""ฉะเชิงเทรา!Q694"")+IMPORTRANGE(""https://docs.google.com/spreadsheets/d/11tr1B-Bhyr79v2bkwVh5h_fR-PStkgjlZtkrZpYurG0/"&amp;"edit?usp=sharing"",""ชลบุรี!Q694"")+IMPORTRANGE(""https://docs.google.com/spreadsheets/d/1hh-FVnSX0vozXhGluamEcS54Dw9_zqW0N7qJUWgJ0Sw/edit?usp=sharing"",""ชัยนาท!Q694"")+IMPORTRANGE(""https://docs.google.com/spreadsheets/d/1jkqa6GXxSacMcY1eN8AHjMNJ_7dDXMJ"&amp;"VRLDlaFSOdPM/edit?usp=sharing"",""ตราด!Q694"")+IMPORTRANGE(""https://docs.google.com/spreadsheets/d/18hSgUJ3VwClqi_qtULmmW3cLr0oe3OKaSYoKzdpTsYQ/edit?usp=sharing"",""นครนายก!Q694"")+IMPORTRANGE(""https://docs.google.com/spreadsheets/d/1YTZo6WM2dQ6Ix6FSdnL"&amp;"5P7uVnVKu40sxZu975tgG10E/edit?usp=sharing"",""นครปฐม!Q694"")+IMPORTRANGE(""https://docs.google.com/spreadsheets/d/1OYoGg4WDg5RIzwGeB10padOxJF9E_Vljuvvct_M7RDo/edit?usp=sharing"",""ปทุมธานี!Q694"")+IMPORTRANGE(""https://docs.google.com/spreadsheets/d/1GbCI"&amp;"E4D4wk9FUozzqk7SxfDMxDVBwVmI5zcaVUSzKAc/edit?usp=sharing"",""ประจวบคีรีขันธ์!Q694"")+IMPORTRANGE(""https://docs.google.com/spreadsheets/d/1vVf6wykvW_lAyu7Yo9L4hUTqHqIeP_qcVuxCtosJEbg/edit?usp=sharing"",""ปราจีนบุรี!Q694"")+IMPORTRANGE(""https://docs.googl"&amp;"e.com/spreadsheets/d/1BIDqLLg5jk3v59G8NlR8rk5xfQDKne0sAvZHSj7TI6I/edit?usp=sharing"",""พระนครศรีอยุธยา!Q694"")+IMPORTRANGE(""https://docs.google.com/spreadsheets/d/1YXvxf8Yu6_rV4hTBrwMqAcAnv6DfhUxh5emyM3CJp_w/edit?usp=sharing"",""เพชรบุรี!Q694"")+IMPORTRA"&amp;"NGE(""https://docs.google.com/spreadsheets/d/19KBlQQs7uwvsao6t2n-KvW3Ax8J8uRRfZPq1zPbXgKc/edit?usp=sharing"",""ระยอง!Q694"")+IMPORTRANGE(""https://docs.google.com/spreadsheets/d/1jQ6P4QcrGM89YfqcC_PxOHGCMq5ezhucwJd8ci-NHng/edit?usp=sharing"",""ราชบุรี!Q69"&amp;"4"")+IMPORTRANGE(""https://docs.google.com/spreadsheets/d/1lufeA2cfFqM-elVq2hznhDzC6Pr7wkJ9ZG_sYNGCMCU/edit?usp=sharing"",""ลพบุรี!Q694"")+IMPORTRANGE(""https://docs.google.com/spreadsheets/d/10oOiF7loTyfsTkbd4MpaIm0HQ9SwB7IYHdIUvt-U1Uc/edit?usp=sharing"""&amp;",""สระแก้ว!Q694"")+IMPORTRANGE(""https://docs.google.com/spreadsheets/d/1xmPlrr1QbdSIKvl1dWUl9K4PjAfSL9oeMr_37QVzcxc/edit?usp=sharing"",""สระบุรี!Q694"")+IMPORTRANGE(""https://docs.google.com/spreadsheets/d/1j51vR6CYVGhABJpv6tkstgok82RLpXieLzW1yOY5rHw/edi"&amp;"t?usp=sharing"",""สิงห์บุรี!Q694"")+IMPORTRANGE(""https://docs.google.com/spreadsheets/d/1H1EalTWKUSzO4Z1-1CwzoDUaVffgrThEBe2sl74kKG0/edit?usp=sharing"",""สุพรรณบุรี!Q694"")+IMPORTRANGE(""https://docs.google.com/spreadsheets/d/1BmIruG_sIrJLYao_Pdr7zVArWsf"&amp;"oBt2692TMi6x_854/edit?usp=sharing"",""อ่างทอง!Q694"")"),0)</f>
        <v>0</v>
      </c>
      <c r="R694" s="75">
        <f ca="1">IFERROR(__xludf.DUMMYFUNCTION("IMPORTRANGE(""https://docs.google.com/spreadsheets/d/13wPX838HrBrQMCywv1BsuMkt4PEKTChp52zj44s2izQ/edit?usp=sharing"",""กาญจนบุรี!R694"")+IMPORTRANGE(""https://docs.google.com/spreadsheets/d/1ddFKvqj1W1NEiWytbGlB1zMx_ykJDVtmfEQ-6-lIUBA/edit?usp=sharing"","&amp;"""จันทบุรี!R694"")+IMPORTRANGE(""https://docs.google.com/spreadsheets/d/1T1PQvRODqOBZk8BRht_U031fIS1beLA0Ub2CEytj2q0/edit?usp=sharing"",""ฉะเชิงเทรา!R694"")+IMPORTRANGE(""https://docs.google.com/spreadsheets/d/11tr1B-Bhyr79v2bkwVh5h_fR-PStkgjlZtkrZpYurG0/"&amp;"edit?usp=sharing"",""ชลบุรี!R694"")+IMPORTRANGE(""https://docs.google.com/spreadsheets/d/1hh-FVnSX0vozXhGluamEcS54Dw9_zqW0N7qJUWgJ0Sw/edit?usp=sharing"",""ชัยนาท!R694"")+IMPORTRANGE(""https://docs.google.com/spreadsheets/d/1jkqa6GXxSacMcY1eN8AHjMNJ_7dDXMJ"&amp;"VRLDlaFSOdPM/edit?usp=sharing"",""ตราด!R694"")+IMPORTRANGE(""https://docs.google.com/spreadsheets/d/18hSgUJ3VwClqi_qtULmmW3cLr0oe3OKaSYoKzdpTsYQ/edit?usp=sharing"",""นครนายก!R694"")+IMPORTRANGE(""https://docs.google.com/spreadsheets/d/1YTZo6WM2dQ6Ix6FSdnL"&amp;"5P7uVnVKu40sxZu975tgG10E/edit?usp=sharing"",""นครปฐม!R694"")+IMPORTRANGE(""https://docs.google.com/spreadsheets/d/1OYoGg4WDg5RIzwGeB10padOxJF9E_Vljuvvct_M7RDo/edit?usp=sharing"",""ปทุมธานี!R694"")+IMPORTRANGE(""https://docs.google.com/spreadsheets/d/1GbCI"&amp;"E4D4wk9FUozzqk7SxfDMxDVBwVmI5zcaVUSzKAc/edit?usp=sharing"",""ประจวบคีรีขันธ์!R694"")+IMPORTRANGE(""https://docs.google.com/spreadsheets/d/1vVf6wykvW_lAyu7Yo9L4hUTqHqIeP_qcVuxCtosJEbg/edit?usp=sharing"",""ปราจีนบุรี!R694"")+IMPORTRANGE(""https://docs.googl"&amp;"e.com/spreadsheets/d/1BIDqLLg5jk3v59G8NlR8rk5xfQDKne0sAvZHSj7TI6I/edit?usp=sharing"",""พระนครศรีอยุธยา!R694"")+IMPORTRANGE(""https://docs.google.com/spreadsheets/d/1YXvxf8Yu6_rV4hTBrwMqAcAnv6DfhUxh5emyM3CJp_w/edit?usp=sharing"",""เพชรบุรี!R694"")+IMPORTRA"&amp;"NGE(""https://docs.google.com/spreadsheets/d/19KBlQQs7uwvsao6t2n-KvW3Ax8J8uRRfZPq1zPbXgKc/edit?usp=sharing"",""ระยอง!R694"")+IMPORTRANGE(""https://docs.google.com/spreadsheets/d/1jQ6P4QcrGM89YfqcC_PxOHGCMq5ezhucwJd8ci-NHng/edit?usp=sharing"",""ราชบุรี!R69"&amp;"4"")+IMPORTRANGE(""https://docs.google.com/spreadsheets/d/1lufeA2cfFqM-elVq2hznhDzC6Pr7wkJ9ZG_sYNGCMCU/edit?usp=sharing"",""ลพบุรี!R694"")+IMPORTRANGE(""https://docs.google.com/spreadsheets/d/10oOiF7loTyfsTkbd4MpaIm0HQ9SwB7IYHdIUvt-U1Uc/edit?usp=sharing"""&amp;",""สระแก้ว!R694"")+IMPORTRANGE(""https://docs.google.com/spreadsheets/d/1xmPlrr1QbdSIKvl1dWUl9K4PjAfSL9oeMr_37QVzcxc/edit?usp=sharing"",""สระบุรี!R694"")+IMPORTRANGE(""https://docs.google.com/spreadsheets/d/1j51vR6CYVGhABJpv6tkstgok82RLpXieLzW1yOY5rHw/edi"&amp;"t?usp=sharing"",""สิงห์บุรี!R694"")+IMPORTRANGE(""https://docs.google.com/spreadsheets/d/1H1EalTWKUSzO4Z1-1CwzoDUaVffgrThEBe2sl74kKG0/edit?usp=sharing"",""สุพรรณบุรี!R694"")+IMPORTRANGE(""https://docs.google.com/spreadsheets/d/1BmIruG_sIrJLYao_Pdr7zVArWsf"&amp;"oBt2692TMi6x_854/edit?usp=sharing"",""อ่างทอง!R694"")"),0)</f>
        <v>0</v>
      </c>
      <c r="S694" s="75">
        <f ca="1">IFERROR(__xludf.DUMMYFUNCTION("IMPORTRANGE(""https://docs.google.com/spreadsheets/d/13wPX838HrBrQMCywv1BsuMkt4PEKTChp52zj44s2izQ/edit?usp=sharing"",""กาญจนบุรี!S694"")+IMPORTRANGE(""https://docs.google.com/spreadsheets/d/1ddFKvqj1W1NEiWytbGlB1zMx_ykJDVtmfEQ-6-lIUBA/edit?usp=sharing"","&amp;"""จันทบุรี!S694"")+IMPORTRANGE(""https://docs.google.com/spreadsheets/d/1T1PQvRODqOBZk8BRht_U031fIS1beLA0Ub2CEytj2q0/edit?usp=sharing"",""ฉะเชิงเทรา!S694"")+IMPORTRANGE(""https://docs.google.com/spreadsheets/d/11tr1B-Bhyr79v2bkwVh5h_fR-PStkgjlZtkrZpYurG0/"&amp;"edit?usp=sharing"",""ชลบุรี!S694"")+IMPORTRANGE(""https://docs.google.com/spreadsheets/d/1hh-FVnSX0vozXhGluamEcS54Dw9_zqW0N7qJUWgJ0Sw/edit?usp=sharing"",""ชัยนาท!S694"")+IMPORTRANGE(""https://docs.google.com/spreadsheets/d/1jkqa6GXxSacMcY1eN8AHjMNJ_7dDXMJ"&amp;"VRLDlaFSOdPM/edit?usp=sharing"",""ตราด!S694"")+IMPORTRANGE(""https://docs.google.com/spreadsheets/d/18hSgUJ3VwClqi_qtULmmW3cLr0oe3OKaSYoKzdpTsYQ/edit?usp=sharing"",""นครนายก!S694"")+IMPORTRANGE(""https://docs.google.com/spreadsheets/d/1YTZo6WM2dQ6Ix6FSdnL"&amp;"5P7uVnVKu40sxZu975tgG10E/edit?usp=sharing"",""นครปฐม!S694"")+IMPORTRANGE(""https://docs.google.com/spreadsheets/d/1OYoGg4WDg5RIzwGeB10padOxJF9E_Vljuvvct_M7RDo/edit?usp=sharing"",""ปทุมธานี!S694"")+IMPORTRANGE(""https://docs.google.com/spreadsheets/d/1GbCI"&amp;"E4D4wk9FUozzqk7SxfDMxDVBwVmI5zcaVUSzKAc/edit?usp=sharing"",""ประจวบคีรีขันธ์!S694"")+IMPORTRANGE(""https://docs.google.com/spreadsheets/d/1vVf6wykvW_lAyu7Yo9L4hUTqHqIeP_qcVuxCtosJEbg/edit?usp=sharing"",""ปราจีนบุรี!S694"")+IMPORTRANGE(""https://docs.googl"&amp;"e.com/spreadsheets/d/1BIDqLLg5jk3v59G8NlR8rk5xfQDKne0sAvZHSj7TI6I/edit?usp=sharing"",""พระนครศรีอยุธยา!S694"")+IMPORTRANGE(""https://docs.google.com/spreadsheets/d/1YXvxf8Yu6_rV4hTBrwMqAcAnv6DfhUxh5emyM3CJp_w/edit?usp=sharing"",""เพชรบุรี!S694"")+IMPORTRA"&amp;"NGE(""https://docs.google.com/spreadsheets/d/19KBlQQs7uwvsao6t2n-KvW3Ax8J8uRRfZPq1zPbXgKc/edit?usp=sharing"",""ระยอง!S694"")+IMPORTRANGE(""https://docs.google.com/spreadsheets/d/1jQ6P4QcrGM89YfqcC_PxOHGCMq5ezhucwJd8ci-NHng/edit?usp=sharing"",""ราชบุรี!S69"&amp;"4"")+IMPORTRANGE(""https://docs.google.com/spreadsheets/d/1lufeA2cfFqM-elVq2hznhDzC6Pr7wkJ9ZG_sYNGCMCU/edit?usp=sharing"",""ลพบุรี!S694"")+IMPORTRANGE(""https://docs.google.com/spreadsheets/d/10oOiF7loTyfsTkbd4MpaIm0HQ9SwB7IYHdIUvt-U1Uc/edit?usp=sharing"""&amp;",""สระแก้ว!S694"")+IMPORTRANGE(""https://docs.google.com/spreadsheets/d/1xmPlrr1QbdSIKvl1dWUl9K4PjAfSL9oeMr_37QVzcxc/edit?usp=sharing"",""สระบุรี!S694"")+IMPORTRANGE(""https://docs.google.com/spreadsheets/d/1j51vR6CYVGhABJpv6tkstgok82RLpXieLzW1yOY5rHw/edi"&amp;"t?usp=sharing"",""สิงห์บุรี!S694"")+IMPORTRANGE(""https://docs.google.com/spreadsheets/d/1H1EalTWKUSzO4Z1-1CwzoDUaVffgrThEBe2sl74kKG0/edit?usp=sharing"",""สุพรรณบุรี!S694"")+IMPORTRANGE(""https://docs.google.com/spreadsheets/d/1BmIruG_sIrJLYao_Pdr7zVArWsf"&amp;"oBt2692TMi6x_854/edit?usp=sharing"",""อ่างทอง!S694"")"),0)</f>
        <v>0</v>
      </c>
      <c r="T694" s="131">
        <f t="shared" ca="1" si="469"/>
        <v>0</v>
      </c>
      <c r="U694" s="131">
        <f t="shared" ca="1" si="4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2">
        <f ca="1">IFERROR(__xludf.DUMMYFUNCTION("IMPORTRANGE(""https://docs.google.com/spreadsheets/d/13wPX838HrBrQMCywv1BsuMkt4PEKTChp52zj44s2izQ/edit?usp=sharing"",""กาญจนบุรี!L695"")+IMPORTRANGE(""https://docs.google.com/spreadsheets/d/1ddFKvqj1W1NEiWytbGlB1zMx_ykJDVtmfEQ-6-lIUBA/edit?usp=sharing"","&amp;"""จันทบุรี!L695"")+IMPORTRANGE(""https://docs.google.com/spreadsheets/d/1T1PQvRODqOBZk8BRht_U031fIS1beLA0Ub2CEytj2q0/edit?usp=sharing"",""ฉะเชิงเทรา!L695"")+IMPORTRANGE(""https://docs.google.com/spreadsheets/d/11tr1B-Bhyr79v2bkwVh5h_fR-PStkgjlZtkrZpYurG0/"&amp;"edit?usp=sharing"",""ชลบุรี!L695"")+IMPORTRANGE(""https://docs.google.com/spreadsheets/d/1hh-FVnSX0vozXhGluamEcS54Dw9_zqW0N7qJUWgJ0Sw/edit?usp=sharing"",""ชัยนาท!L695"")+IMPORTRANGE(""https://docs.google.com/spreadsheets/d/1jkqa6GXxSacMcY1eN8AHjMNJ_7dDXMJ"&amp;"VRLDlaFSOdPM/edit?usp=sharing"",""ตราด!L695"")+IMPORTRANGE(""https://docs.google.com/spreadsheets/d/18hSgUJ3VwClqi_qtULmmW3cLr0oe3OKaSYoKzdpTsYQ/edit?usp=sharing"",""นครนายก!L695"")+IMPORTRANGE(""https://docs.google.com/spreadsheets/d/1YTZo6WM2dQ6Ix6FSdnL"&amp;"5P7uVnVKu40sxZu975tgG10E/edit?usp=sharing"",""นครปฐม!L695"")+IMPORTRANGE(""https://docs.google.com/spreadsheets/d/1OYoGg4WDg5RIzwGeB10padOxJF9E_Vljuvvct_M7RDo/edit?usp=sharing"",""ปทุมธานี!L695"")+IMPORTRANGE(""https://docs.google.com/spreadsheets/d/1GbCI"&amp;"E4D4wk9FUozzqk7SxfDMxDVBwVmI5zcaVUSzKAc/edit?usp=sharing"",""ประจวบคีรีขันธ์!L695"")+IMPORTRANGE(""https://docs.google.com/spreadsheets/d/1vVf6wykvW_lAyu7Yo9L4hUTqHqIeP_qcVuxCtosJEbg/edit?usp=sharing"",""ปราจีนบุรี!L695"")+IMPORTRANGE(""https://docs.googl"&amp;"e.com/spreadsheets/d/1BIDqLLg5jk3v59G8NlR8rk5xfQDKne0sAvZHSj7TI6I/edit?usp=sharing"",""พระนครศรีอยุธยา!L695"")+IMPORTRANGE(""https://docs.google.com/spreadsheets/d/1YXvxf8Yu6_rV4hTBrwMqAcAnv6DfhUxh5emyM3CJp_w/edit?usp=sharing"",""เพชรบุรี!L695"")+IMPORTRA"&amp;"NGE(""https://docs.google.com/spreadsheets/d/19KBlQQs7uwvsao6t2n-KvW3Ax8J8uRRfZPq1zPbXgKc/edit?usp=sharing"",""ระยอง!L695"")+IMPORTRANGE(""https://docs.google.com/spreadsheets/d/1jQ6P4QcrGM89YfqcC_PxOHGCMq5ezhucwJd8ci-NHng/edit?usp=sharing"",""ราชบุรี!L69"&amp;"5"")+IMPORTRANGE(""https://docs.google.com/spreadsheets/d/1lufeA2cfFqM-elVq2hznhDzC6Pr7wkJ9ZG_sYNGCMCU/edit?usp=sharing"",""ลพบุรี!L695"")+IMPORTRANGE(""https://docs.google.com/spreadsheets/d/10oOiF7loTyfsTkbd4MpaIm0HQ9SwB7IYHdIUvt-U1Uc/edit?usp=sharing"""&amp;",""สระแก้ว!L695"")+IMPORTRANGE(""https://docs.google.com/spreadsheets/d/1xmPlrr1QbdSIKvl1dWUl9K4PjAfSL9oeMr_37QVzcxc/edit?usp=sharing"",""สระบุรี!L695"")+IMPORTRANGE(""https://docs.google.com/spreadsheets/d/1j51vR6CYVGhABJpv6tkstgok82RLpXieLzW1yOY5rHw/edi"&amp;"t?usp=sharing"",""สิงห์บุรี!L695"")+IMPORTRANGE(""https://docs.google.com/spreadsheets/d/1H1EalTWKUSzO4Z1-1CwzoDUaVffgrThEBe2sl74kKG0/edit?usp=sharing"",""สุพรรณบุรี!L695"")+IMPORTRANGE(""https://docs.google.com/spreadsheets/d/1BmIruG_sIrJLYao_Pdr7zVArWsf"&amp;"oBt2692TMi6x_854/edit?usp=sharing"",""อ่างทอง!L695"")"),0)</f>
        <v>0</v>
      </c>
      <c r="M695" s="72">
        <f ca="1">IFERROR(__xludf.DUMMYFUNCTION("IMPORTRANGE(""https://docs.google.com/spreadsheets/d/13wPX838HrBrQMCywv1BsuMkt4PEKTChp52zj44s2izQ/edit?usp=sharing"",""กาญจนบุรี!M695"")+IMPORTRANGE(""https://docs.google.com/spreadsheets/d/1ddFKvqj1W1NEiWytbGlB1zMx_ykJDVtmfEQ-6-lIUBA/edit?usp=sharing"","&amp;"""จันทบุรี!M695"")+IMPORTRANGE(""https://docs.google.com/spreadsheets/d/1T1PQvRODqOBZk8BRht_U031fIS1beLA0Ub2CEytj2q0/edit?usp=sharing"",""ฉะเชิงเทรา!M695"")+IMPORTRANGE(""https://docs.google.com/spreadsheets/d/11tr1B-Bhyr79v2bkwVh5h_fR-PStkgjlZtkrZpYurG0/"&amp;"edit?usp=sharing"",""ชลบุรี!M695"")+IMPORTRANGE(""https://docs.google.com/spreadsheets/d/1hh-FVnSX0vozXhGluamEcS54Dw9_zqW0N7qJUWgJ0Sw/edit?usp=sharing"",""ชัยนาท!M695"")+IMPORTRANGE(""https://docs.google.com/spreadsheets/d/1jkqa6GXxSacMcY1eN8AHjMNJ_7dDXMJ"&amp;"VRLDlaFSOdPM/edit?usp=sharing"",""ตราด!M695"")+IMPORTRANGE(""https://docs.google.com/spreadsheets/d/18hSgUJ3VwClqi_qtULmmW3cLr0oe3OKaSYoKzdpTsYQ/edit?usp=sharing"",""นครนายก!M695"")+IMPORTRANGE(""https://docs.google.com/spreadsheets/d/1YTZo6WM2dQ6Ix6FSdnL"&amp;"5P7uVnVKu40sxZu975tgG10E/edit?usp=sharing"",""นครปฐม!M695"")+IMPORTRANGE(""https://docs.google.com/spreadsheets/d/1OYoGg4WDg5RIzwGeB10padOxJF9E_Vljuvvct_M7RDo/edit?usp=sharing"",""ปทุมธานี!M695"")+IMPORTRANGE(""https://docs.google.com/spreadsheets/d/1GbCI"&amp;"E4D4wk9FUozzqk7SxfDMxDVBwVmI5zcaVUSzKAc/edit?usp=sharing"",""ประจวบคีรีขันธ์!M695"")+IMPORTRANGE(""https://docs.google.com/spreadsheets/d/1vVf6wykvW_lAyu7Yo9L4hUTqHqIeP_qcVuxCtosJEbg/edit?usp=sharing"",""ปราจีนบุรี!M695"")+IMPORTRANGE(""https://docs.googl"&amp;"e.com/spreadsheets/d/1BIDqLLg5jk3v59G8NlR8rk5xfQDKne0sAvZHSj7TI6I/edit?usp=sharing"",""พระนครศรีอยุธยา!M695"")+IMPORTRANGE(""https://docs.google.com/spreadsheets/d/1YXvxf8Yu6_rV4hTBrwMqAcAnv6DfhUxh5emyM3CJp_w/edit?usp=sharing"",""เพชรบุรี!M695"")+IMPORTRA"&amp;"NGE(""https://docs.google.com/spreadsheets/d/19KBlQQs7uwvsao6t2n-KvW3Ax8J8uRRfZPq1zPbXgKc/edit?usp=sharing"",""ระยอง!M695"")+IMPORTRANGE(""https://docs.google.com/spreadsheets/d/1jQ6P4QcrGM89YfqcC_PxOHGCMq5ezhucwJd8ci-NHng/edit?usp=sharing"",""ราชบุรี!M69"&amp;"5"")+IMPORTRANGE(""https://docs.google.com/spreadsheets/d/1lufeA2cfFqM-elVq2hznhDzC6Pr7wkJ9ZG_sYNGCMCU/edit?usp=sharing"",""ลพบุรี!M695"")+IMPORTRANGE(""https://docs.google.com/spreadsheets/d/10oOiF7loTyfsTkbd4MpaIm0HQ9SwB7IYHdIUvt-U1Uc/edit?usp=sharing"""&amp;",""สระแก้ว!M695"")+IMPORTRANGE(""https://docs.google.com/spreadsheets/d/1xmPlrr1QbdSIKvl1dWUl9K4PjAfSL9oeMr_37QVzcxc/edit?usp=sharing"",""สระบุรี!M695"")+IMPORTRANGE(""https://docs.google.com/spreadsheets/d/1j51vR6CYVGhABJpv6tkstgok82RLpXieLzW1yOY5rHw/edi"&amp;"t?usp=sharing"",""สิงห์บุรี!M695"")+IMPORTRANGE(""https://docs.google.com/spreadsheets/d/1H1EalTWKUSzO4Z1-1CwzoDUaVffgrThEBe2sl74kKG0/edit?usp=sharing"",""สุพรรณบุรี!M695"")+IMPORTRANGE(""https://docs.google.com/spreadsheets/d/1BmIruG_sIrJLYao_Pdr7zVArWsf"&amp;"oBt2692TMi6x_854/edit?usp=sharing"",""อ่างทอง!M695"")"),0)</f>
        <v>0</v>
      </c>
      <c r="N695" s="72">
        <f ca="1">IFERROR(__xludf.DUMMYFUNCTION("IMPORTRANGE(""https://docs.google.com/spreadsheets/d/13wPX838HrBrQMCywv1BsuMkt4PEKTChp52zj44s2izQ/edit?usp=sharing"",""กาญจนบุรี!N695"")+IMPORTRANGE(""https://docs.google.com/spreadsheets/d/1ddFKvqj1W1NEiWytbGlB1zMx_ykJDVtmfEQ-6-lIUBA/edit?usp=sharing"","&amp;"""จันทบุรี!N695"")+IMPORTRANGE(""https://docs.google.com/spreadsheets/d/1T1PQvRODqOBZk8BRht_U031fIS1beLA0Ub2CEytj2q0/edit?usp=sharing"",""ฉะเชิงเทรา!N695"")+IMPORTRANGE(""https://docs.google.com/spreadsheets/d/11tr1B-Bhyr79v2bkwVh5h_fR-PStkgjlZtkrZpYurG0/"&amp;"edit?usp=sharing"",""ชลบุรี!N695"")+IMPORTRANGE(""https://docs.google.com/spreadsheets/d/1hh-FVnSX0vozXhGluamEcS54Dw9_zqW0N7qJUWgJ0Sw/edit?usp=sharing"",""ชัยนาท!N695"")+IMPORTRANGE(""https://docs.google.com/spreadsheets/d/1jkqa6GXxSacMcY1eN8AHjMNJ_7dDXMJ"&amp;"VRLDlaFSOdPM/edit?usp=sharing"",""ตราด!N695"")+IMPORTRANGE(""https://docs.google.com/spreadsheets/d/18hSgUJ3VwClqi_qtULmmW3cLr0oe3OKaSYoKzdpTsYQ/edit?usp=sharing"",""นครนายก!N695"")+IMPORTRANGE(""https://docs.google.com/spreadsheets/d/1YTZo6WM2dQ6Ix6FSdnL"&amp;"5P7uVnVKu40sxZu975tgG10E/edit?usp=sharing"",""นครปฐม!N695"")+IMPORTRANGE(""https://docs.google.com/spreadsheets/d/1OYoGg4WDg5RIzwGeB10padOxJF9E_Vljuvvct_M7RDo/edit?usp=sharing"",""ปทุมธานี!N695"")+IMPORTRANGE(""https://docs.google.com/spreadsheets/d/1GbCI"&amp;"E4D4wk9FUozzqk7SxfDMxDVBwVmI5zcaVUSzKAc/edit?usp=sharing"",""ประจวบคีรีขันธ์!N695"")+IMPORTRANGE(""https://docs.google.com/spreadsheets/d/1vVf6wykvW_lAyu7Yo9L4hUTqHqIeP_qcVuxCtosJEbg/edit?usp=sharing"",""ปราจีนบุรี!N695"")+IMPORTRANGE(""https://docs.googl"&amp;"e.com/spreadsheets/d/1BIDqLLg5jk3v59G8NlR8rk5xfQDKne0sAvZHSj7TI6I/edit?usp=sharing"",""พระนครศรีอยุธยา!N695"")+IMPORTRANGE(""https://docs.google.com/spreadsheets/d/1YXvxf8Yu6_rV4hTBrwMqAcAnv6DfhUxh5emyM3CJp_w/edit?usp=sharing"",""เพชรบุรี!N695"")+IMPORTRA"&amp;"NGE(""https://docs.google.com/spreadsheets/d/19KBlQQs7uwvsao6t2n-KvW3Ax8J8uRRfZPq1zPbXgKc/edit?usp=sharing"",""ระยอง!N695"")+IMPORTRANGE(""https://docs.google.com/spreadsheets/d/1jQ6P4QcrGM89YfqcC_PxOHGCMq5ezhucwJd8ci-NHng/edit?usp=sharing"",""ราชบุรี!N69"&amp;"5"")+IMPORTRANGE(""https://docs.google.com/spreadsheets/d/1lufeA2cfFqM-elVq2hznhDzC6Pr7wkJ9ZG_sYNGCMCU/edit?usp=sharing"",""ลพบุรี!N695"")+IMPORTRANGE(""https://docs.google.com/spreadsheets/d/10oOiF7loTyfsTkbd4MpaIm0HQ9SwB7IYHdIUvt-U1Uc/edit?usp=sharing"""&amp;",""สระแก้ว!N695"")+IMPORTRANGE(""https://docs.google.com/spreadsheets/d/1xmPlrr1QbdSIKvl1dWUl9K4PjAfSL9oeMr_37QVzcxc/edit?usp=sharing"",""สระบุรี!N695"")+IMPORTRANGE(""https://docs.google.com/spreadsheets/d/1j51vR6CYVGhABJpv6tkstgok82RLpXieLzW1yOY5rHw/edi"&amp;"t?usp=sharing"",""สิงห์บุรี!N695"")+IMPORTRANGE(""https://docs.google.com/spreadsheets/d/1H1EalTWKUSzO4Z1-1CwzoDUaVffgrThEBe2sl74kKG0/edit?usp=sharing"",""สุพรรณบุรี!N695"")+IMPORTRANGE(""https://docs.google.com/spreadsheets/d/1BmIruG_sIrJLYao_Pdr7zVArWsf"&amp;"oBt2692TMi6x_854/edit?usp=sharing"",""อ่างทอง!N695"")"),0)</f>
        <v>0</v>
      </c>
      <c r="O695" s="72">
        <f t="shared" ca="1" si="466"/>
        <v>0</v>
      </c>
      <c r="P695" s="72">
        <f t="shared" ca="1" si="467"/>
        <v>0</v>
      </c>
      <c r="Q695" s="129">
        <f ca="1">IFERROR(__xludf.DUMMYFUNCTION("IMPORTRANGE(""https://docs.google.com/spreadsheets/d/13wPX838HrBrQMCywv1BsuMkt4PEKTChp52zj44s2izQ/edit?usp=sharing"",""กาญจนบุรี!Q695"")+IMPORTRANGE(""https://docs.google.com/spreadsheets/d/1ddFKvqj1W1NEiWytbGlB1zMx_ykJDVtmfEQ-6-lIUBA/edit?usp=sharing"","&amp;"""จันทบุรี!Q695"")+IMPORTRANGE(""https://docs.google.com/spreadsheets/d/1T1PQvRODqOBZk8BRht_U031fIS1beLA0Ub2CEytj2q0/edit?usp=sharing"",""ฉะเชิงเทรา!Q695"")+IMPORTRANGE(""https://docs.google.com/spreadsheets/d/11tr1B-Bhyr79v2bkwVh5h_fR-PStkgjlZtkrZpYurG0/"&amp;"edit?usp=sharing"",""ชลบุรี!Q695"")+IMPORTRANGE(""https://docs.google.com/spreadsheets/d/1hh-FVnSX0vozXhGluamEcS54Dw9_zqW0N7qJUWgJ0Sw/edit?usp=sharing"",""ชัยนาท!Q695"")+IMPORTRANGE(""https://docs.google.com/spreadsheets/d/1jkqa6GXxSacMcY1eN8AHjMNJ_7dDXMJ"&amp;"VRLDlaFSOdPM/edit?usp=sharing"",""ตราด!Q695"")+IMPORTRANGE(""https://docs.google.com/spreadsheets/d/18hSgUJ3VwClqi_qtULmmW3cLr0oe3OKaSYoKzdpTsYQ/edit?usp=sharing"",""นครนายก!Q695"")+IMPORTRANGE(""https://docs.google.com/spreadsheets/d/1YTZo6WM2dQ6Ix6FSdnL"&amp;"5P7uVnVKu40sxZu975tgG10E/edit?usp=sharing"",""นครปฐม!Q695"")+IMPORTRANGE(""https://docs.google.com/spreadsheets/d/1OYoGg4WDg5RIzwGeB10padOxJF9E_Vljuvvct_M7RDo/edit?usp=sharing"",""ปทุมธานี!Q695"")+IMPORTRANGE(""https://docs.google.com/spreadsheets/d/1GbCI"&amp;"E4D4wk9FUozzqk7SxfDMxDVBwVmI5zcaVUSzKAc/edit?usp=sharing"",""ประจวบคีรีขันธ์!Q695"")+IMPORTRANGE(""https://docs.google.com/spreadsheets/d/1vVf6wykvW_lAyu7Yo9L4hUTqHqIeP_qcVuxCtosJEbg/edit?usp=sharing"",""ปราจีนบุรี!Q695"")+IMPORTRANGE(""https://docs.googl"&amp;"e.com/spreadsheets/d/1BIDqLLg5jk3v59G8NlR8rk5xfQDKne0sAvZHSj7TI6I/edit?usp=sharing"",""พระนครศรีอยุธยา!Q695"")+IMPORTRANGE(""https://docs.google.com/spreadsheets/d/1YXvxf8Yu6_rV4hTBrwMqAcAnv6DfhUxh5emyM3CJp_w/edit?usp=sharing"",""เพชรบุรี!Q695"")+IMPORTRA"&amp;"NGE(""https://docs.google.com/spreadsheets/d/19KBlQQs7uwvsao6t2n-KvW3Ax8J8uRRfZPq1zPbXgKc/edit?usp=sharing"",""ระยอง!Q695"")+IMPORTRANGE(""https://docs.google.com/spreadsheets/d/1jQ6P4QcrGM89YfqcC_PxOHGCMq5ezhucwJd8ci-NHng/edit?usp=sharing"",""ราชบุรี!Q69"&amp;"5"")+IMPORTRANGE(""https://docs.google.com/spreadsheets/d/1lufeA2cfFqM-elVq2hznhDzC6Pr7wkJ9ZG_sYNGCMCU/edit?usp=sharing"",""ลพบุรี!Q695"")+IMPORTRANGE(""https://docs.google.com/spreadsheets/d/10oOiF7loTyfsTkbd4MpaIm0HQ9SwB7IYHdIUvt-U1Uc/edit?usp=sharing"""&amp;",""สระแก้ว!Q695"")+IMPORTRANGE(""https://docs.google.com/spreadsheets/d/1xmPlrr1QbdSIKvl1dWUl9K4PjAfSL9oeMr_37QVzcxc/edit?usp=sharing"",""สระบุรี!Q695"")+IMPORTRANGE(""https://docs.google.com/spreadsheets/d/1j51vR6CYVGhABJpv6tkstgok82RLpXieLzW1yOY5rHw/edi"&amp;"t?usp=sharing"",""สิงห์บุรี!Q695"")+IMPORTRANGE(""https://docs.google.com/spreadsheets/d/1H1EalTWKUSzO4Z1-1CwzoDUaVffgrThEBe2sl74kKG0/edit?usp=sharing"",""สุพรรณบุรี!Q695"")+IMPORTRANGE(""https://docs.google.com/spreadsheets/d/1BmIruG_sIrJLYao_Pdr7zVArWsf"&amp;"oBt2692TMi6x_854/edit?usp=sharing"",""อ่างทอง!Q695"")"),2322060)</f>
        <v>2322060</v>
      </c>
      <c r="R695" s="130">
        <f ca="1">IFERROR(__xludf.DUMMYFUNCTION("IMPORTRANGE(""https://docs.google.com/spreadsheets/d/13wPX838HrBrQMCywv1BsuMkt4PEKTChp52zj44s2izQ/edit?usp=sharing"",""กาญจนบุรี!R695"")+IMPORTRANGE(""https://docs.google.com/spreadsheets/d/1ddFKvqj1W1NEiWytbGlB1zMx_ykJDVtmfEQ-6-lIUBA/edit?usp=sharing"","&amp;"""จันทบุรี!R695"")+IMPORTRANGE(""https://docs.google.com/spreadsheets/d/1T1PQvRODqOBZk8BRht_U031fIS1beLA0Ub2CEytj2q0/edit?usp=sharing"",""ฉะเชิงเทรา!R695"")+IMPORTRANGE(""https://docs.google.com/spreadsheets/d/11tr1B-Bhyr79v2bkwVh5h_fR-PStkgjlZtkrZpYurG0/"&amp;"edit?usp=sharing"",""ชลบุรี!R695"")+IMPORTRANGE(""https://docs.google.com/spreadsheets/d/1hh-FVnSX0vozXhGluamEcS54Dw9_zqW0N7qJUWgJ0Sw/edit?usp=sharing"",""ชัยนาท!R695"")+IMPORTRANGE(""https://docs.google.com/spreadsheets/d/1jkqa6GXxSacMcY1eN8AHjMNJ_7dDXMJ"&amp;"VRLDlaFSOdPM/edit?usp=sharing"",""ตราด!R695"")+IMPORTRANGE(""https://docs.google.com/spreadsheets/d/18hSgUJ3VwClqi_qtULmmW3cLr0oe3OKaSYoKzdpTsYQ/edit?usp=sharing"",""นครนายก!R695"")+IMPORTRANGE(""https://docs.google.com/spreadsheets/d/1YTZo6WM2dQ6Ix6FSdnL"&amp;"5P7uVnVKu40sxZu975tgG10E/edit?usp=sharing"",""นครปฐม!R695"")+IMPORTRANGE(""https://docs.google.com/spreadsheets/d/1OYoGg4WDg5RIzwGeB10padOxJF9E_Vljuvvct_M7RDo/edit?usp=sharing"",""ปทุมธานี!R695"")+IMPORTRANGE(""https://docs.google.com/spreadsheets/d/1GbCI"&amp;"E4D4wk9FUozzqk7SxfDMxDVBwVmI5zcaVUSzKAc/edit?usp=sharing"",""ประจวบคีรีขันธ์!R695"")+IMPORTRANGE(""https://docs.google.com/spreadsheets/d/1vVf6wykvW_lAyu7Yo9L4hUTqHqIeP_qcVuxCtosJEbg/edit?usp=sharing"",""ปราจีนบุรี!R695"")+IMPORTRANGE(""https://docs.googl"&amp;"e.com/spreadsheets/d/1BIDqLLg5jk3v59G8NlR8rk5xfQDKne0sAvZHSj7TI6I/edit?usp=sharing"",""พระนครศรีอยุธยา!R695"")+IMPORTRANGE(""https://docs.google.com/spreadsheets/d/1YXvxf8Yu6_rV4hTBrwMqAcAnv6DfhUxh5emyM3CJp_w/edit?usp=sharing"",""เพชรบุรี!R695"")+IMPORTRA"&amp;"NGE(""https://docs.google.com/spreadsheets/d/19KBlQQs7uwvsao6t2n-KvW3Ax8J8uRRfZPq1zPbXgKc/edit?usp=sharing"",""ระยอง!R695"")+IMPORTRANGE(""https://docs.google.com/spreadsheets/d/1jQ6P4QcrGM89YfqcC_PxOHGCMq5ezhucwJd8ci-NHng/edit?usp=sharing"",""ราชบุรี!R69"&amp;"5"")+IMPORTRANGE(""https://docs.google.com/spreadsheets/d/1lufeA2cfFqM-elVq2hznhDzC6Pr7wkJ9ZG_sYNGCMCU/edit?usp=sharing"",""ลพบุรี!R695"")+IMPORTRANGE(""https://docs.google.com/spreadsheets/d/10oOiF7loTyfsTkbd4MpaIm0HQ9SwB7IYHdIUvt-U1Uc/edit?usp=sharing"""&amp;",""สระแก้ว!R695"")+IMPORTRANGE(""https://docs.google.com/spreadsheets/d/1xmPlrr1QbdSIKvl1dWUl9K4PjAfSL9oeMr_37QVzcxc/edit?usp=sharing"",""สระบุรี!R695"")+IMPORTRANGE(""https://docs.google.com/spreadsheets/d/1j51vR6CYVGhABJpv6tkstgok82RLpXieLzW1yOY5rHw/edi"&amp;"t?usp=sharing"",""สิงห์บุรี!R695"")+IMPORTRANGE(""https://docs.google.com/spreadsheets/d/1H1EalTWKUSzO4Z1-1CwzoDUaVffgrThEBe2sl74kKG0/edit?usp=sharing"",""สุพรรณบุรี!R695"")+IMPORTRANGE(""https://docs.google.com/spreadsheets/d/1BmIruG_sIrJLYao_Pdr7zVArWsf"&amp;"oBt2692TMi6x_854/edit?usp=sharing"",""อ่างทอง!R695"")"),2322060)</f>
        <v>2322060</v>
      </c>
      <c r="S695" s="130">
        <f ca="1">IFERROR(__xludf.DUMMYFUNCTION("IMPORTRANGE(""https://docs.google.com/spreadsheets/d/13wPX838HrBrQMCywv1BsuMkt4PEKTChp52zj44s2izQ/edit?usp=sharing"",""กาญจนบุรี!S695"")+IMPORTRANGE(""https://docs.google.com/spreadsheets/d/1ddFKvqj1W1NEiWytbGlB1zMx_ykJDVtmfEQ-6-lIUBA/edit?usp=sharing"","&amp;"""จันทบุรี!S695"")+IMPORTRANGE(""https://docs.google.com/spreadsheets/d/1T1PQvRODqOBZk8BRht_U031fIS1beLA0Ub2CEytj2q0/edit?usp=sharing"",""ฉะเชิงเทรา!S695"")+IMPORTRANGE(""https://docs.google.com/spreadsheets/d/11tr1B-Bhyr79v2bkwVh5h_fR-PStkgjlZtkrZpYurG0/"&amp;"edit?usp=sharing"",""ชลบุรี!S695"")+IMPORTRANGE(""https://docs.google.com/spreadsheets/d/1hh-FVnSX0vozXhGluamEcS54Dw9_zqW0N7qJUWgJ0Sw/edit?usp=sharing"",""ชัยนาท!S695"")+IMPORTRANGE(""https://docs.google.com/spreadsheets/d/1jkqa6GXxSacMcY1eN8AHjMNJ_7dDXMJ"&amp;"VRLDlaFSOdPM/edit?usp=sharing"",""ตราด!S695"")+IMPORTRANGE(""https://docs.google.com/spreadsheets/d/18hSgUJ3VwClqi_qtULmmW3cLr0oe3OKaSYoKzdpTsYQ/edit?usp=sharing"",""นครนายก!S695"")+IMPORTRANGE(""https://docs.google.com/spreadsheets/d/1YTZo6WM2dQ6Ix6FSdnL"&amp;"5P7uVnVKu40sxZu975tgG10E/edit?usp=sharing"",""นครปฐม!S695"")+IMPORTRANGE(""https://docs.google.com/spreadsheets/d/1OYoGg4WDg5RIzwGeB10padOxJF9E_Vljuvvct_M7RDo/edit?usp=sharing"",""ปทุมธานี!S695"")+IMPORTRANGE(""https://docs.google.com/spreadsheets/d/1GbCI"&amp;"E4D4wk9FUozzqk7SxfDMxDVBwVmI5zcaVUSzKAc/edit?usp=sharing"",""ประจวบคีรีขันธ์!S695"")+IMPORTRANGE(""https://docs.google.com/spreadsheets/d/1vVf6wykvW_lAyu7Yo9L4hUTqHqIeP_qcVuxCtosJEbg/edit?usp=sharing"",""ปราจีนบุรี!S695"")+IMPORTRANGE(""https://docs.googl"&amp;"e.com/spreadsheets/d/1BIDqLLg5jk3v59G8NlR8rk5xfQDKne0sAvZHSj7TI6I/edit?usp=sharing"",""พระนครศรีอยุธยา!S695"")+IMPORTRANGE(""https://docs.google.com/spreadsheets/d/1YXvxf8Yu6_rV4hTBrwMqAcAnv6DfhUxh5emyM3CJp_w/edit?usp=sharing"",""เพชรบุรี!S695"")+IMPORTRA"&amp;"NGE(""https://docs.google.com/spreadsheets/d/19KBlQQs7uwvsao6t2n-KvW3Ax8J8uRRfZPq1zPbXgKc/edit?usp=sharing"",""ระยอง!S695"")+IMPORTRANGE(""https://docs.google.com/spreadsheets/d/1jQ6P4QcrGM89YfqcC_PxOHGCMq5ezhucwJd8ci-NHng/edit?usp=sharing"",""ราชบุรี!S69"&amp;"5"")+IMPORTRANGE(""https://docs.google.com/spreadsheets/d/1lufeA2cfFqM-elVq2hznhDzC6Pr7wkJ9ZG_sYNGCMCU/edit?usp=sharing"",""ลพบุรี!S695"")+IMPORTRANGE(""https://docs.google.com/spreadsheets/d/10oOiF7loTyfsTkbd4MpaIm0HQ9SwB7IYHdIUvt-U1Uc/edit?usp=sharing"""&amp;",""สระแก้ว!S695"")+IMPORTRANGE(""https://docs.google.com/spreadsheets/d/1xmPlrr1QbdSIKvl1dWUl9K4PjAfSL9oeMr_37QVzcxc/edit?usp=sharing"",""สระบุรี!S695"")+IMPORTRANGE(""https://docs.google.com/spreadsheets/d/1j51vR6CYVGhABJpv6tkstgok82RLpXieLzW1yOY5rHw/edi"&amp;"t?usp=sharing"",""สิงห์บุรี!S695"")+IMPORTRANGE(""https://docs.google.com/spreadsheets/d/1H1EalTWKUSzO4Z1-1CwzoDUaVffgrThEBe2sl74kKG0/edit?usp=sharing"",""สุพรรณบุรี!S695"")+IMPORTRANGE(""https://docs.google.com/spreadsheets/d/1BmIruG_sIrJLYao_Pdr7zVArWsf"&amp;"oBt2692TMi6x_854/edit?usp=sharing"",""อ่างทอง!S695"")"),755771.46)</f>
        <v>755771.46</v>
      </c>
      <c r="T695" s="130">
        <f t="shared" ca="1" si="469"/>
        <v>32.547456138084286</v>
      </c>
      <c r="U695" s="130">
        <f t="shared" ca="1" si="470"/>
        <v>32.547456138084286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 t="shared" ref="L696:N696" ca="1" si="477">L697+L698</f>
        <v>0</v>
      </c>
      <c r="M696" s="72">
        <f t="shared" ca="1" si="477"/>
        <v>0</v>
      </c>
      <c r="N696" s="72">
        <f t="shared" ca="1" si="477"/>
        <v>0</v>
      </c>
      <c r="O696" s="72">
        <f t="shared" ca="1" si="466"/>
        <v>0</v>
      </c>
      <c r="P696" s="72">
        <f t="shared" ca="1" si="467"/>
        <v>0</v>
      </c>
      <c r="Q696" s="129">
        <f t="shared" ref="Q696:S696" ca="1" si="478">Q697+Q698</f>
        <v>0</v>
      </c>
      <c r="R696" s="130">
        <f t="shared" ca="1" si="478"/>
        <v>0</v>
      </c>
      <c r="S696" s="130">
        <f t="shared" ca="1" si="478"/>
        <v>0</v>
      </c>
      <c r="T696" s="130">
        <f t="shared" ca="1" si="469"/>
        <v>0</v>
      </c>
      <c r="U696" s="130">
        <f t="shared" ca="1" si="4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f ca="1">IFERROR(__xludf.DUMMYFUNCTION("IMPORTRANGE(""https://docs.google.com/spreadsheets/d/13wPX838HrBrQMCywv1BsuMkt4PEKTChp52zj44s2izQ/edit?usp=sharing"",""กาญจนบุรี!L697"")+IMPORTRANGE(""https://docs.google.com/spreadsheets/d/1ddFKvqj1W1NEiWytbGlB1zMx_ykJDVtmfEQ-6-lIUBA/edit?usp=sharing"","&amp;"""จันทบุรี!L697"")+IMPORTRANGE(""https://docs.google.com/spreadsheets/d/1T1PQvRODqOBZk8BRht_U031fIS1beLA0Ub2CEytj2q0/edit?usp=sharing"",""ฉะเชิงเทรา!L697"")+IMPORTRANGE(""https://docs.google.com/spreadsheets/d/11tr1B-Bhyr79v2bkwVh5h_fR-PStkgjlZtkrZpYurG0/"&amp;"edit?usp=sharing"",""ชลบุรี!L697"")+IMPORTRANGE(""https://docs.google.com/spreadsheets/d/1hh-FVnSX0vozXhGluamEcS54Dw9_zqW0N7qJUWgJ0Sw/edit?usp=sharing"",""ชัยนาท!L697"")+IMPORTRANGE(""https://docs.google.com/spreadsheets/d/1jkqa6GXxSacMcY1eN8AHjMNJ_7dDXMJ"&amp;"VRLDlaFSOdPM/edit?usp=sharing"",""ตราด!L697"")+IMPORTRANGE(""https://docs.google.com/spreadsheets/d/18hSgUJ3VwClqi_qtULmmW3cLr0oe3OKaSYoKzdpTsYQ/edit?usp=sharing"",""นครนายก!L697"")+IMPORTRANGE(""https://docs.google.com/spreadsheets/d/1YTZo6WM2dQ6Ix6FSdnL"&amp;"5P7uVnVKu40sxZu975tgG10E/edit?usp=sharing"",""นครปฐม!L697"")+IMPORTRANGE(""https://docs.google.com/spreadsheets/d/1OYoGg4WDg5RIzwGeB10padOxJF9E_Vljuvvct_M7RDo/edit?usp=sharing"",""ปทุมธานี!L697"")+IMPORTRANGE(""https://docs.google.com/spreadsheets/d/1GbCI"&amp;"E4D4wk9FUozzqk7SxfDMxDVBwVmI5zcaVUSzKAc/edit?usp=sharing"",""ประจวบคีรีขันธ์!L697"")+IMPORTRANGE(""https://docs.google.com/spreadsheets/d/1vVf6wykvW_lAyu7Yo9L4hUTqHqIeP_qcVuxCtosJEbg/edit?usp=sharing"",""ปราจีนบุรี!L697"")+IMPORTRANGE(""https://docs.googl"&amp;"e.com/spreadsheets/d/1BIDqLLg5jk3v59G8NlR8rk5xfQDKne0sAvZHSj7TI6I/edit?usp=sharing"",""พระนครศรีอยุธยา!L697"")+IMPORTRANGE(""https://docs.google.com/spreadsheets/d/1YXvxf8Yu6_rV4hTBrwMqAcAnv6DfhUxh5emyM3CJp_w/edit?usp=sharing"",""เพชรบุรี!L697"")+IMPORTRA"&amp;"NGE(""https://docs.google.com/spreadsheets/d/19KBlQQs7uwvsao6t2n-KvW3Ax8J8uRRfZPq1zPbXgKc/edit?usp=sharing"",""ระยอง!L697"")+IMPORTRANGE(""https://docs.google.com/spreadsheets/d/1jQ6P4QcrGM89YfqcC_PxOHGCMq5ezhucwJd8ci-NHng/edit?usp=sharing"",""ราชบุรี!L69"&amp;"7"")+IMPORTRANGE(""https://docs.google.com/spreadsheets/d/1lufeA2cfFqM-elVq2hznhDzC6Pr7wkJ9ZG_sYNGCMCU/edit?usp=sharing"",""ลพบุรี!L697"")+IMPORTRANGE(""https://docs.google.com/spreadsheets/d/10oOiF7loTyfsTkbd4MpaIm0HQ9SwB7IYHdIUvt-U1Uc/edit?usp=sharing"""&amp;",""สระแก้ว!L697"")+IMPORTRANGE(""https://docs.google.com/spreadsheets/d/1xmPlrr1QbdSIKvl1dWUl9K4PjAfSL9oeMr_37QVzcxc/edit?usp=sharing"",""สระบุรี!L697"")+IMPORTRANGE(""https://docs.google.com/spreadsheets/d/1j51vR6CYVGhABJpv6tkstgok82RLpXieLzW1yOY5rHw/edi"&amp;"t?usp=sharing"",""สิงห์บุรี!L697"")+IMPORTRANGE(""https://docs.google.com/spreadsheets/d/1H1EalTWKUSzO4Z1-1CwzoDUaVffgrThEBe2sl74kKG0/edit?usp=sharing"",""สุพรรณบุรี!L697"")+IMPORTRANGE(""https://docs.google.com/spreadsheets/d/1BmIruG_sIrJLYao_Pdr7zVArWsf"&amp;"oBt2692TMi6x_854/edit?usp=sharing"",""อ่างทอง!L697"")"),0)</f>
        <v>0</v>
      </c>
      <c r="M697" s="75">
        <f ca="1">IFERROR(__xludf.DUMMYFUNCTION("IMPORTRANGE(""https://docs.google.com/spreadsheets/d/13wPX838HrBrQMCywv1BsuMkt4PEKTChp52zj44s2izQ/edit?usp=sharing"",""กาญจนบุรี!M697"")+IMPORTRANGE(""https://docs.google.com/spreadsheets/d/1ddFKvqj1W1NEiWytbGlB1zMx_ykJDVtmfEQ-6-lIUBA/edit?usp=sharing"","&amp;"""จันทบุรี!M697"")+IMPORTRANGE(""https://docs.google.com/spreadsheets/d/1T1PQvRODqOBZk8BRht_U031fIS1beLA0Ub2CEytj2q0/edit?usp=sharing"",""ฉะเชิงเทรา!M697"")+IMPORTRANGE(""https://docs.google.com/spreadsheets/d/11tr1B-Bhyr79v2bkwVh5h_fR-PStkgjlZtkrZpYurG0/"&amp;"edit?usp=sharing"",""ชลบุรี!M697"")+IMPORTRANGE(""https://docs.google.com/spreadsheets/d/1hh-FVnSX0vozXhGluamEcS54Dw9_zqW0N7qJUWgJ0Sw/edit?usp=sharing"",""ชัยนาท!M697"")+IMPORTRANGE(""https://docs.google.com/spreadsheets/d/1jkqa6GXxSacMcY1eN8AHjMNJ_7dDXMJ"&amp;"VRLDlaFSOdPM/edit?usp=sharing"",""ตราด!M697"")+IMPORTRANGE(""https://docs.google.com/spreadsheets/d/18hSgUJ3VwClqi_qtULmmW3cLr0oe3OKaSYoKzdpTsYQ/edit?usp=sharing"",""นครนายก!M697"")+IMPORTRANGE(""https://docs.google.com/spreadsheets/d/1YTZo6WM2dQ6Ix6FSdnL"&amp;"5P7uVnVKu40sxZu975tgG10E/edit?usp=sharing"",""นครปฐม!M697"")+IMPORTRANGE(""https://docs.google.com/spreadsheets/d/1OYoGg4WDg5RIzwGeB10padOxJF9E_Vljuvvct_M7RDo/edit?usp=sharing"",""ปทุมธานี!M697"")+IMPORTRANGE(""https://docs.google.com/spreadsheets/d/1GbCI"&amp;"E4D4wk9FUozzqk7SxfDMxDVBwVmI5zcaVUSzKAc/edit?usp=sharing"",""ประจวบคีรีขันธ์!M697"")+IMPORTRANGE(""https://docs.google.com/spreadsheets/d/1vVf6wykvW_lAyu7Yo9L4hUTqHqIeP_qcVuxCtosJEbg/edit?usp=sharing"",""ปราจีนบุรี!M697"")+IMPORTRANGE(""https://docs.googl"&amp;"e.com/spreadsheets/d/1BIDqLLg5jk3v59G8NlR8rk5xfQDKne0sAvZHSj7TI6I/edit?usp=sharing"",""พระนครศรีอยุธยา!M697"")+IMPORTRANGE(""https://docs.google.com/spreadsheets/d/1YXvxf8Yu6_rV4hTBrwMqAcAnv6DfhUxh5emyM3CJp_w/edit?usp=sharing"",""เพชรบุรี!M697"")+IMPORTRA"&amp;"NGE(""https://docs.google.com/spreadsheets/d/19KBlQQs7uwvsao6t2n-KvW3Ax8J8uRRfZPq1zPbXgKc/edit?usp=sharing"",""ระยอง!M697"")+IMPORTRANGE(""https://docs.google.com/spreadsheets/d/1jQ6P4QcrGM89YfqcC_PxOHGCMq5ezhucwJd8ci-NHng/edit?usp=sharing"",""ราชบุรี!M69"&amp;"7"")+IMPORTRANGE(""https://docs.google.com/spreadsheets/d/1lufeA2cfFqM-elVq2hznhDzC6Pr7wkJ9ZG_sYNGCMCU/edit?usp=sharing"",""ลพบุรี!M697"")+IMPORTRANGE(""https://docs.google.com/spreadsheets/d/10oOiF7loTyfsTkbd4MpaIm0HQ9SwB7IYHdIUvt-U1Uc/edit?usp=sharing"""&amp;",""สระแก้ว!M697"")+IMPORTRANGE(""https://docs.google.com/spreadsheets/d/1xmPlrr1QbdSIKvl1dWUl9K4PjAfSL9oeMr_37QVzcxc/edit?usp=sharing"",""สระบุรี!M697"")+IMPORTRANGE(""https://docs.google.com/spreadsheets/d/1j51vR6CYVGhABJpv6tkstgok82RLpXieLzW1yOY5rHw/edi"&amp;"t?usp=sharing"",""สิงห์บุรี!M697"")+IMPORTRANGE(""https://docs.google.com/spreadsheets/d/1H1EalTWKUSzO4Z1-1CwzoDUaVffgrThEBe2sl74kKG0/edit?usp=sharing"",""สุพรรณบุรี!M697"")+IMPORTRANGE(""https://docs.google.com/spreadsheets/d/1BmIruG_sIrJLYao_Pdr7zVArWsf"&amp;"oBt2692TMi6x_854/edit?usp=sharing"",""อ่างทอง!M697"")"),0)</f>
        <v>0</v>
      </c>
      <c r="N697" s="75">
        <f ca="1">IFERROR(__xludf.DUMMYFUNCTION("IMPORTRANGE(""https://docs.google.com/spreadsheets/d/13wPX838HrBrQMCywv1BsuMkt4PEKTChp52zj44s2izQ/edit?usp=sharing"",""กาญจนบุรี!N697"")+IMPORTRANGE(""https://docs.google.com/spreadsheets/d/1ddFKvqj1W1NEiWytbGlB1zMx_ykJDVtmfEQ-6-lIUBA/edit?usp=sharing"","&amp;"""จันทบุรี!N697"")+IMPORTRANGE(""https://docs.google.com/spreadsheets/d/1T1PQvRODqOBZk8BRht_U031fIS1beLA0Ub2CEytj2q0/edit?usp=sharing"",""ฉะเชิงเทรา!N697"")+IMPORTRANGE(""https://docs.google.com/spreadsheets/d/11tr1B-Bhyr79v2bkwVh5h_fR-PStkgjlZtkrZpYurG0/"&amp;"edit?usp=sharing"",""ชลบุรี!N697"")+IMPORTRANGE(""https://docs.google.com/spreadsheets/d/1hh-FVnSX0vozXhGluamEcS54Dw9_zqW0N7qJUWgJ0Sw/edit?usp=sharing"",""ชัยนาท!N697"")+IMPORTRANGE(""https://docs.google.com/spreadsheets/d/1jkqa6GXxSacMcY1eN8AHjMNJ_7dDXMJ"&amp;"VRLDlaFSOdPM/edit?usp=sharing"",""ตราด!N697"")+IMPORTRANGE(""https://docs.google.com/spreadsheets/d/18hSgUJ3VwClqi_qtULmmW3cLr0oe3OKaSYoKzdpTsYQ/edit?usp=sharing"",""นครนายก!N697"")+IMPORTRANGE(""https://docs.google.com/spreadsheets/d/1YTZo6WM2dQ6Ix6FSdnL"&amp;"5P7uVnVKu40sxZu975tgG10E/edit?usp=sharing"",""นครปฐม!N697"")+IMPORTRANGE(""https://docs.google.com/spreadsheets/d/1OYoGg4WDg5RIzwGeB10padOxJF9E_Vljuvvct_M7RDo/edit?usp=sharing"",""ปทุมธานี!N697"")+IMPORTRANGE(""https://docs.google.com/spreadsheets/d/1GbCI"&amp;"E4D4wk9FUozzqk7SxfDMxDVBwVmI5zcaVUSzKAc/edit?usp=sharing"",""ประจวบคีรีขันธ์!N697"")+IMPORTRANGE(""https://docs.google.com/spreadsheets/d/1vVf6wykvW_lAyu7Yo9L4hUTqHqIeP_qcVuxCtosJEbg/edit?usp=sharing"",""ปราจีนบุรี!N697"")+IMPORTRANGE(""https://docs.googl"&amp;"e.com/spreadsheets/d/1BIDqLLg5jk3v59G8NlR8rk5xfQDKne0sAvZHSj7TI6I/edit?usp=sharing"",""พระนครศรีอยุธยา!N697"")+IMPORTRANGE(""https://docs.google.com/spreadsheets/d/1YXvxf8Yu6_rV4hTBrwMqAcAnv6DfhUxh5emyM3CJp_w/edit?usp=sharing"",""เพชรบุรี!N697"")+IMPORTRA"&amp;"NGE(""https://docs.google.com/spreadsheets/d/19KBlQQs7uwvsao6t2n-KvW3Ax8J8uRRfZPq1zPbXgKc/edit?usp=sharing"",""ระยอง!N697"")+IMPORTRANGE(""https://docs.google.com/spreadsheets/d/1jQ6P4QcrGM89YfqcC_PxOHGCMq5ezhucwJd8ci-NHng/edit?usp=sharing"",""ราชบุรี!N69"&amp;"7"")+IMPORTRANGE(""https://docs.google.com/spreadsheets/d/1lufeA2cfFqM-elVq2hznhDzC6Pr7wkJ9ZG_sYNGCMCU/edit?usp=sharing"",""ลพบุรี!N697"")+IMPORTRANGE(""https://docs.google.com/spreadsheets/d/10oOiF7loTyfsTkbd4MpaIm0HQ9SwB7IYHdIUvt-U1Uc/edit?usp=sharing"""&amp;",""สระแก้ว!N697"")+IMPORTRANGE(""https://docs.google.com/spreadsheets/d/1xmPlrr1QbdSIKvl1dWUl9K4PjAfSL9oeMr_37QVzcxc/edit?usp=sharing"",""สระบุรี!N697"")+IMPORTRANGE(""https://docs.google.com/spreadsheets/d/1j51vR6CYVGhABJpv6tkstgok82RLpXieLzW1yOY5rHw/edi"&amp;"t?usp=sharing"",""สิงห์บุรี!N697"")+IMPORTRANGE(""https://docs.google.com/spreadsheets/d/1H1EalTWKUSzO4Z1-1CwzoDUaVffgrThEBe2sl74kKG0/edit?usp=sharing"",""สุพรรณบุรี!N697"")+IMPORTRANGE(""https://docs.google.com/spreadsheets/d/1BmIruG_sIrJLYao_Pdr7zVArWsf"&amp;"oBt2692TMi6x_854/edit?usp=sharing"",""อ่างทอง!N697"")"),0)</f>
        <v>0</v>
      </c>
      <c r="O697" s="75">
        <f t="shared" ca="1" si="466"/>
        <v>0</v>
      </c>
      <c r="P697" s="75">
        <f t="shared" ca="1" si="467"/>
        <v>0</v>
      </c>
      <c r="Q697" s="74">
        <f ca="1">IFERROR(__xludf.DUMMYFUNCTION("IMPORTRANGE(""https://docs.google.com/spreadsheets/d/13wPX838HrBrQMCywv1BsuMkt4PEKTChp52zj44s2izQ/edit?usp=sharing"",""กาญจนบุรี!Q697"")+IMPORTRANGE(""https://docs.google.com/spreadsheets/d/1ddFKvqj1W1NEiWytbGlB1zMx_ykJDVtmfEQ-6-lIUBA/edit?usp=sharing"","&amp;"""จันทบุรี!Q697"")+IMPORTRANGE(""https://docs.google.com/spreadsheets/d/1T1PQvRODqOBZk8BRht_U031fIS1beLA0Ub2CEytj2q0/edit?usp=sharing"",""ฉะเชิงเทรา!Q697"")+IMPORTRANGE(""https://docs.google.com/spreadsheets/d/11tr1B-Bhyr79v2bkwVh5h_fR-PStkgjlZtkrZpYurG0/"&amp;"edit?usp=sharing"",""ชลบุรี!Q697"")+IMPORTRANGE(""https://docs.google.com/spreadsheets/d/1hh-FVnSX0vozXhGluamEcS54Dw9_zqW0N7qJUWgJ0Sw/edit?usp=sharing"",""ชัยนาท!Q697"")+IMPORTRANGE(""https://docs.google.com/spreadsheets/d/1jkqa6GXxSacMcY1eN8AHjMNJ_7dDXMJ"&amp;"VRLDlaFSOdPM/edit?usp=sharing"",""ตราด!Q697"")+IMPORTRANGE(""https://docs.google.com/spreadsheets/d/18hSgUJ3VwClqi_qtULmmW3cLr0oe3OKaSYoKzdpTsYQ/edit?usp=sharing"",""นครนายก!Q697"")+IMPORTRANGE(""https://docs.google.com/spreadsheets/d/1YTZo6WM2dQ6Ix6FSdnL"&amp;"5P7uVnVKu40sxZu975tgG10E/edit?usp=sharing"",""นครปฐม!Q697"")+IMPORTRANGE(""https://docs.google.com/spreadsheets/d/1OYoGg4WDg5RIzwGeB10padOxJF9E_Vljuvvct_M7RDo/edit?usp=sharing"",""ปทุมธานี!Q697"")+IMPORTRANGE(""https://docs.google.com/spreadsheets/d/1GbCI"&amp;"E4D4wk9FUozzqk7SxfDMxDVBwVmI5zcaVUSzKAc/edit?usp=sharing"",""ประจวบคีรีขันธ์!Q697"")+IMPORTRANGE(""https://docs.google.com/spreadsheets/d/1vVf6wykvW_lAyu7Yo9L4hUTqHqIeP_qcVuxCtosJEbg/edit?usp=sharing"",""ปราจีนบุรี!Q697"")+IMPORTRANGE(""https://docs.googl"&amp;"e.com/spreadsheets/d/1BIDqLLg5jk3v59G8NlR8rk5xfQDKne0sAvZHSj7TI6I/edit?usp=sharing"",""พระนครศรีอยุธยา!Q697"")+IMPORTRANGE(""https://docs.google.com/spreadsheets/d/1YXvxf8Yu6_rV4hTBrwMqAcAnv6DfhUxh5emyM3CJp_w/edit?usp=sharing"",""เพชรบุรี!Q697"")+IMPORTRA"&amp;"NGE(""https://docs.google.com/spreadsheets/d/19KBlQQs7uwvsao6t2n-KvW3Ax8J8uRRfZPq1zPbXgKc/edit?usp=sharing"",""ระยอง!Q697"")+IMPORTRANGE(""https://docs.google.com/spreadsheets/d/1jQ6P4QcrGM89YfqcC_PxOHGCMq5ezhucwJd8ci-NHng/edit?usp=sharing"",""ราชบุรี!Q69"&amp;"7"")+IMPORTRANGE(""https://docs.google.com/spreadsheets/d/1lufeA2cfFqM-elVq2hznhDzC6Pr7wkJ9ZG_sYNGCMCU/edit?usp=sharing"",""ลพบุรี!Q697"")+IMPORTRANGE(""https://docs.google.com/spreadsheets/d/10oOiF7loTyfsTkbd4MpaIm0HQ9SwB7IYHdIUvt-U1Uc/edit?usp=sharing"""&amp;",""สระแก้ว!Q697"")+IMPORTRANGE(""https://docs.google.com/spreadsheets/d/1xmPlrr1QbdSIKvl1dWUl9K4PjAfSL9oeMr_37QVzcxc/edit?usp=sharing"",""สระบุรี!Q697"")+IMPORTRANGE(""https://docs.google.com/spreadsheets/d/1j51vR6CYVGhABJpv6tkstgok82RLpXieLzW1yOY5rHw/edi"&amp;"t?usp=sharing"",""สิงห์บุรี!Q697"")+IMPORTRANGE(""https://docs.google.com/spreadsheets/d/1H1EalTWKUSzO4Z1-1CwzoDUaVffgrThEBe2sl74kKG0/edit?usp=sharing"",""สุพรรณบุรี!Q697"")+IMPORTRANGE(""https://docs.google.com/spreadsheets/d/1BmIruG_sIrJLYao_Pdr7zVArWsf"&amp;"oBt2692TMi6x_854/edit?usp=sharing"",""อ่างทอง!Q697"")"),0)</f>
        <v>0</v>
      </c>
      <c r="R697" s="75">
        <f ca="1">IFERROR(__xludf.DUMMYFUNCTION("IMPORTRANGE(""https://docs.google.com/spreadsheets/d/13wPX838HrBrQMCywv1BsuMkt4PEKTChp52zj44s2izQ/edit?usp=sharing"",""กาญจนบุรี!R697"")+IMPORTRANGE(""https://docs.google.com/spreadsheets/d/1ddFKvqj1W1NEiWytbGlB1zMx_ykJDVtmfEQ-6-lIUBA/edit?usp=sharing"","&amp;"""จันทบุรี!R697"")+IMPORTRANGE(""https://docs.google.com/spreadsheets/d/1T1PQvRODqOBZk8BRht_U031fIS1beLA0Ub2CEytj2q0/edit?usp=sharing"",""ฉะเชิงเทรา!R697"")+IMPORTRANGE(""https://docs.google.com/spreadsheets/d/11tr1B-Bhyr79v2bkwVh5h_fR-PStkgjlZtkrZpYurG0/"&amp;"edit?usp=sharing"",""ชลบุรี!R697"")+IMPORTRANGE(""https://docs.google.com/spreadsheets/d/1hh-FVnSX0vozXhGluamEcS54Dw9_zqW0N7qJUWgJ0Sw/edit?usp=sharing"",""ชัยนาท!R697"")+IMPORTRANGE(""https://docs.google.com/spreadsheets/d/1jkqa6GXxSacMcY1eN8AHjMNJ_7dDXMJ"&amp;"VRLDlaFSOdPM/edit?usp=sharing"",""ตราด!R697"")+IMPORTRANGE(""https://docs.google.com/spreadsheets/d/18hSgUJ3VwClqi_qtULmmW3cLr0oe3OKaSYoKzdpTsYQ/edit?usp=sharing"",""นครนายก!R697"")+IMPORTRANGE(""https://docs.google.com/spreadsheets/d/1YTZo6WM2dQ6Ix6FSdnL"&amp;"5P7uVnVKu40sxZu975tgG10E/edit?usp=sharing"",""นครปฐม!R697"")+IMPORTRANGE(""https://docs.google.com/spreadsheets/d/1OYoGg4WDg5RIzwGeB10padOxJF9E_Vljuvvct_M7RDo/edit?usp=sharing"",""ปทุมธานี!R697"")+IMPORTRANGE(""https://docs.google.com/spreadsheets/d/1GbCI"&amp;"E4D4wk9FUozzqk7SxfDMxDVBwVmI5zcaVUSzKAc/edit?usp=sharing"",""ประจวบคีรีขันธ์!R697"")+IMPORTRANGE(""https://docs.google.com/spreadsheets/d/1vVf6wykvW_lAyu7Yo9L4hUTqHqIeP_qcVuxCtosJEbg/edit?usp=sharing"",""ปราจีนบุรี!R697"")+IMPORTRANGE(""https://docs.googl"&amp;"e.com/spreadsheets/d/1BIDqLLg5jk3v59G8NlR8rk5xfQDKne0sAvZHSj7TI6I/edit?usp=sharing"",""พระนครศรีอยุธยา!R697"")+IMPORTRANGE(""https://docs.google.com/spreadsheets/d/1YXvxf8Yu6_rV4hTBrwMqAcAnv6DfhUxh5emyM3CJp_w/edit?usp=sharing"",""เพชรบุรี!R697"")+IMPORTRA"&amp;"NGE(""https://docs.google.com/spreadsheets/d/19KBlQQs7uwvsao6t2n-KvW3Ax8J8uRRfZPq1zPbXgKc/edit?usp=sharing"",""ระยอง!R697"")+IMPORTRANGE(""https://docs.google.com/spreadsheets/d/1jQ6P4QcrGM89YfqcC_PxOHGCMq5ezhucwJd8ci-NHng/edit?usp=sharing"",""ราชบุรี!R69"&amp;"7"")+IMPORTRANGE(""https://docs.google.com/spreadsheets/d/1lufeA2cfFqM-elVq2hznhDzC6Pr7wkJ9ZG_sYNGCMCU/edit?usp=sharing"",""ลพบุรี!R697"")+IMPORTRANGE(""https://docs.google.com/spreadsheets/d/10oOiF7loTyfsTkbd4MpaIm0HQ9SwB7IYHdIUvt-U1Uc/edit?usp=sharing"""&amp;",""สระแก้ว!R697"")+IMPORTRANGE(""https://docs.google.com/spreadsheets/d/1xmPlrr1QbdSIKvl1dWUl9K4PjAfSL9oeMr_37QVzcxc/edit?usp=sharing"",""สระบุรี!R697"")+IMPORTRANGE(""https://docs.google.com/spreadsheets/d/1j51vR6CYVGhABJpv6tkstgok82RLpXieLzW1yOY5rHw/edi"&amp;"t?usp=sharing"",""สิงห์บุรี!R697"")+IMPORTRANGE(""https://docs.google.com/spreadsheets/d/1H1EalTWKUSzO4Z1-1CwzoDUaVffgrThEBe2sl74kKG0/edit?usp=sharing"",""สุพรรณบุรี!R697"")+IMPORTRANGE(""https://docs.google.com/spreadsheets/d/1BmIruG_sIrJLYao_Pdr7zVArWsf"&amp;"oBt2692TMi6x_854/edit?usp=sharing"",""อ่างทอง!R697"")"),0)</f>
        <v>0</v>
      </c>
      <c r="S697" s="75">
        <f ca="1">IFERROR(__xludf.DUMMYFUNCTION("IMPORTRANGE(""https://docs.google.com/spreadsheets/d/13wPX838HrBrQMCywv1BsuMkt4PEKTChp52zj44s2izQ/edit?usp=sharing"",""กาญจนบุรี!S697"")+IMPORTRANGE(""https://docs.google.com/spreadsheets/d/1ddFKvqj1W1NEiWytbGlB1zMx_ykJDVtmfEQ-6-lIUBA/edit?usp=sharing"","&amp;"""จันทบุรี!S697"")+IMPORTRANGE(""https://docs.google.com/spreadsheets/d/1T1PQvRODqOBZk8BRht_U031fIS1beLA0Ub2CEytj2q0/edit?usp=sharing"",""ฉะเชิงเทรา!S697"")+IMPORTRANGE(""https://docs.google.com/spreadsheets/d/11tr1B-Bhyr79v2bkwVh5h_fR-PStkgjlZtkrZpYurG0/"&amp;"edit?usp=sharing"",""ชลบุรี!S697"")+IMPORTRANGE(""https://docs.google.com/spreadsheets/d/1hh-FVnSX0vozXhGluamEcS54Dw9_zqW0N7qJUWgJ0Sw/edit?usp=sharing"",""ชัยนาท!S697"")+IMPORTRANGE(""https://docs.google.com/spreadsheets/d/1jkqa6GXxSacMcY1eN8AHjMNJ_7dDXMJ"&amp;"VRLDlaFSOdPM/edit?usp=sharing"",""ตราด!S697"")+IMPORTRANGE(""https://docs.google.com/spreadsheets/d/18hSgUJ3VwClqi_qtULmmW3cLr0oe3OKaSYoKzdpTsYQ/edit?usp=sharing"",""นครนายก!S697"")+IMPORTRANGE(""https://docs.google.com/spreadsheets/d/1YTZo6WM2dQ6Ix6FSdnL"&amp;"5P7uVnVKu40sxZu975tgG10E/edit?usp=sharing"",""นครปฐม!S697"")+IMPORTRANGE(""https://docs.google.com/spreadsheets/d/1OYoGg4WDg5RIzwGeB10padOxJF9E_Vljuvvct_M7RDo/edit?usp=sharing"",""ปทุมธานี!S697"")+IMPORTRANGE(""https://docs.google.com/spreadsheets/d/1GbCI"&amp;"E4D4wk9FUozzqk7SxfDMxDVBwVmI5zcaVUSzKAc/edit?usp=sharing"",""ประจวบคีรีขันธ์!S697"")+IMPORTRANGE(""https://docs.google.com/spreadsheets/d/1vVf6wykvW_lAyu7Yo9L4hUTqHqIeP_qcVuxCtosJEbg/edit?usp=sharing"",""ปราจีนบุรี!S697"")+IMPORTRANGE(""https://docs.googl"&amp;"e.com/spreadsheets/d/1BIDqLLg5jk3v59G8NlR8rk5xfQDKne0sAvZHSj7TI6I/edit?usp=sharing"",""พระนครศรีอยุธยา!S697"")+IMPORTRANGE(""https://docs.google.com/spreadsheets/d/1YXvxf8Yu6_rV4hTBrwMqAcAnv6DfhUxh5emyM3CJp_w/edit?usp=sharing"",""เพชรบุรี!S697"")+IMPORTRA"&amp;"NGE(""https://docs.google.com/spreadsheets/d/19KBlQQs7uwvsao6t2n-KvW3Ax8J8uRRfZPq1zPbXgKc/edit?usp=sharing"",""ระยอง!S697"")+IMPORTRANGE(""https://docs.google.com/spreadsheets/d/1jQ6P4QcrGM89YfqcC_PxOHGCMq5ezhucwJd8ci-NHng/edit?usp=sharing"",""ราชบุรี!S69"&amp;"7"")+IMPORTRANGE(""https://docs.google.com/spreadsheets/d/1lufeA2cfFqM-elVq2hznhDzC6Pr7wkJ9ZG_sYNGCMCU/edit?usp=sharing"",""ลพบุรี!S697"")+IMPORTRANGE(""https://docs.google.com/spreadsheets/d/10oOiF7loTyfsTkbd4MpaIm0HQ9SwB7IYHdIUvt-U1Uc/edit?usp=sharing"""&amp;",""สระแก้ว!S697"")+IMPORTRANGE(""https://docs.google.com/spreadsheets/d/1xmPlrr1QbdSIKvl1dWUl9K4PjAfSL9oeMr_37QVzcxc/edit?usp=sharing"",""สระบุรี!S697"")+IMPORTRANGE(""https://docs.google.com/spreadsheets/d/1j51vR6CYVGhABJpv6tkstgok82RLpXieLzW1yOY5rHw/edi"&amp;"t?usp=sharing"",""สิงห์บุรี!S697"")+IMPORTRANGE(""https://docs.google.com/spreadsheets/d/1H1EalTWKUSzO4Z1-1CwzoDUaVffgrThEBe2sl74kKG0/edit?usp=sharing"",""สุพรรณบุรี!S697"")+IMPORTRANGE(""https://docs.google.com/spreadsheets/d/1BmIruG_sIrJLYao_Pdr7zVArWsf"&amp;"oBt2692TMi6x_854/edit?usp=sharing"",""อ่างทอง!S697"")"),0)</f>
        <v>0</v>
      </c>
      <c r="T697" s="131">
        <f t="shared" ca="1" si="469"/>
        <v>0</v>
      </c>
      <c r="U697" s="131">
        <f t="shared" ca="1" si="4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f ca="1">IFERROR(__xludf.DUMMYFUNCTION("IMPORTRANGE(""https://docs.google.com/spreadsheets/d/13wPX838HrBrQMCywv1BsuMkt4PEKTChp52zj44s2izQ/edit?usp=sharing"",""กาญจนบุรี!L698"")+IMPORTRANGE(""https://docs.google.com/spreadsheets/d/1ddFKvqj1W1NEiWytbGlB1zMx_ykJDVtmfEQ-6-lIUBA/edit?usp=sharing"","&amp;"""จันทบุรี!L698"")+IMPORTRANGE(""https://docs.google.com/spreadsheets/d/1T1PQvRODqOBZk8BRht_U031fIS1beLA0Ub2CEytj2q0/edit?usp=sharing"",""ฉะเชิงเทรา!L698"")+IMPORTRANGE(""https://docs.google.com/spreadsheets/d/11tr1B-Bhyr79v2bkwVh5h_fR-PStkgjlZtkrZpYurG0/"&amp;"edit?usp=sharing"",""ชลบุรี!L698"")+IMPORTRANGE(""https://docs.google.com/spreadsheets/d/1hh-FVnSX0vozXhGluamEcS54Dw9_zqW0N7qJUWgJ0Sw/edit?usp=sharing"",""ชัยนาท!L698"")+IMPORTRANGE(""https://docs.google.com/spreadsheets/d/1jkqa6GXxSacMcY1eN8AHjMNJ_7dDXMJ"&amp;"VRLDlaFSOdPM/edit?usp=sharing"",""ตราด!L698"")+IMPORTRANGE(""https://docs.google.com/spreadsheets/d/18hSgUJ3VwClqi_qtULmmW3cLr0oe3OKaSYoKzdpTsYQ/edit?usp=sharing"",""นครนายก!L698"")+IMPORTRANGE(""https://docs.google.com/spreadsheets/d/1YTZo6WM2dQ6Ix6FSdnL"&amp;"5P7uVnVKu40sxZu975tgG10E/edit?usp=sharing"",""นครปฐม!L698"")+IMPORTRANGE(""https://docs.google.com/spreadsheets/d/1OYoGg4WDg5RIzwGeB10padOxJF9E_Vljuvvct_M7RDo/edit?usp=sharing"",""ปทุมธานี!L698"")+IMPORTRANGE(""https://docs.google.com/spreadsheets/d/1GbCI"&amp;"E4D4wk9FUozzqk7SxfDMxDVBwVmI5zcaVUSzKAc/edit?usp=sharing"",""ประจวบคีรีขันธ์!L698"")+IMPORTRANGE(""https://docs.google.com/spreadsheets/d/1vVf6wykvW_lAyu7Yo9L4hUTqHqIeP_qcVuxCtosJEbg/edit?usp=sharing"",""ปราจีนบุรี!L698"")+IMPORTRANGE(""https://docs.googl"&amp;"e.com/spreadsheets/d/1BIDqLLg5jk3v59G8NlR8rk5xfQDKne0sAvZHSj7TI6I/edit?usp=sharing"",""พระนครศรีอยุธยา!L698"")+IMPORTRANGE(""https://docs.google.com/spreadsheets/d/1YXvxf8Yu6_rV4hTBrwMqAcAnv6DfhUxh5emyM3CJp_w/edit?usp=sharing"",""เพชรบุรี!L698"")+IMPORTRA"&amp;"NGE(""https://docs.google.com/spreadsheets/d/19KBlQQs7uwvsao6t2n-KvW3Ax8J8uRRfZPq1zPbXgKc/edit?usp=sharing"",""ระยอง!L698"")+IMPORTRANGE(""https://docs.google.com/spreadsheets/d/1jQ6P4QcrGM89YfqcC_PxOHGCMq5ezhucwJd8ci-NHng/edit?usp=sharing"",""ราชบุรี!L69"&amp;"8"")+IMPORTRANGE(""https://docs.google.com/spreadsheets/d/1lufeA2cfFqM-elVq2hznhDzC6Pr7wkJ9ZG_sYNGCMCU/edit?usp=sharing"",""ลพบุรี!L698"")+IMPORTRANGE(""https://docs.google.com/spreadsheets/d/10oOiF7loTyfsTkbd4MpaIm0HQ9SwB7IYHdIUvt-U1Uc/edit?usp=sharing"""&amp;",""สระแก้ว!L698"")+IMPORTRANGE(""https://docs.google.com/spreadsheets/d/1xmPlrr1QbdSIKvl1dWUl9K4PjAfSL9oeMr_37QVzcxc/edit?usp=sharing"",""สระบุรี!L698"")+IMPORTRANGE(""https://docs.google.com/spreadsheets/d/1j51vR6CYVGhABJpv6tkstgok82RLpXieLzW1yOY5rHw/edi"&amp;"t?usp=sharing"",""สิงห์บุรี!L698"")+IMPORTRANGE(""https://docs.google.com/spreadsheets/d/1H1EalTWKUSzO4Z1-1CwzoDUaVffgrThEBe2sl74kKG0/edit?usp=sharing"",""สุพรรณบุรี!L698"")+IMPORTRANGE(""https://docs.google.com/spreadsheets/d/1BmIruG_sIrJLYao_Pdr7zVArWsf"&amp;"oBt2692TMi6x_854/edit?usp=sharing"",""อ่างทอง!L698"")"),0)</f>
        <v>0</v>
      </c>
      <c r="M698" s="72">
        <f ca="1">IFERROR(__xludf.DUMMYFUNCTION("IMPORTRANGE(""https://docs.google.com/spreadsheets/d/13wPX838HrBrQMCywv1BsuMkt4PEKTChp52zj44s2izQ/edit?usp=sharing"",""กาญจนบุรี!M698"")+IMPORTRANGE(""https://docs.google.com/spreadsheets/d/1ddFKvqj1W1NEiWytbGlB1zMx_ykJDVtmfEQ-6-lIUBA/edit?usp=sharing"","&amp;"""จันทบุรี!M698"")+IMPORTRANGE(""https://docs.google.com/spreadsheets/d/1T1PQvRODqOBZk8BRht_U031fIS1beLA0Ub2CEytj2q0/edit?usp=sharing"",""ฉะเชิงเทรา!M698"")+IMPORTRANGE(""https://docs.google.com/spreadsheets/d/11tr1B-Bhyr79v2bkwVh5h_fR-PStkgjlZtkrZpYurG0/"&amp;"edit?usp=sharing"",""ชลบุรี!M698"")+IMPORTRANGE(""https://docs.google.com/spreadsheets/d/1hh-FVnSX0vozXhGluamEcS54Dw9_zqW0N7qJUWgJ0Sw/edit?usp=sharing"",""ชัยนาท!M698"")+IMPORTRANGE(""https://docs.google.com/spreadsheets/d/1jkqa6GXxSacMcY1eN8AHjMNJ_7dDXMJ"&amp;"VRLDlaFSOdPM/edit?usp=sharing"",""ตราด!M698"")+IMPORTRANGE(""https://docs.google.com/spreadsheets/d/18hSgUJ3VwClqi_qtULmmW3cLr0oe3OKaSYoKzdpTsYQ/edit?usp=sharing"",""นครนายก!M698"")+IMPORTRANGE(""https://docs.google.com/spreadsheets/d/1YTZo6WM2dQ6Ix6FSdnL"&amp;"5P7uVnVKu40sxZu975tgG10E/edit?usp=sharing"",""นครปฐม!M698"")+IMPORTRANGE(""https://docs.google.com/spreadsheets/d/1OYoGg4WDg5RIzwGeB10padOxJF9E_Vljuvvct_M7RDo/edit?usp=sharing"",""ปทุมธานี!M698"")+IMPORTRANGE(""https://docs.google.com/spreadsheets/d/1GbCI"&amp;"E4D4wk9FUozzqk7SxfDMxDVBwVmI5zcaVUSzKAc/edit?usp=sharing"",""ประจวบคีรีขันธ์!M698"")+IMPORTRANGE(""https://docs.google.com/spreadsheets/d/1vVf6wykvW_lAyu7Yo9L4hUTqHqIeP_qcVuxCtosJEbg/edit?usp=sharing"",""ปราจีนบุรี!M698"")+IMPORTRANGE(""https://docs.googl"&amp;"e.com/spreadsheets/d/1BIDqLLg5jk3v59G8NlR8rk5xfQDKne0sAvZHSj7TI6I/edit?usp=sharing"",""พระนครศรีอยุธยา!M698"")+IMPORTRANGE(""https://docs.google.com/spreadsheets/d/1YXvxf8Yu6_rV4hTBrwMqAcAnv6DfhUxh5emyM3CJp_w/edit?usp=sharing"",""เพชรบุรี!M698"")+IMPORTRA"&amp;"NGE(""https://docs.google.com/spreadsheets/d/19KBlQQs7uwvsao6t2n-KvW3Ax8J8uRRfZPq1zPbXgKc/edit?usp=sharing"",""ระยอง!M698"")+IMPORTRANGE(""https://docs.google.com/spreadsheets/d/1jQ6P4QcrGM89YfqcC_PxOHGCMq5ezhucwJd8ci-NHng/edit?usp=sharing"",""ราชบุรี!M69"&amp;"8"")+IMPORTRANGE(""https://docs.google.com/spreadsheets/d/1lufeA2cfFqM-elVq2hznhDzC6Pr7wkJ9ZG_sYNGCMCU/edit?usp=sharing"",""ลพบุรี!M698"")+IMPORTRANGE(""https://docs.google.com/spreadsheets/d/10oOiF7loTyfsTkbd4MpaIm0HQ9SwB7IYHdIUvt-U1Uc/edit?usp=sharing"""&amp;",""สระแก้ว!M698"")+IMPORTRANGE(""https://docs.google.com/spreadsheets/d/1xmPlrr1QbdSIKvl1dWUl9K4PjAfSL9oeMr_37QVzcxc/edit?usp=sharing"",""สระบุรี!M698"")+IMPORTRANGE(""https://docs.google.com/spreadsheets/d/1j51vR6CYVGhABJpv6tkstgok82RLpXieLzW1yOY5rHw/edi"&amp;"t?usp=sharing"",""สิงห์บุรี!M698"")+IMPORTRANGE(""https://docs.google.com/spreadsheets/d/1H1EalTWKUSzO4Z1-1CwzoDUaVffgrThEBe2sl74kKG0/edit?usp=sharing"",""สุพรรณบุรี!M698"")+IMPORTRANGE(""https://docs.google.com/spreadsheets/d/1BmIruG_sIrJLYao_Pdr7zVArWsf"&amp;"oBt2692TMi6x_854/edit?usp=sharing"",""อ่างทอง!M698"")"),0)</f>
        <v>0</v>
      </c>
      <c r="N698" s="72">
        <f ca="1">IFERROR(__xludf.DUMMYFUNCTION("IMPORTRANGE(""https://docs.google.com/spreadsheets/d/13wPX838HrBrQMCywv1BsuMkt4PEKTChp52zj44s2izQ/edit?usp=sharing"",""กาญจนบุรี!N698"")+IMPORTRANGE(""https://docs.google.com/spreadsheets/d/1ddFKvqj1W1NEiWytbGlB1zMx_ykJDVtmfEQ-6-lIUBA/edit?usp=sharing"","&amp;"""จันทบุรี!N698"")+IMPORTRANGE(""https://docs.google.com/spreadsheets/d/1T1PQvRODqOBZk8BRht_U031fIS1beLA0Ub2CEytj2q0/edit?usp=sharing"",""ฉะเชิงเทรา!N698"")+IMPORTRANGE(""https://docs.google.com/spreadsheets/d/11tr1B-Bhyr79v2bkwVh5h_fR-PStkgjlZtkrZpYurG0/"&amp;"edit?usp=sharing"",""ชลบุรี!N698"")+IMPORTRANGE(""https://docs.google.com/spreadsheets/d/1hh-FVnSX0vozXhGluamEcS54Dw9_zqW0N7qJUWgJ0Sw/edit?usp=sharing"",""ชัยนาท!N698"")+IMPORTRANGE(""https://docs.google.com/spreadsheets/d/1jkqa6GXxSacMcY1eN8AHjMNJ_7dDXMJ"&amp;"VRLDlaFSOdPM/edit?usp=sharing"",""ตราด!N698"")+IMPORTRANGE(""https://docs.google.com/spreadsheets/d/18hSgUJ3VwClqi_qtULmmW3cLr0oe3OKaSYoKzdpTsYQ/edit?usp=sharing"",""นครนายก!N698"")+IMPORTRANGE(""https://docs.google.com/spreadsheets/d/1YTZo6WM2dQ6Ix6FSdnL"&amp;"5P7uVnVKu40sxZu975tgG10E/edit?usp=sharing"",""นครปฐม!N698"")+IMPORTRANGE(""https://docs.google.com/spreadsheets/d/1OYoGg4WDg5RIzwGeB10padOxJF9E_Vljuvvct_M7RDo/edit?usp=sharing"",""ปทุมธานี!N698"")+IMPORTRANGE(""https://docs.google.com/spreadsheets/d/1GbCI"&amp;"E4D4wk9FUozzqk7SxfDMxDVBwVmI5zcaVUSzKAc/edit?usp=sharing"",""ประจวบคีรีขันธ์!N698"")+IMPORTRANGE(""https://docs.google.com/spreadsheets/d/1vVf6wykvW_lAyu7Yo9L4hUTqHqIeP_qcVuxCtosJEbg/edit?usp=sharing"",""ปราจีนบุรี!N698"")+IMPORTRANGE(""https://docs.googl"&amp;"e.com/spreadsheets/d/1BIDqLLg5jk3v59G8NlR8rk5xfQDKne0sAvZHSj7TI6I/edit?usp=sharing"",""พระนครศรีอยุธยา!N698"")+IMPORTRANGE(""https://docs.google.com/spreadsheets/d/1YXvxf8Yu6_rV4hTBrwMqAcAnv6DfhUxh5emyM3CJp_w/edit?usp=sharing"",""เพชรบุรี!N698"")+IMPORTRA"&amp;"NGE(""https://docs.google.com/spreadsheets/d/19KBlQQs7uwvsao6t2n-KvW3Ax8J8uRRfZPq1zPbXgKc/edit?usp=sharing"",""ระยอง!N698"")+IMPORTRANGE(""https://docs.google.com/spreadsheets/d/1jQ6P4QcrGM89YfqcC_PxOHGCMq5ezhucwJd8ci-NHng/edit?usp=sharing"",""ราชบุรี!N69"&amp;"8"")+IMPORTRANGE(""https://docs.google.com/spreadsheets/d/1lufeA2cfFqM-elVq2hznhDzC6Pr7wkJ9ZG_sYNGCMCU/edit?usp=sharing"",""ลพบุรี!N698"")+IMPORTRANGE(""https://docs.google.com/spreadsheets/d/10oOiF7loTyfsTkbd4MpaIm0HQ9SwB7IYHdIUvt-U1Uc/edit?usp=sharing"""&amp;",""สระแก้ว!N698"")+IMPORTRANGE(""https://docs.google.com/spreadsheets/d/1xmPlrr1QbdSIKvl1dWUl9K4PjAfSL9oeMr_37QVzcxc/edit?usp=sharing"",""สระบุรี!N698"")+IMPORTRANGE(""https://docs.google.com/spreadsheets/d/1j51vR6CYVGhABJpv6tkstgok82RLpXieLzW1yOY5rHw/edi"&amp;"t?usp=sharing"",""สิงห์บุรี!N698"")+IMPORTRANGE(""https://docs.google.com/spreadsheets/d/1H1EalTWKUSzO4Z1-1CwzoDUaVffgrThEBe2sl74kKG0/edit?usp=sharing"",""สุพรรณบุรี!N698"")+IMPORTRANGE(""https://docs.google.com/spreadsheets/d/1BmIruG_sIrJLYao_Pdr7zVArWsf"&amp;"oBt2692TMi6x_854/edit?usp=sharing"",""อ่างทอง!N698"")"),0)</f>
        <v>0</v>
      </c>
      <c r="O698" s="72">
        <f t="shared" ca="1" si="466"/>
        <v>0</v>
      </c>
      <c r="P698" s="72">
        <f t="shared" ca="1" si="467"/>
        <v>0</v>
      </c>
      <c r="Q698" s="71">
        <f ca="1">IFERROR(__xludf.DUMMYFUNCTION("IMPORTRANGE(""https://docs.google.com/spreadsheets/d/13wPX838HrBrQMCywv1BsuMkt4PEKTChp52zj44s2izQ/edit?usp=sharing"",""กาญจนบุรี!Q698"")+IMPORTRANGE(""https://docs.google.com/spreadsheets/d/1ddFKvqj1W1NEiWytbGlB1zMx_ykJDVtmfEQ-6-lIUBA/edit?usp=sharing"","&amp;"""จันทบุรี!Q698"")+IMPORTRANGE(""https://docs.google.com/spreadsheets/d/1T1PQvRODqOBZk8BRht_U031fIS1beLA0Ub2CEytj2q0/edit?usp=sharing"",""ฉะเชิงเทรา!Q698"")+IMPORTRANGE(""https://docs.google.com/spreadsheets/d/11tr1B-Bhyr79v2bkwVh5h_fR-PStkgjlZtkrZpYurG0/"&amp;"edit?usp=sharing"",""ชลบุรี!Q698"")+IMPORTRANGE(""https://docs.google.com/spreadsheets/d/1hh-FVnSX0vozXhGluamEcS54Dw9_zqW0N7qJUWgJ0Sw/edit?usp=sharing"",""ชัยนาท!Q698"")+IMPORTRANGE(""https://docs.google.com/spreadsheets/d/1jkqa6GXxSacMcY1eN8AHjMNJ_7dDXMJ"&amp;"VRLDlaFSOdPM/edit?usp=sharing"",""ตราด!Q698"")+IMPORTRANGE(""https://docs.google.com/spreadsheets/d/18hSgUJ3VwClqi_qtULmmW3cLr0oe3OKaSYoKzdpTsYQ/edit?usp=sharing"",""นครนายก!Q698"")+IMPORTRANGE(""https://docs.google.com/spreadsheets/d/1YTZo6WM2dQ6Ix6FSdnL"&amp;"5P7uVnVKu40sxZu975tgG10E/edit?usp=sharing"",""นครปฐม!Q698"")+IMPORTRANGE(""https://docs.google.com/spreadsheets/d/1OYoGg4WDg5RIzwGeB10padOxJF9E_Vljuvvct_M7RDo/edit?usp=sharing"",""ปทุมธานี!Q698"")+IMPORTRANGE(""https://docs.google.com/spreadsheets/d/1GbCI"&amp;"E4D4wk9FUozzqk7SxfDMxDVBwVmI5zcaVUSzKAc/edit?usp=sharing"",""ประจวบคีรีขันธ์!Q698"")+IMPORTRANGE(""https://docs.google.com/spreadsheets/d/1vVf6wykvW_lAyu7Yo9L4hUTqHqIeP_qcVuxCtosJEbg/edit?usp=sharing"",""ปราจีนบุรี!Q698"")+IMPORTRANGE(""https://docs.googl"&amp;"e.com/spreadsheets/d/1BIDqLLg5jk3v59G8NlR8rk5xfQDKne0sAvZHSj7TI6I/edit?usp=sharing"",""พระนครศรีอยุธยา!Q698"")+IMPORTRANGE(""https://docs.google.com/spreadsheets/d/1YXvxf8Yu6_rV4hTBrwMqAcAnv6DfhUxh5emyM3CJp_w/edit?usp=sharing"",""เพชรบุรี!Q698"")+IMPORTRA"&amp;"NGE(""https://docs.google.com/spreadsheets/d/19KBlQQs7uwvsao6t2n-KvW3Ax8J8uRRfZPq1zPbXgKc/edit?usp=sharing"",""ระยอง!Q698"")+IMPORTRANGE(""https://docs.google.com/spreadsheets/d/1jQ6P4QcrGM89YfqcC_PxOHGCMq5ezhucwJd8ci-NHng/edit?usp=sharing"",""ราชบุรี!Q69"&amp;"8"")+IMPORTRANGE(""https://docs.google.com/spreadsheets/d/1lufeA2cfFqM-elVq2hznhDzC6Pr7wkJ9ZG_sYNGCMCU/edit?usp=sharing"",""ลพบุรี!Q698"")+IMPORTRANGE(""https://docs.google.com/spreadsheets/d/10oOiF7loTyfsTkbd4MpaIm0HQ9SwB7IYHdIUvt-U1Uc/edit?usp=sharing"""&amp;",""สระแก้ว!Q698"")+IMPORTRANGE(""https://docs.google.com/spreadsheets/d/1xmPlrr1QbdSIKvl1dWUl9K4PjAfSL9oeMr_37QVzcxc/edit?usp=sharing"",""สระบุรี!Q698"")+IMPORTRANGE(""https://docs.google.com/spreadsheets/d/1j51vR6CYVGhABJpv6tkstgok82RLpXieLzW1yOY5rHw/edi"&amp;"t?usp=sharing"",""สิงห์บุรี!Q698"")+IMPORTRANGE(""https://docs.google.com/spreadsheets/d/1H1EalTWKUSzO4Z1-1CwzoDUaVffgrThEBe2sl74kKG0/edit?usp=sharing"",""สุพรรณบุรี!Q698"")+IMPORTRANGE(""https://docs.google.com/spreadsheets/d/1BmIruG_sIrJLYao_Pdr7zVArWsf"&amp;"oBt2692TMi6x_854/edit?usp=sharing"",""อ่างทอง!Q698"")"),0)</f>
        <v>0</v>
      </c>
      <c r="R698" s="72">
        <f ca="1">IFERROR(__xludf.DUMMYFUNCTION("IMPORTRANGE(""https://docs.google.com/spreadsheets/d/13wPX838HrBrQMCywv1BsuMkt4PEKTChp52zj44s2izQ/edit?usp=sharing"",""กาญจนบุรี!R698"")+IMPORTRANGE(""https://docs.google.com/spreadsheets/d/1ddFKvqj1W1NEiWytbGlB1zMx_ykJDVtmfEQ-6-lIUBA/edit?usp=sharing"","&amp;"""จันทบุรี!R698"")+IMPORTRANGE(""https://docs.google.com/spreadsheets/d/1T1PQvRODqOBZk8BRht_U031fIS1beLA0Ub2CEytj2q0/edit?usp=sharing"",""ฉะเชิงเทรา!R698"")+IMPORTRANGE(""https://docs.google.com/spreadsheets/d/11tr1B-Bhyr79v2bkwVh5h_fR-PStkgjlZtkrZpYurG0/"&amp;"edit?usp=sharing"",""ชลบุรี!R698"")+IMPORTRANGE(""https://docs.google.com/spreadsheets/d/1hh-FVnSX0vozXhGluamEcS54Dw9_zqW0N7qJUWgJ0Sw/edit?usp=sharing"",""ชัยนาท!R698"")+IMPORTRANGE(""https://docs.google.com/spreadsheets/d/1jkqa6GXxSacMcY1eN8AHjMNJ_7dDXMJ"&amp;"VRLDlaFSOdPM/edit?usp=sharing"",""ตราด!R698"")+IMPORTRANGE(""https://docs.google.com/spreadsheets/d/18hSgUJ3VwClqi_qtULmmW3cLr0oe3OKaSYoKzdpTsYQ/edit?usp=sharing"",""นครนายก!R698"")+IMPORTRANGE(""https://docs.google.com/spreadsheets/d/1YTZo6WM2dQ6Ix6FSdnL"&amp;"5P7uVnVKu40sxZu975tgG10E/edit?usp=sharing"",""นครปฐม!R698"")+IMPORTRANGE(""https://docs.google.com/spreadsheets/d/1OYoGg4WDg5RIzwGeB10padOxJF9E_Vljuvvct_M7RDo/edit?usp=sharing"",""ปทุมธานี!R698"")+IMPORTRANGE(""https://docs.google.com/spreadsheets/d/1GbCI"&amp;"E4D4wk9FUozzqk7SxfDMxDVBwVmI5zcaVUSzKAc/edit?usp=sharing"",""ประจวบคีรีขันธ์!R698"")+IMPORTRANGE(""https://docs.google.com/spreadsheets/d/1vVf6wykvW_lAyu7Yo9L4hUTqHqIeP_qcVuxCtosJEbg/edit?usp=sharing"",""ปราจีนบุรี!R698"")+IMPORTRANGE(""https://docs.googl"&amp;"e.com/spreadsheets/d/1BIDqLLg5jk3v59G8NlR8rk5xfQDKne0sAvZHSj7TI6I/edit?usp=sharing"",""พระนครศรีอยุธยา!R698"")+IMPORTRANGE(""https://docs.google.com/spreadsheets/d/1YXvxf8Yu6_rV4hTBrwMqAcAnv6DfhUxh5emyM3CJp_w/edit?usp=sharing"",""เพชรบุรี!R698"")+IMPORTRA"&amp;"NGE(""https://docs.google.com/spreadsheets/d/19KBlQQs7uwvsao6t2n-KvW3Ax8J8uRRfZPq1zPbXgKc/edit?usp=sharing"",""ระยอง!R698"")+IMPORTRANGE(""https://docs.google.com/spreadsheets/d/1jQ6P4QcrGM89YfqcC_PxOHGCMq5ezhucwJd8ci-NHng/edit?usp=sharing"",""ราชบุรี!R69"&amp;"8"")+IMPORTRANGE(""https://docs.google.com/spreadsheets/d/1lufeA2cfFqM-elVq2hznhDzC6Pr7wkJ9ZG_sYNGCMCU/edit?usp=sharing"",""ลพบุรี!R698"")+IMPORTRANGE(""https://docs.google.com/spreadsheets/d/10oOiF7loTyfsTkbd4MpaIm0HQ9SwB7IYHdIUvt-U1Uc/edit?usp=sharing"""&amp;",""สระแก้ว!R698"")+IMPORTRANGE(""https://docs.google.com/spreadsheets/d/1xmPlrr1QbdSIKvl1dWUl9K4PjAfSL9oeMr_37QVzcxc/edit?usp=sharing"",""สระบุรี!R698"")+IMPORTRANGE(""https://docs.google.com/spreadsheets/d/1j51vR6CYVGhABJpv6tkstgok82RLpXieLzW1yOY5rHw/edi"&amp;"t?usp=sharing"",""สิงห์บุรี!R698"")+IMPORTRANGE(""https://docs.google.com/spreadsheets/d/1H1EalTWKUSzO4Z1-1CwzoDUaVffgrThEBe2sl74kKG0/edit?usp=sharing"",""สุพรรณบุรี!R698"")+IMPORTRANGE(""https://docs.google.com/spreadsheets/d/1BmIruG_sIrJLYao_Pdr7zVArWsf"&amp;"oBt2692TMi6x_854/edit?usp=sharing"",""อ่างทอง!R698"")"),0)</f>
        <v>0</v>
      </c>
      <c r="S698" s="72">
        <f ca="1">IFERROR(__xludf.DUMMYFUNCTION("IMPORTRANGE(""https://docs.google.com/spreadsheets/d/13wPX838HrBrQMCywv1BsuMkt4PEKTChp52zj44s2izQ/edit?usp=sharing"",""กาญจนบุรี!S698"")+IMPORTRANGE(""https://docs.google.com/spreadsheets/d/1ddFKvqj1W1NEiWytbGlB1zMx_ykJDVtmfEQ-6-lIUBA/edit?usp=sharing"","&amp;"""จันทบุรี!S698"")+IMPORTRANGE(""https://docs.google.com/spreadsheets/d/1T1PQvRODqOBZk8BRht_U031fIS1beLA0Ub2CEytj2q0/edit?usp=sharing"",""ฉะเชิงเทรา!S698"")+IMPORTRANGE(""https://docs.google.com/spreadsheets/d/11tr1B-Bhyr79v2bkwVh5h_fR-PStkgjlZtkrZpYurG0/"&amp;"edit?usp=sharing"",""ชลบุรี!S698"")+IMPORTRANGE(""https://docs.google.com/spreadsheets/d/1hh-FVnSX0vozXhGluamEcS54Dw9_zqW0N7qJUWgJ0Sw/edit?usp=sharing"",""ชัยนาท!S698"")+IMPORTRANGE(""https://docs.google.com/spreadsheets/d/1jkqa6GXxSacMcY1eN8AHjMNJ_7dDXMJ"&amp;"VRLDlaFSOdPM/edit?usp=sharing"",""ตราด!S698"")+IMPORTRANGE(""https://docs.google.com/spreadsheets/d/18hSgUJ3VwClqi_qtULmmW3cLr0oe3OKaSYoKzdpTsYQ/edit?usp=sharing"",""นครนายก!S698"")+IMPORTRANGE(""https://docs.google.com/spreadsheets/d/1YTZo6WM2dQ6Ix6FSdnL"&amp;"5P7uVnVKu40sxZu975tgG10E/edit?usp=sharing"",""นครปฐม!S698"")+IMPORTRANGE(""https://docs.google.com/spreadsheets/d/1OYoGg4WDg5RIzwGeB10padOxJF9E_Vljuvvct_M7RDo/edit?usp=sharing"",""ปทุมธานี!S698"")+IMPORTRANGE(""https://docs.google.com/spreadsheets/d/1GbCI"&amp;"E4D4wk9FUozzqk7SxfDMxDVBwVmI5zcaVUSzKAc/edit?usp=sharing"",""ประจวบคีรีขันธ์!S698"")+IMPORTRANGE(""https://docs.google.com/spreadsheets/d/1vVf6wykvW_lAyu7Yo9L4hUTqHqIeP_qcVuxCtosJEbg/edit?usp=sharing"",""ปราจีนบุรี!S698"")+IMPORTRANGE(""https://docs.googl"&amp;"e.com/spreadsheets/d/1BIDqLLg5jk3v59G8NlR8rk5xfQDKne0sAvZHSj7TI6I/edit?usp=sharing"",""พระนครศรีอยุธยา!S698"")+IMPORTRANGE(""https://docs.google.com/spreadsheets/d/1YXvxf8Yu6_rV4hTBrwMqAcAnv6DfhUxh5emyM3CJp_w/edit?usp=sharing"",""เพชรบุรี!S698"")+IMPORTRA"&amp;"NGE(""https://docs.google.com/spreadsheets/d/19KBlQQs7uwvsao6t2n-KvW3Ax8J8uRRfZPq1zPbXgKc/edit?usp=sharing"",""ระยอง!S698"")+IMPORTRANGE(""https://docs.google.com/spreadsheets/d/1jQ6P4QcrGM89YfqcC_PxOHGCMq5ezhucwJd8ci-NHng/edit?usp=sharing"",""ราชบุรี!S69"&amp;"8"")+IMPORTRANGE(""https://docs.google.com/spreadsheets/d/1lufeA2cfFqM-elVq2hznhDzC6Pr7wkJ9ZG_sYNGCMCU/edit?usp=sharing"",""ลพบุรี!S698"")+IMPORTRANGE(""https://docs.google.com/spreadsheets/d/10oOiF7loTyfsTkbd4MpaIm0HQ9SwB7IYHdIUvt-U1Uc/edit?usp=sharing"""&amp;",""สระแก้ว!S698"")+IMPORTRANGE(""https://docs.google.com/spreadsheets/d/1xmPlrr1QbdSIKvl1dWUl9K4PjAfSL9oeMr_37QVzcxc/edit?usp=sharing"",""สระบุรี!S698"")+IMPORTRANGE(""https://docs.google.com/spreadsheets/d/1j51vR6CYVGhABJpv6tkstgok82RLpXieLzW1yOY5rHw/edi"&amp;"t?usp=sharing"",""สิงห์บุรี!S698"")+IMPORTRANGE(""https://docs.google.com/spreadsheets/d/1H1EalTWKUSzO4Z1-1CwzoDUaVffgrThEBe2sl74kKG0/edit?usp=sharing"",""สุพรรณบุรี!S698"")+IMPORTRANGE(""https://docs.google.com/spreadsheets/d/1BmIruG_sIrJLYao_Pdr7zVArWsf"&amp;"oBt2692TMi6x_854/edit?usp=sharing"",""อ่างทอง!S698"")"),0)</f>
        <v>0</v>
      </c>
      <c r="T698" s="130">
        <f t="shared" ca="1" si="469"/>
        <v>0</v>
      </c>
      <c r="U698" s="130">
        <f t="shared" ca="1" si="470"/>
        <v>0</v>
      </c>
    </row>
    <row r="699" spans="1:21" ht="19.5" x14ac:dyDescent="0.3">
      <c r="A699" s="274"/>
      <c r="B699" s="275"/>
      <c r="C699" s="304" t="s">
        <v>18</v>
      </c>
      <c r="D699" s="277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13wPX838HrBrQMCywv1BsuMkt4PEKTChp52zj44s2izQ/edit?usp=sharing"",""กาญจนบุรี!I700"")+IMPORTRANGE(""https://docs.google.com/spreadsheets/d/1ddFKvqj1W1NEiWytbGlB1zMx_ykJDVtmfEQ-6-lIUBA/edit?usp=sharing"","&amp;"""จันทบุรี!I700"")+IMPORTRANGE(""https://docs.google.com/spreadsheets/d/1T1PQvRODqOBZk8BRht_U031fIS1beLA0Ub2CEytj2q0/edit?usp=sharing"",""ฉะเชิงเทรา!I700"")+IMPORTRANGE(""https://docs.google.com/spreadsheets/d/11tr1B-Bhyr79v2bkwVh5h_fR-PStkgjlZtkrZpYurG0/"&amp;"edit?usp=sharing"",""ชลบุรี!I700"")+IMPORTRANGE(""https://docs.google.com/spreadsheets/d/1hh-FVnSX0vozXhGluamEcS54Dw9_zqW0N7qJUWgJ0Sw/edit?usp=sharing"",""ชัยนาท!I700"")+IMPORTRANGE(""https://docs.google.com/spreadsheets/d/1jkqa6GXxSacMcY1eN8AHjMNJ_7dDXMJ"&amp;"VRLDlaFSOdPM/edit?usp=sharing"",""ตราด!I700"")+IMPORTRANGE(""https://docs.google.com/spreadsheets/d/18hSgUJ3VwClqi_qtULmmW3cLr0oe3OKaSYoKzdpTsYQ/edit?usp=sharing"",""นครนายก!I700"")+IMPORTRANGE(""https://docs.google.com/spreadsheets/d/1YTZo6WM2dQ6Ix6FSdnL"&amp;"5P7uVnVKu40sxZu975tgG10E/edit?usp=sharing"",""นครปฐม!I700"")+IMPORTRANGE(""https://docs.google.com/spreadsheets/d/1OYoGg4WDg5RIzwGeB10padOxJF9E_Vljuvvct_M7RDo/edit?usp=sharing"",""ปทุมธานี!I700"")+IMPORTRANGE(""https://docs.google.com/spreadsheets/d/1GbCI"&amp;"E4D4wk9FUozzqk7SxfDMxDVBwVmI5zcaVUSzKAc/edit?usp=sharing"",""ประจวบคีรีขันธ์!I700"")+IMPORTRANGE(""https://docs.google.com/spreadsheets/d/1vVf6wykvW_lAyu7Yo9L4hUTqHqIeP_qcVuxCtosJEbg/edit?usp=sharing"",""ปราจีนบุรี!I700"")+IMPORTRANGE(""https://docs.googl"&amp;"e.com/spreadsheets/d/1BIDqLLg5jk3v59G8NlR8rk5xfQDKne0sAvZHSj7TI6I/edit?usp=sharing"",""พระนครศรีอยุธยา!I700"")+IMPORTRANGE(""https://docs.google.com/spreadsheets/d/1YXvxf8Yu6_rV4hTBrwMqAcAnv6DfhUxh5emyM3CJp_w/edit?usp=sharing"",""เพชรบุรี!I700"")+IMPORTRA"&amp;"NGE(""https://docs.google.com/spreadsheets/d/19KBlQQs7uwvsao6t2n-KvW3Ax8J8uRRfZPq1zPbXgKc/edit?usp=sharing"",""ระยอง!I700"")+IMPORTRANGE(""https://docs.google.com/spreadsheets/d/1jQ6P4QcrGM89YfqcC_PxOHGCMq5ezhucwJd8ci-NHng/edit?usp=sharing"",""ราชบุรี!I70"&amp;"0"")+IMPORTRANGE(""https://docs.google.com/spreadsheets/d/1lufeA2cfFqM-elVq2hznhDzC6Pr7wkJ9ZG_sYNGCMCU/edit?usp=sharing"",""ลพบุรี!I700"")+IMPORTRANGE(""https://docs.google.com/spreadsheets/d/10oOiF7loTyfsTkbd4MpaIm0HQ9SwB7IYHdIUvt-U1Uc/edit?usp=sharing"""&amp;",""สระแก้ว!I700"")+IMPORTRANGE(""https://docs.google.com/spreadsheets/d/1xmPlrr1QbdSIKvl1dWUl9K4PjAfSL9oeMr_37QVzcxc/edit?usp=sharing"",""สระบุรี!I700"")+IMPORTRANGE(""https://docs.google.com/spreadsheets/d/1j51vR6CYVGhABJpv6tkstgok82RLpXieLzW1yOY5rHw/edi"&amp;"t?usp=sharing"",""สิงห์บุรี!I700"")+IMPORTRANGE(""https://docs.google.com/spreadsheets/d/1H1EalTWKUSzO4Z1-1CwzoDUaVffgrThEBe2sl74kKG0/edit?usp=sharing"",""สุพรรณบุรี!I700"")+IMPORTRANGE(""https://docs.google.com/spreadsheets/d/1BmIruG_sIrJLYao_Pdr7zVArWsf"&amp;"oBt2692TMi6x_854/edit?usp=sharing"",""อ่างทอง!I700"")"),4)</f>
        <v>4</v>
      </c>
      <c r="J700" s="292">
        <f ca="1">IFERROR(__xludf.DUMMYFUNCTION("IMPORTRANGE(""https://docs.google.com/spreadsheets/d/13wPX838HrBrQMCywv1BsuMkt4PEKTChp52zj44s2izQ/edit?usp=sharing"",""กาญจนบุรี!J700"")+IMPORTRANGE(""https://docs.google.com/spreadsheets/d/1ddFKvqj1W1NEiWytbGlB1zMx_ykJDVtmfEQ-6-lIUBA/edit?usp=sharing"","&amp;"""จันทบุรี!J700"")+IMPORTRANGE(""https://docs.google.com/spreadsheets/d/1T1PQvRODqOBZk8BRht_U031fIS1beLA0Ub2CEytj2q0/edit?usp=sharing"",""ฉะเชิงเทรา!J700"")+IMPORTRANGE(""https://docs.google.com/spreadsheets/d/11tr1B-Bhyr79v2bkwVh5h_fR-PStkgjlZtkrZpYurG0/"&amp;"edit?usp=sharing"",""ชลบุรี!J700"")+IMPORTRANGE(""https://docs.google.com/spreadsheets/d/1hh-FVnSX0vozXhGluamEcS54Dw9_zqW0N7qJUWgJ0Sw/edit?usp=sharing"",""ชัยนาท!J700"")+IMPORTRANGE(""https://docs.google.com/spreadsheets/d/1jkqa6GXxSacMcY1eN8AHjMNJ_7dDXMJ"&amp;"VRLDlaFSOdPM/edit?usp=sharing"",""ตราด!J700"")+IMPORTRANGE(""https://docs.google.com/spreadsheets/d/18hSgUJ3VwClqi_qtULmmW3cLr0oe3OKaSYoKzdpTsYQ/edit?usp=sharing"",""นครนายก!J700"")+IMPORTRANGE(""https://docs.google.com/spreadsheets/d/1YTZo6WM2dQ6Ix6FSdnL"&amp;"5P7uVnVKu40sxZu975tgG10E/edit?usp=sharing"",""นครปฐม!J700"")+IMPORTRANGE(""https://docs.google.com/spreadsheets/d/1OYoGg4WDg5RIzwGeB10padOxJF9E_Vljuvvct_M7RDo/edit?usp=sharing"",""ปทุมธานี!J700"")+IMPORTRANGE(""https://docs.google.com/spreadsheets/d/1GbCI"&amp;"E4D4wk9FUozzqk7SxfDMxDVBwVmI5zcaVUSzKAc/edit?usp=sharing"",""ประจวบคีรีขันธ์!J700"")+IMPORTRANGE(""https://docs.google.com/spreadsheets/d/1vVf6wykvW_lAyu7Yo9L4hUTqHqIeP_qcVuxCtosJEbg/edit?usp=sharing"",""ปราจีนบุรี!J700"")+IMPORTRANGE(""https://docs.googl"&amp;"e.com/spreadsheets/d/1BIDqLLg5jk3v59G8NlR8rk5xfQDKne0sAvZHSj7TI6I/edit?usp=sharing"",""พระนครศรีอยุธยา!J700"")+IMPORTRANGE(""https://docs.google.com/spreadsheets/d/1YXvxf8Yu6_rV4hTBrwMqAcAnv6DfhUxh5emyM3CJp_w/edit?usp=sharing"",""เพชรบุรี!J700"")+IMPORTRA"&amp;"NGE(""https://docs.google.com/spreadsheets/d/19KBlQQs7uwvsao6t2n-KvW3Ax8J8uRRfZPq1zPbXgKc/edit?usp=sharing"",""ระยอง!J700"")+IMPORTRANGE(""https://docs.google.com/spreadsheets/d/1jQ6P4QcrGM89YfqcC_PxOHGCMq5ezhucwJd8ci-NHng/edit?usp=sharing"",""ราชบุรี!J70"&amp;"0"")+IMPORTRANGE(""https://docs.google.com/spreadsheets/d/1lufeA2cfFqM-elVq2hznhDzC6Pr7wkJ9ZG_sYNGCMCU/edit?usp=sharing"",""ลพบุรี!J700"")+IMPORTRANGE(""https://docs.google.com/spreadsheets/d/10oOiF7loTyfsTkbd4MpaIm0HQ9SwB7IYHdIUvt-U1Uc/edit?usp=sharing"""&amp;",""สระแก้ว!J700"")+IMPORTRANGE(""https://docs.google.com/spreadsheets/d/1xmPlrr1QbdSIKvl1dWUl9K4PjAfSL9oeMr_37QVzcxc/edit?usp=sharing"",""สระบุรี!J700"")+IMPORTRANGE(""https://docs.google.com/spreadsheets/d/1j51vR6CYVGhABJpv6tkstgok82RLpXieLzW1yOY5rHw/edi"&amp;"t?usp=sharing"",""สิงห์บุรี!J700"")+IMPORTRANGE(""https://docs.google.com/spreadsheets/d/1H1EalTWKUSzO4Z1-1CwzoDUaVffgrThEBe2sl74kKG0/edit?usp=sharing"",""สุพรรณบุรี!J700"")+IMPORTRANGE(""https://docs.google.com/spreadsheets/d/1BmIruG_sIrJLYao_Pdr7zVArWsf"&amp;"oBt2692TMi6x_854/edit?usp=sharing"",""อ่างทอง!J700"")"),0)</f>
        <v>0</v>
      </c>
      <c r="K700" s="746">
        <f t="shared" ref="K700:K710" ca="1" si="479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t="shared" ref="I701:J701" ca="1" si="480">I703+I705</f>
        <v>717</v>
      </c>
      <c r="J701" s="601">
        <f t="shared" ca="1" si="480"/>
        <v>173.99</v>
      </c>
      <c r="K701" s="262">
        <f t="shared" ca="1" si="479"/>
        <v>24.266387726638772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151.4799999999999</v>
      </c>
      <c r="K702" s="262">
        <f t="shared" si="479"/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13wPX838HrBrQMCywv1BsuMkt4PEKTChp52zj44s2izQ/edit?usp=sharing"",""กาญจนบุรี!I703"")+IMPORTRANGE(""https://docs.google.com/spreadsheets/d/1ddFKvqj1W1NEiWytbGlB1zMx_ykJDVtmfEQ-6-lIUBA/edit?usp=sharing"","&amp;"""จันทบุรี!I703"")+IMPORTRANGE(""https://docs.google.com/spreadsheets/d/1T1PQvRODqOBZk8BRht_U031fIS1beLA0Ub2CEytj2q0/edit?usp=sharing"",""ฉะเชิงเทรา!I703"")+IMPORTRANGE(""https://docs.google.com/spreadsheets/d/11tr1B-Bhyr79v2bkwVh5h_fR-PStkgjlZtkrZpYurG0/"&amp;"edit?usp=sharing"",""ชลบุรี!I703"")+IMPORTRANGE(""https://docs.google.com/spreadsheets/d/1hh-FVnSX0vozXhGluamEcS54Dw9_zqW0N7qJUWgJ0Sw/edit?usp=sharing"",""ชัยนาท!I703"")+IMPORTRANGE(""https://docs.google.com/spreadsheets/d/1jkqa6GXxSacMcY1eN8AHjMNJ_7dDXMJ"&amp;"VRLDlaFSOdPM/edit?usp=sharing"",""ตราด!I703"")+IMPORTRANGE(""https://docs.google.com/spreadsheets/d/18hSgUJ3VwClqi_qtULmmW3cLr0oe3OKaSYoKzdpTsYQ/edit?usp=sharing"",""นครนายก!I703"")+IMPORTRANGE(""https://docs.google.com/spreadsheets/d/1YTZo6WM2dQ6Ix6FSdnL"&amp;"5P7uVnVKu40sxZu975tgG10E/edit?usp=sharing"",""นครปฐม!I703"")+IMPORTRANGE(""https://docs.google.com/spreadsheets/d/1OYoGg4WDg5RIzwGeB10padOxJF9E_Vljuvvct_M7RDo/edit?usp=sharing"",""ปทุมธานี!I703"")+IMPORTRANGE(""https://docs.google.com/spreadsheets/d/1GbCI"&amp;"E4D4wk9FUozzqk7SxfDMxDVBwVmI5zcaVUSzKAc/edit?usp=sharing"",""ประจวบคีรีขันธ์!I703"")+IMPORTRANGE(""https://docs.google.com/spreadsheets/d/1vVf6wykvW_lAyu7Yo9L4hUTqHqIeP_qcVuxCtosJEbg/edit?usp=sharing"",""ปราจีนบุรี!I703"")+IMPORTRANGE(""https://docs.googl"&amp;"e.com/spreadsheets/d/1BIDqLLg5jk3v59G8NlR8rk5xfQDKne0sAvZHSj7TI6I/edit?usp=sharing"",""พระนครศรีอยุธยา!I703"")+IMPORTRANGE(""https://docs.google.com/spreadsheets/d/1YXvxf8Yu6_rV4hTBrwMqAcAnv6DfhUxh5emyM3CJp_w/edit?usp=sharing"",""เพชรบุรี!I703"")+IMPORTRA"&amp;"NGE(""https://docs.google.com/spreadsheets/d/19KBlQQs7uwvsao6t2n-KvW3Ax8J8uRRfZPq1zPbXgKc/edit?usp=sharing"",""ระยอง!I703"")+IMPORTRANGE(""https://docs.google.com/spreadsheets/d/1jQ6P4QcrGM89YfqcC_PxOHGCMq5ezhucwJd8ci-NHng/edit?usp=sharing"",""ราชบุรี!I70"&amp;"3"")+IMPORTRANGE(""https://docs.google.com/spreadsheets/d/1lufeA2cfFqM-elVq2hznhDzC6Pr7wkJ9ZG_sYNGCMCU/edit?usp=sharing"",""ลพบุรี!I703"")+IMPORTRANGE(""https://docs.google.com/spreadsheets/d/10oOiF7loTyfsTkbd4MpaIm0HQ9SwB7IYHdIUvt-U1Uc/edit?usp=sharing"""&amp;",""สระแก้ว!I703"")+IMPORTRANGE(""https://docs.google.com/spreadsheets/d/1xmPlrr1QbdSIKvl1dWUl9K4PjAfSL9oeMr_37QVzcxc/edit?usp=sharing"",""สระบุรี!I703"")+IMPORTRANGE(""https://docs.google.com/spreadsheets/d/1j51vR6CYVGhABJpv6tkstgok82RLpXieLzW1yOY5rHw/edi"&amp;"t?usp=sharing"",""สิงห์บุรี!I703"")+IMPORTRANGE(""https://docs.google.com/spreadsheets/d/1H1EalTWKUSzO4Z1-1CwzoDUaVffgrThEBe2sl74kKG0/edit?usp=sharing"",""สุพรรณบุรี!I703"")+IMPORTRANGE(""https://docs.google.com/spreadsheets/d/1BmIruG_sIrJLYao_Pdr7zVArWsf"&amp;"oBt2692TMi6x_854/edit?usp=sharing"",""อ่างทอง!I703"")"),668)</f>
        <v>668</v>
      </c>
      <c r="J703" s="291">
        <f ca="1">IFERROR(__xludf.DUMMYFUNCTION("IMPORTRANGE(""https://docs.google.com/spreadsheets/d/13wPX838HrBrQMCywv1BsuMkt4PEKTChp52zj44s2izQ/edit?usp=sharing"",""กาญจนบุรี!J703"")+IMPORTRANGE(""https://docs.google.com/spreadsheets/d/1ddFKvqj1W1NEiWytbGlB1zMx_ykJDVtmfEQ-6-lIUBA/edit?usp=sharing"","&amp;"""จันทบุรี!J703"")+IMPORTRANGE(""https://docs.google.com/spreadsheets/d/1T1PQvRODqOBZk8BRht_U031fIS1beLA0Ub2CEytj2q0/edit?usp=sharing"",""ฉะเชิงเทรา!J703"")+IMPORTRANGE(""https://docs.google.com/spreadsheets/d/11tr1B-Bhyr79v2bkwVh5h_fR-PStkgjlZtkrZpYurG0/"&amp;"edit?usp=sharing"",""ชลบุรี!J703"")+IMPORTRANGE(""https://docs.google.com/spreadsheets/d/1hh-FVnSX0vozXhGluamEcS54Dw9_zqW0N7qJUWgJ0Sw/edit?usp=sharing"",""ชัยนาท!J703"")+IMPORTRANGE(""https://docs.google.com/spreadsheets/d/1jkqa6GXxSacMcY1eN8AHjMNJ_7dDXMJ"&amp;"VRLDlaFSOdPM/edit?usp=sharing"",""ตราด!J703"")+IMPORTRANGE(""https://docs.google.com/spreadsheets/d/18hSgUJ3VwClqi_qtULmmW3cLr0oe3OKaSYoKzdpTsYQ/edit?usp=sharing"",""นครนายก!J703"")+IMPORTRANGE(""https://docs.google.com/spreadsheets/d/1YTZo6WM2dQ6Ix6FSdnL"&amp;"5P7uVnVKu40sxZu975tgG10E/edit?usp=sharing"",""นครปฐม!J703"")+IMPORTRANGE(""https://docs.google.com/spreadsheets/d/1OYoGg4WDg5RIzwGeB10padOxJF9E_Vljuvvct_M7RDo/edit?usp=sharing"",""ปทุมธานี!J703"")+IMPORTRANGE(""https://docs.google.com/spreadsheets/d/1GbCI"&amp;"E4D4wk9FUozzqk7SxfDMxDVBwVmI5zcaVUSzKAc/edit?usp=sharing"",""ประจวบคีรีขันธ์!J703"")+IMPORTRANGE(""https://docs.google.com/spreadsheets/d/1vVf6wykvW_lAyu7Yo9L4hUTqHqIeP_qcVuxCtosJEbg/edit?usp=sharing"",""ปราจีนบุรี!J703"")+IMPORTRANGE(""https://docs.googl"&amp;"e.com/spreadsheets/d/1BIDqLLg5jk3v59G8NlR8rk5xfQDKne0sAvZHSj7TI6I/edit?usp=sharing"",""พระนครศรีอยุธยา!J703"")+IMPORTRANGE(""https://docs.google.com/spreadsheets/d/1YXvxf8Yu6_rV4hTBrwMqAcAnv6DfhUxh5emyM3CJp_w/edit?usp=sharing"",""เพชรบุรี!J703"")+IMPORTRA"&amp;"NGE(""https://docs.google.com/spreadsheets/d/19KBlQQs7uwvsao6t2n-KvW3Ax8J8uRRfZPq1zPbXgKc/edit?usp=sharing"",""ระยอง!J703"")+IMPORTRANGE(""https://docs.google.com/spreadsheets/d/1jQ6P4QcrGM89YfqcC_PxOHGCMq5ezhucwJd8ci-NHng/edit?usp=sharing"",""ราชบุรี!J70"&amp;"3"")+IMPORTRANGE(""https://docs.google.com/spreadsheets/d/1lufeA2cfFqM-elVq2hznhDzC6Pr7wkJ9ZG_sYNGCMCU/edit?usp=sharing"",""ลพบุรี!J703"")+IMPORTRANGE(""https://docs.google.com/spreadsheets/d/10oOiF7loTyfsTkbd4MpaIm0HQ9SwB7IYHdIUvt-U1Uc/edit?usp=sharing"""&amp;",""สระแก้ว!J703"")+IMPORTRANGE(""https://docs.google.com/spreadsheets/d/1xmPlrr1QbdSIKvl1dWUl9K4PjAfSL9oeMr_37QVzcxc/edit?usp=sharing"",""สระบุรี!J703"")+IMPORTRANGE(""https://docs.google.com/spreadsheets/d/1j51vR6CYVGhABJpv6tkstgok82RLpXieLzW1yOY5rHw/edi"&amp;"t?usp=sharing"",""สิงห์บุรี!J703"")+IMPORTRANGE(""https://docs.google.com/spreadsheets/d/1H1EalTWKUSzO4Z1-1CwzoDUaVffgrThEBe2sl74kKG0/edit?usp=sharing"",""สุพรรณบุรี!J703"")+IMPORTRANGE(""https://docs.google.com/spreadsheets/d/1BmIruG_sIrJLYao_Pdr7zVArWsf"&amp;"oBt2692TMi6x_854/edit?usp=sharing"",""อ่างทอง!J703"")"),136)</f>
        <v>136</v>
      </c>
      <c r="K703" s="72">
        <f t="shared" ca="1" si="479"/>
        <v>20.359281437125748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13wPX838HrBrQMCywv1BsuMkt4PEKTChp52zj44s2izQ/edit?usp=sharing"",""กาญจนบุรี!J704"")+IMPORTRANGE(""https://docs.google.com/spreadsheets/d/1ddFKvqj1W1NEiWytbGlB1zMx_ykJDVtmfEQ-6-lIUBA/edit?usp=sharing"","&amp;"""จันทบุรี!J704"")+IMPORTRANGE(""https://docs.google.com/spreadsheets/d/1T1PQvRODqOBZk8BRht_U031fIS1beLA0Ub2CEytj2q0/edit?usp=sharing"",""ฉะเชิงเทรา!J704"")+IMPORTRANGE(""https://docs.google.com/spreadsheets/d/11tr1B-Bhyr79v2bkwVh5h_fR-PStkgjlZtkrZpYurG0/"&amp;"edit?usp=sharing"",""ชลบุรี!J704"")+IMPORTRANGE(""https://docs.google.com/spreadsheets/d/1hh-FVnSX0vozXhGluamEcS54Dw9_zqW0N7qJUWgJ0Sw/edit?usp=sharing"",""ชัยนาท!J704"")+IMPORTRANGE(""https://docs.google.com/spreadsheets/d/1jkqa6GXxSacMcY1eN8AHjMNJ_7dDXMJ"&amp;"VRLDlaFSOdPM/edit?usp=sharing"",""ตราด!J704"")+IMPORTRANGE(""https://docs.google.com/spreadsheets/d/18hSgUJ3VwClqi_qtULmmW3cLr0oe3OKaSYoKzdpTsYQ/edit?usp=sharing"",""นครนายก!J704"")+IMPORTRANGE(""https://docs.google.com/spreadsheets/d/1YTZo6WM2dQ6Ix6FSdnL"&amp;"5P7uVnVKu40sxZu975tgG10E/edit?usp=sharing"",""นครปฐม!J704"")+IMPORTRANGE(""https://docs.google.com/spreadsheets/d/1OYoGg4WDg5RIzwGeB10padOxJF9E_Vljuvvct_M7RDo/edit?usp=sharing"",""ปทุมธานี!J704"")+IMPORTRANGE(""https://docs.google.com/spreadsheets/d/1GbCI"&amp;"E4D4wk9FUozzqk7SxfDMxDVBwVmI5zcaVUSzKAc/edit?usp=sharing"",""ประจวบคีรีขันธ์!J704"")+IMPORTRANGE(""https://docs.google.com/spreadsheets/d/1vVf6wykvW_lAyu7Yo9L4hUTqHqIeP_qcVuxCtosJEbg/edit?usp=sharing"",""ปราจีนบุรี!J704"")+IMPORTRANGE(""https://docs.googl"&amp;"e.com/spreadsheets/d/1BIDqLLg5jk3v59G8NlR8rk5xfQDKne0sAvZHSj7TI6I/edit?usp=sharing"",""พระนครศรีอยุธยา!J704"")+IMPORTRANGE(""https://docs.google.com/spreadsheets/d/1YXvxf8Yu6_rV4hTBrwMqAcAnv6DfhUxh5emyM3CJp_w/edit?usp=sharing"",""เพชรบุรี!J704"")+IMPORTRA"&amp;"NGE(""https://docs.google.com/spreadsheets/d/19KBlQQs7uwvsao6t2n-KvW3Ax8J8uRRfZPq1zPbXgKc/edit?usp=sharing"",""ระยอง!J704"")+IMPORTRANGE(""https://docs.google.com/spreadsheets/d/1jQ6P4QcrGM89YfqcC_PxOHGCMq5ezhucwJd8ci-NHng/edit?usp=sharing"",""ราชบุรี!J70"&amp;"4"")+IMPORTRANGE(""https://docs.google.com/spreadsheets/d/1lufeA2cfFqM-elVq2hznhDzC6Pr7wkJ9ZG_sYNGCMCU/edit?usp=sharing"",""ลพบุรี!J704"")+IMPORTRANGE(""https://docs.google.com/spreadsheets/d/10oOiF7loTyfsTkbd4MpaIm0HQ9SwB7IYHdIUvt-U1Uc/edit?usp=sharing"""&amp;",""สระแก้ว!J704"")+IMPORTRANGE(""https://docs.google.com/spreadsheets/d/1xmPlrr1QbdSIKvl1dWUl9K4PjAfSL9oeMr_37QVzcxc/edit?usp=sharing"",""สระบุรี!J704"")+IMPORTRANGE(""https://docs.google.com/spreadsheets/d/1j51vR6CYVGhABJpv6tkstgok82RLpXieLzW1yOY5rHw/edi"&amp;"t?usp=sharing"",""สิงห์บุรี!J704"")+IMPORTRANGE(""https://docs.google.com/spreadsheets/d/1H1EalTWKUSzO4Z1-1CwzoDUaVffgrThEBe2sl74kKG0/edit?usp=sharing"",""สุพรรณบุรี!J704"")+IMPORTRANGE(""https://docs.google.com/spreadsheets/d/1BmIruG_sIrJLYao_Pdr7zVArWsf"&amp;"oBt2692TMi6x_854/edit?usp=sharing"",""อ่างทอง!J704"")"),94.4799999999999)</f>
        <v>94.479999999999905</v>
      </c>
      <c r="K704" s="72">
        <f t="shared" si="479"/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13wPX838HrBrQMCywv1BsuMkt4PEKTChp52zj44s2izQ/edit?usp=sharing"",""กาญจนบุรี!I705"")+IMPORTRANGE(""https://docs.google.com/spreadsheets/d/1ddFKvqj1W1NEiWytbGlB1zMx_ykJDVtmfEQ-6-lIUBA/edit?usp=sharing"","&amp;"""จันทบุรี!I705"")+IMPORTRANGE(""https://docs.google.com/spreadsheets/d/1T1PQvRODqOBZk8BRht_U031fIS1beLA0Ub2CEytj2q0/edit?usp=sharing"",""ฉะเชิงเทรา!I705"")+IMPORTRANGE(""https://docs.google.com/spreadsheets/d/11tr1B-Bhyr79v2bkwVh5h_fR-PStkgjlZtkrZpYurG0/"&amp;"edit?usp=sharing"",""ชลบุรี!I705"")+IMPORTRANGE(""https://docs.google.com/spreadsheets/d/1hh-FVnSX0vozXhGluamEcS54Dw9_zqW0N7qJUWgJ0Sw/edit?usp=sharing"",""ชัยนาท!I705"")+IMPORTRANGE(""https://docs.google.com/spreadsheets/d/1jkqa6GXxSacMcY1eN8AHjMNJ_7dDXMJ"&amp;"VRLDlaFSOdPM/edit?usp=sharing"",""ตราด!I705"")+IMPORTRANGE(""https://docs.google.com/spreadsheets/d/18hSgUJ3VwClqi_qtULmmW3cLr0oe3OKaSYoKzdpTsYQ/edit?usp=sharing"",""นครนายก!I705"")+IMPORTRANGE(""https://docs.google.com/spreadsheets/d/1YTZo6WM2dQ6Ix6FSdnL"&amp;"5P7uVnVKu40sxZu975tgG10E/edit?usp=sharing"",""นครปฐม!I705"")+IMPORTRANGE(""https://docs.google.com/spreadsheets/d/1OYoGg4WDg5RIzwGeB10padOxJF9E_Vljuvvct_M7RDo/edit?usp=sharing"",""ปทุมธานี!I705"")+IMPORTRANGE(""https://docs.google.com/spreadsheets/d/1GbCI"&amp;"E4D4wk9FUozzqk7SxfDMxDVBwVmI5zcaVUSzKAc/edit?usp=sharing"",""ประจวบคีรีขันธ์!I705"")+IMPORTRANGE(""https://docs.google.com/spreadsheets/d/1vVf6wykvW_lAyu7Yo9L4hUTqHqIeP_qcVuxCtosJEbg/edit?usp=sharing"",""ปราจีนบุรี!I705"")+IMPORTRANGE(""https://docs.googl"&amp;"e.com/spreadsheets/d/1BIDqLLg5jk3v59G8NlR8rk5xfQDKne0sAvZHSj7TI6I/edit?usp=sharing"",""พระนครศรีอยุธยา!I705"")+IMPORTRANGE(""https://docs.google.com/spreadsheets/d/1YXvxf8Yu6_rV4hTBrwMqAcAnv6DfhUxh5emyM3CJp_w/edit?usp=sharing"",""เพชรบุรี!I705"")+IMPORTRA"&amp;"NGE(""https://docs.google.com/spreadsheets/d/19KBlQQs7uwvsao6t2n-KvW3Ax8J8uRRfZPq1zPbXgKc/edit?usp=sharing"",""ระยอง!I705"")+IMPORTRANGE(""https://docs.google.com/spreadsheets/d/1jQ6P4QcrGM89YfqcC_PxOHGCMq5ezhucwJd8ci-NHng/edit?usp=sharing"",""ราชบุรี!I70"&amp;"5"")+IMPORTRANGE(""https://docs.google.com/spreadsheets/d/1lufeA2cfFqM-elVq2hznhDzC6Pr7wkJ9ZG_sYNGCMCU/edit?usp=sharing"",""ลพบุรี!I705"")+IMPORTRANGE(""https://docs.google.com/spreadsheets/d/10oOiF7loTyfsTkbd4MpaIm0HQ9SwB7IYHdIUvt-U1Uc/edit?usp=sharing"""&amp;",""สระแก้ว!I705"")+IMPORTRANGE(""https://docs.google.com/spreadsheets/d/1xmPlrr1QbdSIKvl1dWUl9K4PjAfSL9oeMr_37QVzcxc/edit?usp=sharing"",""สระบุรี!I705"")+IMPORTRANGE(""https://docs.google.com/spreadsheets/d/1j51vR6CYVGhABJpv6tkstgok82RLpXieLzW1yOY5rHw/edi"&amp;"t?usp=sharing"",""สิงห์บุรี!I705"")+IMPORTRANGE(""https://docs.google.com/spreadsheets/d/1H1EalTWKUSzO4Z1-1CwzoDUaVffgrThEBe2sl74kKG0/edit?usp=sharing"",""สุพรรณบุรี!I705"")+IMPORTRANGE(""https://docs.google.com/spreadsheets/d/1BmIruG_sIrJLYao_Pdr7zVArWsf"&amp;"oBt2692TMi6x_854/edit?usp=sharing"",""อ่างทอง!I705"")"),49)</f>
        <v>49</v>
      </c>
      <c r="J705" s="291">
        <f ca="1">IFERROR(__xludf.DUMMYFUNCTION("IMPORTRANGE(""https://docs.google.com/spreadsheets/d/13wPX838HrBrQMCywv1BsuMkt4PEKTChp52zj44s2izQ/edit?usp=sharing"",""กาญจนบุรี!J705"")+IMPORTRANGE(""https://docs.google.com/spreadsheets/d/1ddFKvqj1W1NEiWytbGlB1zMx_ykJDVtmfEQ-6-lIUBA/edit?usp=sharing"","&amp;"""จันทบุรี!J705"")+IMPORTRANGE(""https://docs.google.com/spreadsheets/d/1T1PQvRODqOBZk8BRht_U031fIS1beLA0Ub2CEytj2q0/edit?usp=sharing"",""ฉะเชิงเทรา!J705"")+IMPORTRANGE(""https://docs.google.com/spreadsheets/d/11tr1B-Bhyr79v2bkwVh5h_fR-PStkgjlZtkrZpYurG0/"&amp;"edit?usp=sharing"",""ชลบุรี!J705"")+IMPORTRANGE(""https://docs.google.com/spreadsheets/d/1hh-FVnSX0vozXhGluamEcS54Dw9_zqW0N7qJUWgJ0Sw/edit?usp=sharing"",""ชัยนาท!J705"")+IMPORTRANGE(""https://docs.google.com/spreadsheets/d/1jkqa6GXxSacMcY1eN8AHjMNJ_7dDXMJ"&amp;"VRLDlaFSOdPM/edit?usp=sharing"",""ตราด!J705"")+IMPORTRANGE(""https://docs.google.com/spreadsheets/d/18hSgUJ3VwClqi_qtULmmW3cLr0oe3OKaSYoKzdpTsYQ/edit?usp=sharing"",""นครนายก!J705"")+IMPORTRANGE(""https://docs.google.com/spreadsheets/d/1YTZo6WM2dQ6Ix6FSdnL"&amp;"5P7uVnVKu40sxZu975tgG10E/edit?usp=sharing"",""นครปฐม!J705"")+IMPORTRANGE(""https://docs.google.com/spreadsheets/d/1OYoGg4WDg5RIzwGeB10padOxJF9E_Vljuvvct_M7RDo/edit?usp=sharing"",""ปทุมธานี!J705"")+IMPORTRANGE(""https://docs.google.com/spreadsheets/d/1GbCI"&amp;"E4D4wk9FUozzqk7SxfDMxDVBwVmI5zcaVUSzKAc/edit?usp=sharing"",""ประจวบคีรีขันธ์!J705"")+IMPORTRANGE(""https://docs.google.com/spreadsheets/d/1vVf6wykvW_lAyu7Yo9L4hUTqHqIeP_qcVuxCtosJEbg/edit?usp=sharing"",""ปราจีนบุรี!J705"")+IMPORTRANGE(""https://docs.googl"&amp;"e.com/spreadsheets/d/1BIDqLLg5jk3v59G8NlR8rk5xfQDKne0sAvZHSj7TI6I/edit?usp=sharing"",""พระนครศรีอยุธยา!J705"")+IMPORTRANGE(""https://docs.google.com/spreadsheets/d/1YXvxf8Yu6_rV4hTBrwMqAcAnv6DfhUxh5emyM3CJp_w/edit?usp=sharing"",""เพชรบุรี!J705"")+IMPORTRA"&amp;"NGE(""https://docs.google.com/spreadsheets/d/19KBlQQs7uwvsao6t2n-KvW3Ax8J8uRRfZPq1zPbXgKc/edit?usp=sharing"",""ระยอง!J705"")+IMPORTRANGE(""https://docs.google.com/spreadsheets/d/1jQ6P4QcrGM89YfqcC_PxOHGCMq5ezhucwJd8ci-NHng/edit?usp=sharing"",""ราชบุรี!J70"&amp;"5"")+IMPORTRANGE(""https://docs.google.com/spreadsheets/d/1lufeA2cfFqM-elVq2hznhDzC6Pr7wkJ9ZG_sYNGCMCU/edit?usp=sharing"",""ลพบุรี!J705"")+IMPORTRANGE(""https://docs.google.com/spreadsheets/d/10oOiF7loTyfsTkbd4MpaIm0HQ9SwB7IYHdIUvt-U1Uc/edit?usp=sharing"""&amp;",""สระแก้ว!J705"")+IMPORTRANGE(""https://docs.google.com/spreadsheets/d/1xmPlrr1QbdSIKvl1dWUl9K4PjAfSL9oeMr_37QVzcxc/edit?usp=sharing"",""สระบุรี!J705"")+IMPORTRANGE(""https://docs.google.com/spreadsheets/d/1j51vR6CYVGhABJpv6tkstgok82RLpXieLzW1yOY5rHw/edi"&amp;"t?usp=sharing"",""สิงห์บุรี!J705"")+IMPORTRANGE(""https://docs.google.com/spreadsheets/d/1H1EalTWKUSzO4Z1-1CwzoDUaVffgrThEBe2sl74kKG0/edit?usp=sharing"",""สุพรรณบุรี!J705"")+IMPORTRANGE(""https://docs.google.com/spreadsheets/d/1BmIruG_sIrJLYao_Pdr7zVArWsf"&amp;"oBt2692TMi6x_854/edit?usp=sharing"",""อ่างทอง!J705"")"),37.99)</f>
        <v>37.99</v>
      </c>
      <c r="K705" s="746">
        <f t="shared" ca="1" si="479"/>
        <v>77.530612244897952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13wPX838HrBrQMCywv1BsuMkt4PEKTChp52zj44s2izQ/edit?usp=sharing"",""กาญจนบุรี!J706"")+IMPORTRANGE(""https://docs.google.com/spreadsheets/d/1ddFKvqj1W1NEiWytbGlB1zMx_ykJDVtmfEQ-6-lIUBA/edit?usp=sharing"","&amp;"""จันทบุรี!J706"")+IMPORTRANGE(""https://docs.google.com/spreadsheets/d/1T1PQvRODqOBZk8BRht_U031fIS1beLA0Ub2CEytj2q0/edit?usp=sharing"",""ฉะเชิงเทรา!J706"")+IMPORTRANGE(""https://docs.google.com/spreadsheets/d/11tr1B-Bhyr79v2bkwVh5h_fR-PStkgjlZtkrZpYurG0/"&amp;"edit?usp=sharing"",""ชลบุรี!J706"")+IMPORTRANGE(""https://docs.google.com/spreadsheets/d/1hh-FVnSX0vozXhGluamEcS54Dw9_zqW0N7qJUWgJ0Sw/edit?usp=sharing"",""ชัยนาท!J706"")+IMPORTRANGE(""https://docs.google.com/spreadsheets/d/1jkqa6GXxSacMcY1eN8AHjMNJ_7dDXMJ"&amp;"VRLDlaFSOdPM/edit?usp=sharing"",""ตราด!J706"")+IMPORTRANGE(""https://docs.google.com/spreadsheets/d/18hSgUJ3VwClqi_qtULmmW3cLr0oe3OKaSYoKzdpTsYQ/edit?usp=sharing"",""นครนายก!J706"")+IMPORTRANGE(""https://docs.google.com/spreadsheets/d/1YTZo6WM2dQ6Ix6FSdnL"&amp;"5P7uVnVKu40sxZu975tgG10E/edit?usp=sharing"",""นครปฐม!J706"")+IMPORTRANGE(""https://docs.google.com/spreadsheets/d/1OYoGg4WDg5RIzwGeB10padOxJF9E_Vljuvvct_M7RDo/edit?usp=sharing"",""ปทุมธานี!J706"")+IMPORTRANGE(""https://docs.google.com/spreadsheets/d/1GbCI"&amp;"E4D4wk9FUozzqk7SxfDMxDVBwVmI5zcaVUSzKAc/edit?usp=sharing"",""ประจวบคีรีขันธ์!J706"")+IMPORTRANGE(""https://docs.google.com/spreadsheets/d/1vVf6wykvW_lAyu7Yo9L4hUTqHqIeP_qcVuxCtosJEbg/edit?usp=sharing"",""ปราจีนบุรี!J706"")+IMPORTRANGE(""https://docs.googl"&amp;"e.com/spreadsheets/d/1BIDqLLg5jk3v59G8NlR8rk5xfQDKne0sAvZHSj7TI6I/edit?usp=sharing"",""พระนครศรีอยุธยา!J706"")+IMPORTRANGE(""https://docs.google.com/spreadsheets/d/1YXvxf8Yu6_rV4hTBrwMqAcAnv6DfhUxh5emyM3CJp_w/edit?usp=sharing"",""เพชรบุรี!J706"")+IMPORTRA"&amp;"NGE(""https://docs.google.com/spreadsheets/d/19KBlQQs7uwvsao6t2n-KvW3Ax8J8uRRfZPq1zPbXgKc/edit?usp=sharing"",""ระยอง!J706"")+IMPORTRANGE(""https://docs.google.com/spreadsheets/d/1jQ6P4QcrGM89YfqcC_PxOHGCMq5ezhucwJd8ci-NHng/edit?usp=sharing"",""ราชบุรี!J70"&amp;"6"")+IMPORTRANGE(""https://docs.google.com/spreadsheets/d/1lufeA2cfFqM-elVq2hznhDzC6Pr7wkJ9ZG_sYNGCMCU/edit?usp=sharing"",""ลพบุรี!J706"")+IMPORTRANGE(""https://docs.google.com/spreadsheets/d/10oOiF7loTyfsTkbd4MpaIm0HQ9SwB7IYHdIUvt-U1Uc/edit?usp=sharing"""&amp;",""สระแก้ว!J706"")+IMPORTRANGE(""https://docs.google.com/spreadsheets/d/1xmPlrr1QbdSIKvl1dWUl9K4PjAfSL9oeMr_37QVzcxc/edit?usp=sharing"",""สระบุรี!J706"")+IMPORTRANGE(""https://docs.google.com/spreadsheets/d/1j51vR6CYVGhABJpv6tkstgok82RLpXieLzW1yOY5rHw/edi"&amp;"t?usp=sharing"",""สิงห์บุรี!J706"")+IMPORTRANGE(""https://docs.google.com/spreadsheets/d/1H1EalTWKUSzO4Z1-1CwzoDUaVffgrThEBe2sl74kKG0/edit?usp=sharing"",""สุพรรณบุรี!J706"")+IMPORTRANGE(""https://docs.google.com/spreadsheets/d/1BmIruG_sIrJLYao_Pdr7zVArWsf"&amp;"oBt2692TMi6x_854/edit?usp=sharing"",""อ่างทอง!J706"")"),57)</f>
        <v>57</v>
      </c>
      <c r="K706" s="72">
        <f t="shared" si="479"/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13wPX838HrBrQMCywv1BsuMkt4PEKTChp52zj44s2izQ/edit?usp=sharing"",""กาญจนบุรี!I707"")+IMPORTRANGE(""https://docs.google.com/spreadsheets/d/1ddFKvqj1W1NEiWytbGlB1zMx_ykJDVtmfEQ-6-lIUBA/edit?usp=sharing"","&amp;"""จันทบุรี!I707"")+IMPORTRANGE(""https://docs.google.com/spreadsheets/d/1T1PQvRODqOBZk8BRht_U031fIS1beLA0Ub2CEytj2q0/edit?usp=sharing"",""ฉะเชิงเทรา!I707"")+IMPORTRANGE(""https://docs.google.com/spreadsheets/d/11tr1B-Bhyr79v2bkwVh5h_fR-PStkgjlZtkrZpYurG0/"&amp;"edit?usp=sharing"",""ชลบุรี!I707"")+IMPORTRANGE(""https://docs.google.com/spreadsheets/d/1hh-FVnSX0vozXhGluamEcS54Dw9_zqW0N7qJUWgJ0Sw/edit?usp=sharing"",""ชัยนาท!I707"")+IMPORTRANGE(""https://docs.google.com/spreadsheets/d/1jkqa6GXxSacMcY1eN8AHjMNJ_7dDXMJ"&amp;"VRLDlaFSOdPM/edit?usp=sharing"",""ตราด!I707"")+IMPORTRANGE(""https://docs.google.com/spreadsheets/d/18hSgUJ3VwClqi_qtULmmW3cLr0oe3OKaSYoKzdpTsYQ/edit?usp=sharing"",""นครนายก!I707"")+IMPORTRANGE(""https://docs.google.com/spreadsheets/d/1YTZo6WM2dQ6Ix6FSdnL"&amp;"5P7uVnVKu40sxZu975tgG10E/edit?usp=sharing"",""นครปฐม!I707"")+IMPORTRANGE(""https://docs.google.com/spreadsheets/d/1OYoGg4WDg5RIzwGeB10padOxJF9E_Vljuvvct_M7RDo/edit?usp=sharing"",""ปทุมธานี!I707"")+IMPORTRANGE(""https://docs.google.com/spreadsheets/d/1GbCI"&amp;"E4D4wk9FUozzqk7SxfDMxDVBwVmI5zcaVUSzKAc/edit?usp=sharing"",""ประจวบคีรีขันธ์!I707"")+IMPORTRANGE(""https://docs.google.com/spreadsheets/d/1vVf6wykvW_lAyu7Yo9L4hUTqHqIeP_qcVuxCtosJEbg/edit?usp=sharing"",""ปราจีนบุรี!I707"")+IMPORTRANGE(""https://docs.googl"&amp;"e.com/spreadsheets/d/1BIDqLLg5jk3v59G8NlR8rk5xfQDKne0sAvZHSj7TI6I/edit?usp=sharing"",""พระนครศรีอยุธยา!I707"")+IMPORTRANGE(""https://docs.google.com/spreadsheets/d/1YXvxf8Yu6_rV4hTBrwMqAcAnv6DfhUxh5emyM3CJp_w/edit?usp=sharing"",""เพชรบุรี!I707"")+IMPORTRA"&amp;"NGE(""https://docs.google.com/spreadsheets/d/19KBlQQs7uwvsao6t2n-KvW3Ax8J8uRRfZPq1zPbXgKc/edit?usp=sharing"",""ระยอง!I707"")+IMPORTRANGE(""https://docs.google.com/spreadsheets/d/1jQ6P4QcrGM89YfqcC_PxOHGCMq5ezhucwJd8ci-NHng/edit?usp=sharing"",""ราชบุรี!I70"&amp;"7"")+IMPORTRANGE(""https://docs.google.com/spreadsheets/d/1lufeA2cfFqM-elVq2hznhDzC6Pr7wkJ9ZG_sYNGCMCU/edit?usp=sharing"",""ลพบุรี!I707"")+IMPORTRANGE(""https://docs.google.com/spreadsheets/d/10oOiF7loTyfsTkbd4MpaIm0HQ9SwB7IYHdIUvt-U1Uc/edit?usp=sharing"""&amp;",""สระแก้ว!I707"")+IMPORTRANGE(""https://docs.google.com/spreadsheets/d/1xmPlrr1QbdSIKvl1dWUl9K4PjAfSL9oeMr_37QVzcxc/edit?usp=sharing"",""สระบุรี!I707"")+IMPORTRANGE(""https://docs.google.com/spreadsheets/d/1j51vR6CYVGhABJpv6tkstgok82RLpXieLzW1yOY5rHw/edi"&amp;"t?usp=sharing"",""สิงห์บุรี!I707"")+IMPORTRANGE(""https://docs.google.com/spreadsheets/d/1H1EalTWKUSzO4Z1-1CwzoDUaVffgrThEBe2sl74kKG0/edit?usp=sharing"",""สุพรรณบุรี!I707"")+IMPORTRANGE(""https://docs.google.com/spreadsheets/d/1BmIruG_sIrJLYao_Pdr7zVArWsf"&amp;"oBt2692TMi6x_854/edit?usp=sharing"",""อ่างทอง!I707"")"),668)</f>
        <v>668</v>
      </c>
      <c r="J707" s="291">
        <f ca="1">IFERROR(__xludf.DUMMYFUNCTION("IMPORTRANGE(""https://docs.google.com/spreadsheets/d/13wPX838HrBrQMCywv1BsuMkt4PEKTChp52zj44s2izQ/edit?usp=sharing"",""กาญจนบุรี!J707"")+IMPORTRANGE(""https://docs.google.com/spreadsheets/d/1ddFKvqj1W1NEiWytbGlB1zMx_ykJDVtmfEQ-6-lIUBA/edit?usp=sharing"","&amp;"""จันทบุรี!J707"")+IMPORTRANGE(""https://docs.google.com/spreadsheets/d/1T1PQvRODqOBZk8BRht_U031fIS1beLA0Ub2CEytj2q0/edit?usp=sharing"",""ฉะเชิงเทรา!J707"")+IMPORTRANGE(""https://docs.google.com/spreadsheets/d/11tr1B-Bhyr79v2bkwVh5h_fR-PStkgjlZtkrZpYurG0/"&amp;"edit?usp=sharing"",""ชลบุรี!J707"")+IMPORTRANGE(""https://docs.google.com/spreadsheets/d/1hh-FVnSX0vozXhGluamEcS54Dw9_zqW0N7qJUWgJ0Sw/edit?usp=sharing"",""ชัยนาท!J707"")+IMPORTRANGE(""https://docs.google.com/spreadsheets/d/1jkqa6GXxSacMcY1eN8AHjMNJ_7dDXMJ"&amp;"VRLDlaFSOdPM/edit?usp=sharing"",""ตราด!J707"")+IMPORTRANGE(""https://docs.google.com/spreadsheets/d/18hSgUJ3VwClqi_qtULmmW3cLr0oe3OKaSYoKzdpTsYQ/edit?usp=sharing"",""นครนายก!J707"")+IMPORTRANGE(""https://docs.google.com/spreadsheets/d/1YTZo6WM2dQ6Ix6FSdnL"&amp;"5P7uVnVKu40sxZu975tgG10E/edit?usp=sharing"",""นครปฐม!J707"")+IMPORTRANGE(""https://docs.google.com/spreadsheets/d/1OYoGg4WDg5RIzwGeB10padOxJF9E_Vljuvvct_M7RDo/edit?usp=sharing"",""ปทุมธานี!J707"")+IMPORTRANGE(""https://docs.google.com/spreadsheets/d/1GbCI"&amp;"E4D4wk9FUozzqk7SxfDMxDVBwVmI5zcaVUSzKAc/edit?usp=sharing"",""ประจวบคีรีขันธ์!J707"")+IMPORTRANGE(""https://docs.google.com/spreadsheets/d/1vVf6wykvW_lAyu7Yo9L4hUTqHqIeP_qcVuxCtosJEbg/edit?usp=sharing"",""ปราจีนบุรี!J707"")+IMPORTRANGE(""https://docs.googl"&amp;"e.com/spreadsheets/d/1BIDqLLg5jk3v59G8NlR8rk5xfQDKne0sAvZHSj7TI6I/edit?usp=sharing"",""พระนครศรีอยุธยา!J707"")+IMPORTRANGE(""https://docs.google.com/spreadsheets/d/1YXvxf8Yu6_rV4hTBrwMqAcAnv6DfhUxh5emyM3CJp_w/edit?usp=sharing"",""เพชรบุรี!J707"")+IMPORTRA"&amp;"NGE(""https://docs.google.com/spreadsheets/d/19KBlQQs7uwvsao6t2n-KvW3Ax8J8uRRfZPq1zPbXgKc/edit?usp=sharing"",""ระยอง!J707"")+IMPORTRANGE(""https://docs.google.com/spreadsheets/d/1jQ6P4QcrGM89YfqcC_PxOHGCMq5ezhucwJd8ci-NHng/edit?usp=sharing"",""ราชบุรี!J70"&amp;"7"")+IMPORTRANGE(""https://docs.google.com/spreadsheets/d/1lufeA2cfFqM-elVq2hznhDzC6Pr7wkJ9ZG_sYNGCMCU/edit?usp=sharing"",""ลพบุรี!J707"")+IMPORTRANGE(""https://docs.google.com/spreadsheets/d/10oOiF7loTyfsTkbd4MpaIm0HQ9SwB7IYHdIUvt-U1Uc/edit?usp=sharing"""&amp;",""สระแก้ว!J707"")+IMPORTRANGE(""https://docs.google.com/spreadsheets/d/1xmPlrr1QbdSIKvl1dWUl9K4PjAfSL9oeMr_37QVzcxc/edit?usp=sharing"",""สระบุรี!J707"")+IMPORTRANGE(""https://docs.google.com/spreadsheets/d/1j51vR6CYVGhABJpv6tkstgok82RLpXieLzW1yOY5rHw/edi"&amp;"t?usp=sharing"",""สิงห์บุรี!J707"")+IMPORTRANGE(""https://docs.google.com/spreadsheets/d/1H1EalTWKUSzO4Z1-1CwzoDUaVffgrThEBe2sl74kKG0/edit?usp=sharing"",""สุพรรณบุรี!J707"")+IMPORTRANGE(""https://docs.google.com/spreadsheets/d/1BmIruG_sIrJLYao_Pdr7zVArWsf"&amp;"oBt2692TMi6x_854/edit?usp=sharing"",""อ่างทอง!J707"")"),56)</f>
        <v>56</v>
      </c>
      <c r="K707" s="72">
        <f t="shared" ca="1" si="479"/>
        <v>8.3832335329341312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13wPX838HrBrQMCywv1BsuMkt4PEKTChp52zj44s2izQ/edit?usp=sharing"",""กาญจนบุรี!J708"")+IMPORTRANGE(""https://docs.google.com/spreadsheets/d/1ddFKvqj1W1NEiWytbGlB1zMx_ykJDVtmfEQ-6-lIUBA/edit?usp=sharing"","&amp;"""จันทบุรี!J708"")+IMPORTRANGE(""https://docs.google.com/spreadsheets/d/1T1PQvRODqOBZk8BRht_U031fIS1beLA0Ub2CEytj2q0/edit?usp=sharing"",""ฉะเชิงเทรา!J708"")+IMPORTRANGE(""https://docs.google.com/spreadsheets/d/11tr1B-Bhyr79v2bkwVh5h_fR-PStkgjlZtkrZpYurG0/"&amp;"edit?usp=sharing"",""ชลบุรี!J708"")+IMPORTRANGE(""https://docs.google.com/spreadsheets/d/1hh-FVnSX0vozXhGluamEcS54Dw9_zqW0N7qJUWgJ0Sw/edit?usp=sharing"",""ชัยนาท!J708"")+IMPORTRANGE(""https://docs.google.com/spreadsheets/d/1jkqa6GXxSacMcY1eN8AHjMNJ_7dDXMJ"&amp;"VRLDlaFSOdPM/edit?usp=sharing"",""ตราด!J708"")+IMPORTRANGE(""https://docs.google.com/spreadsheets/d/18hSgUJ3VwClqi_qtULmmW3cLr0oe3OKaSYoKzdpTsYQ/edit?usp=sharing"",""นครนายก!J708"")+IMPORTRANGE(""https://docs.google.com/spreadsheets/d/1YTZo6WM2dQ6Ix6FSdnL"&amp;"5P7uVnVKu40sxZu975tgG10E/edit?usp=sharing"",""นครปฐม!J708"")+IMPORTRANGE(""https://docs.google.com/spreadsheets/d/1OYoGg4WDg5RIzwGeB10padOxJF9E_Vljuvvct_M7RDo/edit?usp=sharing"",""ปทุมธานี!J708"")+IMPORTRANGE(""https://docs.google.com/spreadsheets/d/1GbCI"&amp;"E4D4wk9FUozzqk7SxfDMxDVBwVmI5zcaVUSzKAc/edit?usp=sharing"",""ประจวบคีรีขันธ์!J708"")+IMPORTRANGE(""https://docs.google.com/spreadsheets/d/1vVf6wykvW_lAyu7Yo9L4hUTqHqIeP_qcVuxCtosJEbg/edit?usp=sharing"",""ปราจีนบุรี!J708"")+IMPORTRANGE(""https://docs.googl"&amp;"e.com/spreadsheets/d/1BIDqLLg5jk3v59G8NlR8rk5xfQDKne0sAvZHSj7TI6I/edit?usp=sharing"",""พระนครศรีอยุธยา!J708"")+IMPORTRANGE(""https://docs.google.com/spreadsheets/d/1YXvxf8Yu6_rV4hTBrwMqAcAnv6DfhUxh5emyM3CJp_w/edit?usp=sharing"",""เพชรบุรี!J708"")+IMPORTRA"&amp;"NGE(""https://docs.google.com/spreadsheets/d/19KBlQQs7uwvsao6t2n-KvW3Ax8J8uRRfZPq1zPbXgKc/edit?usp=sharing"",""ระยอง!J708"")+IMPORTRANGE(""https://docs.google.com/spreadsheets/d/1jQ6P4QcrGM89YfqcC_PxOHGCMq5ezhucwJd8ci-NHng/edit?usp=sharing"",""ราชบุรี!J70"&amp;"8"")+IMPORTRANGE(""https://docs.google.com/spreadsheets/d/1lufeA2cfFqM-elVq2hznhDzC6Pr7wkJ9ZG_sYNGCMCU/edit?usp=sharing"",""ลพบุรี!J708"")+IMPORTRANGE(""https://docs.google.com/spreadsheets/d/10oOiF7loTyfsTkbd4MpaIm0HQ9SwB7IYHdIUvt-U1Uc/edit?usp=sharing"""&amp;",""สระแก้ว!J708"")+IMPORTRANGE(""https://docs.google.com/spreadsheets/d/1xmPlrr1QbdSIKvl1dWUl9K4PjAfSL9oeMr_37QVzcxc/edit?usp=sharing"",""สระบุรี!J708"")+IMPORTRANGE(""https://docs.google.com/spreadsheets/d/1j51vR6CYVGhABJpv6tkstgok82RLpXieLzW1yOY5rHw/edi"&amp;"t?usp=sharing"",""สิงห์บุรี!J708"")+IMPORTRANGE(""https://docs.google.com/spreadsheets/d/1H1EalTWKUSzO4Z1-1CwzoDUaVffgrThEBe2sl74kKG0/edit?usp=sharing"",""สุพรรณบุรี!J708"")+IMPORTRANGE(""https://docs.google.com/spreadsheets/d/1BmIruG_sIrJLYao_Pdr7zVArWsf"&amp;"oBt2692TMi6x_854/edit?usp=sharing"",""อ่างทอง!J708"")"),16.32)</f>
        <v>16.32</v>
      </c>
      <c r="K708" s="72">
        <f t="shared" si="479"/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13wPX838HrBrQMCywv1BsuMkt4PEKTChp52zj44s2izQ/edit?usp=sharing"",""กาญจนบุรี!I709"")+IMPORTRANGE(""https://docs.google.com/spreadsheets/d/1ddFKvqj1W1NEiWytbGlB1zMx_ykJDVtmfEQ-6-lIUBA/edit?usp=sharing"","&amp;"""จันทบุรี!I709"")+IMPORTRANGE(""https://docs.google.com/spreadsheets/d/1T1PQvRODqOBZk8BRht_U031fIS1beLA0Ub2CEytj2q0/edit?usp=sharing"",""ฉะเชิงเทรา!I709"")+IMPORTRANGE(""https://docs.google.com/spreadsheets/d/11tr1B-Bhyr79v2bkwVh5h_fR-PStkgjlZtkrZpYurG0/"&amp;"edit?usp=sharing"",""ชลบุรี!I709"")+IMPORTRANGE(""https://docs.google.com/spreadsheets/d/1hh-FVnSX0vozXhGluamEcS54Dw9_zqW0N7qJUWgJ0Sw/edit?usp=sharing"",""ชัยนาท!I709"")+IMPORTRANGE(""https://docs.google.com/spreadsheets/d/1jkqa6GXxSacMcY1eN8AHjMNJ_7dDXMJ"&amp;"VRLDlaFSOdPM/edit?usp=sharing"",""ตราด!I709"")+IMPORTRANGE(""https://docs.google.com/spreadsheets/d/18hSgUJ3VwClqi_qtULmmW3cLr0oe3OKaSYoKzdpTsYQ/edit?usp=sharing"",""นครนายก!I709"")+IMPORTRANGE(""https://docs.google.com/spreadsheets/d/1YTZo6WM2dQ6Ix6FSdnL"&amp;"5P7uVnVKu40sxZu975tgG10E/edit?usp=sharing"",""นครปฐม!I709"")+IMPORTRANGE(""https://docs.google.com/spreadsheets/d/1OYoGg4WDg5RIzwGeB10padOxJF9E_Vljuvvct_M7RDo/edit?usp=sharing"",""ปทุมธานี!I709"")+IMPORTRANGE(""https://docs.google.com/spreadsheets/d/1GbCI"&amp;"E4D4wk9FUozzqk7SxfDMxDVBwVmI5zcaVUSzKAc/edit?usp=sharing"",""ประจวบคีรีขันธ์!I709"")+IMPORTRANGE(""https://docs.google.com/spreadsheets/d/1vVf6wykvW_lAyu7Yo9L4hUTqHqIeP_qcVuxCtosJEbg/edit?usp=sharing"",""ปราจีนบุรี!I709"")+IMPORTRANGE(""https://docs.googl"&amp;"e.com/spreadsheets/d/1BIDqLLg5jk3v59G8NlR8rk5xfQDKne0sAvZHSj7TI6I/edit?usp=sharing"",""พระนครศรีอยุธยา!I709"")+IMPORTRANGE(""https://docs.google.com/spreadsheets/d/1YXvxf8Yu6_rV4hTBrwMqAcAnv6DfhUxh5emyM3CJp_w/edit?usp=sharing"",""เพชรบุรี!I709"")+IMPORTRA"&amp;"NGE(""https://docs.google.com/spreadsheets/d/19KBlQQs7uwvsao6t2n-KvW3Ax8J8uRRfZPq1zPbXgKc/edit?usp=sharing"",""ระยอง!I709"")+IMPORTRANGE(""https://docs.google.com/spreadsheets/d/1jQ6P4QcrGM89YfqcC_PxOHGCMq5ezhucwJd8ci-NHng/edit?usp=sharing"",""ราชบุรี!I70"&amp;"9"")+IMPORTRANGE(""https://docs.google.com/spreadsheets/d/1lufeA2cfFqM-elVq2hznhDzC6Pr7wkJ9ZG_sYNGCMCU/edit?usp=sharing"",""ลพบุรี!I709"")+IMPORTRANGE(""https://docs.google.com/spreadsheets/d/10oOiF7loTyfsTkbd4MpaIm0HQ9SwB7IYHdIUvt-U1Uc/edit?usp=sharing"""&amp;",""สระแก้ว!I709"")+IMPORTRANGE(""https://docs.google.com/spreadsheets/d/1xmPlrr1QbdSIKvl1dWUl9K4PjAfSL9oeMr_37QVzcxc/edit?usp=sharing"",""สระบุรี!I709"")+IMPORTRANGE(""https://docs.google.com/spreadsheets/d/1j51vR6CYVGhABJpv6tkstgok82RLpXieLzW1yOY5rHw/edi"&amp;"t?usp=sharing"",""สิงห์บุรี!I709"")+IMPORTRANGE(""https://docs.google.com/spreadsheets/d/1H1EalTWKUSzO4Z1-1CwzoDUaVffgrThEBe2sl74kKG0/edit?usp=sharing"",""สุพรรณบุรี!I709"")+IMPORTRANGE(""https://docs.google.com/spreadsheets/d/1BmIruG_sIrJLYao_Pdr7zVArWsf"&amp;"oBt2692TMi6x_854/edit?usp=sharing"",""อ่างทอง!I709"")"),49)</f>
        <v>49</v>
      </c>
      <c r="J709" s="291">
        <f ca="1">IFERROR(__xludf.DUMMYFUNCTION("IMPORTRANGE(""https://docs.google.com/spreadsheets/d/13wPX838HrBrQMCywv1BsuMkt4PEKTChp52zj44s2izQ/edit?usp=sharing"",""กาญจนบุรี!J709"")+IMPORTRANGE(""https://docs.google.com/spreadsheets/d/1ddFKvqj1W1NEiWytbGlB1zMx_ykJDVtmfEQ-6-lIUBA/edit?usp=sharing"","&amp;"""จันทบุรี!J709"")+IMPORTRANGE(""https://docs.google.com/spreadsheets/d/1T1PQvRODqOBZk8BRht_U031fIS1beLA0Ub2CEytj2q0/edit?usp=sharing"",""ฉะเชิงเทรา!J709"")+IMPORTRANGE(""https://docs.google.com/spreadsheets/d/11tr1B-Bhyr79v2bkwVh5h_fR-PStkgjlZtkrZpYurG0/"&amp;"edit?usp=sharing"",""ชลบุรี!J709"")+IMPORTRANGE(""https://docs.google.com/spreadsheets/d/1hh-FVnSX0vozXhGluamEcS54Dw9_zqW0N7qJUWgJ0Sw/edit?usp=sharing"",""ชัยนาท!J709"")+IMPORTRANGE(""https://docs.google.com/spreadsheets/d/1jkqa6GXxSacMcY1eN8AHjMNJ_7dDXMJ"&amp;"VRLDlaFSOdPM/edit?usp=sharing"",""ตราด!J709"")+IMPORTRANGE(""https://docs.google.com/spreadsheets/d/18hSgUJ3VwClqi_qtULmmW3cLr0oe3OKaSYoKzdpTsYQ/edit?usp=sharing"",""นครนายก!J709"")+IMPORTRANGE(""https://docs.google.com/spreadsheets/d/1YTZo6WM2dQ6Ix6FSdnL"&amp;"5P7uVnVKu40sxZu975tgG10E/edit?usp=sharing"",""นครปฐม!J709"")+IMPORTRANGE(""https://docs.google.com/spreadsheets/d/1OYoGg4WDg5RIzwGeB10padOxJF9E_Vljuvvct_M7RDo/edit?usp=sharing"",""ปทุมธานี!J709"")+IMPORTRANGE(""https://docs.google.com/spreadsheets/d/1GbCI"&amp;"E4D4wk9FUozzqk7SxfDMxDVBwVmI5zcaVUSzKAc/edit?usp=sharing"",""ประจวบคีรีขันธ์!J709"")+IMPORTRANGE(""https://docs.google.com/spreadsheets/d/1vVf6wykvW_lAyu7Yo9L4hUTqHqIeP_qcVuxCtosJEbg/edit?usp=sharing"",""ปราจีนบุรี!J709"")+IMPORTRANGE(""https://docs.googl"&amp;"e.com/spreadsheets/d/1BIDqLLg5jk3v59G8NlR8rk5xfQDKne0sAvZHSj7TI6I/edit?usp=sharing"",""พระนครศรีอยุธยา!J709"")+IMPORTRANGE(""https://docs.google.com/spreadsheets/d/1YXvxf8Yu6_rV4hTBrwMqAcAnv6DfhUxh5emyM3CJp_w/edit?usp=sharing"",""เพชรบุรี!J709"")+IMPORTRA"&amp;"NGE(""https://docs.google.com/spreadsheets/d/19KBlQQs7uwvsao6t2n-KvW3Ax8J8uRRfZPq1zPbXgKc/edit?usp=sharing"",""ระยอง!J709"")+IMPORTRANGE(""https://docs.google.com/spreadsheets/d/1jQ6P4QcrGM89YfqcC_PxOHGCMq5ezhucwJd8ci-NHng/edit?usp=sharing"",""ราชบุรี!J70"&amp;"9"")+IMPORTRANGE(""https://docs.google.com/spreadsheets/d/1lufeA2cfFqM-elVq2hznhDzC6Pr7wkJ9ZG_sYNGCMCU/edit?usp=sharing"",""ลพบุรี!J709"")+IMPORTRANGE(""https://docs.google.com/spreadsheets/d/10oOiF7loTyfsTkbd4MpaIm0HQ9SwB7IYHdIUvt-U1Uc/edit?usp=sharing"""&amp;",""สระแก้ว!J709"")+IMPORTRANGE(""https://docs.google.com/spreadsheets/d/1xmPlrr1QbdSIKvl1dWUl9K4PjAfSL9oeMr_37QVzcxc/edit?usp=sharing"",""สระบุรี!J709"")+IMPORTRANGE(""https://docs.google.com/spreadsheets/d/1j51vR6CYVGhABJpv6tkstgok82RLpXieLzW1yOY5rHw/edi"&amp;"t?usp=sharing"",""สิงห์บุรี!J709"")+IMPORTRANGE(""https://docs.google.com/spreadsheets/d/1H1EalTWKUSzO4Z1-1CwzoDUaVffgrThEBe2sl74kKG0/edit?usp=sharing"",""สุพรรณบุรี!J709"")+IMPORTRANGE(""https://docs.google.com/spreadsheets/d/1BmIruG_sIrJLYao_Pdr7zVArWsf"&amp;"oBt2692TMi6x_854/edit?usp=sharing"",""อ่างทอง!J709"")"),18)</f>
        <v>18</v>
      </c>
      <c r="K709" s="72">
        <f t="shared" ca="1" si="479"/>
        <v>36.734693877551024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13wPX838HrBrQMCywv1BsuMkt4PEKTChp52zj44s2izQ/edit?usp=sharing"",""กาญจนบุรี!J710"")+IMPORTRANGE(""https://docs.google.com/spreadsheets/d/1ddFKvqj1W1NEiWytbGlB1zMx_ykJDVtmfEQ-6-lIUBA/edit?usp=sharing"","&amp;"""จันทบุรี!J710"")+IMPORTRANGE(""https://docs.google.com/spreadsheets/d/1T1PQvRODqOBZk8BRht_U031fIS1beLA0Ub2CEytj2q0/edit?usp=sharing"",""ฉะเชิงเทรา!J710"")+IMPORTRANGE(""https://docs.google.com/spreadsheets/d/11tr1B-Bhyr79v2bkwVh5h_fR-PStkgjlZtkrZpYurG0/"&amp;"edit?usp=sharing"",""ชลบุรี!J710"")+IMPORTRANGE(""https://docs.google.com/spreadsheets/d/1hh-FVnSX0vozXhGluamEcS54Dw9_zqW0N7qJUWgJ0Sw/edit?usp=sharing"",""ชัยนาท!J710"")+IMPORTRANGE(""https://docs.google.com/spreadsheets/d/1jkqa6GXxSacMcY1eN8AHjMNJ_7dDXMJ"&amp;"VRLDlaFSOdPM/edit?usp=sharing"",""ตราด!J710"")+IMPORTRANGE(""https://docs.google.com/spreadsheets/d/18hSgUJ3VwClqi_qtULmmW3cLr0oe3OKaSYoKzdpTsYQ/edit?usp=sharing"",""นครนายก!J710"")+IMPORTRANGE(""https://docs.google.com/spreadsheets/d/1YTZo6WM2dQ6Ix6FSdnL"&amp;"5P7uVnVKu40sxZu975tgG10E/edit?usp=sharing"",""นครปฐม!J710"")+IMPORTRANGE(""https://docs.google.com/spreadsheets/d/1OYoGg4WDg5RIzwGeB10padOxJF9E_Vljuvvct_M7RDo/edit?usp=sharing"",""ปทุมธานี!J710"")+IMPORTRANGE(""https://docs.google.com/spreadsheets/d/1GbCI"&amp;"E4D4wk9FUozzqk7SxfDMxDVBwVmI5zcaVUSzKAc/edit?usp=sharing"",""ประจวบคีรีขันธ์!J710"")+IMPORTRANGE(""https://docs.google.com/spreadsheets/d/1vVf6wykvW_lAyu7Yo9L4hUTqHqIeP_qcVuxCtosJEbg/edit?usp=sharing"",""ปราจีนบุรี!J710"")+IMPORTRANGE(""https://docs.googl"&amp;"e.com/spreadsheets/d/1BIDqLLg5jk3v59G8NlR8rk5xfQDKne0sAvZHSj7TI6I/edit?usp=sharing"",""พระนครศรีอยุธยา!J710"")+IMPORTRANGE(""https://docs.google.com/spreadsheets/d/1YXvxf8Yu6_rV4hTBrwMqAcAnv6DfhUxh5emyM3CJp_w/edit?usp=sharing"",""เพชรบุรี!J710"")+IMPORTRA"&amp;"NGE(""https://docs.google.com/spreadsheets/d/19KBlQQs7uwvsao6t2n-KvW3Ax8J8uRRfZPq1zPbXgKc/edit?usp=sharing"",""ระยอง!J710"")+IMPORTRANGE(""https://docs.google.com/spreadsheets/d/1jQ6P4QcrGM89YfqcC_PxOHGCMq5ezhucwJd8ci-NHng/edit?usp=sharing"",""ราชบุรี!J71"&amp;"0"")+IMPORTRANGE(""https://docs.google.com/spreadsheets/d/1lufeA2cfFqM-elVq2hznhDzC6Pr7wkJ9ZG_sYNGCMCU/edit?usp=sharing"",""ลพบุรี!J710"")+IMPORTRANGE(""https://docs.google.com/spreadsheets/d/10oOiF7loTyfsTkbd4MpaIm0HQ9SwB7IYHdIUvt-U1Uc/edit?usp=sharing"""&amp;",""สระแก้ว!J710"")+IMPORTRANGE(""https://docs.google.com/spreadsheets/d/1xmPlrr1QbdSIKvl1dWUl9K4PjAfSL9oeMr_37QVzcxc/edit?usp=sharing"",""สระบุรี!J710"")+IMPORTRANGE(""https://docs.google.com/spreadsheets/d/1j51vR6CYVGhABJpv6tkstgok82RLpXieLzW1yOY5rHw/edi"&amp;"t?usp=sharing"",""สิงห์บุรี!J710"")+IMPORTRANGE(""https://docs.google.com/spreadsheets/d/1H1EalTWKUSzO4Z1-1CwzoDUaVffgrThEBe2sl74kKG0/edit?usp=sharing"",""สุพรรณบุรี!J710"")+IMPORTRANGE(""https://docs.google.com/spreadsheets/d/1BmIruG_sIrJLYao_Pdr7zVArWsf"&amp;"oBt2692TMi6x_854/edit?usp=sharing"",""อ่างทอง!J710"")"),0)</f>
        <v>0</v>
      </c>
      <c r="K710" s="72">
        <f t="shared" si="479"/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79"/>
      <c r="M711" s="579"/>
      <c r="N711" s="579"/>
      <c r="O711" s="579"/>
      <c r="P711" s="579"/>
      <c r="Q711" s="580"/>
      <c r="R711" s="579"/>
      <c r="S711" s="579"/>
      <c r="T711" s="579"/>
      <c r="U711" s="579"/>
    </row>
    <row r="712" spans="1:21" ht="19.5" hidden="1" x14ac:dyDescent="0.3">
      <c r="A712" s="706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51">
        <f>J724</f>
        <v>0</v>
      </c>
      <c r="K712" s="752">
        <f>IF(I712&gt;0,J712*100/I712,0)</f>
        <v>0</v>
      </c>
      <c r="L712" s="712"/>
      <c r="M712" s="712"/>
      <c r="N712" s="712"/>
      <c r="O712" s="712"/>
      <c r="P712" s="712"/>
      <c r="Q712" s="713"/>
      <c r="R712" s="712"/>
      <c r="S712" s="712"/>
      <c r="T712" s="712"/>
      <c r="U712" s="712"/>
    </row>
    <row r="713" spans="1:21" ht="19.5" hidden="1" x14ac:dyDescent="0.3">
      <c r="A713" s="706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2"/>
      <c r="M713" s="712"/>
      <c r="N713" s="712"/>
      <c r="O713" s="712"/>
      <c r="P713" s="712"/>
      <c r="Q713" s="713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00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262">
        <f t="shared" ref="L714:N714" ca="1" si="481">L715+L716</f>
        <v>0</v>
      </c>
      <c r="M714" s="262">
        <f t="shared" ca="1" si="481"/>
        <v>0</v>
      </c>
      <c r="N714" s="262">
        <f t="shared" ca="1" si="481"/>
        <v>0</v>
      </c>
      <c r="O714" s="262">
        <f t="shared" ref="O714:O722" ca="1" si="482">IF(L714&gt;0,N714*100/L714,0)</f>
        <v>0</v>
      </c>
      <c r="P714" s="262">
        <f t="shared" ref="P714:P722" ca="1" si="483">IF(M714&gt;0,N714*100/M714,0)</f>
        <v>0</v>
      </c>
      <c r="Q714" s="212">
        <f t="shared" ref="Q714:S714" ca="1" si="484">Q715+Q716</f>
        <v>0</v>
      </c>
      <c r="R714" s="213">
        <f t="shared" ca="1" si="484"/>
        <v>0</v>
      </c>
      <c r="S714" s="213">
        <f t="shared" ca="1" si="484"/>
        <v>0</v>
      </c>
      <c r="T714" s="213">
        <f t="shared" ref="T714:T722" ca="1" si="485">IF(Q714&gt;0,S714*100/Q714,0)</f>
        <v>0</v>
      </c>
      <c r="U714" s="213">
        <f t="shared" ref="U714:U722" ca="1" si="486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5">
        <f t="shared" ref="L715:N715" ca="1" si="487">L718+L721</f>
        <v>0</v>
      </c>
      <c r="M715" s="75">
        <f t="shared" ca="1" si="487"/>
        <v>0</v>
      </c>
      <c r="N715" s="75">
        <f t="shared" ca="1" si="487"/>
        <v>0</v>
      </c>
      <c r="O715" s="75">
        <f t="shared" ca="1" si="482"/>
        <v>0</v>
      </c>
      <c r="P715" s="75">
        <f t="shared" ca="1" si="483"/>
        <v>0</v>
      </c>
      <c r="Q715" s="215">
        <f t="shared" ref="Q715:S715" ca="1" si="488">Q718+Q721</f>
        <v>0</v>
      </c>
      <c r="R715" s="131">
        <f t="shared" ca="1" si="488"/>
        <v>0</v>
      </c>
      <c r="S715" s="131">
        <f t="shared" ca="1" si="488"/>
        <v>0</v>
      </c>
      <c r="T715" s="131">
        <f t="shared" ca="1" si="485"/>
        <v>0</v>
      </c>
      <c r="U715" s="131">
        <f t="shared" ca="1" si="486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2">
        <f t="shared" ref="L716:N716" ca="1" si="489">L719+L722</f>
        <v>0</v>
      </c>
      <c r="M716" s="72">
        <f t="shared" ca="1" si="489"/>
        <v>0</v>
      </c>
      <c r="N716" s="72">
        <f t="shared" ca="1" si="489"/>
        <v>0</v>
      </c>
      <c r="O716" s="72">
        <f t="shared" ca="1" si="482"/>
        <v>0</v>
      </c>
      <c r="P716" s="72">
        <f t="shared" ca="1" si="483"/>
        <v>0</v>
      </c>
      <c r="Q716" s="129">
        <f t="shared" ref="Q716:S716" ca="1" si="490">Q719+Q722</f>
        <v>0</v>
      </c>
      <c r="R716" s="130">
        <f t="shared" ca="1" si="490"/>
        <v>0</v>
      </c>
      <c r="S716" s="130">
        <f t="shared" ca="1" si="490"/>
        <v>0</v>
      </c>
      <c r="T716" s="130">
        <f t="shared" ca="1" si="485"/>
        <v>0</v>
      </c>
      <c r="U716" s="130">
        <f t="shared" ca="1" si="486"/>
        <v>0</v>
      </c>
    </row>
    <row r="717" spans="1:21" ht="19.5" hidden="1" x14ac:dyDescent="0.3">
      <c r="A717" s="255"/>
      <c r="B717" s="267"/>
      <c r="C717" s="267"/>
      <c r="D717" s="754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2">
        <f t="shared" ref="L717:N717" ca="1" si="491">L718+L719</f>
        <v>0</v>
      </c>
      <c r="M717" s="72">
        <f t="shared" ca="1" si="491"/>
        <v>0</v>
      </c>
      <c r="N717" s="72">
        <f t="shared" ca="1" si="491"/>
        <v>0</v>
      </c>
      <c r="O717" s="72">
        <f t="shared" ca="1" si="482"/>
        <v>0</v>
      </c>
      <c r="P717" s="72">
        <f t="shared" ca="1" si="483"/>
        <v>0</v>
      </c>
      <c r="Q717" s="129">
        <f t="shared" ref="Q717:S717" ca="1" si="492">Q718+Q719</f>
        <v>0</v>
      </c>
      <c r="R717" s="130">
        <f t="shared" ca="1" si="492"/>
        <v>0</v>
      </c>
      <c r="S717" s="130">
        <f t="shared" ca="1" si="492"/>
        <v>0</v>
      </c>
      <c r="T717" s="130">
        <f t="shared" ca="1" si="485"/>
        <v>0</v>
      </c>
      <c r="U717" s="130">
        <f t="shared" ca="1" si="486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5">
        <f ca="1">IFERROR(__xludf.DUMMYFUNCTION("IMPORTRANGE(""https://docs.google.com/spreadsheets/d/13wPX838HrBrQMCywv1BsuMkt4PEKTChp52zj44s2izQ/edit?usp=sharing"",""กาญจนบุรี!L718"")+IMPORTRANGE(""https://docs.google.com/spreadsheets/d/1ddFKvqj1W1NEiWytbGlB1zMx_ykJDVtmfEQ-6-lIUBA/edit?usp=sharing"","&amp;"""จันทบุรี!L718"")+IMPORTRANGE(""https://docs.google.com/spreadsheets/d/1T1PQvRODqOBZk8BRht_U031fIS1beLA0Ub2CEytj2q0/edit?usp=sharing"",""ฉะเชิงเทรา!L718"")+IMPORTRANGE(""https://docs.google.com/spreadsheets/d/11tr1B-Bhyr79v2bkwVh5h_fR-PStkgjlZtkrZpYurG0/"&amp;"edit?usp=sharing"",""ชลบุรี!L718"")+IMPORTRANGE(""https://docs.google.com/spreadsheets/d/1hh-FVnSX0vozXhGluamEcS54Dw9_zqW0N7qJUWgJ0Sw/edit?usp=sharing"",""ชัยนาท!L718"")+IMPORTRANGE(""https://docs.google.com/spreadsheets/d/1jkqa6GXxSacMcY1eN8AHjMNJ_7dDXMJ"&amp;"VRLDlaFSOdPM/edit?usp=sharing"",""ตราด!L718"")+IMPORTRANGE(""https://docs.google.com/spreadsheets/d/18hSgUJ3VwClqi_qtULmmW3cLr0oe3OKaSYoKzdpTsYQ/edit?usp=sharing"",""นครนายก!L718"")+IMPORTRANGE(""https://docs.google.com/spreadsheets/d/1YTZo6WM2dQ6Ix6FSdnL"&amp;"5P7uVnVKu40sxZu975tgG10E/edit?usp=sharing"",""นครปฐม!L718"")+IMPORTRANGE(""https://docs.google.com/spreadsheets/d/1OYoGg4WDg5RIzwGeB10padOxJF9E_Vljuvvct_M7RDo/edit?usp=sharing"",""ปทุมธานี!L718"")+IMPORTRANGE(""https://docs.google.com/spreadsheets/d/1GbCI"&amp;"E4D4wk9FUozzqk7SxfDMxDVBwVmI5zcaVUSzKAc/edit?usp=sharing"",""ประจวบคีรีขันธ์!L718"")+IMPORTRANGE(""https://docs.google.com/spreadsheets/d/1vVf6wykvW_lAyu7Yo9L4hUTqHqIeP_qcVuxCtosJEbg/edit?usp=sharing"",""ปราจีนบุรี!L718"")+IMPORTRANGE(""https://docs.googl"&amp;"e.com/spreadsheets/d/1BIDqLLg5jk3v59G8NlR8rk5xfQDKne0sAvZHSj7TI6I/edit?usp=sharing"",""พระนครศรีอยุธยา!L718"")+IMPORTRANGE(""https://docs.google.com/spreadsheets/d/1YXvxf8Yu6_rV4hTBrwMqAcAnv6DfhUxh5emyM3CJp_w/edit?usp=sharing"",""เพชรบุรี!L718"")+IMPORTRA"&amp;"NGE(""https://docs.google.com/spreadsheets/d/19KBlQQs7uwvsao6t2n-KvW3Ax8J8uRRfZPq1zPbXgKc/edit?usp=sharing"",""ระยอง!L718"")+IMPORTRANGE(""https://docs.google.com/spreadsheets/d/1jQ6P4QcrGM89YfqcC_PxOHGCMq5ezhucwJd8ci-NHng/edit?usp=sharing"",""ราชบุรี!L71"&amp;"8"")+IMPORTRANGE(""https://docs.google.com/spreadsheets/d/1lufeA2cfFqM-elVq2hznhDzC6Pr7wkJ9ZG_sYNGCMCU/edit?usp=sharing"",""ลพบุรี!L718"")+IMPORTRANGE(""https://docs.google.com/spreadsheets/d/10oOiF7loTyfsTkbd4MpaIm0HQ9SwB7IYHdIUvt-U1Uc/edit?usp=sharing"""&amp;",""สระแก้ว!L718"")+IMPORTRANGE(""https://docs.google.com/spreadsheets/d/1xmPlrr1QbdSIKvl1dWUl9K4PjAfSL9oeMr_37QVzcxc/edit?usp=sharing"",""สระบุรี!L718"")+IMPORTRANGE(""https://docs.google.com/spreadsheets/d/1j51vR6CYVGhABJpv6tkstgok82RLpXieLzW1yOY5rHw/edi"&amp;"t?usp=sharing"",""สิงห์บุรี!L718"")+IMPORTRANGE(""https://docs.google.com/spreadsheets/d/1H1EalTWKUSzO4Z1-1CwzoDUaVffgrThEBe2sl74kKG0/edit?usp=sharing"",""สุพรรณบุรี!L718"")+IMPORTRANGE(""https://docs.google.com/spreadsheets/d/1BmIruG_sIrJLYao_Pdr7zVArWsf"&amp;"oBt2692TMi6x_854/edit?usp=sharing"",""อ่างทอง!L718"")"),0)</f>
        <v>0</v>
      </c>
      <c r="M718" s="75">
        <f ca="1">IFERROR(__xludf.DUMMYFUNCTION("IMPORTRANGE(""https://docs.google.com/spreadsheets/d/13wPX838HrBrQMCywv1BsuMkt4PEKTChp52zj44s2izQ/edit?usp=sharing"",""กาญจนบุรี!M718"")+IMPORTRANGE(""https://docs.google.com/spreadsheets/d/1ddFKvqj1W1NEiWytbGlB1zMx_ykJDVtmfEQ-6-lIUBA/edit?usp=sharing"","&amp;"""จันทบุรี!M718"")+IMPORTRANGE(""https://docs.google.com/spreadsheets/d/1T1PQvRODqOBZk8BRht_U031fIS1beLA0Ub2CEytj2q0/edit?usp=sharing"",""ฉะเชิงเทรา!M718"")+IMPORTRANGE(""https://docs.google.com/spreadsheets/d/11tr1B-Bhyr79v2bkwVh5h_fR-PStkgjlZtkrZpYurG0/"&amp;"edit?usp=sharing"",""ชลบุรี!M718"")+IMPORTRANGE(""https://docs.google.com/spreadsheets/d/1hh-FVnSX0vozXhGluamEcS54Dw9_zqW0N7qJUWgJ0Sw/edit?usp=sharing"",""ชัยนาท!M718"")+IMPORTRANGE(""https://docs.google.com/spreadsheets/d/1jkqa6GXxSacMcY1eN8AHjMNJ_7dDXMJ"&amp;"VRLDlaFSOdPM/edit?usp=sharing"",""ตราด!M718"")+IMPORTRANGE(""https://docs.google.com/spreadsheets/d/18hSgUJ3VwClqi_qtULmmW3cLr0oe3OKaSYoKzdpTsYQ/edit?usp=sharing"",""นครนายก!M718"")+IMPORTRANGE(""https://docs.google.com/spreadsheets/d/1YTZo6WM2dQ6Ix6FSdnL"&amp;"5P7uVnVKu40sxZu975tgG10E/edit?usp=sharing"",""นครปฐม!M718"")+IMPORTRANGE(""https://docs.google.com/spreadsheets/d/1OYoGg4WDg5RIzwGeB10padOxJF9E_Vljuvvct_M7RDo/edit?usp=sharing"",""ปทุมธานี!M718"")+IMPORTRANGE(""https://docs.google.com/spreadsheets/d/1GbCI"&amp;"E4D4wk9FUozzqk7SxfDMxDVBwVmI5zcaVUSzKAc/edit?usp=sharing"",""ประจวบคีรีขันธ์!M718"")+IMPORTRANGE(""https://docs.google.com/spreadsheets/d/1vVf6wykvW_lAyu7Yo9L4hUTqHqIeP_qcVuxCtosJEbg/edit?usp=sharing"",""ปราจีนบุรี!M718"")+IMPORTRANGE(""https://docs.googl"&amp;"e.com/spreadsheets/d/1BIDqLLg5jk3v59G8NlR8rk5xfQDKne0sAvZHSj7TI6I/edit?usp=sharing"",""พระนครศรีอยุธยา!M718"")+IMPORTRANGE(""https://docs.google.com/spreadsheets/d/1YXvxf8Yu6_rV4hTBrwMqAcAnv6DfhUxh5emyM3CJp_w/edit?usp=sharing"",""เพชรบุรี!M718"")+IMPORTRA"&amp;"NGE(""https://docs.google.com/spreadsheets/d/19KBlQQs7uwvsao6t2n-KvW3Ax8J8uRRfZPq1zPbXgKc/edit?usp=sharing"",""ระยอง!M718"")+IMPORTRANGE(""https://docs.google.com/spreadsheets/d/1jQ6P4QcrGM89YfqcC_PxOHGCMq5ezhucwJd8ci-NHng/edit?usp=sharing"",""ราชบุรี!M71"&amp;"8"")+IMPORTRANGE(""https://docs.google.com/spreadsheets/d/1lufeA2cfFqM-elVq2hznhDzC6Pr7wkJ9ZG_sYNGCMCU/edit?usp=sharing"",""ลพบุรี!M718"")+IMPORTRANGE(""https://docs.google.com/spreadsheets/d/10oOiF7loTyfsTkbd4MpaIm0HQ9SwB7IYHdIUvt-U1Uc/edit?usp=sharing"""&amp;",""สระแก้ว!M718"")+IMPORTRANGE(""https://docs.google.com/spreadsheets/d/1xmPlrr1QbdSIKvl1dWUl9K4PjAfSL9oeMr_37QVzcxc/edit?usp=sharing"",""สระบุรี!M718"")+IMPORTRANGE(""https://docs.google.com/spreadsheets/d/1j51vR6CYVGhABJpv6tkstgok82RLpXieLzW1yOY5rHw/edi"&amp;"t?usp=sharing"",""สิงห์บุรี!M718"")+IMPORTRANGE(""https://docs.google.com/spreadsheets/d/1H1EalTWKUSzO4Z1-1CwzoDUaVffgrThEBe2sl74kKG0/edit?usp=sharing"",""สุพรรณบุรี!M718"")+IMPORTRANGE(""https://docs.google.com/spreadsheets/d/1BmIruG_sIrJLYao_Pdr7zVArWsf"&amp;"oBt2692TMi6x_854/edit?usp=sharing"",""อ่างทอง!M718"")"),0)</f>
        <v>0</v>
      </c>
      <c r="N718" s="75">
        <f ca="1">IFERROR(__xludf.DUMMYFUNCTION("IMPORTRANGE(""https://docs.google.com/spreadsheets/d/13wPX838HrBrQMCywv1BsuMkt4PEKTChp52zj44s2izQ/edit?usp=sharing"",""กาญจนบุรี!N718"")+IMPORTRANGE(""https://docs.google.com/spreadsheets/d/1ddFKvqj1W1NEiWytbGlB1zMx_ykJDVtmfEQ-6-lIUBA/edit?usp=sharing"","&amp;"""จันทบุรี!N718"")+IMPORTRANGE(""https://docs.google.com/spreadsheets/d/1T1PQvRODqOBZk8BRht_U031fIS1beLA0Ub2CEytj2q0/edit?usp=sharing"",""ฉะเชิงเทรา!N718"")+IMPORTRANGE(""https://docs.google.com/spreadsheets/d/11tr1B-Bhyr79v2bkwVh5h_fR-PStkgjlZtkrZpYurG0/"&amp;"edit?usp=sharing"",""ชลบุรี!N718"")+IMPORTRANGE(""https://docs.google.com/spreadsheets/d/1hh-FVnSX0vozXhGluamEcS54Dw9_zqW0N7qJUWgJ0Sw/edit?usp=sharing"",""ชัยนาท!N718"")+IMPORTRANGE(""https://docs.google.com/spreadsheets/d/1jkqa6GXxSacMcY1eN8AHjMNJ_7dDXMJ"&amp;"VRLDlaFSOdPM/edit?usp=sharing"",""ตราด!N718"")+IMPORTRANGE(""https://docs.google.com/spreadsheets/d/18hSgUJ3VwClqi_qtULmmW3cLr0oe3OKaSYoKzdpTsYQ/edit?usp=sharing"",""นครนายก!N718"")+IMPORTRANGE(""https://docs.google.com/spreadsheets/d/1YTZo6WM2dQ6Ix6FSdnL"&amp;"5P7uVnVKu40sxZu975tgG10E/edit?usp=sharing"",""นครปฐม!N718"")+IMPORTRANGE(""https://docs.google.com/spreadsheets/d/1OYoGg4WDg5RIzwGeB10padOxJF9E_Vljuvvct_M7RDo/edit?usp=sharing"",""ปทุมธานี!N718"")+IMPORTRANGE(""https://docs.google.com/spreadsheets/d/1GbCI"&amp;"E4D4wk9FUozzqk7SxfDMxDVBwVmI5zcaVUSzKAc/edit?usp=sharing"",""ประจวบคีรีขันธ์!N718"")+IMPORTRANGE(""https://docs.google.com/spreadsheets/d/1vVf6wykvW_lAyu7Yo9L4hUTqHqIeP_qcVuxCtosJEbg/edit?usp=sharing"",""ปราจีนบุรี!N718"")+IMPORTRANGE(""https://docs.googl"&amp;"e.com/spreadsheets/d/1BIDqLLg5jk3v59G8NlR8rk5xfQDKne0sAvZHSj7TI6I/edit?usp=sharing"",""พระนครศรีอยุธยา!N718"")+IMPORTRANGE(""https://docs.google.com/spreadsheets/d/1YXvxf8Yu6_rV4hTBrwMqAcAnv6DfhUxh5emyM3CJp_w/edit?usp=sharing"",""เพชรบุรี!N718"")+IMPORTRA"&amp;"NGE(""https://docs.google.com/spreadsheets/d/19KBlQQs7uwvsao6t2n-KvW3Ax8J8uRRfZPq1zPbXgKc/edit?usp=sharing"",""ระยอง!N718"")+IMPORTRANGE(""https://docs.google.com/spreadsheets/d/1jQ6P4QcrGM89YfqcC_PxOHGCMq5ezhucwJd8ci-NHng/edit?usp=sharing"",""ราชบุรี!N71"&amp;"8"")+IMPORTRANGE(""https://docs.google.com/spreadsheets/d/1lufeA2cfFqM-elVq2hznhDzC6Pr7wkJ9ZG_sYNGCMCU/edit?usp=sharing"",""ลพบุรี!N718"")+IMPORTRANGE(""https://docs.google.com/spreadsheets/d/10oOiF7loTyfsTkbd4MpaIm0HQ9SwB7IYHdIUvt-U1Uc/edit?usp=sharing"""&amp;",""สระแก้ว!N718"")+IMPORTRANGE(""https://docs.google.com/spreadsheets/d/1xmPlrr1QbdSIKvl1dWUl9K4PjAfSL9oeMr_37QVzcxc/edit?usp=sharing"",""สระบุรี!N718"")+IMPORTRANGE(""https://docs.google.com/spreadsheets/d/1j51vR6CYVGhABJpv6tkstgok82RLpXieLzW1yOY5rHw/edi"&amp;"t?usp=sharing"",""สิงห์บุรี!N718"")+IMPORTRANGE(""https://docs.google.com/spreadsheets/d/1H1EalTWKUSzO4Z1-1CwzoDUaVffgrThEBe2sl74kKG0/edit?usp=sharing"",""สุพรรณบุรี!N718"")+IMPORTRANGE(""https://docs.google.com/spreadsheets/d/1BmIruG_sIrJLYao_Pdr7zVArWsf"&amp;"oBt2692TMi6x_854/edit?usp=sharing"",""อ่างทอง!N718"")"),0)</f>
        <v>0</v>
      </c>
      <c r="O718" s="75">
        <f t="shared" ca="1" si="482"/>
        <v>0</v>
      </c>
      <c r="P718" s="75">
        <f t="shared" ca="1" si="483"/>
        <v>0</v>
      </c>
      <c r="Q718" s="74">
        <f ca="1">IFERROR(__xludf.DUMMYFUNCTION("IMPORTRANGE(""https://docs.google.com/spreadsheets/d/13wPX838HrBrQMCywv1BsuMkt4PEKTChp52zj44s2izQ/edit?usp=sharing"",""กาญจนบุรี!Q718"")+IMPORTRANGE(""https://docs.google.com/spreadsheets/d/1ddFKvqj1W1NEiWytbGlB1zMx_ykJDVtmfEQ-6-lIUBA/edit?usp=sharing"","&amp;"""จันทบุรี!Q718"")+IMPORTRANGE(""https://docs.google.com/spreadsheets/d/1T1PQvRODqOBZk8BRht_U031fIS1beLA0Ub2CEytj2q0/edit?usp=sharing"",""ฉะเชิงเทรา!Q718"")+IMPORTRANGE(""https://docs.google.com/spreadsheets/d/11tr1B-Bhyr79v2bkwVh5h_fR-PStkgjlZtkrZpYurG0/"&amp;"edit?usp=sharing"",""ชลบุรี!Q718"")+IMPORTRANGE(""https://docs.google.com/spreadsheets/d/1hh-FVnSX0vozXhGluamEcS54Dw9_zqW0N7qJUWgJ0Sw/edit?usp=sharing"",""ชัยนาท!Q718"")+IMPORTRANGE(""https://docs.google.com/spreadsheets/d/1jkqa6GXxSacMcY1eN8AHjMNJ_7dDXMJ"&amp;"VRLDlaFSOdPM/edit?usp=sharing"",""ตราด!Q718"")+IMPORTRANGE(""https://docs.google.com/spreadsheets/d/18hSgUJ3VwClqi_qtULmmW3cLr0oe3OKaSYoKzdpTsYQ/edit?usp=sharing"",""นครนายก!Q718"")+IMPORTRANGE(""https://docs.google.com/spreadsheets/d/1YTZo6WM2dQ6Ix6FSdnL"&amp;"5P7uVnVKu40sxZu975tgG10E/edit?usp=sharing"",""นครปฐม!Q718"")+IMPORTRANGE(""https://docs.google.com/spreadsheets/d/1OYoGg4WDg5RIzwGeB10padOxJF9E_Vljuvvct_M7RDo/edit?usp=sharing"",""ปทุมธานี!Q718"")+IMPORTRANGE(""https://docs.google.com/spreadsheets/d/1GbCI"&amp;"E4D4wk9FUozzqk7SxfDMxDVBwVmI5zcaVUSzKAc/edit?usp=sharing"",""ประจวบคีรีขันธ์!Q718"")+IMPORTRANGE(""https://docs.google.com/spreadsheets/d/1vVf6wykvW_lAyu7Yo9L4hUTqHqIeP_qcVuxCtosJEbg/edit?usp=sharing"",""ปราจีนบุรี!Q718"")+IMPORTRANGE(""https://docs.googl"&amp;"e.com/spreadsheets/d/1BIDqLLg5jk3v59G8NlR8rk5xfQDKne0sAvZHSj7TI6I/edit?usp=sharing"",""พระนครศรีอยุธยา!Q718"")+IMPORTRANGE(""https://docs.google.com/spreadsheets/d/1YXvxf8Yu6_rV4hTBrwMqAcAnv6DfhUxh5emyM3CJp_w/edit?usp=sharing"",""เพชรบุรี!Q718"")+IMPORTRA"&amp;"NGE(""https://docs.google.com/spreadsheets/d/19KBlQQs7uwvsao6t2n-KvW3Ax8J8uRRfZPq1zPbXgKc/edit?usp=sharing"",""ระยอง!Q718"")+IMPORTRANGE(""https://docs.google.com/spreadsheets/d/1jQ6P4QcrGM89YfqcC_PxOHGCMq5ezhucwJd8ci-NHng/edit?usp=sharing"",""ราชบุรี!Q71"&amp;"8"")+IMPORTRANGE(""https://docs.google.com/spreadsheets/d/1lufeA2cfFqM-elVq2hznhDzC6Pr7wkJ9ZG_sYNGCMCU/edit?usp=sharing"",""ลพบุรี!Q718"")+IMPORTRANGE(""https://docs.google.com/spreadsheets/d/10oOiF7loTyfsTkbd4MpaIm0HQ9SwB7IYHdIUvt-U1Uc/edit?usp=sharing"""&amp;",""สระแก้ว!Q718"")+IMPORTRANGE(""https://docs.google.com/spreadsheets/d/1xmPlrr1QbdSIKvl1dWUl9K4PjAfSL9oeMr_37QVzcxc/edit?usp=sharing"",""สระบุรี!Q718"")+IMPORTRANGE(""https://docs.google.com/spreadsheets/d/1j51vR6CYVGhABJpv6tkstgok82RLpXieLzW1yOY5rHw/edi"&amp;"t?usp=sharing"",""สิงห์บุรี!Q718"")+IMPORTRANGE(""https://docs.google.com/spreadsheets/d/1H1EalTWKUSzO4Z1-1CwzoDUaVffgrThEBe2sl74kKG0/edit?usp=sharing"",""สุพรรณบุรี!Q718"")+IMPORTRANGE(""https://docs.google.com/spreadsheets/d/1BmIruG_sIrJLYao_Pdr7zVArWsf"&amp;"oBt2692TMi6x_854/edit?usp=sharing"",""อ่างทอง!Q718"")"),0)</f>
        <v>0</v>
      </c>
      <c r="R718" s="75">
        <f ca="1">IFERROR(__xludf.DUMMYFUNCTION("IMPORTRANGE(""https://docs.google.com/spreadsheets/d/13wPX838HrBrQMCywv1BsuMkt4PEKTChp52zj44s2izQ/edit?usp=sharing"",""กาญจนบุรี!R718"")+IMPORTRANGE(""https://docs.google.com/spreadsheets/d/1ddFKvqj1W1NEiWytbGlB1zMx_ykJDVtmfEQ-6-lIUBA/edit?usp=sharing"","&amp;"""จันทบุรี!R718"")+IMPORTRANGE(""https://docs.google.com/spreadsheets/d/1T1PQvRODqOBZk8BRht_U031fIS1beLA0Ub2CEytj2q0/edit?usp=sharing"",""ฉะเชิงเทรา!R718"")+IMPORTRANGE(""https://docs.google.com/spreadsheets/d/11tr1B-Bhyr79v2bkwVh5h_fR-PStkgjlZtkrZpYurG0/"&amp;"edit?usp=sharing"",""ชลบุรี!R718"")+IMPORTRANGE(""https://docs.google.com/spreadsheets/d/1hh-FVnSX0vozXhGluamEcS54Dw9_zqW0N7qJUWgJ0Sw/edit?usp=sharing"",""ชัยนาท!R718"")+IMPORTRANGE(""https://docs.google.com/spreadsheets/d/1jkqa6GXxSacMcY1eN8AHjMNJ_7dDXMJ"&amp;"VRLDlaFSOdPM/edit?usp=sharing"",""ตราด!R718"")+IMPORTRANGE(""https://docs.google.com/spreadsheets/d/18hSgUJ3VwClqi_qtULmmW3cLr0oe3OKaSYoKzdpTsYQ/edit?usp=sharing"",""นครนายก!R718"")+IMPORTRANGE(""https://docs.google.com/spreadsheets/d/1YTZo6WM2dQ6Ix6FSdnL"&amp;"5P7uVnVKu40sxZu975tgG10E/edit?usp=sharing"",""นครปฐม!R718"")+IMPORTRANGE(""https://docs.google.com/spreadsheets/d/1OYoGg4WDg5RIzwGeB10padOxJF9E_Vljuvvct_M7RDo/edit?usp=sharing"",""ปทุมธานี!R718"")+IMPORTRANGE(""https://docs.google.com/spreadsheets/d/1GbCI"&amp;"E4D4wk9FUozzqk7SxfDMxDVBwVmI5zcaVUSzKAc/edit?usp=sharing"",""ประจวบคีรีขันธ์!R718"")+IMPORTRANGE(""https://docs.google.com/spreadsheets/d/1vVf6wykvW_lAyu7Yo9L4hUTqHqIeP_qcVuxCtosJEbg/edit?usp=sharing"",""ปราจีนบุรี!R718"")+IMPORTRANGE(""https://docs.googl"&amp;"e.com/spreadsheets/d/1BIDqLLg5jk3v59G8NlR8rk5xfQDKne0sAvZHSj7TI6I/edit?usp=sharing"",""พระนครศรีอยุธยา!R718"")+IMPORTRANGE(""https://docs.google.com/spreadsheets/d/1YXvxf8Yu6_rV4hTBrwMqAcAnv6DfhUxh5emyM3CJp_w/edit?usp=sharing"",""เพชรบุรี!R718"")+IMPORTRA"&amp;"NGE(""https://docs.google.com/spreadsheets/d/19KBlQQs7uwvsao6t2n-KvW3Ax8J8uRRfZPq1zPbXgKc/edit?usp=sharing"",""ระยอง!R718"")+IMPORTRANGE(""https://docs.google.com/spreadsheets/d/1jQ6P4QcrGM89YfqcC_PxOHGCMq5ezhucwJd8ci-NHng/edit?usp=sharing"",""ราชบุรี!R71"&amp;"8"")+IMPORTRANGE(""https://docs.google.com/spreadsheets/d/1lufeA2cfFqM-elVq2hznhDzC6Pr7wkJ9ZG_sYNGCMCU/edit?usp=sharing"",""ลพบุรี!R718"")+IMPORTRANGE(""https://docs.google.com/spreadsheets/d/10oOiF7loTyfsTkbd4MpaIm0HQ9SwB7IYHdIUvt-U1Uc/edit?usp=sharing"""&amp;",""สระแก้ว!R718"")+IMPORTRANGE(""https://docs.google.com/spreadsheets/d/1xmPlrr1QbdSIKvl1dWUl9K4PjAfSL9oeMr_37QVzcxc/edit?usp=sharing"",""สระบุรี!R718"")+IMPORTRANGE(""https://docs.google.com/spreadsheets/d/1j51vR6CYVGhABJpv6tkstgok82RLpXieLzW1yOY5rHw/edi"&amp;"t?usp=sharing"",""สิงห์บุรี!R718"")+IMPORTRANGE(""https://docs.google.com/spreadsheets/d/1H1EalTWKUSzO4Z1-1CwzoDUaVffgrThEBe2sl74kKG0/edit?usp=sharing"",""สุพรรณบุรี!R718"")+IMPORTRANGE(""https://docs.google.com/spreadsheets/d/1BmIruG_sIrJLYao_Pdr7zVArWsf"&amp;"oBt2692TMi6x_854/edit?usp=sharing"",""อ่างทอง!R718"")"),0)</f>
        <v>0</v>
      </c>
      <c r="S718" s="75">
        <f ca="1">IFERROR(__xludf.DUMMYFUNCTION("IMPORTRANGE(""https://docs.google.com/spreadsheets/d/13wPX838HrBrQMCywv1BsuMkt4PEKTChp52zj44s2izQ/edit?usp=sharing"",""กาญจนบุรี!S718"")+IMPORTRANGE(""https://docs.google.com/spreadsheets/d/1ddFKvqj1W1NEiWytbGlB1zMx_ykJDVtmfEQ-6-lIUBA/edit?usp=sharing"","&amp;"""จันทบุรี!S718"")+IMPORTRANGE(""https://docs.google.com/spreadsheets/d/1T1PQvRODqOBZk8BRht_U031fIS1beLA0Ub2CEytj2q0/edit?usp=sharing"",""ฉะเชิงเทรา!S718"")+IMPORTRANGE(""https://docs.google.com/spreadsheets/d/11tr1B-Bhyr79v2bkwVh5h_fR-PStkgjlZtkrZpYurG0/"&amp;"edit?usp=sharing"",""ชลบุรี!S718"")+IMPORTRANGE(""https://docs.google.com/spreadsheets/d/1hh-FVnSX0vozXhGluamEcS54Dw9_zqW0N7qJUWgJ0Sw/edit?usp=sharing"",""ชัยนาท!S718"")+IMPORTRANGE(""https://docs.google.com/spreadsheets/d/1jkqa6GXxSacMcY1eN8AHjMNJ_7dDXMJ"&amp;"VRLDlaFSOdPM/edit?usp=sharing"",""ตราด!S718"")+IMPORTRANGE(""https://docs.google.com/spreadsheets/d/18hSgUJ3VwClqi_qtULmmW3cLr0oe3OKaSYoKzdpTsYQ/edit?usp=sharing"",""นครนายก!S718"")+IMPORTRANGE(""https://docs.google.com/spreadsheets/d/1YTZo6WM2dQ6Ix6FSdnL"&amp;"5P7uVnVKu40sxZu975tgG10E/edit?usp=sharing"",""นครปฐม!S718"")+IMPORTRANGE(""https://docs.google.com/spreadsheets/d/1OYoGg4WDg5RIzwGeB10padOxJF9E_Vljuvvct_M7RDo/edit?usp=sharing"",""ปทุมธานี!S718"")+IMPORTRANGE(""https://docs.google.com/spreadsheets/d/1GbCI"&amp;"E4D4wk9FUozzqk7SxfDMxDVBwVmI5zcaVUSzKAc/edit?usp=sharing"",""ประจวบคีรีขันธ์!S718"")+IMPORTRANGE(""https://docs.google.com/spreadsheets/d/1vVf6wykvW_lAyu7Yo9L4hUTqHqIeP_qcVuxCtosJEbg/edit?usp=sharing"",""ปราจีนบุรี!S718"")+IMPORTRANGE(""https://docs.googl"&amp;"e.com/spreadsheets/d/1BIDqLLg5jk3v59G8NlR8rk5xfQDKne0sAvZHSj7TI6I/edit?usp=sharing"",""พระนครศรีอยุธยา!S718"")+IMPORTRANGE(""https://docs.google.com/spreadsheets/d/1YXvxf8Yu6_rV4hTBrwMqAcAnv6DfhUxh5emyM3CJp_w/edit?usp=sharing"",""เพชรบุรี!S718"")+IMPORTRA"&amp;"NGE(""https://docs.google.com/spreadsheets/d/19KBlQQs7uwvsao6t2n-KvW3Ax8J8uRRfZPq1zPbXgKc/edit?usp=sharing"",""ระยอง!S718"")+IMPORTRANGE(""https://docs.google.com/spreadsheets/d/1jQ6P4QcrGM89YfqcC_PxOHGCMq5ezhucwJd8ci-NHng/edit?usp=sharing"",""ราชบุรี!S71"&amp;"8"")+IMPORTRANGE(""https://docs.google.com/spreadsheets/d/1lufeA2cfFqM-elVq2hznhDzC6Pr7wkJ9ZG_sYNGCMCU/edit?usp=sharing"",""ลพบุรี!S718"")+IMPORTRANGE(""https://docs.google.com/spreadsheets/d/10oOiF7loTyfsTkbd4MpaIm0HQ9SwB7IYHdIUvt-U1Uc/edit?usp=sharing"""&amp;",""สระแก้ว!S718"")+IMPORTRANGE(""https://docs.google.com/spreadsheets/d/1xmPlrr1QbdSIKvl1dWUl9K4PjAfSL9oeMr_37QVzcxc/edit?usp=sharing"",""สระบุรี!S718"")+IMPORTRANGE(""https://docs.google.com/spreadsheets/d/1j51vR6CYVGhABJpv6tkstgok82RLpXieLzW1yOY5rHw/edi"&amp;"t?usp=sharing"",""สิงห์บุรี!S718"")+IMPORTRANGE(""https://docs.google.com/spreadsheets/d/1H1EalTWKUSzO4Z1-1CwzoDUaVffgrThEBe2sl74kKG0/edit?usp=sharing"",""สุพรรณบุรี!S718"")+IMPORTRANGE(""https://docs.google.com/spreadsheets/d/1BmIruG_sIrJLYao_Pdr7zVArWsf"&amp;"oBt2692TMi6x_854/edit?usp=sharing"",""อ่างทอง!S718"")"),0)</f>
        <v>0</v>
      </c>
      <c r="T718" s="131">
        <f t="shared" ca="1" si="485"/>
        <v>0</v>
      </c>
      <c r="U718" s="131">
        <f t="shared" ca="1" si="486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2">
        <f ca="1">IFERROR(__xludf.DUMMYFUNCTION("IMPORTRANGE(""https://docs.google.com/spreadsheets/d/13wPX838HrBrQMCywv1BsuMkt4PEKTChp52zj44s2izQ/edit?usp=sharing"",""กาญจนบุรี!L719"")+IMPORTRANGE(""https://docs.google.com/spreadsheets/d/1ddFKvqj1W1NEiWytbGlB1zMx_ykJDVtmfEQ-6-lIUBA/edit?usp=sharing"","&amp;"""จันทบุรี!L719"")+IMPORTRANGE(""https://docs.google.com/spreadsheets/d/1T1PQvRODqOBZk8BRht_U031fIS1beLA0Ub2CEytj2q0/edit?usp=sharing"",""ฉะเชิงเทรา!L719"")+IMPORTRANGE(""https://docs.google.com/spreadsheets/d/11tr1B-Bhyr79v2bkwVh5h_fR-PStkgjlZtkrZpYurG0/"&amp;"edit?usp=sharing"",""ชลบุรี!L719"")+IMPORTRANGE(""https://docs.google.com/spreadsheets/d/1hh-FVnSX0vozXhGluamEcS54Dw9_zqW0N7qJUWgJ0Sw/edit?usp=sharing"",""ชัยนาท!L719"")+IMPORTRANGE(""https://docs.google.com/spreadsheets/d/1jkqa6GXxSacMcY1eN8AHjMNJ_7dDXMJ"&amp;"VRLDlaFSOdPM/edit?usp=sharing"",""ตราด!L719"")+IMPORTRANGE(""https://docs.google.com/spreadsheets/d/18hSgUJ3VwClqi_qtULmmW3cLr0oe3OKaSYoKzdpTsYQ/edit?usp=sharing"",""นครนายก!L719"")+IMPORTRANGE(""https://docs.google.com/spreadsheets/d/1YTZo6WM2dQ6Ix6FSdnL"&amp;"5P7uVnVKu40sxZu975tgG10E/edit?usp=sharing"",""นครปฐม!L719"")+IMPORTRANGE(""https://docs.google.com/spreadsheets/d/1OYoGg4WDg5RIzwGeB10padOxJF9E_Vljuvvct_M7RDo/edit?usp=sharing"",""ปทุมธานี!L719"")+IMPORTRANGE(""https://docs.google.com/spreadsheets/d/1GbCI"&amp;"E4D4wk9FUozzqk7SxfDMxDVBwVmI5zcaVUSzKAc/edit?usp=sharing"",""ประจวบคีรีขันธ์!L719"")+IMPORTRANGE(""https://docs.google.com/spreadsheets/d/1vVf6wykvW_lAyu7Yo9L4hUTqHqIeP_qcVuxCtosJEbg/edit?usp=sharing"",""ปราจีนบุรี!L719"")+IMPORTRANGE(""https://docs.googl"&amp;"e.com/spreadsheets/d/1BIDqLLg5jk3v59G8NlR8rk5xfQDKne0sAvZHSj7TI6I/edit?usp=sharing"",""พระนครศรีอยุธยา!L719"")+IMPORTRANGE(""https://docs.google.com/spreadsheets/d/1YXvxf8Yu6_rV4hTBrwMqAcAnv6DfhUxh5emyM3CJp_w/edit?usp=sharing"",""เพชรบุรี!L719"")+IMPORTRA"&amp;"NGE(""https://docs.google.com/spreadsheets/d/19KBlQQs7uwvsao6t2n-KvW3Ax8J8uRRfZPq1zPbXgKc/edit?usp=sharing"",""ระยอง!L719"")+IMPORTRANGE(""https://docs.google.com/spreadsheets/d/1jQ6P4QcrGM89YfqcC_PxOHGCMq5ezhucwJd8ci-NHng/edit?usp=sharing"",""ราชบุรี!L71"&amp;"9"")+IMPORTRANGE(""https://docs.google.com/spreadsheets/d/1lufeA2cfFqM-elVq2hznhDzC6Pr7wkJ9ZG_sYNGCMCU/edit?usp=sharing"",""ลพบุรี!L719"")+IMPORTRANGE(""https://docs.google.com/spreadsheets/d/10oOiF7loTyfsTkbd4MpaIm0HQ9SwB7IYHdIUvt-U1Uc/edit?usp=sharing"""&amp;",""สระแก้ว!L719"")+IMPORTRANGE(""https://docs.google.com/spreadsheets/d/1xmPlrr1QbdSIKvl1dWUl9K4PjAfSL9oeMr_37QVzcxc/edit?usp=sharing"",""สระบุรี!L719"")+IMPORTRANGE(""https://docs.google.com/spreadsheets/d/1j51vR6CYVGhABJpv6tkstgok82RLpXieLzW1yOY5rHw/edi"&amp;"t?usp=sharing"",""สิงห์บุรี!L719"")+IMPORTRANGE(""https://docs.google.com/spreadsheets/d/1H1EalTWKUSzO4Z1-1CwzoDUaVffgrThEBe2sl74kKG0/edit?usp=sharing"",""สุพรรณบุรี!L719"")+IMPORTRANGE(""https://docs.google.com/spreadsheets/d/1BmIruG_sIrJLYao_Pdr7zVArWsf"&amp;"oBt2692TMi6x_854/edit?usp=sharing"",""อ่างทอง!L719"")"),0)</f>
        <v>0</v>
      </c>
      <c r="M719" s="72">
        <f ca="1">IFERROR(__xludf.DUMMYFUNCTION("IMPORTRANGE(""https://docs.google.com/spreadsheets/d/13wPX838HrBrQMCywv1BsuMkt4PEKTChp52zj44s2izQ/edit?usp=sharing"",""กาญจนบุรี!M719"")+IMPORTRANGE(""https://docs.google.com/spreadsheets/d/1ddFKvqj1W1NEiWytbGlB1zMx_ykJDVtmfEQ-6-lIUBA/edit?usp=sharing"","&amp;"""จันทบุรี!M719"")+IMPORTRANGE(""https://docs.google.com/spreadsheets/d/1T1PQvRODqOBZk8BRht_U031fIS1beLA0Ub2CEytj2q0/edit?usp=sharing"",""ฉะเชิงเทรา!M719"")+IMPORTRANGE(""https://docs.google.com/spreadsheets/d/11tr1B-Bhyr79v2bkwVh5h_fR-PStkgjlZtkrZpYurG0/"&amp;"edit?usp=sharing"",""ชลบุรี!M719"")+IMPORTRANGE(""https://docs.google.com/spreadsheets/d/1hh-FVnSX0vozXhGluamEcS54Dw9_zqW0N7qJUWgJ0Sw/edit?usp=sharing"",""ชัยนาท!M719"")+IMPORTRANGE(""https://docs.google.com/spreadsheets/d/1jkqa6GXxSacMcY1eN8AHjMNJ_7dDXMJ"&amp;"VRLDlaFSOdPM/edit?usp=sharing"",""ตราด!M719"")+IMPORTRANGE(""https://docs.google.com/spreadsheets/d/18hSgUJ3VwClqi_qtULmmW3cLr0oe3OKaSYoKzdpTsYQ/edit?usp=sharing"",""นครนายก!M719"")+IMPORTRANGE(""https://docs.google.com/spreadsheets/d/1YTZo6WM2dQ6Ix6FSdnL"&amp;"5P7uVnVKu40sxZu975tgG10E/edit?usp=sharing"",""นครปฐม!M719"")+IMPORTRANGE(""https://docs.google.com/spreadsheets/d/1OYoGg4WDg5RIzwGeB10padOxJF9E_Vljuvvct_M7RDo/edit?usp=sharing"",""ปทุมธานี!M719"")+IMPORTRANGE(""https://docs.google.com/spreadsheets/d/1GbCI"&amp;"E4D4wk9FUozzqk7SxfDMxDVBwVmI5zcaVUSzKAc/edit?usp=sharing"",""ประจวบคีรีขันธ์!M719"")+IMPORTRANGE(""https://docs.google.com/spreadsheets/d/1vVf6wykvW_lAyu7Yo9L4hUTqHqIeP_qcVuxCtosJEbg/edit?usp=sharing"",""ปราจีนบุรี!M719"")+IMPORTRANGE(""https://docs.googl"&amp;"e.com/spreadsheets/d/1BIDqLLg5jk3v59G8NlR8rk5xfQDKne0sAvZHSj7TI6I/edit?usp=sharing"",""พระนครศรีอยุธยา!M719"")+IMPORTRANGE(""https://docs.google.com/spreadsheets/d/1YXvxf8Yu6_rV4hTBrwMqAcAnv6DfhUxh5emyM3CJp_w/edit?usp=sharing"",""เพชรบุรี!M719"")+IMPORTRA"&amp;"NGE(""https://docs.google.com/spreadsheets/d/19KBlQQs7uwvsao6t2n-KvW3Ax8J8uRRfZPq1zPbXgKc/edit?usp=sharing"",""ระยอง!M719"")+IMPORTRANGE(""https://docs.google.com/spreadsheets/d/1jQ6P4QcrGM89YfqcC_PxOHGCMq5ezhucwJd8ci-NHng/edit?usp=sharing"",""ราชบุรี!M71"&amp;"9"")+IMPORTRANGE(""https://docs.google.com/spreadsheets/d/1lufeA2cfFqM-elVq2hznhDzC6Pr7wkJ9ZG_sYNGCMCU/edit?usp=sharing"",""ลพบุรี!M719"")+IMPORTRANGE(""https://docs.google.com/spreadsheets/d/10oOiF7loTyfsTkbd4MpaIm0HQ9SwB7IYHdIUvt-U1Uc/edit?usp=sharing"""&amp;",""สระแก้ว!M719"")+IMPORTRANGE(""https://docs.google.com/spreadsheets/d/1xmPlrr1QbdSIKvl1dWUl9K4PjAfSL9oeMr_37QVzcxc/edit?usp=sharing"",""สระบุรี!M719"")+IMPORTRANGE(""https://docs.google.com/spreadsheets/d/1j51vR6CYVGhABJpv6tkstgok82RLpXieLzW1yOY5rHw/edi"&amp;"t?usp=sharing"",""สิงห์บุรี!M719"")+IMPORTRANGE(""https://docs.google.com/spreadsheets/d/1H1EalTWKUSzO4Z1-1CwzoDUaVffgrThEBe2sl74kKG0/edit?usp=sharing"",""สุพรรณบุรี!M719"")+IMPORTRANGE(""https://docs.google.com/spreadsheets/d/1BmIruG_sIrJLYao_Pdr7zVArWsf"&amp;"oBt2692TMi6x_854/edit?usp=sharing"",""อ่างทอง!M719"")"),0)</f>
        <v>0</v>
      </c>
      <c r="N719" s="72">
        <f ca="1">IFERROR(__xludf.DUMMYFUNCTION("IMPORTRANGE(""https://docs.google.com/spreadsheets/d/13wPX838HrBrQMCywv1BsuMkt4PEKTChp52zj44s2izQ/edit?usp=sharing"",""กาญจนบุรี!N719"")+IMPORTRANGE(""https://docs.google.com/spreadsheets/d/1ddFKvqj1W1NEiWytbGlB1zMx_ykJDVtmfEQ-6-lIUBA/edit?usp=sharing"","&amp;"""จันทบุรี!N719"")+IMPORTRANGE(""https://docs.google.com/spreadsheets/d/1T1PQvRODqOBZk8BRht_U031fIS1beLA0Ub2CEytj2q0/edit?usp=sharing"",""ฉะเชิงเทรา!N719"")+IMPORTRANGE(""https://docs.google.com/spreadsheets/d/11tr1B-Bhyr79v2bkwVh5h_fR-PStkgjlZtkrZpYurG0/"&amp;"edit?usp=sharing"",""ชลบุรี!N719"")+IMPORTRANGE(""https://docs.google.com/spreadsheets/d/1hh-FVnSX0vozXhGluamEcS54Dw9_zqW0N7qJUWgJ0Sw/edit?usp=sharing"",""ชัยนาท!N719"")+IMPORTRANGE(""https://docs.google.com/spreadsheets/d/1jkqa6GXxSacMcY1eN8AHjMNJ_7dDXMJ"&amp;"VRLDlaFSOdPM/edit?usp=sharing"",""ตราด!N719"")+IMPORTRANGE(""https://docs.google.com/spreadsheets/d/18hSgUJ3VwClqi_qtULmmW3cLr0oe3OKaSYoKzdpTsYQ/edit?usp=sharing"",""นครนายก!N719"")+IMPORTRANGE(""https://docs.google.com/spreadsheets/d/1YTZo6WM2dQ6Ix6FSdnL"&amp;"5P7uVnVKu40sxZu975tgG10E/edit?usp=sharing"",""นครปฐม!N719"")+IMPORTRANGE(""https://docs.google.com/spreadsheets/d/1OYoGg4WDg5RIzwGeB10padOxJF9E_Vljuvvct_M7RDo/edit?usp=sharing"",""ปทุมธานี!N719"")+IMPORTRANGE(""https://docs.google.com/spreadsheets/d/1GbCI"&amp;"E4D4wk9FUozzqk7SxfDMxDVBwVmI5zcaVUSzKAc/edit?usp=sharing"",""ประจวบคีรีขันธ์!N719"")+IMPORTRANGE(""https://docs.google.com/spreadsheets/d/1vVf6wykvW_lAyu7Yo9L4hUTqHqIeP_qcVuxCtosJEbg/edit?usp=sharing"",""ปราจีนบุรี!N719"")+IMPORTRANGE(""https://docs.googl"&amp;"e.com/spreadsheets/d/1BIDqLLg5jk3v59G8NlR8rk5xfQDKne0sAvZHSj7TI6I/edit?usp=sharing"",""พระนครศรีอยุธยา!N719"")+IMPORTRANGE(""https://docs.google.com/spreadsheets/d/1YXvxf8Yu6_rV4hTBrwMqAcAnv6DfhUxh5emyM3CJp_w/edit?usp=sharing"",""เพชรบุรี!N719"")+IMPORTRA"&amp;"NGE(""https://docs.google.com/spreadsheets/d/19KBlQQs7uwvsao6t2n-KvW3Ax8J8uRRfZPq1zPbXgKc/edit?usp=sharing"",""ระยอง!N719"")+IMPORTRANGE(""https://docs.google.com/spreadsheets/d/1jQ6P4QcrGM89YfqcC_PxOHGCMq5ezhucwJd8ci-NHng/edit?usp=sharing"",""ราชบุรี!N71"&amp;"9"")+IMPORTRANGE(""https://docs.google.com/spreadsheets/d/1lufeA2cfFqM-elVq2hznhDzC6Pr7wkJ9ZG_sYNGCMCU/edit?usp=sharing"",""ลพบุรี!N719"")+IMPORTRANGE(""https://docs.google.com/spreadsheets/d/10oOiF7loTyfsTkbd4MpaIm0HQ9SwB7IYHdIUvt-U1Uc/edit?usp=sharing"""&amp;",""สระแก้ว!N719"")+IMPORTRANGE(""https://docs.google.com/spreadsheets/d/1xmPlrr1QbdSIKvl1dWUl9K4PjAfSL9oeMr_37QVzcxc/edit?usp=sharing"",""สระบุรี!N719"")+IMPORTRANGE(""https://docs.google.com/spreadsheets/d/1j51vR6CYVGhABJpv6tkstgok82RLpXieLzW1yOY5rHw/edi"&amp;"t?usp=sharing"",""สิงห์บุรี!N719"")+IMPORTRANGE(""https://docs.google.com/spreadsheets/d/1H1EalTWKUSzO4Z1-1CwzoDUaVffgrThEBe2sl74kKG0/edit?usp=sharing"",""สุพรรณบุรี!N719"")+IMPORTRANGE(""https://docs.google.com/spreadsheets/d/1BmIruG_sIrJLYao_Pdr7zVArWsf"&amp;"oBt2692TMi6x_854/edit?usp=sharing"",""อ่างทอง!N719"")"),0)</f>
        <v>0</v>
      </c>
      <c r="O719" s="72">
        <f t="shared" ca="1" si="482"/>
        <v>0</v>
      </c>
      <c r="P719" s="72">
        <f t="shared" ca="1" si="483"/>
        <v>0</v>
      </c>
      <c r="Q719" s="71">
        <f ca="1">IFERROR(__xludf.DUMMYFUNCTION("IMPORTRANGE(""https://docs.google.com/spreadsheets/d/13wPX838HrBrQMCywv1BsuMkt4PEKTChp52zj44s2izQ/edit?usp=sharing"",""กาญจนบุรี!Q719"")+IMPORTRANGE(""https://docs.google.com/spreadsheets/d/1ddFKvqj1W1NEiWytbGlB1zMx_ykJDVtmfEQ-6-lIUBA/edit?usp=sharing"","&amp;"""จันทบุรี!Q719"")+IMPORTRANGE(""https://docs.google.com/spreadsheets/d/1T1PQvRODqOBZk8BRht_U031fIS1beLA0Ub2CEytj2q0/edit?usp=sharing"",""ฉะเชิงเทรา!Q719"")+IMPORTRANGE(""https://docs.google.com/spreadsheets/d/11tr1B-Bhyr79v2bkwVh5h_fR-PStkgjlZtkrZpYurG0/"&amp;"edit?usp=sharing"",""ชลบุรี!Q719"")+IMPORTRANGE(""https://docs.google.com/spreadsheets/d/1hh-FVnSX0vozXhGluamEcS54Dw9_zqW0N7qJUWgJ0Sw/edit?usp=sharing"",""ชัยนาท!Q719"")+IMPORTRANGE(""https://docs.google.com/spreadsheets/d/1jkqa6GXxSacMcY1eN8AHjMNJ_7dDXMJ"&amp;"VRLDlaFSOdPM/edit?usp=sharing"",""ตราด!Q719"")+IMPORTRANGE(""https://docs.google.com/spreadsheets/d/18hSgUJ3VwClqi_qtULmmW3cLr0oe3OKaSYoKzdpTsYQ/edit?usp=sharing"",""นครนายก!Q719"")+IMPORTRANGE(""https://docs.google.com/spreadsheets/d/1YTZo6WM2dQ6Ix6FSdnL"&amp;"5P7uVnVKu40sxZu975tgG10E/edit?usp=sharing"",""นครปฐม!Q719"")+IMPORTRANGE(""https://docs.google.com/spreadsheets/d/1OYoGg4WDg5RIzwGeB10padOxJF9E_Vljuvvct_M7RDo/edit?usp=sharing"",""ปทุมธานี!Q719"")+IMPORTRANGE(""https://docs.google.com/spreadsheets/d/1GbCI"&amp;"E4D4wk9FUozzqk7SxfDMxDVBwVmI5zcaVUSzKAc/edit?usp=sharing"",""ประจวบคีรีขันธ์!Q719"")+IMPORTRANGE(""https://docs.google.com/spreadsheets/d/1vVf6wykvW_lAyu7Yo9L4hUTqHqIeP_qcVuxCtosJEbg/edit?usp=sharing"",""ปราจีนบุรี!Q719"")+IMPORTRANGE(""https://docs.googl"&amp;"e.com/spreadsheets/d/1BIDqLLg5jk3v59G8NlR8rk5xfQDKne0sAvZHSj7TI6I/edit?usp=sharing"",""พระนครศรีอยุธยา!Q719"")+IMPORTRANGE(""https://docs.google.com/spreadsheets/d/1YXvxf8Yu6_rV4hTBrwMqAcAnv6DfhUxh5emyM3CJp_w/edit?usp=sharing"",""เพชรบุรี!Q719"")+IMPORTRA"&amp;"NGE(""https://docs.google.com/spreadsheets/d/19KBlQQs7uwvsao6t2n-KvW3Ax8J8uRRfZPq1zPbXgKc/edit?usp=sharing"",""ระยอง!Q719"")+IMPORTRANGE(""https://docs.google.com/spreadsheets/d/1jQ6P4QcrGM89YfqcC_PxOHGCMq5ezhucwJd8ci-NHng/edit?usp=sharing"",""ราชบุรี!Q71"&amp;"9"")+IMPORTRANGE(""https://docs.google.com/spreadsheets/d/1lufeA2cfFqM-elVq2hznhDzC6Pr7wkJ9ZG_sYNGCMCU/edit?usp=sharing"",""ลพบุรี!Q719"")+IMPORTRANGE(""https://docs.google.com/spreadsheets/d/10oOiF7loTyfsTkbd4MpaIm0HQ9SwB7IYHdIUvt-U1Uc/edit?usp=sharing"""&amp;",""สระแก้ว!Q719"")+IMPORTRANGE(""https://docs.google.com/spreadsheets/d/1xmPlrr1QbdSIKvl1dWUl9K4PjAfSL9oeMr_37QVzcxc/edit?usp=sharing"",""สระบุรี!Q719"")+IMPORTRANGE(""https://docs.google.com/spreadsheets/d/1j51vR6CYVGhABJpv6tkstgok82RLpXieLzW1yOY5rHw/edi"&amp;"t?usp=sharing"",""สิงห์บุรี!Q719"")+IMPORTRANGE(""https://docs.google.com/spreadsheets/d/1H1EalTWKUSzO4Z1-1CwzoDUaVffgrThEBe2sl74kKG0/edit?usp=sharing"",""สุพรรณบุรี!Q719"")+IMPORTRANGE(""https://docs.google.com/spreadsheets/d/1BmIruG_sIrJLYao_Pdr7zVArWsf"&amp;"oBt2692TMi6x_854/edit?usp=sharing"",""อ่างทอง!Q719"")"),0)</f>
        <v>0</v>
      </c>
      <c r="R719" s="72">
        <f ca="1">IFERROR(__xludf.DUMMYFUNCTION("IMPORTRANGE(""https://docs.google.com/spreadsheets/d/13wPX838HrBrQMCywv1BsuMkt4PEKTChp52zj44s2izQ/edit?usp=sharing"",""กาญจนบุรี!R719"")+IMPORTRANGE(""https://docs.google.com/spreadsheets/d/1ddFKvqj1W1NEiWytbGlB1zMx_ykJDVtmfEQ-6-lIUBA/edit?usp=sharing"","&amp;"""จันทบุรี!R719"")+IMPORTRANGE(""https://docs.google.com/spreadsheets/d/1T1PQvRODqOBZk8BRht_U031fIS1beLA0Ub2CEytj2q0/edit?usp=sharing"",""ฉะเชิงเทรา!R719"")+IMPORTRANGE(""https://docs.google.com/spreadsheets/d/11tr1B-Bhyr79v2bkwVh5h_fR-PStkgjlZtkrZpYurG0/"&amp;"edit?usp=sharing"",""ชลบุรี!R719"")+IMPORTRANGE(""https://docs.google.com/spreadsheets/d/1hh-FVnSX0vozXhGluamEcS54Dw9_zqW0N7qJUWgJ0Sw/edit?usp=sharing"",""ชัยนาท!R719"")+IMPORTRANGE(""https://docs.google.com/spreadsheets/d/1jkqa6GXxSacMcY1eN8AHjMNJ_7dDXMJ"&amp;"VRLDlaFSOdPM/edit?usp=sharing"",""ตราด!R719"")+IMPORTRANGE(""https://docs.google.com/spreadsheets/d/18hSgUJ3VwClqi_qtULmmW3cLr0oe3OKaSYoKzdpTsYQ/edit?usp=sharing"",""นครนายก!R719"")+IMPORTRANGE(""https://docs.google.com/spreadsheets/d/1YTZo6WM2dQ6Ix6FSdnL"&amp;"5P7uVnVKu40sxZu975tgG10E/edit?usp=sharing"",""นครปฐม!R719"")+IMPORTRANGE(""https://docs.google.com/spreadsheets/d/1OYoGg4WDg5RIzwGeB10padOxJF9E_Vljuvvct_M7RDo/edit?usp=sharing"",""ปทุมธานี!R719"")+IMPORTRANGE(""https://docs.google.com/spreadsheets/d/1GbCI"&amp;"E4D4wk9FUozzqk7SxfDMxDVBwVmI5zcaVUSzKAc/edit?usp=sharing"",""ประจวบคีรีขันธ์!R719"")+IMPORTRANGE(""https://docs.google.com/spreadsheets/d/1vVf6wykvW_lAyu7Yo9L4hUTqHqIeP_qcVuxCtosJEbg/edit?usp=sharing"",""ปราจีนบุรี!R719"")+IMPORTRANGE(""https://docs.googl"&amp;"e.com/spreadsheets/d/1BIDqLLg5jk3v59G8NlR8rk5xfQDKne0sAvZHSj7TI6I/edit?usp=sharing"",""พระนครศรีอยุธยา!R719"")+IMPORTRANGE(""https://docs.google.com/spreadsheets/d/1YXvxf8Yu6_rV4hTBrwMqAcAnv6DfhUxh5emyM3CJp_w/edit?usp=sharing"",""เพชรบุรี!R719"")+IMPORTRA"&amp;"NGE(""https://docs.google.com/spreadsheets/d/19KBlQQs7uwvsao6t2n-KvW3Ax8J8uRRfZPq1zPbXgKc/edit?usp=sharing"",""ระยอง!R719"")+IMPORTRANGE(""https://docs.google.com/spreadsheets/d/1jQ6P4QcrGM89YfqcC_PxOHGCMq5ezhucwJd8ci-NHng/edit?usp=sharing"",""ราชบุรี!R71"&amp;"9"")+IMPORTRANGE(""https://docs.google.com/spreadsheets/d/1lufeA2cfFqM-elVq2hznhDzC6Pr7wkJ9ZG_sYNGCMCU/edit?usp=sharing"",""ลพบุรี!R719"")+IMPORTRANGE(""https://docs.google.com/spreadsheets/d/10oOiF7loTyfsTkbd4MpaIm0HQ9SwB7IYHdIUvt-U1Uc/edit?usp=sharing"""&amp;",""สระแก้ว!R719"")+IMPORTRANGE(""https://docs.google.com/spreadsheets/d/1xmPlrr1QbdSIKvl1dWUl9K4PjAfSL9oeMr_37QVzcxc/edit?usp=sharing"",""สระบุรี!R719"")+IMPORTRANGE(""https://docs.google.com/spreadsheets/d/1j51vR6CYVGhABJpv6tkstgok82RLpXieLzW1yOY5rHw/edi"&amp;"t?usp=sharing"",""สิงห์บุรี!R719"")+IMPORTRANGE(""https://docs.google.com/spreadsheets/d/1H1EalTWKUSzO4Z1-1CwzoDUaVffgrThEBe2sl74kKG0/edit?usp=sharing"",""สุพรรณบุรี!R719"")+IMPORTRANGE(""https://docs.google.com/spreadsheets/d/1BmIruG_sIrJLYao_Pdr7zVArWsf"&amp;"oBt2692TMi6x_854/edit?usp=sharing"",""อ่างทอง!R719"")"),0)</f>
        <v>0</v>
      </c>
      <c r="S719" s="72">
        <f ca="1">IFERROR(__xludf.DUMMYFUNCTION("IMPORTRANGE(""https://docs.google.com/spreadsheets/d/13wPX838HrBrQMCywv1BsuMkt4PEKTChp52zj44s2izQ/edit?usp=sharing"",""กาญจนบุรี!S719"")+IMPORTRANGE(""https://docs.google.com/spreadsheets/d/1ddFKvqj1W1NEiWytbGlB1zMx_ykJDVtmfEQ-6-lIUBA/edit?usp=sharing"","&amp;"""จันทบุรี!S719"")+IMPORTRANGE(""https://docs.google.com/spreadsheets/d/1T1PQvRODqOBZk8BRht_U031fIS1beLA0Ub2CEytj2q0/edit?usp=sharing"",""ฉะเชิงเทรา!S719"")+IMPORTRANGE(""https://docs.google.com/spreadsheets/d/11tr1B-Bhyr79v2bkwVh5h_fR-PStkgjlZtkrZpYurG0/"&amp;"edit?usp=sharing"",""ชลบุรี!S719"")+IMPORTRANGE(""https://docs.google.com/spreadsheets/d/1hh-FVnSX0vozXhGluamEcS54Dw9_zqW0N7qJUWgJ0Sw/edit?usp=sharing"",""ชัยนาท!S719"")+IMPORTRANGE(""https://docs.google.com/spreadsheets/d/1jkqa6GXxSacMcY1eN8AHjMNJ_7dDXMJ"&amp;"VRLDlaFSOdPM/edit?usp=sharing"",""ตราด!S719"")+IMPORTRANGE(""https://docs.google.com/spreadsheets/d/18hSgUJ3VwClqi_qtULmmW3cLr0oe3OKaSYoKzdpTsYQ/edit?usp=sharing"",""นครนายก!S719"")+IMPORTRANGE(""https://docs.google.com/spreadsheets/d/1YTZo6WM2dQ6Ix6FSdnL"&amp;"5P7uVnVKu40sxZu975tgG10E/edit?usp=sharing"",""นครปฐม!S719"")+IMPORTRANGE(""https://docs.google.com/spreadsheets/d/1OYoGg4WDg5RIzwGeB10padOxJF9E_Vljuvvct_M7RDo/edit?usp=sharing"",""ปทุมธานี!S719"")+IMPORTRANGE(""https://docs.google.com/spreadsheets/d/1GbCI"&amp;"E4D4wk9FUozzqk7SxfDMxDVBwVmI5zcaVUSzKAc/edit?usp=sharing"",""ประจวบคีรีขันธ์!S719"")+IMPORTRANGE(""https://docs.google.com/spreadsheets/d/1vVf6wykvW_lAyu7Yo9L4hUTqHqIeP_qcVuxCtosJEbg/edit?usp=sharing"",""ปราจีนบุรี!S719"")+IMPORTRANGE(""https://docs.googl"&amp;"e.com/spreadsheets/d/1BIDqLLg5jk3v59G8NlR8rk5xfQDKne0sAvZHSj7TI6I/edit?usp=sharing"",""พระนครศรีอยุธยา!S719"")+IMPORTRANGE(""https://docs.google.com/spreadsheets/d/1YXvxf8Yu6_rV4hTBrwMqAcAnv6DfhUxh5emyM3CJp_w/edit?usp=sharing"",""เพชรบุรี!S719"")+IMPORTRA"&amp;"NGE(""https://docs.google.com/spreadsheets/d/19KBlQQs7uwvsao6t2n-KvW3Ax8J8uRRfZPq1zPbXgKc/edit?usp=sharing"",""ระยอง!S719"")+IMPORTRANGE(""https://docs.google.com/spreadsheets/d/1jQ6P4QcrGM89YfqcC_PxOHGCMq5ezhucwJd8ci-NHng/edit?usp=sharing"",""ราชบุรี!S71"&amp;"9"")+IMPORTRANGE(""https://docs.google.com/spreadsheets/d/1lufeA2cfFqM-elVq2hznhDzC6Pr7wkJ9ZG_sYNGCMCU/edit?usp=sharing"",""ลพบุรี!S719"")+IMPORTRANGE(""https://docs.google.com/spreadsheets/d/10oOiF7loTyfsTkbd4MpaIm0HQ9SwB7IYHdIUvt-U1Uc/edit?usp=sharing"""&amp;",""สระแก้ว!S719"")+IMPORTRANGE(""https://docs.google.com/spreadsheets/d/1xmPlrr1QbdSIKvl1dWUl9K4PjAfSL9oeMr_37QVzcxc/edit?usp=sharing"",""สระบุรี!S719"")+IMPORTRANGE(""https://docs.google.com/spreadsheets/d/1j51vR6CYVGhABJpv6tkstgok82RLpXieLzW1yOY5rHw/edi"&amp;"t?usp=sharing"",""สิงห์บุรี!S719"")+IMPORTRANGE(""https://docs.google.com/spreadsheets/d/1H1EalTWKUSzO4Z1-1CwzoDUaVffgrThEBe2sl74kKG0/edit?usp=sharing"",""สุพรรณบุรี!S719"")+IMPORTRANGE(""https://docs.google.com/spreadsheets/d/1BmIruG_sIrJLYao_Pdr7zVArWsf"&amp;"oBt2692TMi6x_854/edit?usp=sharing"",""อ่างทอง!S719"")"),0)</f>
        <v>0</v>
      </c>
      <c r="T719" s="130">
        <f t="shared" ca="1" si="485"/>
        <v>0</v>
      </c>
      <c r="U719" s="130">
        <f t="shared" ca="1" si="486"/>
        <v>0</v>
      </c>
    </row>
    <row r="720" spans="1:21" ht="19.5" hidden="1" x14ac:dyDescent="0.3">
      <c r="A720" s="255"/>
      <c r="B720" s="267"/>
      <c r="C720" s="267"/>
      <c r="D720" s="754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2">
        <f t="shared" ref="L720:N720" ca="1" si="493">L721+L722</f>
        <v>0</v>
      </c>
      <c r="M720" s="72">
        <f t="shared" ca="1" si="493"/>
        <v>0</v>
      </c>
      <c r="N720" s="72">
        <f t="shared" ca="1" si="493"/>
        <v>0</v>
      </c>
      <c r="O720" s="72">
        <f t="shared" ca="1" si="482"/>
        <v>0</v>
      </c>
      <c r="P720" s="72">
        <f t="shared" ca="1" si="483"/>
        <v>0</v>
      </c>
      <c r="Q720" s="129">
        <f t="shared" ref="Q720:S720" ca="1" si="494">Q721+Q722</f>
        <v>0</v>
      </c>
      <c r="R720" s="130">
        <f t="shared" ca="1" si="494"/>
        <v>0</v>
      </c>
      <c r="S720" s="130">
        <f t="shared" ca="1" si="494"/>
        <v>0</v>
      </c>
      <c r="T720" s="130">
        <f t="shared" ca="1" si="485"/>
        <v>0</v>
      </c>
      <c r="U720" s="130">
        <f t="shared" ca="1" si="486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f ca="1">IFERROR(__xludf.DUMMYFUNCTION("IMPORTRANGE(""https://docs.google.com/spreadsheets/d/13wPX838HrBrQMCywv1BsuMkt4PEKTChp52zj44s2izQ/edit?usp=sharing"",""กาญจนบุรี!L721"")+IMPORTRANGE(""https://docs.google.com/spreadsheets/d/1ddFKvqj1W1NEiWytbGlB1zMx_ykJDVtmfEQ-6-lIUBA/edit?usp=sharing"","&amp;"""จันทบุรี!L721"")+IMPORTRANGE(""https://docs.google.com/spreadsheets/d/1T1PQvRODqOBZk8BRht_U031fIS1beLA0Ub2CEytj2q0/edit?usp=sharing"",""ฉะเชิงเทรา!L721"")+IMPORTRANGE(""https://docs.google.com/spreadsheets/d/11tr1B-Bhyr79v2bkwVh5h_fR-PStkgjlZtkrZpYurG0/"&amp;"edit?usp=sharing"",""ชลบุรี!L721"")+IMPORTRANGE(""https://docs.google.com/spreadsheets/d/1hh-FVnSX0vozXhGluamEcS54Dw9_zqW0N7qJUWgJ0Sw/edit?usp=sharing"",""ชัยนาท!L721"")+IMPORTRANGE(""https://docs.google.com/spreadsheets/d/1jkqa6GXxSacMcY1eN8AHjMNJ_7dDXMJ"&amp;"VRLDlaFSOdPM/edit?usp=sharing"",""ตราด!L721"")+IMPORTRANGE(""https://docs.google.com/spreadsheets/d/18hSgUJ3VwClqi_qtULmmW3cLr0oe3OKaSYoKzdpTsYQ/edit?usp=sharing"",""นครนายก!L721"")+IMPORTRANGE(""https://docs.google.com/spreadsheets/d/1YTZo6WM2dQ6Ix6FSdnL"&amp;"5P7uVnVKu40sxZu975tgG10E/edit?usp=sharing"",""นครปฐม!L721"")+IMPORTRANGE(""https://docs.google.com/spreadsheets/d/1OYoGg4WDg5RIzwGeB10padOxJF9E_Vljuvvct_M7RDo/edit?usp=sharing"",""ปทุมธานี!L721"")+IMPORTRANGE(""https://docs.google.com/spreadsheets/d/1GbCI"&amp;"E4D4wk9FUozzqk7SxfDMxDVBwVmI5zcaVUSzKAc/edit?usp=sharing"",""ประจวบคีรีขันธ์!L721"")+IMPORTRANGE(""https://docs.google.com/spreadsheets/d/1vVf6wykvW_lAyu7Yo9L4hUTqHqIeP_qcVuxCtosJEbg/edit?usp=sharing"",""ปราจีนบุรี!L721"")+IMPORTRANGE(""https://docs.googl"&amp;"e.com/spreadsheets/d/1BIDqLLg5jk3v59G8NlR8rk5xfQDKne0sAvZHSj7TI6I/edit?usp=sharing"",""พระนครศรีอยุธยา!L721"")+IMPORTRANGE(""https://docs.google.com/spreadsheets/d/1YXvxf8Yu6_rV4hTBrwMqAcAnv6DfhUxh5emyM3CJp_w/edit?usp=sharing"",""เพชรบุรี!L721"")+IMPORTRA"&amp;"NGE(""https://docs.google.com/spreadsheets/d/19KBlQQs7uwvsao6t2n-KvW3Ax8J8uRRfZPq1zPbXgKc/edit?usp=sharing"",""ระยอง!L721"")+IMPORTRANGE(""https://docs.google.com/spreadsheets/d/1jQ6P4QcrGM89YfqcC_PxOHGCMq5ezhucwJd8ci-NHng/edit?usp=sharing"",""ราชบุรี!L72"&amp;"1"")+IMPORTRANGE(""https://docs.google.com/spreadsheets/d/1lufeA2cfFqM-elVq2hznhDzC6Pr7wkJ9ZG_sYNGCMCU/edit?usp=sharing"",""ลพบุรี!L721"")+IMPORTRANGE(""https://docs.google.com/spreadsheets/d/10oOiF7loTyfsTkbd4MpaIm0HQ9SwB7IYHdIUvt-U1Uc/edit?usp=sharing"""&amp;",""สระแก้ว!L721"")+IMPORTRANGE(""https://docs.google.com/spreadsheets/d/1xmPlrr1QbdSIKvl1dWUl9K4PjAfSL9oeMr_37QVzcxc/edit?usp=sharing"",""สระบุรี!L721"")+IMPORTRANGE(""https://docs.google.com/spreadsheets/d/1j51vR6CYVGhABJpv6tkstgok82RLpXieLzW1yOY5rHw/edi"&amp;"t?usp=sharing"",""สิงห์บุรี!L721"")+IMPORTRANGE(""https://docs.google.com/spreadsheets/d/1H1EalTWKUSzO4Z1-1CwzoDUaVffgrThEBe2sl74kKG0/edit?usp=sharing"",""สุพรรณบุรี!L721"")+IMPORTRANGE(""https://docs.google.com/spreadsheets/d/1BmIruG_sIrJLYao_Pdr7zVArWsf"&amp;"oBt2692TMi6x_854/edit?usp=sharing"",""อ่างทอง!L721"")"),0)</f>
        <v>0</v>
      </c>
      <c r="M721" s="75">
        <f ca="1">IFERROR(__xludf.DUMMYFUNCTION("IMPORTRANGE(""https://docs.google.com/spreadsheets/d/13wPX838HrBrQMCywv1BsuMkt4PEKTChp52zj44s2izQ/edit?usp=sharing"",""กาญจนบุรี!M721"")+IMPORTRANGE(""https://docs.google.com/spreadsheets/d/1ddFKvqj1W1NEiWytbGlB1zMx_ykJDVtmfEQ-6-lIUBA/edit?usp=sharing"","&amp;"""จันทบุรี!M721"")+IMPORTRANGE(""https://docs.google.com/spreadsheets/d/1T1PQvRODqOBZk8BRht_U031fIS1beLA0Ub2CEytj2q0/edit?usp=sharing"",""ฉะเชิงเทรา!M721"")+IMPORTRANGE(""https://docs.google.com/spreadsheets/d/11tr1B-Bhyr79v2bkwVh5h_fR-PStkgjlZtkrZpYurG0/"&amp;"edit?usp=sharing"",""ชลบุรี!M721"")+IMPORTRANGE(""https://docs.google.com/spreadsheets/d/1hh-FVnSX0vozXhGluamEcS54Dw9_zqW0N7qJUWgJ0Sw/edit?usp=sharing"",""ชัยนาท!M721"")+IMPORTRANGE(""https://docs.google.com/spreadsheets/d/1jkqa6GXxSacMcY1eN8AHjMNJ_7dDXMJ"&amp;"VRLDlaFSOdPM/edit?usp=sharing"",""ตราด!M721"")+IMPORTRANGE(""https://docs.google.com/spreadsheets/d/18hSgUJ3VwClqi_qtULmmW3cLr0oe3OKaSYoKzdpTsYQ/edit?usp=sharing"",""นครนายก!M721"")+IMPORTRANGE(""https://docs.google.com/spreadsheets/d/1YTZo6WM2dQ6Ix6FSdnL"&amp;"5P7uVnVKu40sxZu975tgG10E/edit?usp=sharing"",""นครปฐม!M721"")+IMPORTRANGE(""https://docs.google.com/spreadsheets/d/1OYoGg4WDg5RIzwGeB10padOxJF9E_Vljuvvct_M7RDo/edit?usp=sharing"",""ปทุมธานี!M721"")+IMPORTRANGE(""https://docs.google.com/spreadsheets/d/1GbCI"&amp;"E4D4wk9FUozzqk7SxfDMxDVBwVmI5zcaVUSzKAc/edit?usp=sharing"",""ประจวบคีรีขันธ์!M721"")+IMPORTRANGE(""https://docs.google.com/spreadsheets/d/1vVf6wykvW_lAyu7Yo9L4hUTqHqIeP_qcVuxCtosJEbg/edit?usp=sharing"",""ปราจีนบุรี!M721"")+IMPORTRANGE(""https://docs.googl"&amp;"e.com/spreadsheets/d/1BIDqLLg5jk3v59G8NlR8rk5xfQDKne0sAvZHSj7TI6I/edit?usp=sharing"",""พระนครศรีอยุธยา!M721"")+IMPORTRANGE(""https://docs.google.com/spreadsheets/d/1YXvxf8Yu6_rV4hTBrwMqAcAnv6DfhUxh5emyM3CJp_w/edit?usp=sharing"",""เพชรบุรี!M721"")+IMPORTRA"&amp;"NGE(""https://docs.google.com/spreadsheets/d/19KBlQQs7uwvsao6t2n-KvW3Ax8J8uRRfZPq1zPbXgKc/edit?usp=sharing"",""ระยอง!M721"")+IMPORTRANGE(""https://docs.google.com/spreadsheets/d/1jQ6P4QcrGM89YfqcC_PxOHGCMq5ezhucwJd8ci-NHng/edit?usp=sharing"",""ราชบุรี!M72"&amp;"1"")+IMPORTRANGE(""https://docs.google.com/spreadsheets/d/1lufeA2cfFqM-elVq2hznhDzC6Pr7wkJ9ZG_sYNGCMCU/edit?usp=sharing"",""ลพบุรี!M721"")+IMPORTRANGE(""https://docs.google.com/spreadsheets/d/10oOiF7loTyfsTkbd4MpaIm0HQ9SwB7IYHdIUvt-U1Uc/edit?usp=sharing"""&amp;",""สระแก้ว!M721"")+IMPORTRANGE(""https://docs.google.com/spreadsheets/d/1xmPlrr1QbdSIKvl1dWUl9K4PjAfSL9oeMr_37QVzcxc/edit?usp=sharing"",""สระบุรี!M721"")+IMPORTRANGE(""https://docs.google.com/spreadsheets/d/1j51vR6CYVGhABJpv6tkstgok82RLpXieLzW1yOY5rHw/edi"&amp;"t?usp=sharing"",""สิงห์บุรี!M721"")+IMPORTRANGE(""https://docs.google.com/spreadsheets/d/1H1EalTWKUSzO4Z1-1CwzoDUaVffgrThEBe2sl74kKG0/edit?usp=sharing"",""สุพรรณบุรี!M721"")+IMPORTRANGE(""https://docs.google.com/spreadsheets/d/1BmIruG_sIrJLYao_Pdr7zVArWsf"&amp;"oBt2692TMi6x_854/edit?usp=sharing"",""อ่างทอง!M721"")"),0)</f>
        <v>0</v>
      </c>
      <c r="N721" s="75">
        <f ca="1">IFERROR(__xludf.DUMMYFUNCTION("IMPORTRANGE(""https://docs.google.com/spreadsheets/d/13wPX838HrBrQMCywv1BsuMkt4PEKTChp52zj44s2izQ/edit?usp=sharing"",""กาญจนบุรี!N721"")+IMPORTRANGE(""https://docs.google.com/spreadsheets/d/1ddFKvqj1W1NEiWytbGlB1zMx_ykJDVtmfEQ-6-lIUBA/edit?usp=sharing"","&amp;"""จันทบุรี!N721"")+IMPORTRANGE(""https://docs.google.com/spreadsheets/d/1T1PQvRODqOBZk8BRht_U031fIS1beLA0Ub2CEytj2q0/edit?usp=sharing"",""ฉะเชิงเทรา!N721"")+IMPORTRANGE(""https://docs.google.com/spreadsheets/d/11tr1B-Bhyr79v2bkwVh5h_fR-PStkgjlZtkrZpYurG0/"&amp;"edit?usp=sharing"",""ชลบุรี!N721"")+IMPORTRANGE(""https://docs.google.com/spreadsheets/d/1hh-FVnSX0vozXhGluamEcS54Dw9_zqW0N7qJUWgJ0Sw/edit?usp=sharing"",""ชัยนาท!N721"")+IMPORTRANGE(""https://docs.google.com/spreadsheets/d/1jkqa6GXxSacMcY1eN8AHjMNJ_7dDXMJ"&amp;"VRLDlaFSOdPM/edit?usp=sharing"",""ตราด!N721"")+IMPORTRANGE(""https://docs.google.com/spreadsheets/d/18hSgUJ3VwClqi_qtULmmW3cLr0oe3OKaSYoKzdpTsYQ/edit?usp=sharing"",""นครนายก!N721"")+IMPORTRANGE(""https://docs.google.com/spreadsheets/d/1YTZo6WM2dQ6Ix6FSdnL"&amp;"5P7uVnVKu40sxZu975tgG10E/edit?usp=sharing"",""นครปฐม!N721"")+IMPORTRANGE(""https://docs.google.com/spreadsheets/d/1OYoGg4WDg5RIzwGeB10padOxJF9E_Vljuvvct_M7RDo/edit?usp=sharing"",""ปทุมธานี!N721"")+IMPORTRANGE(""https://docs.google.com/spreadsheets/d/1GbCI"&amp;"E4D4wk9FUozzqk7SxfDMxDVBwVmI5zcaVUSzKAc/edit?usp=sharing"",""ประจวบคีรีขันธ์!N721"")+IMPORTRANGE(""https://docs.google.com/spreadsheets/d/1vVf6wykvW_lAyu7Yo9L4hUTqHqIeP_qcVuxCtosJEbg/edit?usp=sharing"",""ปราจีนบุรี!N721"")+IMPORTRANGE(""https://docs.googl"&amp;"e.com/spreadsheets/d/1BIDqLLg5jk3v59G8NlR8rk5xfQDKne0sAvZHSj7TI6I/edit?usp=sharing"",""พระนครศรีอยุธยา!N721"")+IMPORTRANGE(""https://docs.google.com/spreadsheets/d/1YXvxf8Yu6_rV4hTBrwMqAcAnv6DfhUxh5emyM3CJp_w/edit?usp=sharing"",""เพชรบุรี!N721"")+IMPORTRA"&amp;"NGE(""https://docs.google.com/spreadsheets/d/19KBlQQs7uwvsao6t2n-KvW3Ax8J8uRRfZPq1zPbXgKc/edit?usp=sharing"",""ระยอง!N721"")+IMPORTRANGE(""https://docs.google.com/spreadsheets/d/1jQ6P4QcrGM89YfqcC_PxOHGCMq5ezhucwJd8ci-NHng/edit?usp=sharing"",""ราชบุรี!N72"&amp;"1"")+IMPORTRANGE(""https://docs.google.com/spreadsheets/d/1lufeA2cfFqM-elVq2hznhDzC6Pr7wkJ9ZG_sYNGCMCU/edit?usp=sharing"",""ลพบุรี!N721"")+IMPORTRANGE(""https://docs.google.com/spreadsheets/d/10oOiF7loTyfsTkbd4MpaIm0HQ9SwB7IYHdIUvt-U1Uc/edit?usp=sharing"""&amp;",""สระแก้ว!N721"")+IMPORTRANGE(""https://docs.google.com/spreadsheets/d/1xmPlrr1QbdSIKvl1dWUl9K4PjAfSL9oeMr_37QVzcxc/edit?usp=sharing"",""สระบุรี!N721"")+IMPORTRANGE(""https://docs.google.com/spreadsheets/d/1j51vR6CYVGhABJpv6tkstgok82RLpXieLzW1yOY5rHw/edi"&amp;"t?usp=sharing"",""สิงห์บุรี!N721"")+IMPORTRANGE(""https://docs.google.com/spreadsheets/d/1H1EalTWKUSzO4Z1-1CwzoDUaVffgrThEBe2sl74kKG0/edit?usp=sharing"",""สุพรรณบุรี!N721"")+IMPORTRANGE(""https://docs.google.com/spreadsheets/d/1BmIruG_sIrJLYao_Pdr7zVArWsf"&amp;"oBt2692TMi6x_854/edit?usp=sharing"",""อ่างทอง!N721"")"),0)</f>
        <v>0</v>
      </c>
      <c r="O721" s="75">
        <f t="shared" ca="1" si="482"/>
        <v>0</v>
      </c>
      <c r="P721" s="75">
        <f t="shared" ca="1" si="483"/>
        <v>0</v>
      </c>
      <c r="Q721" s="74">
        <f ca="1">IFERROR(__xludf.DUMMYFUNCTION("IMPORTRANGE(""https://docs.google.com/spreadsheets/d/13wPX838HrBrQMCywv1BsuMkt4PEKTChp52zj44s2izQ/edit?usp=sharing"",""กาญจนบุรี!Q721"")+IMPORTRANGE(""https://docs.google.com/spreadsheets/d/1ddFKvqj1W1NEiWytbGlB1zMx_ykJDVtmfEQ-6-lIUBA/edit?usp=sharing"","&amp;"""จันทบุรี!Q721"")+IMPORTRANGE(""https://docs.google.com/spreadsheets/d/1T1PQvRODqOBZk8BRht_U031fIS1beLA0Ub2CEytj2q0/edit?usp=sharing"",""ฉะเชิงเทรา!Q721"")+IMPORTRANGE(""https://docs.google.com/spreadsheets/d/11tr1B-Bhyr79v2bkwVh5h_fR-PStkgjlZtkrZpYurG0/"&amp;"edit?usp=sharing"",""ชลบุรี!Q721"")+IMPORTRANGE(""https://docs.google.com/spreadsheets/d/1hh-FVnSX0vozXhGluamEcS54Dw9_zqW0N7qJUWgJ0Sw/edit?usp=sharing"",""ชัยนาท!Q721"")+IMPORTRANGE(""https://docs.google.com/spreadsheets/d/1jkqa6GXxSacMcY1eN8AHjMNJ_7dDXMJ"&amp;"VRLDlaFSOdPM/edit?usp=sharing"",""ตราด!Q721"")+IMPORTRANGE(""https://docs.google.com/spreadsheets/d/18hSgUJ3VwClqi_qtULmmW3cLr0oe3OKaSYoKzdpTsYQ/edit?usp=sharing"",""นครนายก!Q721"")+IMPORTRANGE(""https://docs.google.com/spreadsheets/d/1YTZo6WM2dQ6Ix6FSdnL"&amp;"5P7uVnVKu40sxZu975tgG10E/edit?usp=sharing"",""นครปฐม!Q721"")+IMPORTRANGE(""https://docs.google.com/spreadsheets/d/1OYoGg4WDg5RIzwGeB10padOxJF9E_Vljuvvct_M7RDo/edit?usp=sharing"",""ปทุมธานี!Q721"")+IMPORTRANGE(""https://docs.google.com/spreadsheets/d/1GbCI"&amp;"E4D4wk9FUozzqk7SxfDMxDVBwVmI5zcaVUSzKAc/edit?usp=sharing"",""ประจวบคีรีขันธ์!Q721"")+IMPORTRANGE(""https://docs.google.com/spreadsheets/d/1vVf6wykvW_lAyu7Yo9L4hUTqHqIeP_qcVuxCtosJEbg/edit?usp=sharing"",""ปราจีนบุรี!Q721"")+IMPORTRANGE(""https://docs.googl"&amp;"e.com/spreadsheets/d/1BIDqLLg5jk3v59G8NlR8rk5xfQDKne0sAvZHSj7TI6I/edit?usp=sharing"",""พระนครศรีอยุธยา!Q721"")+IMPORTRANGE(""https://docs.google.com/spreadsheets/d/1YXvxf8Yu6_rV4hTBrwMqAcAnv6DfhUxh5emyM3CJp_w/edit?usp=sharing"",""เพชรบุรี!Q721"")+IMPORTRA"&amp;"NGE(""https://docs.google.com/spreadsheets/d/19KBlQQs7uwvsao6t2n-KvW3Ax8J8uRRfZPq1zPbXgKc/edit?usp=sharing"",""ระยอง!Q721"")+IMPORTRANGE(""https://docs.google.com/spreadsheets/d/1jQ6P4QcrGM89YfqcC_PxOHGCMq5ezhucwJd8ci-NHng/edit?usp=sharing"",""ราชบุรี!Q72"&amp;"1"")+IMPORTRANGE(""https://docs.google.com/spreadsheets/d/1lufeA2cfFqM-elVq2hznhDzC6Pr7wkJ9ZG_sYNGCMCU/edit?usp=sharing"",""ลพบุรี!Q721"")+IMPORTRANGE(""https://docs.google.com/spreadsheets/d/10oOiF7loTyfsTkbd4MpaIm0HQ9SwB7IYHdIUvt-U1Uc/edit?usp=sharing"""&amp;",""สระแก้ว!Q721"")+IMPORTRANGE(""https://docs.google.com/spreadsheets/d/1xmPlrr1QbdSIKvl1dWUl9K4PjAfSL9oeMr_37QVzcxc/edit?usp=sharing"",""สระบุรี!Q721"")+IMPORTRANGE(""https://docs.google.com/spreadsheets/d/1j51vR6CYVGhABJpv6tkstgok82RLpXieLzW1yOY5rHw/edi"&amp;"t?usp=sharing"",""สิงห์บุรี!Q721"")+IMPORTRANGE(""https://docs.google.com/spreadsheets/d/1H1EalTWKUSzO4Z1-1CwzoDUaVffgrThEBe2sl74kKG0/edit?usp=sharing"",""สุพรรณบุรี!Q721"")+IMPORTRANGE(""https://docs.google.com/spreadsheets/d/1BmIruG_sIrJLYao_Pdr7zVArWsf"&amp;"oBt2692TMi6x_854/edit?usp=sharing"",""อ่างทอง!Q721"")"),0)</f>
        <v>0</v>
      </c>
      <c r="R721" s="75">
        <f ca="1">IFERROR(__xludf.DUMMYFUNCTION("IMPORTRANGE(""https://docs.google.com/spreadsheets/d/13wPX838HrBrQMCywv1BsuMkt4PEKTChp52zj44s2izQ/edit?usp=sharing"",""กาญจนบุรี!R721"")+IMPORTRANGE(""https://docs.google.com/spreadsheets/d/1ddFKvqj1W1NEiWytbGlB1zMx_ykJDVtmfEQ-6-lIUBA/edit?usp=sharing"","&amp;"""จันทบุรี!R721"")+IMPORTRANGE(""https://docs.google.com/spreadsheets/d/1T1PQvRODqOBZk8BRht_U031fIS1beLA0Ub2CEytj2q0/edit?usp=sharing"",""ฉะเชิงเทรา!R721"")+IMPORTRANGE(""https://docs.google.com/spreadsheets/d/11tr1B-Bhyr79v2bkwVh5h_fR-PStkgjlZtkrZpYurG0/"&amp;"edit?usp=sharing"",""ชลบุรี!R721"")+IMPORTRANGE(""https://docs.google.com/spreadsheets/d/1hh-FVnSX0vozXhGluamEcS54Dw9_zqW0N7qJUWgJ0Sw/edit?usp=sharing"",""ชัยนาท!R721"")+IMPORTRANGE(""https://docs.google.com/spreadsheets/d/1jkqa6GXxSacMcY1eN8AHjMNJ_7dDXMJ"&amp;"VRLDlaFSOdPM/edit?usp=sharing"",""ตราด!R721"")+IMPORTRANGE(""https://docs.google.com/spreadsheets/d/18hSgUJ3VwClqi_qtULmmW3cLr0oe3OKaSYoKzdpTsYQ/edit?usp=sharing"",""นครนายก!R721"")+IMPORTRANGE(""https://docs.google.com/spreadsheets/d/1YTZo6WM2dQ6Ix6FSdnL"&amp;"5P7uVnVKu40sxZu975tgG10E/edit?usp=sharing"",""นครปฐม!R721"")+IMPORTRANGE(""https://docs.google.com/spreadsheets/d/1OYoGg4WDg5RIzwGeB10padOxJF9E_Vljuvvct_M7RDo/edit?usp=sharing"",""ปทุมธานี!R721"")+IMPORTRANGE(""https://docs.google.com/spreadsheets/d/1GbCI"&amp;"E4D4wk9FUozzqk7SxfDMxDVBwVmI5zcaVUSzKAc/edit?usp=sharing"",""ประจวบคีรีขันธ์!R721"")+IMPORTRANGE(""https://docs.google.com/spreadsheets/d/1vVf6wykvW_lAyu7Yo9L4hUTqHqIeP_qcVuxCtosJEbg/edit?usp=sharing"",""ปราจีนบุรี!R721"")+IMPORTRANGE(""https://docs.googl"&amp;"e.com/spreadsheets/d/1BIDqLLg5jk3v59G8NlR8rk5xfQDKne0sAvZHSj7TI6I/edit?usp=sharing"",""พระนครศรีอยุธยา!R721"")+IMPORTRANGE(""https://docs.google.com/spreadsheets/d/1YXvxf8Yu6_rV4hTBrwMqAcAnv6DfhUxh5emyM3CJp_w/edit?usp=sharing"",""เพชรบุรี!R721"")+IMPORTRA"&amp;"NGE(""https://docs.google.com/spreadsheets/d/19KBlQQs7uwvsao6t2n-KvW3Ax8J8uRRfZPq1zPbXgKc/edit?usp=sharing"",""ระยอง!R721"")+IMPORTRANGE(""https://docs.google.com/spreadsheets/d/1jQ6P4QcrGM89YfqcC_PxOHGCMq5ezhucwJd8ci-NHng/edit?usp=sharing"",""ราชบุรี!R72"&amp;"1"")+IMPORTRANGE(""https://docs.google.com/spreadsheets/d/1lufeA2cfFqM-elVq2hznhDzC6Pr7wkJ9ZG_sYNGCMCU/edit?usp=sharing"",""ลพบุรี!R721"")+IMPORTRANGE(""https://docs.google.com/spreadsheets/d/10oOiF7loTyfsTkbd4MpaIm0HQ9SwB7IYHdIUvt-U1Uc/edit?usp=sharing"""&amp;",""สระแก้ว!R721"")+IMPORTRANGE(""https://docs.google.com/spreadsheets/d/1xmPlrr1QbdSIKvl1dWUl9K4PjAfSL9oeMr_37QVzcxc/edit?usp=sharing"",""สระบุรี!R721"")+IMPORTRANGE(""https://docs.google.com/spreadsheets/d/1j51vR6CYVGhABJpv6tkstgok82RLpXieLzW1yOY5rHw/edi"&amp;"t?usp=sharing"",""สิงห์บุรี!R721"")+IMPORTRANGE(""https://docs.google.com/spreadsheets/d/1H1EalTWKUSzO4Z1-1CwzoDUaVffgrThEBe2sl74kKG0/edit?usp=sharing"",""สุพรรณบุรี!R721"")+IMPORTRANGE(""https://docs.google.com/spreadsheets/d/1BmIruG_sIrJLYao_Pdr7zVArWsf"&amp;"oBt2692TMi6x_854/edit?usp=sharing"",""อ่างทอง!R721"")"),0)</f>
        <v>0</v>
      </c>
      <c r="S721" s="75">
        <f ca="1">IFERROR(__xludf.DUMMYFUNCTION("IMPORTRANGE(""https://docs.google.com/spreadsheets/d/13wPX838HrBrQMCywv1BsuMkt4PEKTChp52zj44s2izQ/edit?usp=sharing"",""กาญจนบุรี!S721"")+IMPORTRANGE(""https://docs.google.com/spreadsheets/d/1ddFKvqj1W1NEiWytbGlB1zMx_ykJDVtmfEQ-6-lIUBA/edit?usp=sharing"","&amp;"""จันทบุรี!S721"")+IMPORTRANGE(""https://docs.google.com/spreadsheets/d/1T1PQvRODqOBZk8BRht_U031fIS1beLA0Ub2CEytj2q0/edit?usp=sharing"",""ฉะเชิงเทรา!S721"")+IMPORTRANGE(""https://docs.google.com/spreadsheets/d/11tr1B-Bhyr79v2bkwVh5h_fR-PStkgjlZtkrZpYurG0/"&amp;"edit?usp=sharing"",""ชลบุรี!S721"")+IMPORTRANGE(""https://docs.google.com/spreadsheets/d/1hh-FVnSX0vozXhGluamEcS54Dw9_zqW0N7qJUWgJ0Sw/edit?usp=sharing"",""ชัยนาท!S721"")+IMPORTRANGE(""https://docs.google.com/spreadsheets/d/1jkqa6GXxSacMcY1eN8AHjMNJ_7dDXMJ"&amp;"VRLDlaFSOdPM/edit?usp=sharing"",""ตราด!S721"")+IMPORTRANGE(""https://docs.google.com/spreadsheets/d/18hSgUJ3VwClqi_qtULmmW3cLr0oe3OKaSYoKzdpTsYQ/edit?usp=sharing"",""นครนายก!S721"")+IMPORTRANGE(""https://docs.google.com/spreadsheets/d/1YTZo6WM2dQ6Ix6FSdnL"&amp;"5P7uVnVKu40sxZu975tgG10E/edit?usp=sharing"",""นครปฐม!S721"")+IMPORTRANGE(""https://docs.google.com/spreadsheets/d/1OYoGg4WDg5RIzwGeB10padOxJF9E_Vljuvvct_M7RDo/edit?usp=sharing"",""ปทุมธานี!S721"")+IMPORTRANGE(""https://docs.google.com/spreadsheets/d/1GbCI"&amp;"E4D4wk9FUozzqk7SxfDMxDVBwVmI5zcaVUSzKAc/edit?usp=sharing"",""ประจวบคีรีขันธ์!S721"")+IMPORTRANGE(""https://docs.google.com/spreadsheets/d/1vVf6wykvW_lAyu7Yo9L4hUTqHqIeP_qcVuxCtosJEbg/edit?usp=sharing"",""ปราจีนบุรี!S721"")+IMPORTRANGE(""https://docs.googl"&amp;"e.com/spreadsheets/d/1BIDqLLg5jk3v59G8NlR8rk5xfQDKne0sAvZHSj7TI6I/edit?usp=sharing"",""พระนครศรีอยุธยา!S721"")+IMPORTRANGE(""https://docs.google.com/spreadsheets/d/1YXvxf8Yu6_rV4hTBrwMqAcAnv6DfhUxh5emyM3CJp_w/edit?usp=sharing"",""เพชรบุรี!S721"")+IMPORTRA"&amp;"NGE(""https://docs.google.com/spreadsheets/d/19KBlQQs7uwvsao6t2n-KvW3Ax8J8uRRfZPq1zPbXgKc/edit?usp=sharing"",""ระยอง!S721"")+IMPORTRANGE(""https://docs.google.com/spreadsheets/d/1jQ6P4QcrGM89YfqcC_PxOHGCMq5ezhucwJd8ci-NHng/edit?usp=sharing"",""ราชบุรี!S72"&amp;"1"")+IMPORTRANGE(""https://docs.google.com/spreadsheets/d/1lufeA2cfFqM-elVq2hznhDzC6Pr7wkJ9ZG_sYNGCMCU/edit?usp=sharing"",""ลพบุรี!S721"")+IMPORTRANGE(""https://docs.google.com/spreadsheets/d/10oOiF7loTyfsTkbd4MpaIm0HQ9SwB7IYHdIUvt-U1Uc/edit?usp=sharing"""&amp;",""สระแก้ว!S721"")+IMPORTRANGE(""https://docs.google.com/spreadsheets/d/1xmPlrr1QbdSIKvl1dWUl9K4PjAfSL9oeMr_37QVzcxc/edit?usp=sharing"",""สระบุรี!S721"")+IMPORTRANGE(""https://docs.google.com/spreadsheets/d/1j51vR6CYVGhABJpv6tkstgok82RLpXieLzW1yOY5rHw/edi"&amp;"t?usp=sharing"",""สิงห์บุรี!S721"")+IMPORTRANGE(""https://docs.google.com/spreadsheets/d/1H1EalTWKUSzO4Z1-1CwzoDUaVffgrThEBe2sl74kKG0/edit?usp=sharing"",""สุพรรณบุรี!S721"")+IMPORTRANGE(""https://docs.google.com/spreadsheets/d/1BmIruG_sIrJLYao_Pdr7zVArWsf"&amp;"oBt2692TMi6x_854/edit?usp=sharing"",""อ่างทอง!S721"")"),0)</f>
        <v>0</v>
      </c>
      <c r="T721" s="131">
        <f t="shared" ca="1" si="485"/>
        <v>0</v>
      </c>
      <c r="U721" s="131">
        <f t="shared" ca="1" si="486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2">
        <f ca="1">IFERROR(__xludf.DUMMYFUNCTION("IMPORTRANGE(""https://docs.google.com/spreadsheets/d/13wPX838HrBrQMCywv1BsuMkt4PEKTChp52zj44s2izQ/edit?usp=sharing"",""กาญจนบุรี!L722"")+IMPORTRANGE(""https://docs.google.com/spreadsheets/d/1ddFKvqj1W1NEiWytbGlB1zMx_ykJDVtmfEQ-6-lIUBA/edit?usp=sharing"","&amp;"""จันทบุรี!L722"")+IMPORTRANGE(""https://docs.google.com/spreadsheets/d/1T1PQvRODqOBZk8BRht_U031fIS1beLA0Ub2CEytj2q0/edit?usp=sharing"",""ฉะเชิงเทรา!L722"")+IMPORTRANGE(""https://docs.google.com/spreadsheets/d/11tr1B-Bhyr79v2bkwVh5h_fR-PStkgjlZtkrZpYurG0/"&amp;"edit?usp=sharing"",""ชลบุรี!L722"")+IMPORTRANGE(""https://docs.google.com/spreadsheets/d/1hh-FVnSX0vozXhGluamEcS54Dw9_zqW0N7qJUWgJ0Sw/edit?usp=sharing"",""ชัยนาท!L722"")+IMPORTRANGE(""https://docs.google.com/spreadsheets/d/1jkqa6GXxSacMcY1eN8AHjMNJ_7dDXMJ"&amp;"VRLDlaFSOdPM/edit?usp=sharing"",""ตราด!L722"")+IMPORTRANGE(""https://docs.google.com/spreadsheets/d/18hSgUJ3VwClqi_qtULmmW3cLr0oe3OKaSYoKzdpTsYQ/edit?usp=sharing"",""นครนายก!L722"")+IMPORTRANGE(""https://docs.google.com/spreadsheets/d/1YTZo6WM2dQ6Ix6FSdnL"&amp;"5P7uVnVKu40sxZu975tgG10E/edit?usp=sharing"",""นครปฐม!L722"")+IMPORTRANGE(""https://docs.google.com/spreadsheets/d/1OYoGg4WDg5RIzwGeB10padOxJF9E_Vljuvvct_M7RDo/edit?usp=sharing"",""ปทุมธานี!L722"")+IMPORTRANGE(""https://docs.google.com/spreadsheets/d/1GbCI"&amp;"E4D4wk9FUozzqk7SxfDMxDVBwVmI5zcaVUSzKAc/edit?usp=sharing"",""ประจวบคีรีขันธ์!L722"")+IMPORTRANGE(""https://docs.google.com/spreadsheets/d/1vVf6wykvW_lAyu7Yo9L4hUTqHqIeP_qcVuxCtosJEbg/edit?usp=sharing"",""ปราจีนบุรี!L722"")+IMPORTRANGE(""https://docs.googl"&amp;"e.com/spreadsheets/d/1BIDqLLg5jk3v59G8NlR8rk5xfQDKne0sAvZHSj7TI6I/edit?usp=sharing"",""พระนครศรีอยุธยา!L722"")+IMPORTRANGE(""https://docs.google.com/spreadsheets/d/1YXvxf8Yu6_rV4hTBrwMqAcAnv6DfhUxh5emyM3CJp_w/edit?usp=sharing"",""เพชรบุรี!L722"")+IMPORTRA"&amp;"NGE(""https://docs.google.com/spreadsheets/d/19KBlQQs7uwvsao6t2n-KvW3Ax8J8uRRfZPq1zPbXgKc/edit?usp=sharing"",""ระยอง!L722"")+IMPORTRANGE(""https://docs.google.com/spreadsheets/d/1jQ6P4QcrGM89YfqcC_PxOHGCMq5ezhucwJd8ci-NHng/edit?usp=sharing"",""ราชบุรี!L72"&amp;"2"")+IMPORTRANGE(""https://docs.google.com/spreadsheets/d/1lufeA2cfFqM-elVq2hznhDzC6Pr7wkJ9ZG_sYNGCMCU/edit?usp=sharing"",""ลพบุรี!L722"")+IMPORTRANGE(""https://docs.google.com/spreadsheets/d/10oOiF7loTyfsTkbd4MpaIm0HQ9SwB7IYHdIUvt-U1Uc/edit?usp=sharing"""&amp;",""สระแก้ว!L722"")+IMPORTRANGE(""https://docs.google.com/spreadsheets/d/1xmPlrr1QbdSIKvl1dWUl9K4PjAfSL9oeMr_37QVzcxc/edit?usp=sharing"",""สระบุรี!L722"")+IMPORTRANGE(""https://docs.google.com/spreadsheets/d/1j51vR6CYVGhABJpv6tkstgok82RLpXieLzW1yOY5rHw/edi"&amp;"t?usp=sharing"",""สิงห์บุรี!L722"")+IMPORTRANGE(""https://docs.google.com/spreadsheets/d/1H1EalTWKUSzO4Z1-1CwzoDUaVffgrThEBe2sl74kKG0/edit?usp=sharing"",""สุพรรณบุรี!L722"")+IMPORTRANGE(""https://docs.google.com/spreadsheets/d/1BmIruG_sIrJLYao_Pdr7zVArWsf"&amp;"oBt2692TMi6x_854/edit?usp=sharing"",""อ่างทอง!L722"")"),0)</f>
        <v>0</v>
      </c>
      <c r="M722" s="72">
        <f ca="1">IFERROR(__xludf.DUMMYFUNCTION("IMPORTRANGE(""https://docs.google.com/spreadsheets/d/13wPX838HrBrQMCywv1BsuMkt4PEKTChp52zj44s2izQ/edit?usp=sharing"",""กาญจนบุรี!M722"")+IMPORTRANGE(""https://docs.google.com/spreadsheets/d/1ddFKvqj1W1NEiWytbGlB1zMx_ykJDVtmfEQ-6-lIUBA/edit?usp=sharing"","&amp;"""จันทบุรี!M722"")+IMPORTRANGE(""https://docs.google.com/spreadsheets/d/1T1PQvRODqOBZk8BRht_U031fIS1beLA0Ub2CEytj2q0/edit?usp=sharing"",""ฉะเชิงเทรา!M722"")+IMPORTRANGE(""https://docs.google.com/spreadsheets/d/11tr1B-Bhyr79v2bkwVh5h_fR-PStkgjlZtkrZpYurG0/"&amp;"edit?usp=sharing"",""ชลบุรี!M722"")+IMPORTRANGE(""https://docs.google.com/spreadsheets/d/1hh-FVnSX0vozXhGluamEcS54Dw9_zqW0N7qJUWgJ0Sw/edit?usp=sharing"",""ชัยนาท!M722"")+IMPORTRANGE(""https://docs.google.com/spreadsheets/d/1jkqa6GXxSacMcY1eN8AHjMNJ_7dDXMJ"&amp;"VRLDlaFSOdPM/edit?usp=sharing"",""ตราด!M722"")+IMPORTRANGE(""https://docs.google.com/spreadsheets/d/18hSgUJ3VwClqi_qtULmmW3cLr0oe3OKaSYoKzdpTsYQ/edit?usp=sharing"",""นครนายก!M722"")+IMPORTRANGE(""https://docs.google.com/spreadsheets/d/1YTZo6WM2dQ6Ix6FSdnL"&amp;"5P7uVnVKu40sxZu975tgG10E/edit?usp=sharing"",""นครปฐม!M722"")+IMPORTRANGE(""https://docs.google.com/spreadsheets/d/1OYoGg4WDg5RIzwGeB10padOxJF9E_Vljuvvct_M7RDo/edit?usp=sharing"",""ปทุมธานี!M722"")+IMPORTRANGE(""https://docs.google.com/spreadsheets/d/1GbCI"&amp;"E4D4wk9FUozzqk7SxfDMxDVBwVmI5zcaVUSzKAc/edit?usp=sharing"",""ประจวบคีรีขันธ์!M722"")+IMPORTRANGE(""https://docs.google.com/spreadsheets/d/1vVf6wykvW_lAyu7Yo9L4hUTqHqIeP_qcVuxCtosJEbg/edit?usp=sharing"",""ปราจีนบุรี!M722"")+IMPORTRANGE(""https://docs.googl"&amp;"e.com/spreadsheets/d/1BIDqLLg5jk3v59G8NlR8rk5xfQDKne0sAvZHSj7TI6I/edit?usp=sharing"",""พระนครศรีอยุธยา!M722"")+IMPORTRANGE(""https://docs.google.com/spreadsheets/d/1YXvxf8Yu6_rV4hTBrwMqAcAnv6DfhUxh5emyM3CJp_w/edit?usp=sharing"",""เพชรบุรี!M722"")+IMPORTRA"&amp;"NGE(""https://docs.google.com/spreadsheets/d/19KBlQQs7uwvsao6t2n-KvW3Ax8J8uRRfZPq1zPbXgKc/edit?usp=sharing"",""ระยอง!M722"")+IMPORTRANGE(""https://docs.google.com/spreadsheets/d/1jQ6P4QcrGM89YfqcC_PxOHGCMq5ezhucwJd8ci-NHng/edit?usp=sharing"",""ราชบุรี!M72"&amp;"2"")+IMPORTRANGE(""https://docs.google.com/spreadsheets/d/1lufeA2cfFqM-elVq2hznhDzC6Pr7wkJ9ZG_sYNGCMCU/edit?usp=sharing"",""ลพบุรี!M722"")+IMPORTRANGE(""https://docs.google.com/spreadsheets/d/10oOiF7loTyfsTkbd4MpaIm0HQ9SwB7IYHdIUvt-U1Uc/edit?usp=sharing"""&amp;",""สระแก้ว!M722"")+IMPORTRANGE(""https://docs.google.com/spreadsheets/d/1xmPlrr1QbdSIKvl1dWUl9K4PjAfSL9oeMr_37QVzcxc/edit?usp=sharing"",""สระบุรี!M722"")+IMPORTRANGE(""https://docs.google.com/spreadsheets/d/1j51vR6CYVGhABJpv6tkstgok82RLpXieLzW1yOY5rHw/edi"&amp;"t?usp=sharing"",""สิงห์บุรี!M722"")+IMPORTRANGE(""https://docs.google.com/spreadsheets/d/1H1EalTWKUSzO4Z1-1CwzoDUaVffgrThEBe2sl74kKG0/edit?usp=sharing"",""สุพรรณบุรี!M722"")+IMPORTRANGE(""https://docs.google.com/spreadsheets/d/1BmIruG_sIrJLYao_Pdr7zVArWsf"&amp;"oBt2692TMi6x_854/edit?usp=sharing"",""อ่างทอง!M722"")"),0)</f>
        <v>0</v>
      </c>
      <c r="N722" s="72">
        <f ca="1">IFERROR(__xludf.DUMMYFUNCTION("IMPORTRANGE(""https://docs.google.com/spreadsheets/d/13wPX838HrBrQMCywv1BsuMkt4PEKTChp52zj44s2izQ/edit?usp=sharing"",""กาญจนบุรี!N722"")+IMPORTRANGE(""https://docs.google.com/spreadsheets/d/1ddFKvqj1W1NEiWytbGlB1zMx_ykJDVtmfEQ-6-lIUBA/edit?usp=sharing"","&amp;"""จันทบุรี!N722"")+IMPORTRANGE(""https://docs.google.com/spreadsheets/d/1T1PQvRODqOBZk8BRht_U031fIS1beLA0Ub2CEytj2q0/edit?usp=sharing"",""ฉะเชิงเทรา!N722"")+IMPORTRANGE(""https://docs.google.com/spreadsheets/d/11tr1B-Bhyr79v2bkwVh5h_fR-PStkgjlZtkrZpYurG0/"&amp;"edit?usp=sharing"",""ชลบุรี!N722"")+IMPORTRANGE(""https://docs.google.com/spreadsheets/d/1hh-FVnSX0vozXhGluamEcS54Dw9_zqW0N7qJUWgJ0Sw/edit?usp=sharing"",""ชัยนาท!N722"")+IMPORTRANGE(""https://docs.google.com/spreadsheets/d/1jkqa6GXxSacMcY1eN8AHjMNJ_7dDXMJ"&amp;"VRLDlaFSOdPM/edit?usp=sharing"",""ตราด!N722"")+IMPORTRANGE(""https://docs.google.com/spreadsheets/d/18hSgUJ3VwClqi_qtULmmW3cLr0oe3OKaSYoKzdpTsYQ/edit?usp=sharing"",""นครนายก!N722"")+IMPORTRANGE(""https://docs.google.com/spreadsheets/d/1YTZo6WM2dQ6Ix6FSdnL"&amp;"5P7uVnVKu40sxZu975tgG10E/edit?usp=sharing"",""นครปฐม!N722"")+IMPORTRANGE(""https://docs.google.com/spreadsheets/d/1OYoGg4WDg5RIzwGeB10padOxJF9E_Vljuvvct_M7RDo/edit?usp=sharing"",""ปทุมธานี!N722"")+IMPORTRANGE(""https://docs.google.com/spreadsheets/d/1GbCI"&amp;"E4D4wk9FUozzqk7SxfDMxDVBwVmI5zcaVUSzKAc/edit?usp=sharing"",""ประจวบคีรีขันธ์!N722"")+IMPORTRANGE(""https://docs.google.com/spreadsheets/d/1vVf6wykvW_lAyu7Yo9L4hUTqHqIeP_qcVuxCtosJEbg/edit?usp=sharing"",""ปราจีนบุรี!N722"")+IMPORTRANGE(""https://docs.googl"&amp;"e.com/spreadsheets/d/1BIDqLLg5jk3v59G8NlR8rk5xfQDKne0sAvZHSj7TI6I/edit?usp=sharing"",""พระนครศรีอยุธยา!N722"")+IMPORTRANGE(""https://docs.google.com/spreadsheets/d/1YXvxf8Yu6_rV4hTBrwMqAcAnv6DfhUxh5emyM3CJp_w/edit?usp=sharing"",""เพชรบุรี!N722"")+IMPORTRA"&amp;"NGE(""https://docs.google.com/spreadsheets/d/19KBlQQs7uwvsao6t2n-KvW3Ax8J8uRRfZPq1zPbXgKc/edit?usp=sharing"",""ระยอง!N722"")+IMPORTRANGE(""https://docs.google.com/spreadsheets/d/1jQ6P4QcrGM89YfqcC_PxOHGCMq5ezhucwJd8ci-NHng/edit?usp=sharing"",""ราชบุรี!N72"&amp;"2"")+IMPORTRANGE(""https://docs.google.com/spreadsheets/d/1lufeA2cfFqM-elVq2hznhDzC6Pr7wkJ9ZG_sYNGCMCU/edit?usp=sharing"",""ลพบุรี!N722"")+IMPORTRANGE(""https://docs.google.com/spreadsheets/d/10oOiF7loTyfsTkbd4MpaIm0HQ9SwB7IYHdIUvt-U1Uc/edit?usp=sharing"""&amp;",""สระแก้ว!N722"")+IMPORTRANGE(""https://docs.google.com/spreadsheets/d/1xmPlrr1QbdSIKvl1dWUl9K4PjAfSL9oeMr_37QVzcxc/edit?usp=sharing"",""สระบุรี!N722"")+IMPORTRANGE(""https://docs.google.com/spreadsheets/d/1j51vR6CYVGhABJpv6tkstgok82RLpXieLzW1yOY5rHw/edi"&amp;"t?usp=sharing"",""สิงห์บุรี!N722"")+IMPORTRANGE(""https://docs.google.com/spreadsheets/d/1H1EalTWKUSzO4Z1-1CwzoDUaVffgrThEBe2sl74kKG0/edit?usp=sharing"",""สุพรรณบุรี!N722"")+IMPORTRANGE(""https://docs.google.com/spreadsheets/d/1BmIruG_sIrJLYao_Pdr7zVArWsf"&amp;"oBt2692TMi6x_854/edit?usp=sharing"",""อ่างทอง!N722"")"),0)</f>
        <v>0</v>
      </c>
      <c r="O722" s="72">
        <f t="shared" ca="1" si="482"/>
        <v>0</v>
      </c>
      <c r="P722" s="72">
        <f t="shared" ca="1" si="483"/>
        <v>0</v>
      </c>
      <c r="Q722" s="71">
        <f ca="1">IFERROR(__xludf.DUMMYFUNCTION("IMPORTRANGE(""https://docs.google.com/spreadsheets/d/13wPX838HrBrQMCywv1BsuMkt4PEKTChp52zj44s2izQ/edit?usp=sharing"",""กาญจนบุรี!Q722"")+IMPORTRANGE(""https://docs.google.com/spreadsheets/d/1ddFKvqj1W1NEiWytbGlB1zMx_ykJDVtmfEQ-6-lIUBA/edit?usp=sharing"","&amp;"""จันทบุรี!Q722"")+IMPORTRANGE(""https://docs.google.com/spreadsheets/d/1T1PQvRODqOBZk8BRht_U031fIS1beLA0Ub2CEytj2q0/edit?usp=sharing"",""ฉะเชิงเทรา!Q722"")+IMPORTRANGE(""https://docs.google.com/spreadsheets/d/11tr1B-Bhyr79v2bkwVh5h_fR-PStkgjlZtkrZpYurG0/"&amp;"edit?usp=sharing"",""ชลบุรี!Q722"")+IMPORTRANGE(""https://docs.google.com/spreadsheets/d/1hh-FVnSX0vozXhGluamEcS54Dw9_zqW0N7qJUWgJ0Sw/edit?usp=sharing"",""ชัยนาท!Q722"")+IMPORTRANGE(""https://docs.google.com/spreadsheets/d/1jkqa6GXxSacMcY1eN8AHjMNJ_7dDXMJ"&amp;"VRLDlaFSOdPM/edit?usp=sharing"",""ตราด!Q722"")+IMPORTRANGE(""https://docs.google.com/spreadsheets/d/18hSgUJ3VwClqi_qtULmmW3cLr0oe3OKaSYoKzdpTsYQ/edit?usp=sharing"",""นครนายก!Q722"")+IMPORTRANGE(""https://docs.google.com/spreadsheets/d/1YTZo6WM2dQ6Ix6FSdnL"&amp;"5P7uVnVKu40sxZu975tgG10E/edit?usp=sharing"",""นครปฐม!Q722"")+IMPORTRANGE(""https://docs.google.com/spreadsheets/d/1OYoGg4WDg5RIzwGeB10padOxJF9E_Vljuvvct_M7RDo/edit?usp=sharing"",""ปทุมธานี!Q722"")+IMPORTRANGE(""https://docs.google.com/spreadsheets/d/1GbCI"&amp;"E4D4wk9FUozzqk7SxfDMxDVBwVmI5zcaVUSzKAc/edit?usp=sharing"",""ประจวบคีรีขันธ์!Q722"")+IMPORTRANGE(""https://docs.google.com/spreadsheets/d/1vVf6wykvW_lAyu7Yo9L4hUTqHqIeP_qcVuxCtosJEbg/edit?usp=sharing"",""ปราจีนบุรี!Q722"")+IMPORTRANGE(""https://docs.googl"&amp;"e.com/spreadsheets/d/1BIDqLLg5jk3v59G8NlR8rk5xfQDKne0sAvZHSj7TI6I/edit?usp=sharing"",""พระนครศรีอยุธยา!Q722"")+IMPORTRANGE(""https://docs.google.com/spreadsheets/d/1YXvxf8Yu6_rV4hTBrwMqAcAnv6DfhUxh5emyM3CJp_w/edit?usp=sharing"",""เพชรบุรี!Q722"")+IMPORTRA"&amp;"NGE(""https://docs.google.com/spreadsheets/d/19KBlQQs7uwvsao6t2n-KvW3Ax8J8uRRfZPq1zPbXgKc/edit?usp=sharing"",""ระยอง!Q722"")+IMPORTRANGE(""https://docs.google.com/spreadsheets/d/1jQ6P4QcrGM89YfqcC_PxOHGCMq5ezhucwJd8ci-NHng/edit?usp=sharing"",""ราชบุรี!Q72"&amp;"2"")+IMPORTRANGE(""https://docs.google.com/spreadsheets/d/1lufeA2cfFqM-elVq2hznhDzC6Pr7wkJ9ZG_sYNGCMCU/edit?usp=sharing"",""ลพบุรี!Q722"")+IMPORTRANGE(""https://docs.google.com/spreadsheets/d/10oOiF7loTyfsTkbd4MpaIm0HQ9SwB7IYHdIUvt-U1Uc/edit?usp=sharing"""&amp;",""สระแก้ว!Q722"")+IMPORTRANGE(""https://docs.google.com/spreadsheets/d/1xmPlrr1QbdSIKvl1dWUl9K4PjAfSL9oeMr_37QVzcxc/edit?usp=sharing"",""สระบุรี!Q722"")+IMPORTRANGE(""https://docs.google.com/spreadsheets/d/1j51vR6CYVGhABJpv6tkstgok82RLpXieLzW1yOY5rHw/edi"&amp;"t?usp=sharing"",""สิงห์บุรี!Q722"")+IMPORTRANGE(""https://docs.google.com/spreadsheets/d/1H1EalTWKUSzO4Z1-1CwzoDUaVffgrThEBe2sl74kKG0/edit?usp=sharing"",""สุพรรณบุรี!Q722"")+IMPORTRANGE(""https://docs.google.com/spreadsheets/d/1BmIruG_sIrJLYao_Pdr7zVArWsf"&amp;"oBt2692TMi6x_854/edit?usp=sharing"",""อ่างทอง!Q722"")"),0)</f>
        <v>0</v>
      </c>
      <c r="R722" s="72">
        <f ca="1">IFERROR(__xludf.DUMMYFUNCTION("IMPORTRANGE(""https://docs.google.com/spreadsheets/d/13wPX838HrBrQMCywv1BsuMkt4PEKTChp52zj44s2izQ/edit?usp=sharing"",""กาญจนบุรี!R722"")+IMPORTRANGE(""https://docs.google.com/spreadsheets/d/1ddFKvqj1W1NEiWytbGlB1zMx_ykJDVtmfEQ-6-lIUBA/edit?usp=sharing"","&amp;"""จันทบุรี!R722"")+IMPORTRANGE(""https://docs.google.com/spreadsheets/d/1T1PQvRODqOBZk8BRht_U031fIS1beLA0Ub2CEytj2q0/edit?usp=sharing"",""ฉะเชิงเทรา!R722"")+IMPORTRANGE(""https://docs.google.com/spreadsheets/d/11tr1B-Bhyr79v2bkwVh5h_fR-PStkgjlZtkrZpYurG0/"&amp;"edit?usp=sharing"",""ชลบุรี!R722"")+IMPORTRANGE(""https://docs.google.com/spreadsheets/d/1hh-FVnSX0vozXhGluamEcS54Dw9_zqW0N7qJUWgJ0Sw/edit?usp=sharing"",""ชัยนาท!R722"")+IMPORTRANGE(""https://docs.google.com/spreadsheets/d/1jkqa6GXxSacMcY1eN8AHjMNJ_7dDXMJ"&amp;"VRLDlaFSOdPM/edit?usp=sharing"",""ตราด!R722"")+IMPORTRANGE(""https://docs.google.com/spreadsheets/d/18hSgUJ3VwClqi_qtULmmW3cLr0oe3OKaSYoKzdpTsYQ/edit?usp=sharing"",""นครนายก!R722"")+IMPORTRANGE(""https://docs.google.com/spreadsheets/d/1YTZo6WM2dQ6Ix6FSdnL"&amp;"5P7uVnVKu40sxZu975tgG10E/edit?usp=sharing"",""นครปฐม!R722"")+IMPORTRANGE(""https://docs.google.com/spreadsheets/d/1OYoGg4WDg5RIzwGeB10padOxJF9E_Vljuvvct_M7RDo/edit?usp=sharing"",""ปทุมธานี!R722"")+IMPORTRANGE(""https://docs.google.com/spreadsheets/d/1GbCI"&amp;"E4D4wk9FUozzqk7SxfDMxDVBwVmI5zcaVUSzKAc/edit?usp=sharing"",""ประจวบคีรีขันธ์!R722"")+IMPORTRANGE(""https://docs.google.com/spreadsheets/d/1vVf6wykvW_lAyu7Yo9L4hUTqHqIeP_qcVuxCtosJEbg/edit?usp=sharing"",""ปราจีนบุรี!R722"")+IMPORTRANGE(""https://docs.googl"&amp;"e.com/spreadsheets/d/1BIDqLLg5jk3v59G8NlR8rk5xfQDKne0sAvZHSj7TI6I/edit?usp=sharing"",""พระนครศรีอยุธยา!R722"")+IMPORTRANGE(""https://docs.google.com/spreadsheets/d/1YXvxf8Yu6_rV4hTBrwMqAcAnv6DfhUxh5emyM3CJp_w/edit?usp=sharing"",""เพชรบุรี!R722"")+IMPORTRA"&amp;"NGE(""https://docs.google.com/spreadsheets/d/19KBlQQs7uwvsao6t2n-KvW3Ax8J8uRRfZPq1zPbXgKc/edit?usp=sharing"",""ระยอง!R722"")+IMPORTRANGE(""https://docs.google.com/spreadsheets/d/1jQ6P4QcrGM89YfqcC_PxOHGCMq5ezhucwJd8ci-NHng/edit?usp=sharing"",""ราชบุรี!R72"&amp;"2"")+IMPORTRANGE(""https://docs.google.com/spreadsheets/d/1lufeA2cfFqM-elVq2hznhDzC6Pr7wkJ9ZG_sYNGCMCU/edit?usp=sharing"",""ลพบุรี!R722"")+IMPORTRANGE(""https://docs.google.com/spreadsheets/d/10oOiF7loTyfsTkbd4MpaIm0HQ9SwB7IYHdIUvt-U1Uc/edit?usp=sharing"""&amp;",""สระแก้ว!R722"")+IMPORTRANGE(""https://docs.google.com/spreadsheets/d/1xmPlrr1QbdSIKvl1dWUl9K4PjAfSL9oeMr_37QVzcxc/edit?usp=sharing"",""สระบุรี!R722"")+IMPORTRANGE(""https://docs.google.com/spreadsheets/d/1j51vR6CYVGhABJpv6tkstgok82RLpXieLzW1yOY5rHw/edi"&amp;"t?usp=sharing"",""สิงห์บุรี!R722"")+IMPORTRANGE(""https://docs.google.com/spreadsheets/d/1H1EalTWKUSzO4Z1-1CwzoDUaVffgrThEBe2sl74kKG0/edit?usp=sharing"",""สุพรรณบุรี!R722"")+IMPORTRANGE(""https://docs.google.com/spreadsheets/d/1BmIruG_sIrJLYao_Pdr7zVArWsf"&amp;"oBt2692TMi6x_854/edit?usp=sharing"",""อ่างทอง!R722"")"),0)</f>
        <v>0</v>
      </c>
      <c r="S722" s="72">
        <f ca="1">IFERROR(__xludf.DUMMYFUNCTION("IMPORTRANGE(""https://docs.google.com/spreadsheets/d/13wPX838HrBrQMCywv1BsuMkt4PEKTChp52zj44s2izQ/edit?usp=sharing"",""กาญจนบุรี!S722"")+IMPORTRANGE(""https://docs.google.com/spreadsheets/d/1ddFKvqj1W1NEiWytbGlB1zMx_ykJDVtmfEQ-6-lIUBA/edit?usp=sharing"","&amp;"""จันทบุรี!S722"")+IMPORTRANGE(""https://docs.google.com/spreadsheets/d/1T1PQvRODqOBZk8BRht_U031fIS1beLA0Ub2CEytj2q0/edit?usp=sharing"",""ฉะเชิงเทรา!S722"")+IMPORTRANGE(""https://docs.google.com/spreadsheets/d/11tr1B-Bhyr79v2bkwVh5h_fR-PStkgjlZtkrZpYurG0/"&amp;"edit?usp=sharing"",""ชลบุรี!S722"")+IMPORTRANGE(""https://docs.google.com/spreadsheets/d/1hh-FVnSX0vozXhGluamEcS54Dw9_zqW0N7qJUWgJ0Sw/edit?usp=sharing"",""ชัยนาท!S722"")+IMPORTRANGE(""https://docs.google.com/spreadsheets/d/1jkqa6GXxSacMcY1eN8AHjMNJ_7dDXMJ"&amp;"VRLDlaFSOdPM/edit?usp=sharing"",""ตราด!S722"")+IMPORTRANGE(""https://docs.google.com/spreadsheets/d/18hSgUJ3VwClqi_qtULmmW3cLr0oe3OKaSYoKzdpTsYQ/edit?usp=sharing"",""นครนายก!S722"")+IMPORTRANGE(""https://docs.google.com/spreadsheets/d/1YTZo6WM2dQ6Ix6FSdnL"&amp;"5P7uVnVKu40sxZu975tgG10E/edit?usp=sharing"",""นครปฐม!S722"")+IMPORTRANGE(""https://docs.google.com/spreadsheets/d/1OYoGg4WDg5RIzwGeB10padOxJF9E_Vljuvvct_M7RDo/edit?usp=sharing"",""ปทุมธานี!S722"")+IMPORTRANGE(""https://docs.google.com/spreadsheets/d/1GbCI"&amp;"E4D4wk9FUozzqk7SxfDMxDVBwVmI5zcaVUSzKAc/edit?usp=sharing"",""ประจวบคีรีขันธ์!S722"")+IMPORTRANGE(""https://docs.google.com/spreadsheets/d/1vVf6wykvW_lAyu7Yo9L4hUTqHqIeP_qcVuxCtosJEbg/edit?usp=sharing"",""ปราจีนบุรี!S722"")+IMPORTRANGE(""https://docs.googl"&amp;"e.com/spreadsheets/d/1BIDqLLg5jk3v59G8NlR8rk5xfQDKne0sAvZHSj7TI6I/edit?usp=sharing"",""พระนครศรีอยุธยา!S722"")+IMPORTRANGE(""https://docs.google.com/spreadsheets/d/1YXvxf8Yu6_rV4hTBrwMqAcAnv6DfhUxh5emyM3CJp_w/edit?usp=sharing"",""เพชรบุรี!S722"")+IMPORTRA"&amp;"NGE(""https://docs.google.com/spreadsheets/d/19KBlQQs7uwvsao6t2n-KvW3Ax8J8uRRfZPq1zPbXgKc/edit?usp=sharing"",""ระยอง!S722"")+IMPORTRANGE(""https://docs.google.com/spreadsheets/d/1jQ6P4QcrGM89YfqcC_PxOHGCMq5ezhucwJd8ci-NHng/edit?usp=sharing"",""ราชบุรี!S72"&amp;"2"")+IMPORTRANGE(""https://docs.google.com/spreadsheets/d/1lufeA2cfFqM-elVq2hznhDzC6Pr7wkJ9ZG_sYNGCMCU/edit?usp=sharing"",""ลพบุรี!S722"")+IMPORTRANGE(""https://docs.google.com/spreadsheets/d/10oOiF7loTyfsTkbd4MpaIm0HQ9SwB7IYHdIUvt-U1Uc/edit?usp=sharing"""&amp;",""สระแก้ว!S722"")+IMPORTRANGE(""https://docs.google.com/spreadsheets/d/1xmPlrr1QbdSIKvl1dWUl9K4PjAfSL9oeMr_37QVzcxc/edit?usp=sharing"",""สระบุรี!S722"")+IMPORTRANGE(""https://docs.google.com/spreadsheets/d/1j51vR6CYVGhABJpv6tkstgok82RLpXieLzW1yOY5rHw/edi"&amp;"t?usp=sharing"",""สิงห์บุรี!S722"")+IMPORTRANGE(""https://docs.google.com/spreadsheets/d/1H1EalTWKUSzO4Z1-1CwzoDUaVffgrThEBe2sl74kKG0/edit?usp=sharing"",""สุพรรณบุรี!S722"")+IMPORTRANGE(""https://docs.google.com/spreadsheets/d/1BmIruG_sIrJLYao_Pdr7zVArWsf"&amp;"oBt2692TMi6x_854/edit?usp=sharing"",""อ่างทอง!S722"")"),0)</f>
        <v>0</v>
      </c>
      <c r="T722" s="130">
        <f t="shared" ca="1" si="485"/>
        <v>0</v>
      </c>
      <c r="U722" s="130">
        <f t="shared" ca="1" si="486"/>
        <v>0</v>
      </c>
    </row>
    <row r="723" spans="1:21" ht="19.5" hidden="1" x14ac:dyDescent="0.3">
      <c r="A723" s="274"/>
      <c r="B723" s="275"/>
      <c r="C723" s="569" t="s">
        <v>18</v>
      </c>
      <c r="D723" s="757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06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13wPX838HrBrQMCywv1BsuMkt4PEKTChp52zj44s2izQ/edit?usp=sharing"",""กาญจนบุรี!I726"")+IMPORTRANGE(""https://docs.google.com/spreadsheets/d/1ddFKvqj1W1NEiWytbGlB1zMx_ykJDVtmfEQ-6-lIUBA/edit?usp=sharing"","&amp;"""จันทบุรี!I726"")+IMPORTRANGE(""https://docs.google.com/spreadsheets/d/1T1PQvRODqOBZk8BRht_U031fIS1beLA0Ub2CEytj2q0/edit?usp=sharing"",""ฉะเชิงเทรา!I726"")+IMPORTRANGE(""https://docs.google.com/spreadsheets/d/11tr1B-Bhyr79v2bkwVh5h_fR-PStkgjlZtkrZpYurG0/"&amp;"edit?usp=sharing"",""ชลบุรี!I726"")+IMPORTRANGE(""https://docs.google.com/spreadsheets/d/1hh-FVnSX0vozXhGluamEcS54Dw9_zqW0N7qJUWgJ0Sw/edit?usp=sharing"",""ชัยนาท!I726"")+IMPORTRANGE(""https://docs.google.com/spreadsheets/d/1jkqa6GXxSacMcY1eN8AHjMNJ_7dDXMJ"&amp;"VRLDlaFSOdPM/edit?usp=sharing"",""ตราด!I726"")+IMPORTRANGE(""https://docs.google.com/spreadsheets/d/18hSgUJ3VwClqi_qtULmmW3cLr0oe3OKaSYoKzdpTsYQ/edit?usp=sharing"",""นครนายก!I726"")+IMPORTRANGE(""https://docs.google.com/spreadsheets/d/1YTZo6WM2dQ6Ix6FSdnL"&amp;"5P7uVnVKu40sxZu975tgG10E/edit?usp=sharing"",""นครปฐม!I726"")+IMPORTRANGE(""https://docs.google.com/spreadsheets/d/1OYoGg4WDg5RIzwGeB10padOxJF9E_Vljuvvct_M7RDo/edit?usp=sharing"",""ปทุมธานี!I726"")+IMPORTRANGE(""https://docs.google.com/spreadsheets/d/1GbCI"&amp;"E4D4wk9FUozzqk7SxfDMxDVBwVmI5zcaVUSzKAc/edit?usp=sharing"",""ประจวบคีรีขันธ์!I726"")+IMPORTRANGE(""https://docs.google.com/spreadsheets/d/1vVf6wykvW_lAyu7Yo9L4hUTqHqIeP_qcVuxCtosJEbg/edit?usp=sharing"",""ปราจีนบุรี!I726"")+IMPORTRANGE(""https://docs.googl"&amp;"e.com/spreadsheets/d/1BIDqLLg5jk3v59G8NlR8rk5xfQDKne0sAvZHSj7TI6I/edit?usp=sharing"",""พระนครศรีอยุธยา!I726"")+IMPORTRANGE(""https://docs.google.com/spreadsheets/d/1YXvxf8Yu6_rV4hTBrwMqAcAnv6DfhUxh5emyM3CJp_w/edit?usp=sharing"",""เพชรบุรี!I726"")+IMPORTRA"&amp;"NGE(""https://docs.google.com/spreadsheets/d/19KBlQQs7uwvsao6t2n-KvW3Ax8J8uRRfZPq1zPbXgKc/edit?usp=sharing"",""ระยอง!I726"")+IMPORTRANGE(""https://docs.google.com/spreadsheets/d/1jQ6P4QcrGM89YfqcC_PxOHGCMq5ezhucwJd8ci-NHng/edit?usp=sharing"",""ราชบุรี!I72"&amp;"6"")+IMPORTRANGE(""https://docs.google.com/spreadsheets/d/1lufeA2cfFqM-elVq2hznhDzC6Pr7wkJ9ZG_sYNGCMCU/edit?usp=sharing"",""ลพบุรี!I726"")+IMPORTRANGE(""https://docs.google.com/spreadsheets/d/10oOiF7loTyfsTkbd4MpaIm0HQ9SwB7IYHdIUvt-U1Uc/edit?usp=sharing"""&amp;",""สระแก้ว!I726"")+IMPORTRANGE(""https://docs.google.com/spreadsheets/d/1xmPlrr1QbdSIKvl1dWUl9K4PjAfSL9oeMr_37QVzcxc/edit?usp=sharing"",""สระบุรี!I726"")+IMPORTRANGE(""https://docs.google.com/spreadsheets/d/1j51vR6CYVGhABJpv6tkstgok82RLpXieLzW1yOY5rHw/edi"&amp;"t?usp=sharing"",""สิงห์บุรี!I726"")+IMPORTRANGE(""https://docs.google.com/spreadsheets/d/1H1EalTWKUSzO4Z1-1CwzoDUaVffgrThEBe2sl74kKG0/edit?usp=sharing"",""สุพรรณบุรี!I726"")+IMPORTRANGE(""https://docs.google.com/spreadsheets/d/1BmIruG_sIrJLYao_Pdr7zVArWsf"&amp;"oBt2692TMi6x_854/edit?usp=sharing"",""อ่างทอง!I726"")"),703)</f>
        <v>703</v>
      </c>
      <c r="J726" s="743">
        <f ca="1">J742+J746+J749</f>
        <v>580</v>
      </c>
      <c r="K726" s="744">
        <f t="shared" ref="K726:K727" ca="1" si="495">IF(I726&gt;0,J726*100/I726,0)</f>
        <v>82.503556187766719</v>
      </c>
      <c r="L726" s="712"/>
      <c r="M726" s="712"/>
      <c r="N726" s="712"/>
      <c r="O726" s="712"/>
      <c r="P726" s="712"/>
      <c r="Q726" s="713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13wPX838HrBrQMCywv1BsuMkt4PEKTChp52zj44s2izQ/edit?usp=sharing"",""กาญจนบุรี!I727"")+IMPORTRANGE(""https://docs.google.com/spreadsheets/d/1ddFKvqj1W1NEiWytbGlB1zMx_ykJDVtmfEQ-6-lIUBA/edit?usp=sharing"","&amp;"""จันทบุรี!I727"")+IMPORTRANGE(""https://docs.google.com/spreadsheets/d/1T1PQvRODqOBZk8BRht_U031fIS1beLA0Ub2CEytj2q0/edit?usp=sharing"",""ฉะเชิงเทรา!I727"")+IMPORTRANGE(""https://docs.google.com/spreadsheets/d/11tr1B-Bhyr79v2bkwVh5h_fR-PStkgjlZtkrZpYurG0/"&amp;"edit?usp=sharing"",""ชลบุรี!I727"")+IMPORTRANGE(""https://docs.google.com/spreadsheets/d/1hh-FVnSX0vozXhGluamEcS54Dw9_zqW0N7qJUWgJ0Sw/edit?usp=sharing"",""ชัยนาท!I727"")+IMPORTRANGE(""https://docs.google.com/spreadsheets/d/1jkqa6GXxSacMcY1eN8AHjMNJ_7dDXMJ"&amp;"VRLDlaFSOdPM/edit?usp=sharing"",""ตราด!I727"")+IMPORTRANGE(""https://docs.google.com/spreadsheets/d/18hSgUJ3VwClqi_qtULmmW3cLr0oe3OKaSYoKzdpTsYQ/edit?usp=sharing"",""นครนายก!I727"")+IMPORTRANGE(""https://docs.google.com/spreadsheets/d/1YTZo6WM2dQ6Ix6FSdnL"&amp;"5P7uVnVKu40sxZu975tgG10E/edit?usp=sharing"",""นครปฐม!I727"")+IMPORTRANGE(""https://docs.google.com/spreadsheets/d/1OYoGg4WDg5RIzwGeB10padOxJF9E_Vljuvvct_M7RDo/edit?usp=sharing"",""ปทุมธานี!I727"")+IMPORTRANGE(""https://docs.google.com/spreadsheets/d/1GbCI"&amp;"E4D4wk9FUozzqk7SxfDMxDVBwVmI5zcaVUSzKAc/edit?usp=sharing"",""ประจวบคีรีขันธ์!I727"")+IMPORTRANGE(""https://docs.google.com/spreadsheets/d/1vVf6wykvW_lAyu7Yo9L4hUTqHqIeP_qcVuxCtosJEbg/edit?usp=sharing"",""ปราจีนบุรี!I727"")+IMPORTRANGE(""https://docs.googl"&amp;"e.com/spreadsheets/d/1BIDqLLg5jk3v59G8NlR8rk5xfQDKne0sAvZHSj7TI6I/edit?usp=sharing"",""พระนครศรีอยุธยา!I727"")+IMPORTRANGE(""https://docs.google.com/spreadsheets/d/1YXvxf8Yu6_rV4hTBrwMqAcAnv6DfhUxh5emyM3CJp_w/edit?usp=sharing"",""เพชรบุรี!I727"")+IMPORTRA"&amp;"NGE(""https://docs.google.com/spreadsheets/d/19KBlQQs7uwvsao6t2n-KvW3Ax8J8uRRfZPq1zPbXgKc/edit?usp=sharing"",""ระยอง!I727"")+IMPORTRANGE(""https://docs.google.com/spreadsheets/d/1jQ6P4QcrGM89YfqcC_PxOHGCMq5ezhucwJd8ci-NHng/edit?usp=sharing"",""ราชบุรี!I72"&amp;"7"")+IMPORTRANGE(""https://docs.google.com/spreadsheets/d/1lufeA2cfFqM-elVq2hznhDzC6Pr7wkJ9ZG_sYNGCMCU/edit?usp=sharing"",""ลพบุรี!I727"")+IMPORTRANGE(""https://docs.google.com/spreadsheets/d/10oOiF7loTyfsTkbd4MpaIm0HQ9SwB7IYHdIUvt-U1Uc/edit?usp=sharing"""&amp;",""สระแก้ว!I727"")+IMPORTRANGE(""https://docs.google.com/spreadsheets/d/1xmPlrr1QbdSIKvl1dWUl9K4PjAfSL9oeMr_37QVzcxc/edit?usp=sharing"",""สระบุรี!I727"")+IMPORTRANGE(""https://docs.google.com/spreadsheets/d/1j51vR6CYVGhABJpv6tkstgok82RLpXieLzW1yOY5rHw/edi"&amp;"t?usp=sharing"",""สิงห์บุรี!I727"")+IMPORTRANGE(""https://docs.google.com/spreadsheets/d/1H1EalTWKUSzO4Z1-1CwzoDUaVffgrThEBe2sl74kKG0/edit?usp=sharing"",""สุพรรณบุรี!I727"")+IMPORTRANGE(""https://docs.google.com/spreadsheets/d/1BmIruG_sIrJLYao_Pdr7zVArWsf"&amp;"oBt2692TMi6x_854/edit?usp=sharing"",""อ่างทอง!I727"")"),6800)</f>
        <v>6800</v>
      </c>
      <c r="J727" s="743">
        <f ca="1">J752+J755</f>
        <v>1800</v>
      </c>
      <c r="K727" s="744">
        <f t="shared" ca="1" si="495"/>
        <v>26.470588235294116</v>
      </c>
      <c r="L727" s="712"/>
      <c r="M727" s="712"/>
      <c r="N727" s="712"/>
      <c r="O727" s="712"/>
      <c r="P727" s="712"/>
      <c r="Q727" s="713"/>
      <c r="R727" s="712"/>
      <c r="S727" s="712"/>
      <c r="T727" s="712"/>
      <c r="U727" s="712"/>
    </row>
    <row r="728" spans="1:21" ht="19.5" x14ac:dyDescent="0.3">
      <c r="A728" s="255"/>
      <c r="B728" s="267"/>
      <c r="C728" s="304" t="s">
        <v>18</v>
      </c>
      <c r="D728" s="1403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262">
        <f t="shared" ref="L728:N728" ca="1" si="496">L729+L730</f>
        <v>0</v>
      </c>
      <c r="M728" s="262">
        <f t="shared" ca="1" si="496"/>
        <v>0</v>
      </c>
      <c r="N728" s="262">
        <f t="shared" ca="1" si="496"/>
        <v>0</v>
      </c>
      <c r="O728" s="262">
        <f t="shared" ref="O728:O736" ca="1" si="497">IF(L728&gt;0,N728*100/L728,0)</f>
        <v>0</v>
      </c>
      <c r="P728" s="262">
        <f t="shared" ref="P728:P736" ca="1" si="498">IF(M728&gt;0,N728*100/M728,0)</f>
        <v>0</v>
      </c>
      <c r="Q728" s="212">
        <f t="shared" ref="Q728:S728" ca="1" si="499">Q729+Q730</f>
        <v>5615326</v>
      </c>
      <c r="R728" s="213">
        <f t="shared" ca="1" si="499"/>
        <v>5615326</v>
      </c>
      <c r="S728" s="213">
        <f t="shared" ca="1" si="499"/>
        <v>1753704.01</v>
      </c>
      <c r="T728" s="213">
        <f t="shared" ref="T728:T736" ca="1" si="500">IF(Q728&gt;0,S728*100/Q728,0)</f>
        <v>31.230671380432767</v>
      </c>
      <c r="U728" s="213">
        <f t="shared" ref="U728:U736" ca="1" si="501">IF(R728&gt;0,S728*100/R728,0)</f>
        <v>31.230671380432767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5">
        <f t="shared" ref="L729:N729" ca="1" si="502">L732+L735</f>
        <v>0</v>
      </c>
      <c r="M729" s="75">
        <f t="shared" ca="1" si="502"/>
        <v>0</v>
      </c>
      <c r="N729" s="75">
        <f t="shared" ca="1" si="502"/>
        <v>0</v>
      </c>
      <c r="O729" s="75">
        <f t="shared" ca="1" si="497"/>
        <v>0</v>
      </c>
      <c r="P729" s="75">
        <f t="shared" ca="1" si="498"/>
        <v>0</v>
      </c>
      <c r="Q729" s="215">
        <f t="shared" ref="Q729:S729" ca="1" si="503">Q732+Q735</f>
        <v>0</v>
      </c>
      <c r="R729" s="131">
        <f t="shared" ca="1" si="503"/>
        <v>0</v>
      </c>
      <c r="S729" s="131">
        <f t="shared" ca="1" si="503"/>
        <v>0</v>
      </c>
      <c r="T729" s="131">
        <f t="shared" ca="1" si="500"/>
        <v>0</v>
      </c>
      <c r="U729" s="131">
        <f t="shared" ca="1" si="501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2">
        <f t="shared" ref="L730:N730" ca="1" si="504">L733+L736</f>
        <v>0</v>
      </c>
      <c r="M730" s="72">
        <f t="shared" ca="1" si="504"/>
        <v>0</v>
      </c>
      <c r="N730" s="72">
        <f t="shared" ca="1" si="504"/>
        <v>0</v>
      </c>
      <c r="O730" s="72">
        <f t="shared" ca="1" si="497"/>
        <v>0</v>
      </c>
      <c r="P730" s="72">
        <f t="shared" ca="1" si="498"/>
        <v>0</v>
      </c>
      <c r="Q730" s="129">
        <f t="shared" ref="Q730:S730" ca="1" si="505">Q733+Q736</f>
        <v>5615326</v>
      </c>
      <c r="R730" s="130">
        <f t="shared" ca="1" si="505"/>
        <v>5615326</v>
      </c>
      <c r="S730" s="130">
        <f t="shared" ca="1" si="505"/>
        <v>1753704.01</v>
      </c>
      <c r="T730" s="130">
        <f t="shared" ca="1" si="500"/>
        <v>31.230671380432767</v>
      </c>
      <c r="U730" s="130">
        <f t="shared" ca="1" si="501"/>
        <v>31.230671380432767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 t="shared" ref="L731:N731" ca="1" si="506">L732+L733</f>
        <v>0</v>
      </c>
      <c r="M731" s="72">
        <f t="shared" ca="1" si="506"/>
        <v>0</v>
      </c>
      <c r="N731" s="72">
        <f t="shared" ca="1" si="506"/>
        <v>0</v>
      </c>
      <c r="O731" s="72">
        <f t="shared" ca="1" si="497"/>
        <v>0</v>
      </c>
      <c r="P731" s="72">
        <f t="shared" ca="1" si="498"/>
        <v>0</v>
      </c>
      <c r="Q731" s="129">
        <f t="shared" ref="Q731:S731" ca="1" si="507">Q732+Q733</f>
        <v>5615326</v>
      </c>
      <c r="R731" s="130">
        <f t="shared" ca="1" si="507"/>
        <v>5615326</v>
      </c>
      <c r="S731" s="130">
        <f t="shared" ca="1" si="507"/>
        <v>1753704.01</v>
      </c>
      <c r="T731" s="130">
        <f t="shared" ca="1" si="500"/>
        <v>31.230671380432767</v>
      </c>
      <c r="U731" s="130">
        <f t="shared" ca="1" si="501"/>
        <v>31.230671380432767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5">
        <f ca="1">IFERROR(__xludf.DUMMYFUNCTION("IMPORTRANGE(""https://docs.google.com/spreadsheets/d/13wPX838HrBrQMCywv1BsuMkt4PEKTChp52zj44s2izQ/edit?usp=sharing"",""กาญจนบุรี!L732"")+IMPORTRANGE(""https://docs.google.com/spreadsheets/d/1ddFKvqj1W1NEiWytbGlB1zMx_ykJDVtmfEQ-6-lIUBA/edit?usp=sharing"","&amp;"""จันทบุรี!L732"")+IMPORTRANGE(""https://docs.google.com/spreadsheets/d/1T1PQvRODqOBZk8BRht_U031fIS1beLA0Ub2CEytj2q0/edit?usp=sharing"",""ฉะเชิงเทรา!L732"")+IMPORTRANGE(""https://docs.google.com/spreadsheets/d/11tr1B-Bhyr79v2bkwVh5h_fR-PStkgjlZtkrZpYurG0/"&amp;"edit?usp=sharing"",""ชลบุรี!L732"")+IMPORTRANGE(""https://docs.google.com/spreadsheets/d/1hh-FVnSX0vozXhGluamEcS54Dw9_zqW0N7qJUWgJ0Sw/edit?usp=sharing"",""ชัยนาท!L732"")+IMPORTRANGE(""https://docs.google.com/spreadsheets/d/1jkqa6GXxSacMcY1eN8AHjMNJ_7dDXMJ"&amp;"VRLDlaFSOdPM/edit?usp=sharing"",""ตราด!L732"")+IMPORTRANGE(""https://docs.google.com/spreadsheets/d/18hSgUJ3VwClqi_qtULmmW3cLr0oe3OKaSYoKzdpTsYQ/edit?usp=sharing"",""นครนายก!L732"")+IMPORTRANGE(""https://docs.google.com/spreadsheets/d/1YTZo6WM2dQ6Ix6FSdnL"&amp;"5P7uVnVKu40sxZu975tgG10E/edit?usp=sharing"",""นครปฐม!L732"")+IMPORTRANGE(""https://docs.google.com/spreadsheets/d/1OYoGg4WDg5RIzwGeB10padOxJF9E_Vljuvvct_M7RDo/edit?usp=sharing"",""ปทุมธานี!L732"")+IMPORTRANGE(""https://docs.google.com/spreadsheets/d/1GbCI"&amp;"E4D4wk9FUozzqk7SxfDMxDVBwVmI5zcaVUSzKAc/edit?usp=sharing"",""ประจวบคีรีขันธ์!L732"")+IMPORTRANGE(""https://docs.google.com/spreadsheets/d/1vVf6wykvW_lAyu7Yo9L4hUTqHqIeP_qcVuxCtosJEbg/edit?usp=sharing"",""ปราจีนบุรี!L732"")+IMPORTRANGE(""https://docs.googl"&amp;"e.com/spreadsheets/d/1BIDqLLg5jk3v59G8NlR8rk5xfQDKne0sAvZHSj7TI6I/edit?usp=sharing"",""พระนครศรีอยุธยา!L732"")+IMPORTRANGE(""https://docs.google.com/spreadsheets/d/1YXvxf8Yu6_rV4hTBrwMqAcAnv6DfhUxh5emyM3CJp_w/edit?usp=sharing"",""เพชรบุรี!L732"")+IMPORTRA"&amp;"NGE(""https://docs.google.com/spreadsheets/d/19KBlQQs7uwvsao6t2n-KvW3Ax8J8uRRfZPq1zPbXgKc/edit?usp=sharing"",""ระยอง!L732"")+IMPORTRANGE(""https://docs.google.com/spreadsheets/d/1jQ6P4QcrGM89YfqcC_PxOHGCMq5ezhucwJd8ci-NHng/edit?usp=sharing"",""ราชบุรี!L73"&amp;"2"")+IMPORTRANGE(""https://docs.google.com/spreadsheets/d/1lufeA2cfFqM-elVq2hznhDzC6Pr7wkJ9ZG_sYNGCMCU/edit?usp=sharing"",""ลพบุรี!L732"")+IMPORTRANGE(""https://docs.google.com/spreadsheets/d/10oOiF7loTyfsTkbd4MpaIm0HQ9SwB7IYHdIUvt-U1Uc/edit?usp=sharing"""&amp;",""สระแก้ว!L732"")+IMPORTRANGE(""https://docs.google.com/spreadsheets/d/1xmPlrr1QbdSIKvl1dWUl9K4PjAfSL9oeMr_37QVzcxc/edit?usp=sharing"",""สระบุรี!L732"")+IMPORTRANGE(""https://docs.google.com/spreadsheets/d/1j51vR6CYVGhABJpv6tkstgok82RLpXieLzW1yOY5rHw/edi"&amp;"t?usp=sharing"",""สิงห์บุรี!L732"")+IMPORTRANGE(""https://docs.google.com/spreadsheets/d/1H1EalTWKUSzO4Z1-1CwzoDUaVffgrThEBe2sl74kKG0/edit?usp=sharing"",""สุพรรณบุรี!L732"")+IMPORTRANGE(""https://docs.google.com/spreadsheets/d/1BmIruG_sIrJLYao_Pdr7zVArWsf"&amp;"oBt2692TMi6x_854/edit?usp=sharing"",""อ่างทอง!L732"")"),0)</f>
        <v>0</v>
      </c>
      <c r="M732" s="75">
        <f ca="1">IFERROR(__xludf.DUMMYFUNCTION("IMPORTRANGE(""https://docs.google.com/spreadsheets/d/13wPX838HrBrQMCywv1BsuMkt4PEKTChp52zj44s2izQ/edit?usp=sharing"",""กาญจนบุรี!M732"")+IMPORTRANGE(""https://docs.google.com/spreadsheets/d/1ddFKvqj1W1NEiWytbGlB1zMx_ykJDVtmfEQ-6-lIUBA/edit?usp=sharing"","&amp;"""จันทบุรี!M732"")+IMPORTRANGE(""https://docs.google.com/spreadsheets/d/1T1PQvRODqOBZk8BRht_U031fIS1beLA0Ub2CEytj2q0/edit?usp=sharing"",""ฉะเชิงเทรา!M732"")+IMPORTRANGE(""https://docs.google.com/spreadsheets/d/11tr1B-Bhyr79v2bkwVh5h_fR-PStkgjlZtkrZpYurG0/"&amp;"edit?usp=sharing"",""ชลบุรี!M732"")+IMPORTRANGE(""https://docs.google.com/spreadsheets/d/1hh-FVnSX0vozXhGluamEcS54Dw9_zqW0N7qJUWgJ0Sw/edit?usp=sharing"",""ชัยนาท!M732"")+IMPORTRANGE(""https://docs.google.com/spreadsheets/d/1jkqa6GXxSacMcY1eN8AHjMNJ_7dDXMJ"&amp;"VRLDlaFSOdPM/edit?usp=sharing"",""ตราด!M732"")+IMPORTRANGE(""https://docs.google.com/spreadsheets/d/18hSgUJ3VwClqi_qtULmmW3cLr0oe3OKaSYoKzdpTsYQ/edit?usp=sharing"",""นครนายก!M732"")+IMPORTRANGE(""https://docs.google.com/spreadsheets/d/1YTZo6WM2dQ6Ix6FSdnL"&amp;"5P7uVnVKu40sxZu975tgG10E/edit?usp=sharing"",""นครปฐม!M732"")+IMPORTRANGE(""https://docs.google.com/spreadsheets/d/1OYoGg4WDg5RIzwGeB10padOxJF9E_Vljuvvct_M7RDo/edit?usp=sharing"",""ปทุมธานี!M732"")+IMPORTRANGE(""https://docs.google.com/spreadsheets/d/1GbCI"&amp;"E4D4wk9FUozzqk7SxfDMxDVBwVmI5zcaVUSzKAc/edit?usp=sharing"",""ประจวบคีรีขันธ์!M732"")+IMPORTRANGE(""https://docs.google.com/spreadsheets/d/1vVf6wykvW_lAyu7Yo9L4hUTqHqIeP_qcVuxCtosJEbg/edit?usp=sharing"",""ปราจีนบุรี!M732"")+IMPORTRANGE(""https://docs.googl"&amp;"e.com/spreadsheets/d/1BIDqLLg5jk3v59G8NlR8rk5xfQDKne0sAvZHSj7TI6I/edit?usp=sharing"",""พระนครศรีอยุธยา!M732"")+IMPORTRANGE(""https://docs.google.com/spreadsheets/d/1YXvxf8Yu6_rV4hTBrwMqAcAnv6DfhUxh5emyM3CJp_w/edit?usp=sharing"",""เพชรบุรี!M732"")+IMPORTRA"&amp;"NGE(""https://docs.google.com/spreadsheets/d/19KBlQQs7uwvsao6t2n-KvW3Ax8J8uRRfZPq1zPbXgKc/edit?usp=sharing"",""ระยอง!M732"")+IMPORTRANGE(""https://docs.google.com/spreadsheets/d/1jQ6P4QcrGM89YfqcC_PxOHGCMq5ezhucwJd8ci-NHng/edit?usp=sharing"",""ราชบุรี!M73"&amp;"2"")+IMPORTRANGE(""https://docs.google.com/spreadsheets/d/1lufeA2cfFqM-elVq2hznhDzC6Pr7wkJ9ZG_sYNGCMCU/edit?usp=sharing"",""ลพบุรี!M732"")+IMPORTRANGE(""https://docs.google.com/spreadsheets/d/10oOiF7loTyfsTkbd4MpaIm0HQ9SwB7IYHdIUvt-U1Uc/edit?usp=sharing"""&amp;",""สระแก้ว!M732"")+IMPORTRANGE(""https://docs.google.com/spreadsheets/d/1xmPlrr1QbdSIKvl1dWUl9K4PjAfSL9oeMr_37QVzcxc/edit?usp=sharing"",""สระบุรี!M732"")+IMPORTRANGE(""https://docs.google.com/spreadsheets/d/1j51vR6CYVGhABJpv6tkstgok82RLpXieLzW1yOY5rHw/edi"&amp;"t?usp=sharing"",""สิงห์บุรี!M732"")+IMPORTRANGE(""https://docs.google.com/spreadsheets/d/1H1EalTWKUSzO4Z1-1CwzoDUaVffgrThEBe2sl74kKG0/edit?usp=sharing"",""สุพรรณบุรี!M732"")+IMPORTRANGE(""https://docs.google.com/spreadsheets/d/1BmIruG_sIrJLYao_Pdr7zVArWsf"&amp;"oBt2692TMi6x_854/edit?usp=sharing"",""อ่างทอง!M732"")"),0)</f>
        <v>0</v>
      </c>
      <c r="N732" s="75">
        <f ca="1">IFERROR(__xludf.DUMMYFUNCTION("IMPORTRANGE(""https://docs.google.com/spreadsheets/d/13wPX838HrBrQMCywv1BsuMkt4PEKTChp52zj44s2izQ/edit?usp=sharing"",""กาญจนบุรี!N732"")+IMPORTRANGE(""https://docs.google.com/spreadsheets/d/1ddFKvqj1W1NEiWytbGlB1zMx_ykJDVtmfEQ-6-lIUBA/edit?usp=sharing"","&amp;"""จันทบุรี!N732"")+IMPORTRANGE(""https://docs.google.com/spreadsheets/d/1T1PQvRODqOBZk8BRht_U031fIS1beLA0Ub2CEytj2q0/edit?usp=sharing"",""ฉะเชิงเทรา!N732"")+IMPORTRANGE(""https://docs.google.com/spreadsheets/d/11tr1B-Bhyr79v2bkwVh5h_fR-PStkgjlZtkrZpYurG0/"&amp;"edit?usp=sharing"",""ชลบุรี!N732"")+IMPORTRANGE(""https://docs.google.com/spreadsheets/d/1hh-FVnSX0vozXhGluamEcS54Dw9_zqW0N7qJUWgJ0Sw/edit?usp=sharing"",""ชัยนาท!N732"")+IMPORTRANGE(""https://docs.google.com/spreadsheets/d/1jkqa6GXxSacMcY1eN8AHjMNJ_7dDXMJ"&amp;"VRLDlaFSOdPM/edit?usp=sharing"",""ตราด!N732"")+IMPORTRANGE(""https://docs.google.com/spreadsheets/d/18hSgUJ3VwClqi_qtULmmW3cLr0oe3OKaSYoKzdpTsYQ/edit?usp=sharing"",""นครนายก!N732"")+IMPORTRANGE(""https://docs.google.com/spreadsheets/d/1YTZo6WM2dQ6Ix6FSdnL"&amp;"5P7uVnVKu40sxZu975tgG10E/edit?usp=sharing"",""นครปฐม!N732"")+IMPORTRANGE(""https://docs.google.com/spreadsheets/d/1OYoGg4WDg5RIzwGeB10padOxJF9E_Vljuvvct_M7RDo/edit?usp=sharing"",""ปทุมธานี!N732"")+IMPORTRANGE(""https://docs.google.com/spreadsheets/d/1GbCI"&amp;"E4D4wk9FUozzqk7SxfDMxDVBwVmI5zcaVUSzKAc/edit?usp=sharing"",""ประจวบคีรีขันธ์!N732"")+IMPORTRANGE(""https://docs.google.com/spreadsheets/d/1vVf6wykvW_lAyu7Yo9L4hUTqHqIeP_qcVuxCtosJEbg/edit?usp=sharing"",""ปราจีนบุรี!N732"")+IMPORTRANGE(""https://docs.googl"&amp;"e.com/spreadsheets/d/1BIDqLLg5jk3v59G8NlR8rk5xfQDKne0sAvZHSj7TI6I/edit?usp=sharing"",""พระนครศรีอยุธยา!N732"")+IMPORTRANGE(""https://docs.google.com/spreadsheets/d/1YXvxf8Yu6_rV4hTBrwMqAcAnv6DfhUxh5emyM3CJp_w/edit?usp=sharing"",""เพชรบุรี!N732"")+IMPORTRA"&amp;"NGE(""https://docs.google.com/spreadsheets/d/19KBlQQs7uwvsao6t2n-KvW3Ax8J8uRRfZPq1zPbXgKc/edit?usp=sharing"",""ระยอง!N732"")+IMPORTRANGE(""https://docs.google.com/spreadsheets/d/1jQ6P4QcrGM89YfqcC_PxOHGCMq5ezhucwJd8ci-NHng/edit?usp=sharing"",""ราชบุรี!N73"&amp;"2"")+IMPORTRANGE(""https://docs.google.com/spreadsheets/d/1lufeA2cfFqM-elVq2hznhDzC6Pr7wkJ9ZG_sYNGCMCU/edit?usp=sharing"",""ลพบุรี!N732"")+IMPORTRANGE(""https://docs.google.com/spreadsheets/d/10oOiF7loTyfsTkbd4MpaIm0HQ9SwB7IYHdIUvt-U1Uc/edit?usp=sharing"""&amp;",""สระแก้ว!N732"")+IMPORTRANGE(""https://docs.google.com/spreadsheets/d/1xmPlrr1QbdSIKvl1dWUl9K4PjAfSL9oeMr_37QVzcxc/edit?usp=sharing"",""สระบุรี!N732"")+IMPORTRANGE(""https://docs.google.com/spreadsheets/d/1j51vR6CYVGhABJpv6tkstgok82RLpXieLzW1yOY5rHw/edi"&amp;"t?usp=sharing"",""สิงห์บุรี!N732"")+IMPORTRANGE(""https://docs.google.com/spreadsheets/d/1H1EalTWKUSzO4Z1-1CwzoDUaVffgrThEBe2sl74kKG0/edit?usp=sharing"",""สุพรรณบุรี!N732"")+IMPORTRANGE(""https://docs.google.com/spreadsheets/d/1BmIruG_sIrJLYao_Pdr7zVArWsf"&amp;"oBt2692TMi6x_854/edit?usp=sharing"",""อ่างทอง!N732"")"),0)</f>
        <v>0</v>
      </c>
      <c r="O732" s="75">
        <f t="shared" ca="1" si="497"/>
        <v>0</v>
      </c>
      <c r="P732" s="75">
        <f t="shared" ca="1" si="498"/>
        <v>0</v>
      </c>
      <c r="Q732" s="74">
        <f ca="1">IFERROR(__xludf.DUMMYFUNCTION("IMPORTRANGE(""https://docs.google.com/spreadsheets/d/13wPX838HrBrQMCywv1BsuMkt4PEKTChp52zj44s2izQ/edit?usp=sharing"",""กาญจนบุรี!Q732"")+IMPORTRANGE(""https://docs.google.com/spreadsheets/d/1ddFKvqj1W1NEiWytbGlB1zMx_ykJDVtmfEQ-6-lIUBA/edit?usp=sharing"","&amp;"""จันทบุรี!Q732"")+IMPORTRANGE(""https://docs.google.com/spreadsheets/d/1T1PQvRODqOBZk8BRht_U031fIS1beLA0Ub2CEytj2q0/edit?usp=sharing"",""ฉะเชิงเทรา!Q732"")+IMPORTRANGE(""https://docs.google.com/spreadsheets/d/11tr1B-Bhyr79v2bkwVh5h_fR-PStkgjlZtkrZpYurG0/"&amp;"edit?usp=sharing"",""ชลบุรี!Q732"")+IMPORTRANGE(""https://docs.google.com/spreadsheets/d/1hh-FVnSX0vozXhGluamEcS54Dw9_zqW0N7qJUWgJ0Sw/edit?usp=sharing"",""ชัยนาท!Q732"")+IMPORTRANGE(""https://docs.google.com/spreadsheets/d/1jkqa6GXxSacMcY1eN8AHjMNJ_7dDXMJ"&amp;"VRLDlaFSOdPM/edit?usp=sharing"",""ตราด!Q732"")+IMPORTRANGE(""https://docs.google.com/spreadsheets/d/18hSgUJ3VwClqi_qtULmmW3cLr0oe3OKaSYoKzdpTsYQ/edit?usp=sharing"",""นครนายก!Q732"")+IMPORTRANGE(""https://docs.google.com/spreadsheets/d/1YTZo6WM2dQ6Ix6FSdnL"&amp;"5P7uVnVKu40sxZu975tgG10E/edit?usp=sharing"",""นครปฐม!Q732"")+IMPORTRANGE(""https://docs.google.com/spreadsheets/d/1OYoGg4WDg5RIzwGeB10padOxJF9E_Vljuvvct_M7RDo/edit?usp=sharing"",""ปทุมธานี!Q732"")+IMPORTRANGE(""https://docs.google.com/spreadsheets/d/1GbCI"&amp;"E4D4wk9FUozzqk7SxfDMxDVBwVmI5zcaVUSzKAc/edit?usp=sharing"",""ประจวบคีรีขันธ์!Q732"")+IMPORTRANGE(""https://docs.google.com/spreadsheets/d/1vVf6wykvW_lAyu7Yo9L4hUTqHqIeP_qcVuxCtosJEbg/edit?usp=sharing"",""ปราจีนบุรี!Q732"")+IMPORTRANGE(""https://docs.googl"&amp;"e.com/spreadsheets/d/1BIDqLLg5jk3v59G8NlR8rk5xfQDKne0sAvZHSj7TI6I/edit?usp=sharing"",""พระนครศรีอยุธยา!Q732"")+IMPORTRANGE(""https://docs.google.com/spreadsheets/d/1YXvxf8Yu6_rV4hTBrwMqAcAnv6DfhUxh5emyM3CJp_w/edit?usp=sharing"",""เพชรบุรี!Q732"")+IMPORTRA"&amp;"NGE(""https://docs.google.com/spreadsheets/d/19KBlQQs7uwvsao6t2n-KvW3Ax8J8uRRfZPq1zPbXgKc/edit?usp=sharing"",""ระยอง!Q732"")+IMPORTRANGE(""https://docs.google.com/spreadsheets/d/1jQ6P4QcrGM89YfqcC_PxOHGCMq5ezhucwJd8ci-NHng/edit?usp=sharing"",""ราชบุรี!Q73"&amp;"2"")+IMPORTRANGE(""https://docs.google.com/spreadsheets/d/1lufeA2cfFqM-elVq2hznhDzC6Pr7wkJ9ZG_sYNGCMCU/edit?usp=sharing"",""ลพบุรี!Q732"")+IMPORTRANGE(""https://docs.google.com/spreadsheets/d/10oOiF7loTyfsTkbd4MpaIm0HQ9SwB7IYHdIUvt-U1Uc/edit?usp=sharing"""&amp;",""สระแก้ว!Q732"")+IMPORTRANGE(""https://docs.google.com/spreadsheets/d/1xmPlrr1QbdSIKvl1dWUl9K4PjAfSL9oeMr_37QVzcxc/edit?usp=sharing"",""สระบุรี!Q732"")+IMPORTRANGE(""https://docs.google.com/spreadsheets/d/1j51vR6CYVGhABJpv6tkstgok82RLpXieLzW1yOY5rHw/edi"&amp;"t?usp=sharing"",""สิงห์บุรี!Q732"")+IMPORTRANGE(""https://docs.google.com/spreadsheets/d/1H1EalTWKUSzO4Z1-1CwzoDUaVffgrThEBe2sl74kKG0/edit?usp=sharing"",""สุพรรณบุรี!Q732"")+IMPORTRANGE(""https://docs.google.com/spreadsheets/d/1BmIruG_sIrJLYao_Pdr7zVArWsf"&amp;"oBt2692TMi6x_854/edit?usp=sharing"",""อ่างทอง!Q732"")"),0)</f>
        <v>0</v>
      </c>
      <c r="R732" s="75">
        <f ca="1">IFERROR(__xludf.DUMMYFUNCTION("IMPORTRANGE(""https://docs.google.com/spreadsheets/d/13wPX838HrBrQMCywv1BsuMkt4PEKTChp52zj44s2izQ/edit?usp=sharing"",""กาญจนบุรี!R732"")+IMPORTRANGE(""https://docs.google.com/spreadsheets/d/1ddFKvqj1W1NEiWytbGlB1zMx_ykJDVtmfEQ-6-lIUBA/edit?usp=sharing"","&amp;"""จันทบุรี!R732"")+IMPORTRANGE(""https://docs.google.com/spreadsheets/d/1T1PQvRODqOBZk8BRht_U031fIS1beLA0Ub2CEytj2q0/edit?usp=sharing"",""ฉะเชิงเทรา!R732"")+IMPORTRANGE(""https://docs.google.com/spreadsheets/d/11tr1B-Bhyr79v2bkwVh5h_fR-PStkgjlZtkrZpYurG0/"&amp;"edit?usp=sharing"",""ชลบุรี!R732"")+IMPORTRANGE(""https://docs.google.com/spreadsheets/d/1hh-FVnSX0vozXhGluamEcS54Dw9_zqW0N7qJUWgJ0Sw/edit?usp=sharing"",""ชัยนาท!R732"")+IMPORTRANGE(""https://docs.google.com/spreadsheets/d/1jkqa6GXxSacMcY1eN8AHjMNJ_7dDXMJ"&amp;"VRLDlaFSOdPM/edit?usp=sharing"",""ตราด!R732"")+IMPORTRANGE(""https://docs.google.com/spreadsheets/d/18hSgUJ3VwClqi_qtULmmW3cLr0oe3OKaSYoKzdpTsYQ/edit?usp=sharing"",""นครนายก!R732"")+IMPORTRANGE(""https://docs.google.com/spreadsheets/d/1YTZo6WM2dQ6Ix6FSdnL"&amp;"5P7uVnVKu40sxZu975tgG10E/edit?usp=sharing"",""นครปฐม!R732"")+IMPORTRANGE(""https://docs.google.com/spreadsheets/d/1OYoGg4WDg5RIzwGeB10padOxJF9E_Vljuvvct_M7RDo/edit?usp=sharing"",""ปทุมธานี!R732"")+IMPORTRANGE(""https://docs.google.com/spreadsheets/d/1GbCI"&amp;"E4D4wk9FUozzqk7SxfDMxDVBwVmI5zcaVUSzKAc/edit?usp=sharing"",""ประจวบคีรีขันธ์!R732"")+IMPORTRANGE(""https://docs.google.com/spreadsheets/d/1vVf6wykvW_lAyu7Yo9L4hUTqHqIeP_qcVuxCtosJEbg/edit?usp=sharing"",""ปราจีนบุรี!R732"")+IMPORTRANGE(""https://docs.googl"&amp;"e.com/spreadsheets/d/1BIDqLLg5jk3v59G8NlR8rk5xfQDKne0sAvZHSj7TI6I/edit?usp=sharing"",""พระนครศรีอยุธยา!R732"")+IMPORTRANGE(""https://docs.google.com/spreadsheets/d/1YXvxf8Yu6_rV4hTBrwMqAcAnv6DfhUxh5emyM3CJp_w/edit?usp=sharing"",""เพชรบุรี!R732"")+IMPORTRA"&amp;"NGE(""https://docs.google.com/spreadsheets/d/19KBlQQs7uwvsao6t2n-KvW3Ax8J8uRRfZPq1zPbXgKc/edit?usp=sharing"",""ระยอง!R732"")+IMPORTRANGE(""https://docs.google.com/spreadsheets/d/1jQ6P4QcrGM89YfqcC_PxOHGCMq5ezhucwJd8ci-NHng/edit?usp=sharing"",""ราชบุรี!R73"&amp;"2"")+IMPORTRANGE(""https://docs.google.com/spreadsheets/d/1lufeA2cfFqM-elVq2hznhDzC6Pr7wkJ9ZG_sYNGCMCU/edit?usp=sharing"",""ลพบุรี!R732"")+IMPORTRANGE(""https://docs.google.com/spreadsheets/d/10oOiF7loTyfsTkbd4MpaIm0HQ9SwB7IYHdIUvt-U1Uc/edit?usp=sharing"""&amp;",""สระแก้ว!R732"")+IMPORTRANGE(""https://docs.google.com/spreadsheets/d/1xmPlrr1QbdSIKvl1dWUl9K4PjAfSL9oeMr_37QVzcxc/edit?usp=sharing"",""สระบุรี!R732"")+IMPORTRANGE(""https://docs.google.com/spreadsheets/d/1j51vR6CYVGhABJpv6tkstgok82RLpXieLzW1yOY5rHw/edi"&amp;"t?usp=sharing"",""สิงห์บุรี!R732"")+IMPORTRANGE(""https://docs.google.com/spreadsheets/d/1H1EalTWKUSzO4Z1-1CwzoDUaVffgrThEBe2sl74kKG0/edit?usp=sharing"",""สุพรรณบุรี!R732"")+IMPORTRANGE(""https://docs.google.com/spreadsheets/d/1BmIruG_sIrJLYao_Pdr7zVArWsf"&amp;"oBt2692TMi6x_854/edit?usp=sharing"",""อ่างทอง!R732"")"),0)</f>
        <v>0</v>
      </c>
      <c r="S732" s="75">
        <f ca="1">IFERROR(__xludf.DUMMYFUNCTION("IMPORTRANGE(""https://docs.google.com/spreadsheets/d/13wPX838HrBrQMCywv1BsuMkt4PEKTChp52zj44s2izQ/edit?usp=sharing"",""กาญจนบุรี!S732"")+IMPORTRANGE(""https://docs.google.com/spreadsheets/d/1ddFKvqj1W1NEiWytbGlB1zMx_ykJDVtmfEQ-6-lIUBA/edit?usp=sharing"","&amp;"""จันทบุรี!S732"")+IMPORTRANGE(""https://docs.google.com/spreadsheets/d/1T1PQvRODqOBZk8BRht_U031fIS1beLA0Ub2CEytj2q0/edit?usp=sharing"",""ฉะเชิงเทรา!S732"")+IMPORTRANGE(""https://docs.google.com/spreadsheets/d/11tr1B-Bhyr79v2bkwVh5h_fR-PStkgjlZtkrZpYurG0/"&amp;"edit?usp=sharing"",""ชลบุรี!S732"")+IMPORTRANGE(""https://docs.google.com/spreadsheets/d/1hh-FVnSX0vozXhGluamEcS54Dw9_zqW0N7qJUWgJ0Sw/edit?usp=sharing"",""ชัยนาท!S732"")+IMPORTRANGE(""https://docs.google.com/spreadsheets/d/1jkqa6GXxSacMcY1eN8AHjMNJ_7dDXMJ"&amp;"VRLDlaFSOdPM/edit?usp=sharing"",""ตราด!S732"")+IMPORTRANGE(""https://docs.google.com/spreadsheets/d/18hSgUJ3VwClqi_qtULmmW3cLr0oe3OKaSYoKzdpTsYQ/edit?usp=sharing"",""นครนายก!S732"")+IMPORTRANGE(""https://docs.google.com/spreadsheets/d/1YTZo6WM2dQ6Ix6FSdnL"&amp;"5P7uVnVKu40sxZu975tgG10E/edit?usp=sharing"",""นครปฐม!S732"")+IMPORTRANGE(""https://docs.google.com/spreadsheets/d/1OYoGg4WDg5RIzwGeB10padOxJF9E_Vljuvvct_M7RDo/edit?usp=sharing"",""ปทุมธานี!S732"")+IMPORTRANGE(""https://docs.google.com/spreadsheets/d/1GbCI"&amp;"E4D4wk9FUozzqk7SxfDMxDVBwVmI5zcaVUSzKAc/edit?usp=sharing"",""ประจวบคีรีขันธ์!S732"")+IMPORTRANGE(""https://docs.google.com/spreadsheets/d/1vVf6wykvW_lAyu7Yo9L4hUTqHqIeP_qcVuxCtosJEbg/edit?usp=sharing"",""ปราจีนบุรี!S732"")+IMPORTRANGE(""https://docs.googl"&amp;"e.com/spreadsheets/d/1BIDqLLg5jk3v59G8NlR8rk5xfQDKne0sAvZHSj7TI6I/edit?usp=sharing"",""พระนครศรีอยุธยา!S732"")+IMPORTRANGE(""https://docs.google.com/spreadsheets/d/1YXvxf8Yu6_rV4hTBrwMqAcAnv6DfhUxh5emyM3CJp_w/edit?usp=sharing"",""เพชรบุรี!S732"")+IMPORTRA"&amp;"NGE(""https://docs.google.com/spreadsheets/d/19KBlQQs7uwvsao6t2n-KvW3Ax8J8uRRfZPq1zPbXgKc/edit?usp=sharing"",""ระยอง!S732"")+IMPORTRANGE(""https://docs.google.com/spreadsheets/d/1jQ6P4QcrGM89YfqcC_PxOHGCMq5ezhucwJd8ci-NHng/edit?usp=sharing"",""ราชบุรี!S73"&amp;"2"")+IMPORTRANGE(""https://docs.google.com/spreadsheets/d/1lufeA2cfFqM-elVq2hznhDzC6Pr7wkJ9ZG_sYNGCMCU/edit?usp=sharing"",""ลพบุรี!S732"")+IMPORTRANGE(""https://docs.google.com/spreadsheets/d/10oOiF7loTyfsTkbd4MpaIm0HQ9SwB7IYHdIUvt-U1Uc/edit?usp=sharing"""&amp;",""สระแก้ว!S732"")+IMPORTRANGE(""https://docs.google.com/spreadsheets/d/1xmPlrr1QbdSIKvl1dWUl9K4PjAfSL9oeMr_37QVzcxc/edit?usp=sharing"",""สระบุรี!S732"")+IMPORTRANGE(""https://docs.google.com/spreadsheets/d/1j51vR6CYVGhABJpv6tkstgok82RLpXieLzW1yOY5rHw/edi"&amp;"t?usp=sharing"",""สิงห์บุรี!S732"")+IMPORTRANGE(""https://docs.google.com/spreadsheets/d/1H1EalTWKUSzO4Z1-1CwzoDUaVffgrThEBe2sl74kKG0/edit?usp=sharing"",""สุพรรณบุรี!S732"")+IMPORTRANGE(""https://docs.google.com/spreadsheets/d/1BmIruG_sIrJLYao_Pdr7zVArWsf"&amp;"oBt2692TMi6x_854/edit?usp=sharing"",""อ่างทอง!S732"")"),0)</f>
        <v>0</v>
      </c>
      <c r="T732" s="131">
        <f t="shared" ca="1" si="500"/>
        <v>0</v>
      </c>
      <c r="U732" s="131">
        <f t="shared" ca="1" si="501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2">
        <f ca="1">IFERROR(__xludf.DUMMYFUNCTION("IMPORTRANGE(""https://docs.google.com/spreadsheets/d/13wPX838HrBrQMCywv1BsuMkt4PEKTChp52zj44s2izQ/edit?usp=sharing"",""กาญจนบุรี!L733"")+IMPORTRANGE(""https://docs.google.com/spreadsheets/d/1ddFKvqj1W1NEiWytbGlB1zMx_ykJDVtmfEQ-6-lIUBA/edit?usp=sharing"","&amp;"""จันทบุรี!L733"")+IMPORTRANGE(""https://docs.google.com/spreadsheets/d/1T1PQvRODqOBZk8BRht_U031fIS1beLA0Ub2CEytj2q0/edit?usp=sharing"",""ฉะเชิงเทรา!L733"")+IMPORTRANGE(""https://docs.google.com/spreadsheets/d/11tr1B-Bhyr79v2bkwVh5h_fR-PStkgjlZtkrZpYurG0/"&amp;"edit?usp=sharing"",""ชลบุรี!L733"")+IMPORTRANGE(""https://docs.google.com/spreadsheets/d/1hh-FVnSX0vozXhGluamEcS54Dw9_zqW0N7qJUWgJ0Sw/edit?usp=sharing"",""ชัยนาท!L733"")+IMPORTRANGE(""https://docs.google.com/spreadsheets/d/1jkqa6GXxSacMcY1eN8AHjMNJ_7dDXMJ"&amp;"VRLDlaFSOdPM/edit?usp=sharing"",""ตราด!L733"")+IMPORTRANGE(""https://docs.google.com/spreadsheets/d/18hSgUJ3VwClqi_qtULmmW3cLr0oe3OKaSYoKzdpTsYQ/edit?usp=sharing"",""นครนายก!L733"")+IMPORTRANGE(""https://docs.google.com/spreadsheets/d/1YTZo6WM2dQ6Ix6FSdnL"&amp;"5P7uVnVKu40sxZu975tgG10E/edit?usp=sharing"",""นครปฐม!L733"")+IMPORTRANGE(""https://docs.google.com/spreadsheets/d/1OYoGg4WDg5RIzwGeB10padOxJF9E_Vljuvvct_M7RDo/edit?usp=sharing"",""ปทุมธานี!L733"")+IMPORTRANGE(""https://docs.google.com/spreadsheets/d/1GbCI"&amp;"E4D4wk9FUozzqk7SxfDMxDVBwVmI5zcaVUSzKAc/edit?usp=sharing"",""ประจวบคีรีขันธ์!L733"")+IMPORTRANGE(""https://docs.google.com/spreadsheets/d/1vVf6wykvW_lAyu7Yo9L4hUTqHqIeP_qcVuxCtosJEbg/edit?usp=sharing"",""ปราจีนบุรี!L733"")+IMPORTRANGE(""https://docs.googl"&amp;"e.com/spreadsheets/d/1BIDqLLg5jk3v59G8NlR8rk5xfQDKne0sAvZHSj7TI6I/edit?usp=sharing"",""พระนครศรีอยุธยา!L733"")+IMPORTRANGE(""https://docs.google.com/spreadsheets/d/1YXvxf8Yu6_rV4hTBrwMqAcAnv6DfhUxh5emyM3CJp_w/edit?usp=sharing"",""เพชรบุรี!L733"")+IMPORTRA"&amp;"NGE(""https://docs.google.com/spreadsheets/d/19KBlQQs7uwvsao6t2n-KvW3Ax8J8uRRfZPq1zPbXgKc/edit?usp=sharing"",""ระยอง!L733"")+IMPORTRANGE(""https://docs.google.com/spreadsheets/d/1jQ6P4QcrGM89YfqcC_PxOHGCMq5ezhucwJd8ci-NHng/edit?usp=sharing"",""ราชบุรี!L73"&amp;"3"")+IMPORTRANGE(""https://docs.google.com/spreadsheets/d/1lufeA2cfFqM-elVq2hznhDzC6Pr7wkJ9ZG_sYNGCMCU/edit?usp=sharing"",""ลพบุรี!L733"")+IMPORTRANGE(""https://docs.google.com/spreadsheets/d/10oOiF7loTyfsTkbd4MpaIm0HQ9SwB7IYHdIUvt-U1Uc/edit?usp=sharing"""&amp;",""สระแก้ว!L733"")+IMPORTRANGE(""https://docs.google.com/spreadsheets/d/1xmPlrr1QbdSIKvl1dWUl9K4PjAfSL9oeMr_37QVzcxc/edit?usp=sharing"",""สระบุรี!L733"")+IMPORTRANGE(""https://docs.google.com/spreadsheets/d/1j51vR6CYVGhABJpv6tkstgok82RLpXieLzW1yOY5rHw/edi"&amp;"t?usp=sharing"",""สิงห์บุรี!L733"")+IMPORTRANGE(""https://docs.google.com/spreadsheets/d/1H1EalTWKUSzO4Z1-1CwzoDUaVffgrThEBe2sl74kKG0/edit?usp=sharing"",""สุพรรณบุรี!L733"")+IMPORTRANGE(""https://docs.google.com/spreadsheets/d/1BmIruG_sIrJLYao_Pdr7zVArWsf"&amp;"oBt2692TMi6x_854/edit?usp=sharing"",""อ่างทอง!L733"")"),0)</f>
        <v>0</v>
      </c>
      <c r="M733" s="72">
        <f ca="1">IFERROR(__xludf.DUMMYFUNCTION("IMPORTRANGE(""https://docs.google.com/spreadsheets/d/13wPX838HrBrQMCywv1BsuMkt4PEKTChp52zj44s2izQ/edit?usp=sharing"",""กาญจนบุรี!M733"")+IMPORTRANGE(""https://docs.google.com/spreadsheets/d/1ddFKvqj1W1NEiWytbGlB1zMx_ykJDVtmfEQ-6-lIUBA/edit?usp=sharing"","&amp;"""จันทบุรี!M733"")+IMPORTRANGE(""https://docs.google.com/spreadsheets/d/1T1PQvRODqOBZk8BRht_U031fIS1beLA0Ub2CEytj2q0/edit?usp=sharing"",""ฉะเชิงเทรา!M733"")+IMPORTRANGE(""https://docs.google.com/spreadsheets/d/11tr1B-Bhyr79v2bkwVh5h_fR-PStkgjlZtkrZpYurG0/"&amp;"edit?usp=sharing"",""ชลบุรี!M733"")+IMPORTRANGE(""https://docs.google.com/spreadsheets/d/1hh-FVnSX0vozXhGluamEcS54Dw9_zqW0N7qJUWgJ0Sw/edit?usp=sharing"",""ชัยนาท!M733"")+IMPORTRANGE(""https://docs.google.com/spreadsheets/d/1jkqa6GXxSacMcY1eN8AHjMNJ_7dDXMJ"&amp;"VRLDlaFSOdPM/edit?usp=sharing"",""ตราด!M733"")+IMPORTRANGE(""https://docs.google.com/spreadsheets/d/18hSgUJ3VwClqi_qtULmmW3cLr0oe3OKaSYoKzdpTsYQ/edit?usp=sharing"",""นครนายก!M733"")+IMPORTRANGE(""https://docs.google.com/spreadsheets/d/1YTZo6WM2dQ6Ix6FSdnL"&amp;"5P7uVnVKu40sxZu975tgG10E/edit?usp=sharing"",""นครปฐม!M733"")+IMPORTRANGE(""https://docs.google.com/spreadsheets/d/1OYoGg4WDg5RIzwGeB10padOxJF9E_Vljuvvct_M7RDo/edit?usp=sharing"",""ปทุมธานี!M733"")+IMPORTRANGE(""https://docs.google.com/spreadsheets/d/1GbCI"&amp;"E4D4wk9FUozzqk7SxfDMxDVBwVmI5zcaVUSzKAc/edit?usp=sharing"",""ประจวบคีรีขันธ์!M733"")+IMPORTRANGE(""https://docs.google.com/spreadsheets/d/1vVf6wykvW_lAyu7Yo9L4hUTqHqIeP_qcVuxCtosJEbg/edit?usp=sharing"",""ปราจีนบุรี!M733"")+IMPORTRANGE(""https://docs.googl"&amp;"e.com/spreadsheets/d/1BIDqLLg5jk3v59G8NlR8rk5xfQDKne0sAvZHSj7TI6I/edit?usp=sharing"",""พระนครศรีอยุธยา!M733"")+IMPORTRANGE(""https://docs.google.com/spreadsheets/d/1YXvxf8Yu6_rV4hTBrwMqAcAnv6DfhUxh5emyM3CJp_w/edit?usp=sharing"",""เพชรบุรี!M733"")+IMPORTRA"&amp;"NGE(""https://docs.google.com/spreadsheets/d/19KBlQQs7uwvsao6t2n-KvW3Ax8J8uRRfZPq1zPbXgKc/edit?usp=sharing"",""ระยอง!M733"")+IMPORTRANGE(""https://docs.google.com/spreadsheets/d/1jQ6P4QcrGM89YfqcC_PxOHGCMq5ezhucwJd8ci-NHng/edit?usp=sharing"",""ราชบุรี!M73"&amp;"3"")+IMPORTRANGE(""https://docs.google.com/spreadsheets/d/1lufeA2cfFqM-elVq2hznhDzC6Pr7wkJ9ZG_sYNGCMCU/edit?usp=sharing"",""ลพบุรี!M733"")+IMPORTRANGE(""https://docs.google.com/spreadsheets/d/10oOiF7loTyfsTkbd4MpaIm0HQ9SwB7IYHdIUvt-U1Uc/edit?usp=sharing"""&amp;",""สระแก้ว!M733"")+IMPORTRANGE(""https://docs.google.com/spreadsheets/d/1xmPlrr1QbdSIKvl1dWUl9K4PjAfSL9oeMr_37QVzcxc/edit?usp=sharing"",""สระบุรี!M733"")+IMPORTRANGE(""https://docs.google.com/spreadsheets/d/1j51vR6CYVGhABJpv6tkstgok82RLpXieLzW1yOY5rHw/edi"&amp;"t?usp=sharing"",""สิงห์บุรี!M733"")+IMPORTRANGE(""https://docs.google.com/spreadsheets/d/1H1EalTWKUSzO4Z1-1CwzoDUaVffgrThEBe2sl74kKG0/edit?usp=sharing"",""สุพรรณบุรี!M733"")+IMPORTRANGE(""https://docs.google.com/spreadsheets/d/1BmIruG_sIrJLYao_Pdr7zVArWsf"&amp;"oBt2692TMi6x_854/edit?usp=sharing"",""อ่างทอง!M733"")"),0)</f>
        <v>0</v>
      </c>
      <c r="N733" s="72">
        <f ca="1">IFERROR(__xludf.DUMMYFUNCTION("IMPORTRANGE(""https://docs.google.com/spreadsheets/d/13wPX838HrBrQMCywv1BsuMkt4PEKTChp52zj44s2izQ/edit?usp=sharing"",""กาญจนบุรี!N733"")+IMPORTRANGE(""https://docs.google.com/spreadsheets/d/1ddFKvqj1W1NEiWytbGlB1zMx_ykJDVtmfEQ-6-lIUBA/edit?usp=sharing"","&amp;"""จันทบุรี!N733"")+IMPORTRANGE(""https://docs.google.com/spreadsheets/d/1T1PQvRODqOBZk8BRht_U031fIS1beLA0Ub2CEytj2q0/edit?usp=sharing"",""ฉะเชิงเทรา!N733"")+IMPORTRANGE(""https://docs.google.com/spreadsheets/d/11tr1B-Bhyr79v2bkwVh5h_fR-PStkgjlZtkrZpYurG0/"&amp;"edit?usp=sharing"",""ชลบุรี!N733"")+IMPORTRANGE(""https://docs.google.com/spreadsheets/d/1hh-FVnSX0vozXhGluamEcS54Dw9_zqW0N7qJUWgJ0Sw/edit?usp=sharing"",""ชัยนาท!N733"")+IMPORTRANGE(""https://docs.google.com/spreadsheets/d/1jkqa6GXxSacMcY1eN8AHjMNJ_7dDXMJ"&amp;"VRLDlaFSOdPM/edit?usp=sharing"",""ตราด!N733"")+IMPORTRANGE(""https://docs.google.com/spreadsheets/d/18hSgUJ3VwClqi_qtULmmW3cLr0oe3OKaSYoKzdpTsYQ/edit?usp=sharing"",""นครนายก!N733"")+IMPORTRANGE(""https://docs.google.com/spreadsheets/d/1YTZo6WM2dQ6Ix6FSdnL"&amp;"5P7uVnVKu40sxZu975tgG10E/edit?usp=sharing"",""นครปฐม!N733"")+IMPORTRANGE(""https://docs.google.com/spreadsheets/d/1OYoGg4WDg5RIzwGeB10padOxJF9E_Vljuvvct_M7RDo/edit?usp=sharing"",""ปทุมธานี!N733"")+IMPORTRANGE(""https://docs.google.com/spreadsheets/d/1GbCI"&amp;"E4D4wk9FUozzqk7SxfDMxDVBwVmI5zcaVUSzKAc/edit?usp=sharing"",""ประจวบคีรีขันธ์!N733"")+IMPORTRANGE(""https://docs.google.com/spreadsheets/d/1vVf6wykvW_lAyu7Yo9L4hUTqHqIeP_qcVuxCtosJEbg/edit?usp=sharing"",""ปราจีนบุรี!N733"")+IMPORTRANGE(""https://docs.googl"&amp;"e.com/spreadsheets/d/1BIDqLLg5jk3v59G8NlR8rk5xfQDKne0sAvZHSj7TI6I/edit?usp=sharing"",""พระนครศรีอยุธยา!N733"")+IMPORTRANGE(""https://docs.google.com/spreadsheets/d/1YXvxf8Yu6_rV4hTBrwMqAcAnv6DfhUxh5emyM3CJp_w/edit?usp=sharing"",""เพชรบุรี!N733"")+IMPORTRA"&amp;"NGE(""https://docs.google.com/spreadsheets/d/19KBlQQs7uwvsao6t2n-KvW3Ax8J8uRRfZPq1zPbXgKc/edit?usp=sharing"",""ระยอง!N733"")+IMPORTRANGE(""https://docs.google.com/spreadsheets/d/1jQ6P4QcrGM89YfqcC_PxOHGCMq5ezhucwJd8ci-NHng/edit?usp=sharing"",""ราชบุรี!N73"&amp;"3"")+IMPORTRANGE(""https://docs.google.com/spreadsheets/d/1lufeA2cfFqM-elVq2hznhDzC6Pr7wkJ9ZG_sYNGCMCU/edit?usp=sharing"",""ลพบุรี!N733"")+IMPORTRANGE(""https://docs.google.com/spreadsheets/d/10oOiF7loTyfsTkbd4MpaIm0HQ9SwB7IYHdIUvt-U1Uc/edit?usp=sharing"""&amp;",""สระแก้ว!N733"")+IMPORTRANGE(""https://docs.google.com/spreadsheets/d/1xmPlrr1QbdSIKvl1dWUl9K4PjAfSL9oeMr_37QVzcxc/edit?usp=sharing"",""สระบุรี!N733"")+IMPORTRANGE(""https://docs.google.com/spreadsheets/d/1j51vR6CYVGhABJpv6tkstgok82RLpXieLzW1yOY5rHw/edi"&amp;"t?usp=sharing"",""สิงห์บุรี!N733"")+IMPORTRANGE(""https://docs.google.com/spreadsheets/d/1H1EalTWKUSzO4Z1-1CwzoDUaVffgrThEBe2sl74kKG0/edit?usp=sharing"",""สุพรรณบุรี!N733"")+IMPORTRANGE(""https://docs.google.com/spreadsheets/d/1BmIruG_sIrJLYao_Pdr7zVArWsf"&amp;"oBt2692TMi6x_854/edit?usp=sharing"",""อ่างทอง!N733"")"),0)</f>
        <v>0</v>
      </c>
      <c r="O733" s="72">
        <f t="shared" ca="1" si="497"/>
        <v>0</v>
      </c>
      <c r="P733" s="72">
        <f t="shared" ca="1" si="498"/>
        <v>0</v>
      </c>
      <c r="Q733" s="129">
        <f ca="1">IFERROR(__xludf.DUMMYFUNCTION("IMPORTRANGE(""https://docs.google.com/spreadsheets/d/13wPX838HrBrQMCywv1BsuMkt4PEKTChp52zj44s2izQ/edit?usp=sharing"",""กาญจนบุรี!Q733"")+IMPORTRANGE(""https://docs.google.com/spreadsheets/d/1ddFKvqj1W1NEiWytbGlB1zMx_ykJDVtmfEQ-6-lIUBA/edit?usp=sharing"","&amp;"""จันทบุรี!Q733"")+IMPORTRANGE(""https://docs.google.com/spreadsheets/d/1T1PQvRODqOBZk8BRht_U031fIS1beLA0Ub2CEytj2q0/edit?usp=sharing"",""ฉะเชิงเทรา!Q733"")+IMPORTRANGE(""https://docs.google.com/spreadsheets/d/11tr1B-Bhyr79v2bkwVh5h_fR-PStkgjlZtkrZpYurG0/"&amp;"edit?usp=sharing"",""ชลบุรี!Q733"")+IMPORTRANGE(""https://docs.google.com/spreadsheets/d/1hh-FVnSX0vozXhGluamEcS54Dw9_zqW0N7qJUWgJ0Sw/edit?usp=sharing"",""ชัยนาท!Q733"")+IMPORTRANGE(""https://docs.google.com/spreadsheets/d/1jkqa6GXxSacMcY1eN8AHjMNJ_7dDXMJ"&amp;"VRLDlaFSOdPM/edit?usp=sharing"",""ตราด!Q733"")+IMPORTRANGE(""https://docs.google.com/spreadsheets/d/18hSgUJ3VwClqi_qtULmmW3cLr0oe3OKaSYoKzdpTsYQ/edit?usp=sharing"",""นครนายก!Q733"")+IMPORTRANGE(""https://docs.google.com/spreadsheets/d/1YTZo6WM2dQ6Ix6FSdnL"&amp;"5P7uVnVKu40sxZu975tgG10E/edit?usp=sharing"",""นครปฐม!Q733"")+IMPORTRANGE(""https://docs.google.com/spreadsheets/d/1OYoGg4WDg5RIzwGeB10padOxJF9E_Vljuvvct_M7RDo/edit?usp=sharing"",""ปทุมธานี!Q733"")+IMPORTRANGE(""https://docs.google.com/spreadsheets/d/1GbCI"&amp;"E4D4wk9FUozzqk7SxfDMxDVBwVmI5zcaVUSzKAc/edit?usp=sharing"",""ประจวบคีรีขันธ์!Q733"")+IMPORTRANGE(""https://docs.google.com/spreadsheets/d/1vVf6wykvW_lAyu7Yo9L4hUTqHqIeP_qcVuxCtosJEbg/edit?usp=sharing"",""ปราจีนบุรี!Q733"")+IMPORTRANGE(""https://docs.googl"&amp;"e.com/spreadsheets/d/1BIDqLLg5jk3v59G8NlR8rk5xfQDKne0sAvZHSj7TI6I/edit?usp=sharing"",""พระนครศรีอยุธยา!Q733"")+IMPORTRANGE(""https://docs.google.com/spreadsheets/d/1YXvxf8Yu6_rV4hTBrwMqAcAnv6DfhUxh5emyM3CJp_w/edit?usp=sharing"",""เพชรบุรี!Q733"")+IMPORTRA"&amp;"NGE(""https://docs.google.com/spreadsheets/d/19KBlQQs7uwvsao6t2n-KvW3Ax8J8uRRfZPq1zPbXgKc/edit?usp=sharing"",""ระยอง!Q733"")+IMPORTRANGE(""https://docs.google.com/spreadsheets/d/1jQ6P4QcrGM89YfqcC_PxOHGCMq5ezhucwJd8ci-NHng/edit?usp=sharing"",""ราชบุรี!Q73"&amp;"3"")+IMPORTRANGE(""https://docs.google.com/spreadsheets/d/1lufeA2cfFqM-elVq2hznhDzC6Pr7wkJ9ZG_sYNGCMCU/edit?usp=sharing"",""ลพบุรี!Q733"")+IMPORTRANGE(""https://docs.google.com/spreadsheets/d/10oOiF7loTyfsTkbd4MpaIm0HQ9SwB7IYHdIUvt-U1Uc/edit?usp=sharing"""&amp;",""สระแก้ว!Q733"")+IMPORTRANGE(""https://docs.google.com/spreadsheets/d/1xmPlrr1QbdSIKvl1dWUl9K4PjAfSL9oeMr_37QVzcxc/edit?usp=sharing"",""สระบุรี!Q733"")+IMPORTRANGE(""https://docs.google.com/spreadsheets/d/1j51vR6CYVGhABJpv6tkstgok82RLpXieLzW1yOY5rHw/edi"&amp;"t?usp=sharing"",""สิงห์บุรี!Q733"")+IMPORTRANGE(""https://docs.google.com/spreadsheets/d/1H1EalTWKUSzO4Z1-1CwzoDUaVffgrThEBe2sl74kKG0/edit?usp=sharing"",""สุพรรณบุรี!Q733"")+IMPORTRANGE(""https://docs.google.com/spreadsheets/d/1BmIruG_sIrJLYao_Pdr7zVArWsf"&amp;"oBt2692TMi6x_854/edit?usp=sharing"",""อ่างทอง!Q733"")"),5615326)</f>
        <v>5615326</v>
      </c>
      <c r="R733" s="130">
        <f ca="1">IFERROR(__xludf.DUMMYFUNCTION("IMPORTRANGE(""https://docs.google.com/spreadsheets/d/13wPX838HrBrQMCywv1BsuMkt4PEKTChp52zj44s2izQ/edit?usp=sharing"",""กาญจนบุรี!R733"")+IMPORTRANGE(""https://docs.google.com/spreadsheets/d/1ddFKvqj1W1NEiWytbGlB1zMx_ykJDVtmfEQ-6-lIUBA/edit?usp=sharing"","&amp;"""จันทบุรี!R733"")+IMPORTRANGE(""https://docs.google.com/spreadsheets/d/1T1PQvRODqOBZk8BRht_U031fIS1beLA0Ub2CEytj2q0/edit?usp=sharing"",""ฉะเชิงเทรา!R733"")+IMPORTRANGE(""https://docs.google.com/spreadsheets/d/11tr1B-Bhyr79v2bkwVh5h_fR-PStkgjlZtkrZpYurG0/"&amp;"edit?usp=sharing"",""ชลบุรี!R733"")+IMPORTRANGE(""https://docs.google.com/spreadsheets/d/1hh-FVnSX0vozXhGluamEcS54Dw9_zqW0N7qJUWgJ0Sw/edit?usp=sharing"",""ชัยนาท!R733"")+IMPORTRANGE(""https://docs.google.com/spreadsheets/d/1jkqa6GXxSacMcY1eN8AHjMNJ_7dDXMJ"&amp;"VRLDlaFSOdPM/edit?usp=sharing"",""ตราด!R733"")+IMPORTRANGE(""https://docs.google.com/spreadsheets/d/18hSgUJ3VwClqi_qtULmmW3cLr0oe3OKaSYoKzdpTsYQ/edit?usp=sharing"",""นครนายก!R733"")+IMPORTRANGE(""https://docs.google.com/spreadsheets/d/1YTZo6WM2dQ6Ix6FSdnL"&amp;"5P7uVnVKu40sxZu975tgG10E/edit?usp=sharing"",""นครปฐม!R733"")+IMPORTRANGE(""https://docs.google.com/spreadsheets/d/1OYoGg4WDg5RIzwGeB10padOxJF9E_Vljuvvct_M7RDo/edit?usp=sharing"",""ปทุมธานี!R733"")+IMPORTRANGE(""https://docs.google.com/spreadsheets/d/1GbCI"&amp;"E4D4wk9FUozzqk7SxfDMxDVBwVmI5zcaVUSzKAc/edit?usp=sharing"",""ประจวบคีรีขันธ์!R733"")+IMPORTRANGE(""https://docs.google.com/spreadsheets/d/1vVf6wykvW_lAyu7Yo9L4hUTqHqIeP_qcVuxCtosJEbg/edit?usp=sharing"",""ปราจีนบุรี!R733"")+IMPORTRANGE(""https://docs.googl"&amp;"e.com/spreadsheets/d/1BIDqLLg5jk3v59G8NlR8rk5xfQDKne0sAvZHSj7TI6I/edit?usp=sharing"",""พระนครศรีอยุธยา!R733"")+IMPORTRANGE(""https://docs.google.com/spreadsheets/d/1YXvxf8Yu6_rV4hTBrwMqAcAnv6DfhUxh5emyM3CJp_w/edit?usp=sharing"",""เพชรบุรี!R733"")+IMPORTRA"&amp;"NGE(""https://docs.google.com/spreadsheets/d/19KBlQQs7uwvsao6t2n-KvW3Ax8J8uRRfZPq1zPbXgKc/edit?usp=sharing"",""ระยอง!R733"")+IMPORTRANGE(""https://docs.google.com/spreadsheets/d/1jQ6P4QcrGM89YfqcC_PxOHGCMq5ezhucwJd8ci-NHng/edit?usp=sharing"",""ราชบุรี!R73"&amp;"3"")+IMPORTRANGE(""https://docs.google.com/spreadsheets/d/1lufeA2cfFqM-elVq2hznhDzC6Pr7wkJ9ZG_sYNGCMCU/edit?usp=sharing"",""ลพบุรี!R733"")+IMPORTRANGE(""https://docs.google.com/spreadsheets/d/10oOiF7loTyfsTkbd4MpaIm0HQ9SwB7IYHdIUvt-U1Uc/edit?usp=sharing"""&amp;",""สระแก้ว!R733"")+IMPORTRANGE(""https://docs.google.com/spreadsheets/d/1xmPlrr1QbdSIKvl1dWUl9K4PjAfSL9oeMr_37QVzcxc/edit?usp=sharing"",""สระบุรี!R733"")+IMPORTRANGE(""https://docs.google.com/spreadsheets/d/1j51vR6CYVGhABJpv6tkstgok82RLpXieLzW1yOY5rHw/edi"&amp;"t?usp=sharing"",""สิงห์บุรี!R733"")+IMPORTRANGE(""https://docs.google.com/spreadsheets/d/1H1EalTWKUSzO4Z1-1CwzoDUaVffgrThEBe2sl74kKG0/edit?usp=sharing"",""สุพรรณบุรี!R733"")+IMPORTRANGE(""https://docs.google.com/spreadsheets/d/1BmIruG_sIrJLYao_Pdr7zVArWsf"&amp;"oBt2692TMi6x_854/edit?usp=sharing"",""อ่างทอง!R733"")"),5615326)</f>
        <v>5615326</v>
      </c>
      <c r="S733" s="130">
        <f ca="1">IFERROR(__xludf.DUMMYFUNCTION("IMPORTRANGE(""https://docs.google.com/spreadsheets/d/13wPX838HrBrQMCywv1BsuMkt4PEKTChp52zj44s2izQ/edit?usp=sharing"",""กาญจนบุรี!S733"")+IMPORTRANGE(""https://docs.google.com/spreadsheets/d/1ddFKvqj1W1NEiWytbGlB1zMx_ykJDVtmfEQ-6-lIUBA/edit?usp=sharing"","&amp;"""จันทบุรี!S733"")+IMPORTRANGE(""https://docs.google.com/spreadsheets/d/1T1PQvRODqOBZk8BRht_U031fIS1beLA0Ub2CEytj2q0/edit?usp=sharing"",""ฉะเชิงเทรา!S733"")+IMPORTRANGE(""https://docs.google.com/spreadsheets/d/11tr1B-Bhyr79v2bkwVh5h_fR-PStkgjlZtkrZpYurG0/"&amp;"edit?usp=sharing"",""ชลบุรี!S733"")+IMPORTRANGE(""https://docs.google.com/spreadsheets/d/1hh-FVnSX0vozXhGluamEcS54Dw9_zqW0N7qJUWgJ0Sw/edit?usp=sharing"",""ชัยนาท!S733"")+IMPORTRANGE(""https://docs.google.com/spreadsheets/d/1jkqa6GXxSacMcY1eN8AHjMNJ_7dDXMJ"&amp;"VRLDlaFSOdPM/edit?usp=sharing"",""ตราด!S733"")+IMPORTRANGE(""https://docs.google.com/spreadsheets/d/18hSgUJ3VwClqi_qtULmmW3cLr0oe3OKaSYoKzdpTsYQ/edit?usp=sharing"",""นครนายก!S733"")+IMPORTRANGE(""https://docs.google.com/spreadsheets/d/1YTZo6WM2dQ6Ix6FSdnL"&amp;"5P7uVnVKu40sxZu975tgG10E/edit?usp=sharing"",""นครปฐม!S733"")+IMPORTRANGE(""https://docs.google.com/spreadsheets/d/1OYoGg4WDg5RIzwGeB10padOxJF9E_Vljuvvct_M7RDo/edit?usp=sharing"",""ปทุมธานี!S733"")+IMPORTRANGE(""https://docs.google.com/spreadsheets/d/1GbCI"&amp;"E4D4wk9FUozzqk7SxfDMxDVBwVmI5zcaVUSzKAc/edit?usp=sharing"",""ประจวบคีรีขันธ์!S733"")+IMPORTRANGE(""https://docs.google.com/spreadsheets/d/1vVf6wykvW_lAyu7Yo9L4hUTqHqIeP_qcVuxCtosJEbg/edit?usp=sharing"",""ปราจีนบุรี!S733"")+IMPORTRANGE(""https://docs.googl"&amp;"e.com/spreadsheets/d/1BIDqLLg5jk3v59G8NlR8rk5xfQDKne0sAvZHSj7TI6I/edit?usp=sharing"",""พระนครศรีอยุธยา!S733"")+IMPORTRANGE(""https://docs.google.com/spreadsheets/d/1YXvxf8Yu6_rV4hTBrwMqAcAnv6DfhUxh5emyM3CJp_w/edit?usp=sharing"",""เพชรบุรี!S733"")+IMPORTRA"&amp;"NGE(""https://docs.google.com/spreadsheets/d/19KBlQQs7uwvsao6t2n-KvW3Ax8J8uRRfZPq1zPbXgKc/edit?usp=sharing"",""ระยอง!S733"")+IMPORTRANGE(""https://docs.google.com/spreadsheets/d/1jQ6P4QcrGM89YfqcC_PxOHGCMq5ezhucwJd8ci-NHng/edit?usp=sharing"",""ราชบุรี!S73"&amp;"3"")+IMPORTRANGE(""https://docs.google.com/spreadsheets/d/1lufeA2cfFqM-elVq2hznhDzC6Pr7wkJ9ZG_sYNGCMCU/edit?usp=sharing"",""ลพบุรี!S733"")+IMPORTRANGE(""https://docs.google.com/spreadsheets/d/10oOiF7loTyfsTkbd4MpaIm0HQ9SwB7IYHdIUvt-U1Uc/edit?usp=sharing"""&amp;",""สระแก้ว!S733"")+IMPORTRANGE(""https://docs.google.com/spreadsheets/d/1xmPlrr1QbdSIKvl1dWUl9K4PjAfSL9oeMr_37QVzcxc/edit?usp=sharing"",""สระบุรี!S733"")+IMPORTRANGE(""https://docs.google.com/spreadsheets/d/1j51vR6CYVGhABJpv6tkstgok82RLpXieLzW1yOY5rHw/edi"&amp;"t?usp=sharing"",""สิงห์บุรี!S733"")+IMPORTRANGE(""https://docs.google.com/spreadsheets/d/1H1EalTWKUSzO4Z1-1CwzoDUaVffgrThEBe2sl74kKG0/edit?usp=sharing"",""สุพรรณบุรี!S733"")+IMPORTRANGE(""https://docs.google.com/spreadsheets/d/1BmIruG_sIrJLYao_Pdr7zVArWsf"&amp;"oBt2692TMi6x_854/edit?usp=sharing"",""อ่างทอง!S733"")"),1753704.01)</f>
        <v>1753704.01</v>
      </c>
      <c r="T733" s="130">
        <f t="shared" ca="1" si="500"/>
        <v>31.230671380432767</v>
      </c>
      <c r="U733" s="130">
        <f t="shared" ca="1" si="501"/>
        <v>31.230671380432767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 t="shared" ref="L734:N734" ca="1" si="508">L735+L736</f>
        <v>0</v>
      </c>
      <c r="M734" s="72">
        <f t="shared" ca="1" si="508"/>
        <v>0</v>
      </c>
      <c r="N734" s="72">
        <f t="shared" ca="1" si="508"/>
        <v>0</v>
      </c>
      <c r="O734" s="72">
        <f t="shared" ca="1" si="497"/>
        <v>0</v>
      </c>
      <c r="P734" s="72">
        <f t="shared" ca="1" si="498"/>
        <v>0</v>
      </c>
      <c r="Q734" s="129">
        <f t="shared" ref="Q734:S734" ca="1" si="509">Q735+Q736</f>
        <v>0</v>
      </c>
      <c r="R734" s="130">
        <f t="shared" ca="1" si="509"/>
        <v>0</v>
      </c>
      <c r="S734" s="130">
        <f t="shared" ca="1" si="509"/>
        <v>0</v>
      </c>
      <c r="T734" s="130">
        <f t="shared" ca="1" si="500"/>
        <v>0</v>
      </c>
      <c r="U734" s="130">
        <f t="shared" ca="1" si="501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5">
        <f ca="1">IFERROR(__xludf.DUMMYFUNCTION("IMPORTRANGE(""https://docs.google.com/spreadsheets/d/13wPX838HrBrQMCywv1BsuMkt4PEKTChp52zj44s2izQ/edit?usp=sharing"",""กาญจนบุรี!L735"")+IMPORTRANGE(""https://docs.google.com/spreadsheets/d/1ddFKvqj1W1NEiWytbGlB1zMx_ykJDVtmfEQ-6-lIUBA/edit?usp=sharing"","&amp;"""จันทบุรี!L735"")+IMPORTRANGE(""https://docs.google.com/spreadsheets/d/1T1PQvRODqOBZk8BRht_U031fIS1beLA0Ub2CEytj2q0/edit?usp=sharing"",""ฉะเชิงเทรา!L735"")+IMPORTRANGE(""https://docs.google.com/spreadsheets/d/11tr1B-Bhyr79v2bkwVh5h_fR-PStkgjlZtkrZpYurG0/"&amp;"edit?usp=sharing"",""ชลบุรี!L735"")+IMPORTRANGE(""https://docs.google.com/spreadsheets/d/1hh-FVnSX0vozXhGluamEcS54Dw9_zqW0N7qJUWgJ0Sw/edit?usp=sharing"",""ชัยนาท!L735"")+IMPORTRANGE(""https://docs.google.com/spreadsheets/d/1jkqa6GXxSacMcY1eN8AHjMNJ_7dDXMJ"&amp;"VRLDlaFSOdPM/edit?usp=sharing"",""ตราด!L735"")+IMPORTRANGE(""https://docs.google.com/spreadsheets/d/18hSgUJ3VwClqi_qtULmmW3cLr0oe3OKaSYoKzdpTsYQ/edit?usp=sharing"",""นครนายก!L735"")+IMPORTRANGE(""https://docs.google.com/spreadsheets/d/1YTZo6WM2dQ6Ix6FSdnL"&amp;"5P7uVnVKu40sxZu975tgG10E/edit?usp=sharing"",""นครปฐม!L735"")+IMPORTRANGE(""https://docs.google.com/spreadsheets/d/1OYoGg4WDg5RIzwGeB10padOxJF9E_Vljuvvct_M7RDo/edit?usp=sharing"",""ปทุมธานี!L735"")+IMPORTRANGE(""https://docs.google.com/spreadsheets/d/1GbCI"&amp;"E4D4wk9FUozzqk7SxfDMxDVBwVmI5zcaVUSzKAc/edit?usp=sharing"",""ประจวบคีรีขันธ์!L735"")+IMPORTRANGE(""https://docs.google.com/spreadsheets/d/1vVf6wykvW_lAyu7Yo9L4hUTqHqIeP_qcVuxCtosJEbg/edit?usp=sharing"",""ปราจีนบุรี!L735"")+IMPORTRANGE(""https://docs.googl"&amp;"e.com/spreadsheets/d/1BIDqLLg5jk3v59G8NlR8rk5xfQDKne0sAvZHSj7TI6I/edit?usp=sharing"",""พระนครศรีอยุธยา!L735"")+IMPORTRANGE(""https://docs.google.com/spreadsheets/d/1YXvxf8Yu6_rV4hTBrwMqAcAnv6DfhUxh5emyM3CJp_w/edit?usp=sharing"",""เพชรบุรี!L735"")+IMPORTRA"&amp;"NGE(""https://docs.google.com/spreadsheets/d/19KBlQQs7uwvsao6t2n-KvW3Ax8J8uRRfZPq1zPbXgKc/edit?usp=sharing"",""ระยอง!L735"")+IMPORTRANGE(""https://docs.google.com/spreadsheets/d/1jQ6P4QcrGM89YfqcC_PxOHGCMq5ezhucwJd8ci-NHng/edit?usp=sharing"",""ราชบุรี!L73"&amp;"5"")+IMPORTRANGE(""https://docs.google.com/spreadsheets/d/1lufeA2cfFqM-elVq2hznhDzC6Pr7wkJ9ZG_sYNGCMCU/edit?usp=sharing"",""ลพบุรี!L735"")+IMPORTRANGE(""https://docs.google.com/spreadsheets/d/10oOiF7loTyfsTkbd4MpaIm0HQ9SwB7IYHdIUvt-U1Uc/edit?usp=sharing"""&amp;",""สระแก้ว!L735"")+IMPORTRANGE(""https://docs.google.com/spreadsheets/d/1xmPlrr1QbdSIKvl1dWUl9K4PjAfSL9oeMr_37QVzcxc/edit?usp=sharing"",""สระบุรี!L735"")+IMPORTRANGE(""https://docs.google.com/spreadsheets/d/1j51vR6CYVGhABJpv6tkstgok82RLpXieLzW1yOY5rHw/edi"&amp;"t?usp=sharing"",""สิงห์บุรี!L735"")+IMPORTRANGE(""https://docs.google.com/spreadsheets/d/1H1EalTWKUSzO4Z1-1CwzoDUaVffgrThEBe2sl74kKG0/edit?usp=sharing"",""สุพรรณบุรี!L735"")+IMPORTRANGE(""https://docs.google.com/spreadsheets/d/1BmIruG_sIrJLYao_Pdr7zVArWsf"&amp;"oBt2692TMi6x_854/edit?usp=sharing"",""อ่างทอง!L735"")"),0)</f>
        <v>0</v>
      </c>
      <c r="M735" s="75">
        <f ca="1">IFERROR(__xludf.DUMMYFUNCTION("IMPORTRANGE(""https://docs.google.com/spreadsheets/d/13wPX838HrBrQMCywv1BsuMkt4PEKTChp52zj44s2izQ/edit?usp=sharing"",""กาญจนบุรี!M735"")+IMPORTRANGE(""https://docs.google.com/spreadsheets/d/1ddFKvqj1W1NEiWytbGlB1zMx_ykJDVtmfEQ-6-lIUBA/edit?usp=sharing"","&amp;"""จันทบุรี!M735"")+IMPORTRANGE(""https://docs.google.com/spreadsheets/d/1T1PQvRODqOBZk8BRht_U031fIS1beLA0Ub2CEytj2q0/edit?usp=sharing"",""ฉะเชิงเทรา!M735"")+IMPORTRANGE(""https://docs.google.com/spreadsheets/d/11tr1B-Bhyr79v2bkwVh5h_fR-PStkgjlZtkrZpYurG0/"&amp;"edit?usp=sharing"",""ชลบุรี!M735"")+IMPORTRANGE(""https://docs.google.com/spreadsheets/d/1hh-FVnSX0vozXhGluamEcS54Dw9_zqW0N7qJUWgJ0Sw/edit?usp=sharing"",""ชัยนาท!M735"")+IMPORTRANGE(""https://docs.google.com/spreadsheets/d/1jkqa6GXxSacMcY1eN8AHjMNJ_7dDXMJ"&amp;"VRLDlaFSOdPM/edit?usp=sharing"",""ตราด!M735"")+IMPORTRANGE(""https://docs.google.com/spreadsheets/d/18hSgUJ3VwClqi_qtULmmW3cLr0oe3OKaSYoKzdpTsYQ/edit?usp=sharing"",""นครนายก!M735"")+IMPORTRANGE(""https://docs.google.com/spreadsheets/d/1YTZo6WM2dQ6Ix6FSdnL"&amp;"5P7uVnVKu40sxZu975tgG10E/edit?usp=sharing"",""นครปฐม!M735"")+IMPORTRANGE(""https://docs.google.com/spreadsheets/d/1OYoGg4WDg5RIzwGeB10padOxJF9E_Vljuvvct_M7RDo/edit?usp=sharing"",""ปทุมธานี!M735"")+IMPORTRANGE(""https://docs.google.com/spreadsheets/d/1GbCI"&amp;"E4D4wk9FUozzqk7SxfDMxDVBwVmI5zcaVUSzKAc/edit?usp=sharing"",""ประจวบคีรีขันธ์!M735"")+IMPORTRANGE(""https://docs.google.com/spreadsheets/d/1vVf6wykvW_lAyu7Yo9L4hUTqHqIeP_qcVuxCtosJEbg/edit?usp=sharing"",""ปราจีนบุรี!M735"")+IMPORTRANGE(""https://docs.googl"&amp;"e.com/spreadsheets/d/1BIDqLLg5jk3v59G8NlR8rk5xfQDKne0sAvZHSj7TI6I/edit?usp=sharing"",""พระนครศรีอยุธยา!M735"")+IMPORTRANGE(""https://docs.google.com/spreadsheets/d/1YXvxf8Yu6_rV4hTBrwMqAcAnv6DfhUxh5emyM3CJp_w/edit?usp=sharing"",""เพชรบุรี!M735"")+IMPORTRA"&amp;"NGE(""https://docs.google.com/spreadsheets/d/19KBlQQs7uwvsao6t2n-KvW3Ax8J8uRRfZPq1zPbXgKc/edit?usp=sharing"",""ระยอง!M735"")+IMPORTRANGE(""https://docs.google.com/spreadsheets/d/1jQ6P4QcrGM89YfqcC_PxOHGCMq5ezhucwJd8ci-NHng/edit?usp=sharing"",""ราชบุรี!M73"&amp;"5"")+IMPORTRANGE(""https://docs.google.com/spreadsheets/d/1lufeA2cfFqM-elVq2hznhDzC6Pr7wkJ9ZG_sYNGCMCU/edit?usp=sharing"",""ลพบุรี!M735"")+IMPORTRANGE(""https://docs.google.com/spreadsheets/d/10oOiF7loTyfsTkbd4MpaIm0HQ9SwB7IYHdIUvt-U1Uc/edit?usp=sharing"""&amp;",""สระแก้ว!M735"")+IMPORTRANGE(""https://docs.google.com/spreadsheets/d/1xmPlrr1QbdSIKvl1dWUl9K4PjAfSL9oeMr_37QVzcxc/edit?usp=sharing"",""สระบุรี!M735"")+IMPORTRANGE(""https://docs.google.com/spreadsheets/d/1j51vR6CYVGhABJpv6tkstgok82RLpXieLzW1yOY5rHw/edi"&amp;"t?usp=sharing"",""สิงห์บุรี!M735"")+IMPORTRANGE(""https://docs.google.com/spreadsheets/d/1H1EalTWKUSzO4Z1-1CwzoDUaVffgrThEBe2sl74kKG0/edit?usp=sharing"",""สุพรรณบุรี!M735"")+IMPORTRANGE(""https://docs.google.com/spreadsheets/d/1BmIruG_sIrJLYao_Pdr7zVArWsf"&amp;"oBt2692TMi6x_854/edit?usp=sharing"",""อ่างทอง!M735"")"),0)</f>
        <v>0</v>
      </c>
      <c r="N735" s="75">
        <f ca="1">IFERROR(__xludf.DUMMYFUNCTION("IMPORTRANGE(""https://docs.google.com/spreadsheets/d/13wPX838HrBrQMCywv1BsuMkt4PEKTChp52zj44s2izQ/edit?usp=sharing"",""กาญจนบุรี!N735"")+IMPORTRANGE(""https://docs.google.com/spreadsheets/d/1ddFKvqj1W1NEiWytbGlB1zMx_ykJDVtmfEQ-6-lIUBA/edit?usp=sharing"","&amp;"""จันทบุรี!N735"")+IMPORTRANGE(""https://docs.google.com/spreadsheets/d/1T1PQvRODqOBZk8BRht_U031fIS1beLA0Ub2CEytj2q0/edit?usp=sharing"",""ฉะเชิงเทรา!N735"")+IMPORTRANGE(""https://docs.google.com/spreadsheets/d/11tr1B-Bhyr79v2bkwVh5h_fR-PStkgjlZtkrZpYurG0/"&amp;"edit?usp=sharing"",""ชลบุรี!N735"")+IMPORTRANGE(""https://docs.google.com/spreadsheets/d/1hh-FVnSX0vozXhGluamEcS54Dw9_zqW0N7qJUWgJ0Sw/edit?usp=sharing"",""ชัยนาท!N735"")+IMPORTRANGE(""https://docs.google.com/spreadsheets/d/1jkqa6GXxSacMcY1eN8AHjMNJ_7dDXMJ"&amp;"VRLDlaFSOdPM/edit?usp=sharing"",""ตราด!N735"")+IMPORTRANGE(""https://docs.google.com/spreadsheets/d/18hSgUJ3VwClqi_qtULmmW3cLr0oe3OKaSYoKzdpTsYQ/edit?usp=sharing"",""นครนายก!N735"")+IMPORTRANGE(""https://docs.google.com/spreadsheets/d/1YTZo6WM2dQ6Ix6FSdnL"&amp;"5P7uVnVKu40sxZu975tgG10E/edit?usp=sharing"",""นครปฐม!N735"")+IMPORTRANGE(""https://docs.google.com/spreadsheets/d/1OYoGg4WDg5RIzwGeB10padOxJF9E_Vljuvvct_M7RDo/edit?usp=sharing"",""ปทุมธานี!N735"")+IMPORTRANGE(""https://docs.google.com/spreadsheets/d/1GbCI"&amp;"E4D4wk9FUozzqk7SxfDMxDVBwVmI5zcaVUSzKAc/edit?usp=sharing"",""ประจวบคีรีขันธ์!N735"")+IMPORTRANGE(""https://docs.google.com/spreadsheets/d/1vVf6wykvW_lAyu7Yo9L4hUTqHqIeP_qcVuxCtosJEbg/edit?usp=sharing"",""ปราจีนบุรี!N735"")+IMPORTRANGE(""https://docs.googl"&amp;"e.com/spreadsheets/d/1BIDqLLg5jk3v59G8NlR8rk5xfQDKne0sAvZHSj7TI6I/edit?usp=sharing"",""พระนครศรีอยุธยา!N735"")+IMPORTRANGE(""https://docs.google.com/spreadsheets/d/1YXvxf8Yu6_rV4hTBrwMqAcAnv6DfhUxh5emyM3CJp_w/edit?usp=sharing"",""เพชรบุรี!N735"")+IMPORTRA"&amp;"NGE(""https://docs.google.com/spreadsheets/d/19KBlQQs7uwvsao6t2n-KvW3Ax8J8uRRfZPq1zPbXgKc/edit?usp=sharing"",""ระยอง!N735"")+IMPORTRANGE(""https://docs.google.com/spreadsheets/d/1jQ6P4QcrGM89YfqcC_PxOHGCMq5ezhucwJd8ci-NHng/edit?usp=sharing"",""ราชบุรี!N73"&amp;"5"")+IMPORTRANGE(""https://docs.google.com/spreadsheets/d/1lufeA2cfFqM-elVq2hznhDzC6Pr7wkJ9ZG_sYNGCMCU/edit?usp=sharing"",""ลพบุรี!N735"")+IMPORTRANGE(""https://docs.google.com/spreadsheets/d/10oOiF7loTyfsTkbd4MpaIm0HQ9SwB7IYHdIUvt-U1Uc/edit?usp=sharing"""&amp;",""สระแก้ว!N735"")+IMPORTRANGE(""https://docs.google.com/spreadsheets/d/1xmPlrr1QbdSIKvl1dWUl9K4PjAfSL9oeMr_37QVzcxc/edit?usp=sharing"",""สระบุรี!N735"")+IMPORTRANGE(""https://docs.google.com/spreadsheets/d/1j51vR6CYVGhABJpv6tkstgok82RLpXieLzW1yOY5rHw/edi"&amp;"t?usp=sharing"",""สิงห์บุรี!N735"")+IMPORTRANGE(""https://docs.google.com/spreadsheets/d/1H1EalTWKUSzO4Z1-1CwzoDUaVffgrThEBe2sl74kKG0/edit?usp=sharing"",""สุพรรณบุรี!N735"")+IMPORTRANGE(""https://docs.google.com/spreadsheets/d/1BmIruG_sIrJLYao_Pdr7zVArWsf"&amp;"oBt2692TMi6x_854/edit?usp=sharing"",""อ่างทอง!N735"")"),0)</f>
        <v>0</v>
      </c>
      <c r="O735" s="75">
        <f t="shared" ca="1" si="497"/>
        <v>0</v>
      </c>
      <c r="P735" s="75">
        <f t="shared" ca="1" si="498"/>
        <v>0</v>
      </c>
      <c r="Q735" s="74">
        <f ca="1">IFERROR(__xludf.DUMMYFUNCTION("IMPORTRANGE(""https://docs.google.com/spreadsheets/d/13wPX838HrBrQMCywv1BsuMkt4PEKTChp52zj44s2izQ/edit?usp=sharing"",""กาญจนบุรี!Q735"")+IMPORTRANGE(""https://docs.google.com/spreadsheets/d/1ddFKvqj1W1NEiWytbGlB1zMx_ykJDVtmfEQ-6-lIUBA/edit?usp=sharing"","&amp;"""จันทบุรี!Q735"")+IMPORTRANGE(""https://docs.google.com/spreadsheets/d/1T1PQvRODqOBZk8BRht_U031fIS1beLA0Ub2CEytj2q0/edit?usp=sharing"",""ฉะเชิงเทรา!Q735"")+IMPORTRANGE(""https://docs.google.com/spreadsheets/d/11tr1B-Bhyr79v2bkwVh5h_fR-PStkgjlZtkrZpYurG0/"&amp;"edit?usp=sharing"",""ชลบุรี!Q735"")+IMPORTRANGE(""https://docs.google.com/spreadsheets/d/1hh-FVnSX0vozXhGluamEcS54Dw9_zqW0N7qJUWgJ0Sw/edit?usp=sharing"",""ชัยนาท!Q735"")+IMPORTRANGE(""https://docs.google.com/spreadsheets/d/1jkqa6GXxSacMcY1eN8AHjMNJ_7dDXMJ"&amp;"VRLDlaFSOdPM/edit?usp=sharing"",""ตราด!Q735"")+IMPORTRANGE(""https://docs.google.com/spreadsheets/d/18hSgUJ3VwClqi_qtULmmW3cLr0oe3OKaSYoKzdpTsYQ/edit?usp=sharing"",""นครนายก!Q735"")+IMPORTRANGE(""https://docs.google.com/spreadsheets/d/1YTZo6WM2dQ6Ix6FSdnL"&amp;"5P7uVnVKu40sxZu975tgG10E/edit?usp=sharing"",""นครปฐม!Q735"")+IMPORTRANGE(""https://docs.google.com/spreadsheets/d/1OYoGg4WDg5RIzwGeB10padOxJF9E_Vljuvvct_M7RDo/edit?usp=sharing"",""ปทุมธานี!Q735"")+IMPORTRANGE(""https://docs.google.com/spreadsheets/d/1GbCI"&amp;"E4D4wk9FUozzqk7SxfDMxDVBwVmI5zcaVUSzKAc/edit?usp=sharing"",""ประจวบคีรีขันธ์!Q735"")+IMPORTRANGE(""https://docs.google.com/spreadsheets/d/1vVf6wykvW_lAyu7Yo9L4hUTqHqIeP_qcVuxCtosJEbg/edit?usp=sharing"",""ปราจีนบุรี!Q735"")+IMPORTRANGE(""https://docs.googl"&amp;"e.com/spreadsheets/d/1BIDqLLg5jk3v59G8NlR8rk5xfQDKne0sAvZHSj7TI6I/edit?usp=sharing"",""พระนครศรีอยุธยา!Q735"")+IMPORTRANGE(""https://docs.google.com/spreadsheets/d/1YXvxf8Yu6_rV4hTBrwMqAcAnv6DfhUxh5emyM3CJp_w/edit?usp=sharing"",""เพชรบุรี!Q735"")+IMPORTRA"&amp;"NGE(""https://docs.google.com/spreadsheets/d/19KBlQQs7uwvsao6t2n-KvW3Ax8J8uRRfZPq1zPbXgKc/edit?usp=sharing"",""ระยอง!Q735"")+IMPORTRANGE(""https://docs.google.com/spreadsheets/d/1jQ6P4QcrGM89YfqcC_PxOHGCMq5ezhucwJd8ci-NHng/edit?usp=sharing"",""ราชบุรี!Q73"&amp;"5"")+IMPORTRANGE(""https://docs.google.com/spreadsheets/d/1lufeA2cfFqM-elVq2hznhDzC6Pr7wkJ9ZG_sYNGCMCU/edit?usp=sharing"",""ลพบุรี!Q735"")+IMPORTRANGE(""https://docs.google.com/spreadsheets/d/10oOiF7loTyfsTkbd4MpaIm0HQ9SwB7IYHdIUvt-U1Uc/edit?usp=sharing"""&amp;",""สระแก้ว!Q735"")+IMPORTRANGE(""https://docs.google.com/spreadsheets/d/1xmPlrr1QbdSIKvl1dWUl9K4PjAfSL9oeMr_37QVzcxc/edit?usp=sharing"",""สระบุรี!Q735"")+IMPORTRANGE(""https://docs.google.com/spreadsheets/d/1j51vR6CYVGhABJpv6tkstgok82RLpXieLzW1yOY5rHw/edi"&amp;"t?usp=sharing"",""สิงห์บุรี!Q735"")+IMPORTRANGE(""https://docs.google.com/spreadsheets/d/1H1EalTWKUSzO4Z1-1CwzoDUaVffgrThEBe2sl74kKG0/edit?usp=sharing"",""สุพรรณบุรี!Q735"")+IMPORTRANGE(""https://docs.google.com/spreadsheets/d/1BmIruG_sIrJLYao_Pdr7zVArWsf"&amp;"oBt2692TMi6x_854/edit?usp=sharing"",""อ่างทอง!Q735"")"),0)</f>
        <v>0</v>
      </c>
      <c r="R735" s="75">
        <f ca="1">IFERROR(__xludf.DUMMYFUNCTION("IMPORTRANGE(""https://docs.google.com/spreadsheets/d/13wPX838HrBrQMCywv1BsuMkt4PEKTChp52zj44s2izQ/edit?usp=sharing"",""กาญจนบุรี!R735"")+IMPORTRANGE(""https://docs.google.com/spreadsheets/d/1ddFKvqj1W1NEiWytbGlB1zMx_ykJDVtmfEQ-6-lIUBA/edit?usp=sharing"","&amp;"""จันทบุรี!R735"")+IMPORTRANGE(""https://docs.google.com/spreadsheets/d/1T1PQvRODqOBZk8BRht_U031fIS1beLA0Ub2CEytj2q0/edit?usp=sharing"",""ฉะเชิงเทรา!R735"")+IMPORTRANGE(""https://docs.google.com/spreadsheets/d/11tr1B-Bhyr79v2bkwVh5h_fR-PStkgjlZtkrZpYurG0/"&amp;"edit?usp=sharing"",""ชลบุรี!R735"")+IMPORTRANGE(""https://docs.google.com/spreadsheets/d/1hh-FVnSX0vozXhGluamEcS54Dw9_zqW0N7qJUWgJ0Sw/edit?usp=sharing"",""ชัยนาท!R735"")+IMPORTRANGE(""https://docs.google.com/spreadsheets/d/1jkqa6GXxSacMcY1eN8AHjMNJ_7dDXMJ"&amp;"VRLDlaFSOdPM/edit?usp=sharing"",""ตราด!R735"")+IMPORTRANGE(""https://docs.google.com/spreadsheets/d/18hSgUJ3VwClqi_qtULmmW3cLr0oe3OKaSYoKzdpTsYQ/edit?usp=sharing"",""นครนายก!R735"")+IMPORTRANGE(""https://docs.google.com/spreadsheets/d/1YTZo6WM2dQ6Ix6FSdnL"&amp;"5P7uVnVKu40sxZu975tgG10E/edit?usp=sharing"",""นครปฐม!R735"")+IMPORTRANGE(""https://docs.google.com/spreadsheets/d/1OYoGg4WDg5RIzwGeB10padOxJF9E_Vljuvvct_M7RDo/edit?usp=sharing"",""ปทุมธานี!R735"")+IMPORTRANGE(""https://docs.google.com/spreadsheets/d/1GbCI"&amp;"E4D4wk9FUozzqk7SxfDMxDVBwVmI5zcaVUSzKAc/edit?usp=sharing"",""ประจวบคีรีขันธ์!R735"")+IMPORTRANGE(""https://docs.google.com/spreadsheets/d/1vVf6wykvW_lAyu7Yo9L4hUTqHqIeP_qcVuxCtosJEbg/edit?usp=sharing"",""ปราจีนบุรี!R735"")+IMPORTRANGE(""https://docs.googl"&amp;"e.com/spreadsheets/d/1BIDqLLg5jk3v59G8NlR8rk5xfQDKne0sAvZHSj7TI6I/edit?usp=sharing"",""พระนครศรีอยุธยา!R735"")+IMPORTRANGE(""https://docs.google.com/spreadsheets/d/1YXvxf8Yu6_rV4hTBrwMqAcAnv6DfhUxh5emyM3CJp_w/edit?usp=sharing"",""เพชรบุรี!R735"")+IMPORTRA"&amp;"NGE(""https://docs.google.com/spreadsheets/d/19KBlQQs7uwvsao6t2n-KvW3Ax8J8uRRfZPq1zPbXgKc/edit?usp=sharing"",""ระยอง!R735"")+IMPORTRANGE(""https://docs.google.com/spreadsheets/d/1jQ6P4QcrGM89YfqcC_PxOHGCMq5ezhucwJd8ci-NHng/edit?usp=sharing"",""ราชบุรี!R73"&amp;"5"")+IMPORTRANGE(""https://docs.google.com/spreadsheets/d/1lufeA2cfFqM-elVq2hznhDzC6Pr7wkJ9ZG_sYNGCMCU/edit?usp=sharing"",""ลพบุรี!R735"")+IMPORTRANGE(""https://docs.google.com/spreadsheets/d/10oOiF7loTyfsTkbd4MpaIm0HQ9SwB7IYHdIUvt-U1Uc/edit?usp=sharing"""&amp;",""สระแก้ว!R735"")+IMPORTRANGE(""https://docs.google.com/spreadsheets/d/1xmPlrr1QbdSIKvl1dWUl9K4PjAfSL9oeMr_37QVzcxc/edit?usp=sharing"",""สระบุรี!R735"")+IMPORTRANGE(""https://docs.google.com/spreadsheets/d/1j51vR6CYVGhABJpv6tkstgok82RLpXieLzW1yOY5rHw/edi"&amp;"t?usp=sharing"",""สิงห์บุรี!R735"")+IMPORTRANGE(""https://docs.google.com/spreadsheets/d/1H1EalTWKUSzO4Z1-1CwzoDUaVffgrThEBe2sl74kKG0/edit?usp=sharing"",""สุพรรณบุรี!R735"")+IMPORTRANGE(""https://docs.google.com/spreadsheets/d/1BmIruG_sIrJLYao_Pdr7zVArWsf"&amp;"oBt2692TMi6x_854/edit?usp=sharing"",""อ่างทอง!R735"")"),0)</f>
        <v>0</v>
      </c>
      <c r="S735" s="75">
        <f ca="1">IFERROR(__xludf.DUMMYFUNCTION("IMPORTRANGE(""https://docs.google.com/spreadsheets/d/13wPX838HrBrQMCywv1BsuMkt4PEKTChp52zj44s2izQ/edit?usp=sharing"",""กาญจนบุรี!S735"")+IMPORTRANGE(""https://docs.google.com/spreadsheets/d/1ddFKvqj1W1NEiWytbGlB1zMx_ykJDVtmfEQ-6-lIUBA/edit?usp=sharing"","&amp;"""จันทบุรี!S735"")+IMPORTRANGE(""https://docs.google.com/spreadsheets/d/1T1PQvRODqOBZk8BRht_U031fIS1beLA0Ub2CEytj2q0/edit?usp=sharing"",""ฉะเชิงเทรา!S735"")+IMPORTRANGE(""https://docs.google.com/spreadsheets/d/11tr1B-Bhyr79v2bkwVh5h_fR-PStkgjlZtkrZpYurG0/"&amp;"edit?usp=sharing"",""ชลบุรี!S735"")+IMPORTRANGE(""https://docs.google.com/spreadsheets/d/1hh-FVnSX0vozXhGluamEcS54Dw9_zqW0N7qJUWgJ0Sw/edit?usp=sharing"",""ชัยนาท!S735"")+IMPORTRANGE(""https://docs.google.com/spreadsheets/d/1jkqa6GXxSacMcY1eN8AHjMNJ_7dDXMJ"&amp;"VRLDlaFSOdPM/edit?usp=sharing"",""ตราด!S735"")+IMPORTRANGE(""https://docs.google.com/spreadsheets/d/18hSgUJ3VwClqi_qtULmmW3cLr0oe3OKaSYoKzdpTsYQ/edit?usp=sharing"",""นครนายก!S735"")+IMPORTRANGE(""https://docs.google.com/spreadsheets/d/1YTZo6WM2dQ6Ix6FSdnL"&amp;"5P7uVnVKu40sxZu975tgG10E/edit?usp=sharing"",""นครปฐม!S735"")+IMPORTRANGE(""https://docs.google.com/spreadsheets/d/1OYoGg4WDg5RIzwGeB10padOxJF9E_Vljuvvct_M7RDo/edit?usp=sharing"",""ปทุมธานี!S735"")+IMPORTRANGE(""https://docs.google.com/spreadsheets/d/1GbCI"&amp;"E4D4wk9FUozzqk7SxfDMxDVBwVmI5zcaVUSzKAc/edit?usp=sharing"",""ประจวบคีรีขันธ์!S735"")+IMPORTRANGE(""https://docs.google.com/spreadsheets/d/1vVf6wykvW_lAyu7Yo9L4hUTqHqIeP_qcVuxCtosJEbg/edit?usp=sharing"",""ปราจีนบุรี!S735"")+IMPORTRANGE(""https://docs.googl"&amp;"e.com/spreadsheets/d/1BIDqLLg5jk3v59G8NlR8rk5xfQDKne0sAvZHSj7TI6I/edit?usp=sharing"",""พระนครศรีอยุธยา!S735"")+IMPORTRANGE(""https://docs.google.com/spreadsheets/d/1YXvxf8Yu6_rV4hTBrwMqAcAnv6DfhUxh5emyM3CJp_w/edit?usp=sharing"",""เพชรบุรี!S735"")+IMPORTRA"&amp;"NGE(""https://docs.google.com/spreadsheets/d/19KBlQQs7uwvsao6t2n-KvW3Ax8J8uRRfZPq1zPbXgKc/edit?usp=sharing"",""ระยอง!S735"")+IMPORTRANGE(""https://docs.google.com/spreadsheets/d/1jQ6P4QcrGM89YfqcC_PxOHGCMq5ezhucwJd8ci-NHng/edit?usp=sharing"",""ราชบุรี!S73"&amp;"5"")+IMPORTRANGE(""https://docs.google.com/spreadsheets/d/1lufeA2cfFqM-elVq2hznhDzC6Pr7wkJ9ZG_sYNGCMCU/edit?usp=sharing"",""ลพบุรี!S735"")+IMPORTRANGE(""https://docs.google.com/spreadsheets/d/10oOiF7loTyfsTkbd4MpaIm0HQ9SwB7IYHdIUvt-U1Uc/edit?usp=sharing"""&amp;",""สระแก้ว!S735"")+IMPORTRANGE(""https://docs.google.com/spreadsheets/d/1xmPlrr1QbdSIKvl1dWUl9K4PjAfSL9oeMr_37QVzcxc/edit?usp=sharing"",""สระบุรี!S735"")+IMPORTRANGE(""https://docs.google.com/spreadsheets/d/1j51vR6CYVGhABJpv6tkstgok82RLpXieLzW1yOY5rHw/edi"&amp;"t?usp=sharing"",""สิงห์บุรี!S735"")+IMPORTRANGE(""https://docs.google.com/spreadsheets/d/1H1EalTWKUSzO4Z1-1CwzoDUaVffgrThEBe2sl74kKG0/edit?usp=sharing"",""สุพรรณบุรี!S735"")+IMPORTRANGE(""https://docs.google.com/spreadsheets/d/1BmIruG_sIrJLYao_Pdr7zVArWsf"&amp;"oBt2692TMi6x_854/edit?usp=sharing"",""อ่างทอง!S735"")"),0)</f>
        <v>0</v>
      </c>
      <c r="T735" s="131">
        <f t="shared" ca="1" si="500"/>
        <v>0</v>
      </c>
      <c r="U735" s="131">
        <f t="shared" ca="1" si="501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2">
        <f ca="1">IFERROR(__xludf.DUMMYFUNCTION("IMPORTRANGE(""https://docs.google.com/spreadsheets/d/13wPX838HrBrQMCywv1BsuMkt4PEKTChp52zj44s2izQ/edit?usp=sharing"",""กาญจนบุรี!L736"")+IMPORTRANGE(""https://docs.google.com/spreadsheets/d/1ddFKvqj1W1NEiWytbGlB1zMx_ykJDVtmfEQ-6-lIUBA/edit?usp=sharing"","&amp;"""จันทบุรี!L736"")+IMPORTRANGE(""https://docs.google.com/spreadsheets/d/1T1PQvRODqOBZk8BRht_U031fIS1beLA0Ub2CEytj2q0/edit?usp=sharing"",""ฉะเชิงเทรา!L736"")+IMPORTRANGE(""https://docs.google.com/spreadsheets/d/11tr1B-Bhyr79v2bkwVh5h_fR-PStkgjlZtkrZpYurG0/"&amp;"edit?usp=sharing"",""ชลบุรี!L736"")+IMPORTRANGE(""https://docs.google.com/spreadsheets/d/1hh-FVnSX0vozXhGluamEcS54Dw9_zqW0N7qJUWgJ0Sw/edit?usp=sharing"",""ชัยนาท!L736"")+IMPORTRANGE(""https://docs.google.com/spreadsheets/d/1jkqa6GXxSacMcY1eN8AHjMNJ_7dDXMJ"&amp;"VRLDlaFSOdPM/edit?usp=sharing"",""ตราด!L736"")+IMPORTRANGE(""https://docs.google.com/spreadsheets/d/18hSgUJ3VwClqi_qtULmmW3cLr0oe3OKaSYoKzdpTsYQ/edit?usp=sharing"",""นครนายก!L736"")+IMPORTRANGE(""https://docs.google.com/spreadsheets/d/1YTZo6WM2dQ6Ix6FSdnL"&amp;"5P7uVnVKu40sxZu975tgG10E/edit?usp=sharing"",""นครปฐม!L736"")+IMPORTRANGE(""https://docs.google.com/spreadsheets/d/1OYoGg4WDg5RIzwGeB10padOxJF9E_Vljuvvct_M7RDo/edit?usp=sharing"",""ปทุมธานี!L736"")+IMPORTRANGE(""https://docs.google.com/spreadsheets/d/1GbCI"&amp;"E4D4wk9FUozzqk7SxfDMxDVBwVmI5zcaVUSzKAc/edit?usp=sharing"",""ประจวบคีรีขันธ์!L736"")+IMPORTRANGE(""https://docs.google.com/spreadsheets/d/1vVf6wykvW_lAyu7Yo9L4hUTqHqIeP_qcVuxCtosJEbg/edit?usp=sharing"",""ปราจีนบุรี!L736"")+IMPORTRANGE(""https://docs.googl"&amp;"e.com/spreadsheets/d/1BIDqLLg5jk3v59G8NlR8rk5xfQDKne0sAvZHSj7TI6I/edit?usp=sharing"",""พระนครศรีอยุธยา!L736"")+IMPORTRANGE(""https://docs.google.com/spreadsheets/d/1YXvxf8Yu6_rV4hTBrwMqAcAnv6DfhUxh5emyM3CJp_w/edit?usp=sharing"",""เพชรบุรี!L736"")+IMPORTRA"&amp;"NGE(""https://docs.google.com/spreadsheets/d/19KBlQQs7uwvsao6t2n-KvW3Ax8J8uRRfZPq1zPbXgKc/edit?usp=sharing"",""ระยอง!L736"")+IMPORTRANGE(""https://docs.google.com/spreadsheets/d/1jQ6P4QcrGM89YfqcC_PxOHGCMq5ezhucwJd8ci-NHng/edit?usp=sharing"",""ราชบุรี!L73"&amp;"6"")+IMPORTRANGE(""https://docs.google.com/spreadsheets/d/1lufeA2cfFqM-elVq2hznhDzC6Pr7wkJ9ZG_sYNGCMCU/edit?usp=sharing"",""ลพบุรี!L736"")+IMPORTRANGE(""https://docs.google.com/spreadsheets/d/10oOiF7loTyfsTkbd4MpaIm0HQ9SwB7IYHdIUvt-U1Uc/edit?usp=sharing"""&amp;",""สระแก้ว!L736"")+IMPORTRANGE(""https://docs.google.com/spreadsheets/d/1xmPlrr1QbdSIKvl1dWUl9K4PjAfSL9oeMr_37QVzcxc/edit?usp=sharing"",""สระบุรี!L736"")+IMPORTRANGE(""https://docs.google.com/spreadsheets/d/1j51vR6CYVGhABJpv6tkstgok82RLpXieLzW1yOY5rHw/edi"&amp;"t?usp=sharing"",""สิงห์บุรี!L736"")+IMPORTRANGE(""https://docs.google.com/spreadsheets/d/1H1EalTWKUSzO4Z1-1CwzoDUaVffgrThEBe2sl74kKG0/edit?usp=sharing"",""สุพรรณบุรี!L736"")+IMPORTRANGE(""https://docs.google.com/spreadsheets/d/1BmIruG_sIrJLYao_Pdr7zVArWsf"&amp;"oBt2692TMi6x_854/edit?usp=sharing"",""อ่างทอง!L736"")"),0)</f>
        <v>0</v>
      </c>
      <c r="M736" s="72">
        <f ca="1">IFERROR(__xludf.DUMMYFUNCTION("IMPORTRANGE(""https://docs.google.com/spreadsheets/d/13wPX838HrBrQMCywv1BsuMkt4PEKTChp52zj44s2izQ/edit?usp=sharing"",""กาญจนบุรี!M736"")+IMPORTRANGE(""https://docs.google.com/spreadsheets/d/1ddFKvqj1W1NEiWytbGlB1zMx_ykJDVtmfEQ-6-lIUBA/edit?usp=sharing"","&amp;"""จันทบุรี!M736"")+IMPORTRANGE(""https://docs.google.com/spreadsheets/d/1T1PQvRODqOBZk8BRht_U031fIS1beLA0Ub2CEytj2q0/edit?usp=sharing"",""ฉะเชิงเทรา!M736"")+IMPORTRANGE(""https://docs.google.com/spreadsheets/d/11tr1B-Bhyr79v2bkwVh5h_fR-PStkgjlZtkrZpYurG0/"&amp;"edit?usp=sharing"",""ชลบุรี!M736"")+IMPORTRANGE(""https://docs.google.com/spreadsheets/d/1hh-FVnSX0vozXhGluamEcS54Dw9_zqW0N7qJUWgJ0Sw/edit?usp=sharing"",""ชัยนาท!M736"")+IMPORTRANGE(""https://docs.google.com/spreadsheets/d/1jkqa6GXxSacMcY1eN8AHjMNJ_7dDXMJ"&amp;"VRLDlaFSOdPM/edit?usp=sharing"",""ตราด!M736"")+IMPORTRANGE(""https://docs.google.com/spreadsheets/d/18hSgUJ3VwClqi_qtULmmW3cLr0oe3OKaSYoKzdpTsYQ/edit?usp=sharing"",""นครนายก!M736"")+IMPORTRANGE(""https://docs.google.com/spreadsheets/d/1YTZo6WM2dQ6Ix6FSdnL"&amp;"5P7uVnVKu40sxZu975tgG10E/edit?usp=sharing"",""นครปฐม!M736"")+IMPORTRANGE(""https://docs.google.com/spreadsheets/d/1OYoGg4WDg5RIzwGeB10padOxJF9E_Vljuvvct_M7RDo/edit?usp=sharing"",""ปทุมธานี!M736"")+IMPORTRANGE(""https://docs.google.com/spreadsheets/d/1GbCI"&amp;"E4D4wk9FUozzqk7SxfDMxDVBwVmI5zcaVUSzKAc/edit?usp=sharing"",""ประจวบคีรีขันธ์!M736"")+IMPORTRANGE(""https://docs.google.com/spreadsheets/d/1vVf6wykvW_lAyu7Yo9L4hUTqHqIeP_qcVuxCtosJEbg/edit?usp=sharing"",""ปราจีนบุรี!M736"")+IMPORTRANGE(""https://docs.googl"&amp;"e.com/spreadsheets/d/1BIDqLLg5jk3v59G8NlR8rk5xfQDKne0sAvZHSj7TI6I/edit?usp=sharing"",""พระนครศรีอยุธยา!M736"")+IMPORTRANGE(""https://docs.google.com/spreadsheets/d/1YXvxf8Yu6_rV4hTBrwMqAcAnv6DfhUxh5emyM3CJp_w/edit?usp=sharing"",""เพชรบุรี!M736"")+IMPORTRA"&amp;"NGE(""https://docs.google.com/spreadsheets/d/19KBlQQs7uwvsao6t2n-KvW3Ax8J8uRRfZPq1zPbXgKc/edit?usp=sharing"",""ระยอง!M736"")+IMPORTRANGE(""https://docs.google.com/spreadsheets/d/1jQ6P4QcrGM89YfqcC_PxOHGCMq5ezhucwJd8ci-NHng/edit?usp=sharing"",""ราชบุรี!M73"&amp;"6"")+IMPORTRANGE(""https://docs.google.com/spreadsheets/d/1lufeA2cfFqM-elVq2hznhDzC6Pr7wkJ9ZG_sYNGCMCU/edit?usp=sharing"",""ลพบุรี!M736"")+IMPORTRANGE(""https://docs.google.com/spreadsheets/d/10oOiF7loTyfsTkbd4MpaIm0HQ9SwB7IYHdIUvt-U1Uc/edit?usp=sharing"""&amp;",""สระแก้ว!M736"")+IMPORTRANGE(""https://docs.google.com/spreadsheets/d/1xmPlrr1QbdSIKvl1dWUl9K4PjAfSL9oeMr_37QVzcxc/edit?usp=sharing"",""สระบุรี!M736"")+IMPORTRANGE(""https://docs.google.com/spreadsheets/d/1j51vR6CYVGhABJpv6tkstgok82RLpXieLzW1yOY5rHw/edi"&amp;"t?usp=sharing"",""สิงห์บุรี!M736"")+IMPORTRANGE(""https://docs.google.com/spreadsheets/d/1H1EalTWKUSzO4Z1-1CwzoDUaVffgrThEBe2sl74kKG0/edit?usp=sharing"",""สุพรรณบุรี!M736"")+IMPORTRANGE(""https://docs.google.com/spreadsheets/d/1BmIruG_sIrJLYao_Pdr7zVArWsf"&amp;"oBt2692TMi6x_854/edit?usp=sharing"",""อ่างทอง!M736"")"),0)</f>
        <v>0</v>
      </c>
      <c r="N736" s="72">
        <f ca="1">IFERROR(__xludf.DUMMYFUNCTION("IMPORTRANGE(""https://docs.google.com/spreadsheets/d/13wPX838HrBrQMCywv1BsuMkt4PEKTChp52zj44s2izQ/edit?usp=sharing"",""กาญจนบุรี!N736"")+IMPORTRANGE(""https://docs.google.com/spreadsheets/d/1ddFKvqj1W1NEiWytbGlB1zMx_ykJDVtmfEQ-6-lIUBA/edit?usp=sharing"","&amp;"""จันทบุรี!N736"")+IMPORTRANGE(""https://docs.google.com/spreadsheets/d/1T1PQvRODqOBZk8BRht_U031fIS1beLA0Ub2CEytj2q0/edit?usp=sharing"",""ฉะเชิงเทรา!N736"")+IMPORTRANGE(""https://docs.google.com/spreadsheets/d/11tr1B-Bhyr79v2bkwVh5h_fR-PStkgjlZtkrZpYurG0/"&amp;"edit?usp=sharing"",""ชลบุรี!N736"")+IMPORTRANGE(""https://docs.google.com/spreadsheets/d/1hh-FVnSX0vozXhGluamEcS54Dw9_zqW0N7qJUWgJ0Sw/edit?usp=sharing"",""ชัยนาท!N736"")+IMPORTRANGE(""https://docs.google.com/spreadsheets/d/1jkqa6GXxSacMcY1eN8AHjMNJ_7dDXMJ"&amp;"VRLDlaFSOdPM/edit?usp=sharing"",""ตราด!N736"")+IMPORTRANGE(""https://docs.google.com/spreadsheets/d/18hSgUJ3VwClqi_qtULmmW3cLr0oe3OKaSYoKzdpTsYQ/edit?usp=sharing"",""นครนายก!N736"")+IMPORTRANGE(""https://docs.google.com/spreadsheets/d/1YTZo6WM2dQ6Ix6FSdnL"&amp;"5P7uVnVKu40sxZu975tgG10E/edit?usp=sharing"",""นครปฐม!N736"")+IMPORTRANGE(""https://docs.google.com/spreadsheets/d/1OYoGg4WDg5RIzwGeB10padOxJF9E_Vljuvvct_M7RDo/edit?usp=sharing"",""ปทุมธานี!N736"")+IMPORTRANGE(""https://docs.google.com/spreadsheets/d/1GbCI"&amp;"E4D4wk9FUozzqk7SxfDMxDVBwVmI5zcaVUSzKAc/edit?usp=sharing"",""ประจวบคีรีขันธ์!N736"")+IMPORTRANGE(""https://docs.google.com/spreadsheets/d/1vVf6wykvW_lAyu7Yo9L4hUTqHqIeP_qcVuxCtosJEbg/edit?usp=sharing"",""ปราจีนบุรี!N736"")+IMPORTRANGE(""https://docs.googl"&amp;"e.com/spreadsheets/d/1BIDqLLg5jk3v59G8NlR8rk5xfQDKne0sAvZHSj7TI6I/edit?usp=sharing"",""พระนครศรีอยุธยา!N736"")+IMPORTRANGE(""https://docs.google.com/spreadsheets/d/1YXvxf8Yu6_rV4hTBrwMqAcAnv6DfhUxh5emyM3CJp_w/edit?usp=sharing"",""เพชรบุรี!N736"")+IMPORTRA"&amp;"NGE(""https://docs.google.com/spreadsheets/d/19KBlQQs7uwvsao6t2n-KvW3Ax8J8uRRfZPq1zPbXgKc/edit?usp=sharing"",""ระยอง!N736"")+IMPORTRANGE(""https://docs.google.com/spreadsheets/d/1jQ6P4QcrGM89YfqcC_PxOHGCMq5ezhucwJd8ci-NHng/edit?usp=sharing"",""ราชบุรี!N73"&amp;"6"")+IMPORTRANGE(""https://docs.google.com/spreadsheets/d/1lufeA2cfFqM-elVq2hznhDzC6Pr7wkJ9ZG_sYNGCMCU/edit?usp=sharing"",""ลพบุรี!N736"")+IMPORTRANGE(""https://docs.google.com/spreadsheets/d/10oOiF7loTyfsTkbd4MpaIm0HQ9SwB7IYHdIUvt-U1Uc/edit?usp=sharing"""&amp;",""สระแก้ว!N736"")+IMPORTRANGE(""https://docs.google.com/spreadsheets/d/1xmPlrr1QbdSIKvl1dWUl9K4PjAfSL9oeMr_37QVzcxc/edit?usp=sharing"",""สระบุรี!N736"")+IMPORTRANGE(""https://docs.google.com/spreadsheets/d/1j51vR6CYVGhABJpv6tkstgok82RLpXieLzW1yOY5rHw/edi"&amp;"t?usp=sharing"",""สิงห์บุรี!N736"")+IMPORTRANGE(""https://docs.google.com/spreadsheets/d/1H1EalTWKUSzO4Z1-1CwzoDUaVffgrThEBe2sl74kKG0/edit?usp=sharing"",""สุพรรณบุรี!N736"")+IMPORTRANGE(""https://docs.google.com/spreadsheets/d/1BmIruG_sIrJLYao_Pdr7zVArWsf"&amp;"oBt2692TMi6x_854/edit?usp=sharing"",""อ่างทอง!N736"")"),0)</f>
        <v>0</v>
      </c>
      <c r="O736" s="72">
        <f t="shared" ca="1" si="497"/>
        <v>0</v>
      </c>
      <c r="P736" s="72">
        <f t="shared" ca="1" si="498"/>
        <v>0</v>
      </c>
      <c r="Q736" s="71">
        <f ca="1">IFERROR(__xludf.DUMMYFUNCTION("IMPORTRANGE(""https://docs.google.com/spreadsheets/d/13wPX838HrBrQMCywv1BsuMkt4PEKTChp52zj44s2izQ/edit?usp=sharing"",""กาญจนบุรี!Q736"")+IMPORTRANGE(""https://docs.google.com/spreadsheets/d/1ddFKvqj1W1NEiWytbGlB1zMx_ykJDVtmfEQ-6-lIUBA/edit?usp=sharing"","&amp;"""จันทบุรี!Q736"")+IMPORTRANGE(""https://docs.google.com/spreadsheets/d/1T1PQvRODqOBZk8BRht_U031fIS1beLA0Ub2CEytj2q0/edit?usp=sharing"",""ฉะเชิงเทรา!Q736"")+IMPORTRANGE(""https://docs.google.com/spreadsheets/d/11tr1B-Bhyr79v2bkwVh5h_fR-PStkgjlZtkrZpYurG0/"&amp;"edit?usp=sharing"",""ชลบุรี!Q736"")+IMPORTRANGE(""https://docs.google.com/spreadsheets/d/1hh-FVnSX0vozXhGluamEcS54Dw9_zqW0N7qJUWgJ0Sw/edit?usp=sharing"",""ชัยนาท!Q736"")+IMPORTRANGE(""https://docs.google.com/spreadsheets/d/1jkqa6GXxSacMcY1eN8AHjMNJ_7dDXMJ"&amp;"VRLDlaFSOdPM/edit?usp=sharing"",""ตราด!Q736"")+IMPORTRANGE(""https://docs.google.com/spreadsheets/d/18hSgUJ3VwClqi_qtULmmW3cLr0oe3OKaSYoKzdpTsYQ/edit?usp=sharing"",""นครนายก!Q736"")+IMPORTRANGE(""https://docs.google.com/spreadsheets/d/1YTZo6WM2dQ6Ix6FSdnL"&amp;"5P7uVnVKu40sxZu975tgG10E/edit?usp=sharing"",""นครปฐม!Q736"")+IMPORTRANGE(""https://docs.google.com/spreadsheets/d/1OYoGg4WDg5RIzwGeB10padOxJF9E_Vljuvvct_M7RDo/edit?usp=sharing"",""ปทุมธานี!Q736"")+IMPORTRANGE(""https://docs.google.com/spreadsheets/d/1GbCI"&amp;"E4D4wk9FUozzqk7SxfDMxDVBwVmI5zcaVUSzKAc/edit?usp=sharing"",""ประจวบคีรีขันธ์!Q736"")+IMPORTRANGE(""https://docs.google.com/spreadsheets/d/1vVf6wykvW_lAyu7Yo9L4hUTqHqIeP_qcVuxCtosJEbg/edit?usp=sharing"",""ปราจีนบุรี!Q736"")+IMPORTRANGE(""https://docs.googl"&amp;"e.com/spreadsheets/d/1BIDqLLg5jk3v59G8NlR8rk5xfQDKne0sAvZHSj7TI6I/edit?usp=sharing"",""พระนครศรีอยุธยา!Q736"")+IMPORTRANGE(""https://docs.google.com/spreadsheets/d/1YXvxf8Yu6_rV4hTBrwMqAcAnv6DfhUxh5emyM3CJp_w/edit?usp=sharing"",""เพชรบุรี!Q736"")+IMPORTRA"&amp;"NGE(""https://docs.google.com/spreadsheets/d/19KBlQQs7uwvsao6t2n-KvW3Ax8J8uRRfZPq1zPbXgKc/edit?usp=sharing"",""ระยอง!Q736"")+IMPORTRANGE(""https://docs.google.com/spreadsheets/d/1jQ6P4QcrGM89YfqcC_PxOHGCMq5ezhucwJd8ci-NHng/edit?usp=sharing"",""ราชบุรี!Q73"&amp;"6"")+IMPORTRANGE(""https://docs.google.com/spreadsheets/d/1lufeA2cfFqM-elVq2hznhDzC6Pr7wkJ9ZG_sYNGCMCU/edit?usp=sharing"",""ลพบุรี!Q736"")+IMPORTRANGE(""https://docs.google.com/spreadsheets/d/10oOiF7loTyfsTkbd4MpaIm0HQ9SwB7IYHdIUvt-U1Uc/edit?usp=sharing"""&amp;",""สระแก้ว!Q736"")+IMPORTRANGE(""https://docs.google.com/spreadsheets/d/1xmPlrr1QbdSIKvl1dWUl9K4PjAfSL9oeMr_37QVzcxc/edit?usp=sharing"",""สระบุรี!Q736"")+IMPORTRANGE(""https://docs.google.com/spreadsheets/d/1j51vR6CYVGhABJpv6tkstgok82RLpXieLzW1yOY5rHw/edi"&amp;"t?usp=sharing"",""สิงห์บุรี!Q736"")+IMPORTRANGE(""https://docs.google.com/spreadsheets/d/1H1EalTWKUSzO4Z1-1CwzoDUaVffgrThEBe2sl74kKG0/edit?usp=sharing"",""สุพรรณบุรี!Q736"")+IMPORTRANGE(""https://docs.google.com/spreadsheets/d/1BmIruG_sIrJLYao_Pdr7zVArWsf"&amp;"oBt2692TMi6x_854/edit?usp=sharing"",""อ่างทอง!Q736"")"),0)</f>
        <v>0</v>
      </c>
      <c r="R736" s="72">
        <f ca="1">IFERROR(__xludf.DUMMYFUNCTION("IMPORTRANGE(""https://docs.google.com/spreadsheets/d/13wPX838HrBrQMCywv1BsuMkt4PEKTChp52zj44s2izQ/edit?usp=sharing"",""กาญจนบุรี!R736"")+IMPORTRANGE(""https://docs.google.com/spreadsheets/d/1ddFKvqj1W1NEiWytbGlB1zMx_ykJDVtmfEQ-6-lIUBA/edit?usp=sharing"","&amp;"""จันทบุรี!R736"")+IMPORTRANGE(""https://docs.google.com/spreadsheets/d/1T1PQvRODqOBZk8BRht_U031fIS1beLA0Ub2CEytj2q0/edit?usp=sharing"",""ฉะเชิงเทรา!R736"")+IMPORTRANGE(""https://docs.google.com/spreadsheets/d/11tr1B-Bhyr79v2bkwVh5h_fR-PStkgjlZtkrZpYurG0/"&amp;"edit?usp=sharing"",""ชลบุรี!R736"")+IMPORTRANGE(""https://docs.google.com/spreadsheets/d/1hh-FVnSX0vozXhGluamEcS54Dw9_zqW0N7qJUWgJ0Sw/edit?usp=sharing"",""ชัยนาท!R736"")+IMPORTRANGE(""https://docs.google.com/spreadsheets/d/1jkqa6GXxSacMcY1eN8AHjMNJ_7dDXMJ"&amp;"VRLDlaFSOdPM/edit?usp=sharing"",""ตราด!R736"")+IMPORTRANGE(""https://docs.google.com/spreadsheets/d/18hSgUJ3VwClqi_qtULmmW3cLr0oe3OKaSYoKzdpTsYQ/edit?usp=sharing"",""นครนายก!R736"")+IMPORTRANGE(""https://docs.google.com/spreadsheets/d/1YTZo6WM2dQ6Ix6FSdnL"&amp;"5P7uVnVKu40sxZu975tgG10E/edit?usp=sharing"",""นครปฐม!R736"")+IMPORTRANGE(""https://docs.google.com/spreadsheets/d/1OYoGg4WDg5RIzwGeB10padOxJF9E_Vljuvvct_M7RDo/edit?usp=sharing"",""ปทุมธานี!R736"")+IMPORTRANGE(""https://docs.google.com/spreadsheets/d/1GbCI"&amp;"E4D4wk9FUozzqk7SxfDMxDVBwVmI5zcaVUSzKAc/edit?usp=sharing"",""ประจวบคีรีขันธ์!R736"")+IMPORTRANGE(""https://docs.google.com/spreadsheets/d/1vVf6wykvW_lAyu7Yo9L4hUTqHqIeP_qcVuxCtosJEbg/edit?usp=sharing"",""ปราจีนบุรี!R736"")+IMPORTRANGE(""https://docs.googl"&amp;"e.com/spreadsheets/d/1BIDqLLg5jk3v59G8NlR8rk5xfQDKne0sAvZHSj7TI6I/edit?usp=sharing"",""พระนครศรีอยุธยา!R736"")+IMPORTRANGE(""https://docs.google.com/spreadsheets/d/1YXvxf8Yu6_rV4hTBrwMqAcAnv6DfhUxh5emyM3CJp_w/edit?usp=sharing"",""เพชรบุรี!R736"")+IMPORTRA"&amp;"NGE(""https://docs.google.com/spreadsheets/d/19KBlQQs7uwvsao6t2n-KvW3Ax8J8uRRfZPq1zPbXgKc/edit?usp=sharing"",""ระยอง!R736"")+IMPORTRANGE(""https://docs.google.com/spreadsheets/d/1jQ6P4QcrGM89YfqcC_PxOHGCMq5ezhucwJd8ci-NHng/edit?usp=sharing"",""ราชบุรี!R73"&amp;"6"")+IMPORTRANGE(""https://docs.google.com/spreadsheets/d/1lufeA2cfFqM-elVq2hznhDzC6Pr7wkJ9ZG_sYNGCMCU/edit?usp=sharing"",""ลพบุรี!R736"")+IMPORTRANGE(""https://docs.google.com/spreadsheets/d/10oOiF7loTyfsTkbd4MpaIm0HQ9SwB7IYHdIUvt-U1Uc/edit?usp=sharing"""&amp;",""สระแก้ว!R736"")+IMPORTRANGE(""https://docs.google.com/spreadsheets/d/1xmPlrr1QbdSIKvl1dWUl9K4PjAfSL9oeMr_37QVzcxc/edit?usp=sharing"",""สระบุรี!R736"")+IMPORTRANGE(""https://docs.google.com/spreadsheets/d/1j51vR6CYVGhABJpv6tkstgok82RLpXieLzW1yOY5rHw/edi"&amp;"t?usp=sharing"",""สิงห์บุรี!R736"")+IMPORTRANGE(""https://docs.google.com/spreadsheets/d/1H1EalTWKUSzO4Z1-1CwzoDUaVffgrThEBe2sl74kKG0/edit?usp=sharing"",""สุพรรณบุรี!R736"")+IMPORTRANGE(""https://docs.google.com/spreadsheets/d/1BmIruG_sIrJLYao_Pdr7zVArWsf"&amp;"oBt2692TMi6x_854/edit?usp=sharing"",""อ่างทอง!R736"")"),0)</f>
        <v>0</v>
      </c>
      <c r="S736" s="72">
        <f ca="1">IFERROR(__xludf.DUMMYFUNCTION("IMPORTRANGE(""https://docs.google.com/spreadsheets/d/13wPX838HrBrQMCywv1BsuMkt4PEKTChp52zj44s2izQ/edit?usp=sharing"",""กาญจนบุรี!S736"")+IMPORTRANGE(""https://docs.google.com/spreadsheets/d/1ddFKvqj1W1NEiWytbGlB1zMx_ykJDVtmfEQ-6-lIUBA/edit?usp=sharing"","&amp;"""จันทบุรี!S736"")+IMPORTRANGE(""https://docs.google.com/spreadsheets/d/1T1PQvRODqOBZk8BRht_U031fIS1beLA0Ub2CEytj2q0/edit?usp=sharing"",""ฉะเชิงเทรา!S736"")+IMPORTRANGE(""https://docs.google.com/spreadsheets/d/11tr1B-Bhyr79v2bkwVh5h_fR-PStkgjlZtkrZpYurG0/"&amp;"edit?usp=sharing"",""ชลบุรี!S736"")+IMPORTRANGE(""https://docs.google.com/spreadsheets/d/1hh-FVnSX0vozXhGluamEcS54Dw9_zqW0N7qJUWgJ0Sw/edit?usp=sharing"",""ชัยนาท!S736"")+IMPORTRANGE(""https://docs.google.com/spreadsheets/d/1jkqa6GXxSacMcY1eN8AHjMNJ_7dDXMJ"&amp;"VRLDlaFSOdPM/edit?usp=sharing"",""ตราด!S736"")+IMPORTRANGE(""https://docs.google.com/spreadsheets/d/18hSgUJ3VwClqi_qtULmmW3cLr0oe3OKaSYoKzdpTsYQ/edit?usp=sharing"",""นครนายก!S736"")+IMPORTRANGE(""https://docs.google.com/spreadsheets/d/1YTZo6WM2dQ6Ix6FSdnL"&amp;"5P7uVnVKu40sxZu975tgG10E/edit?usp=sharing"",""นครปฐม!S736"")+IMPORTRANGE(""https://docs.google.com/spreadsheets/d/1OYoGg4WDg5RIzwGeB10padOxJF9E_Vljuvvct_M7RDo/edit?usp=sharing"",""ปทุมธานี!S736"")+IMPORTRANGE(""https://docs.google.com/spreadsheets/d/1GbCI"&amp;"E4D4wk9FUozzqk7SxfDMxDVBwVmI5zcaVUSzKAc/edit?usp=sharing"",""ประจวบคีรีขันธ์!S736"")+IMPORTRANGE(""https://docs.google.com/spreadsheets/d/1vVf6wykvW_lAyu7Yo9L4hUTqHqIeP_qcVuxCtosJEbg/edit?usp=sharing"",""ปราจีนบุรี!S736"")+IMPORTRANGE(""https://docs.googl"&amp;"e.com/spreadsheets/d/1BIDqLLg5jk3v59G8NlR8rk5xfQDKne0sAvZHSj7TI6I/edit?usp=sharing"",""พระนครศรีอยุธยา!S736"")+IMPORTRANGE(""https://docs.google.com/spreadsheets/d/1YXvxf8Yu6_rV4hTBrwMqAcAnv6DfhUxh5emyM3CJp_w/edit?usp=sharing"",""เพชรบุรี!S736"")+IMPORTRA"&amp;"NGE(""https://docs.google.com/spreadsheets/d/19KBlQQs7uwvsao6t2n-KvW3Ax8J8uRRfZPq1zPbXgKc/edit?usp=sharing"",""ระยอง!S736"")+IMPORTRANGE(""https://docs.google.com/spreadsheets/d/1jQ6P4QcrGM89YfqcC_PxOHGCMq5ezhucwJd8ci-NHng/edit?usp=sharing"",""ราชบุรี!S73"&amp;"6"")+IMPORTRANGE(""https://docs.google.com/spreadsheets/d/1lufeA2cfFqM-elVq2hznhDzC6Pr7wkJ9ZG_sYNGCMCU/edit?usp=sharing"",""ลพบุรี!S736"")+IMPORTRANGE(""https://docs.google.com/spreadsheets/d/10oOiF7loTyfsTkbd4MpaIm0HQ9SwB7IYHdIUvt-U1Uc/edit?usp=sharing"""&amp;",""สระแก้ว!S736"")+IMPORTRANGE(""https://docs.google.com/spreadsheets/d/1xmPlrr1QbdSIKvl1dWUl9K4PjAfSL9oeMr_37QVzcxc/edit?usp=sharing"",""สระบุรี!S736"")+IMPORTRANGE(""https://docs.google.com/spreadsheets/d/1j51vR6CYVGhABJpv6tkstgok82RLpXieLzW1yOY5rHw/edi"&amp;"t?usp=sharing"",""สิงห์บุรี!S736"")+IMPORTRANGE(""https://docs.google.com/spreadsheets/d/1H1EalTWKUSzO4Z1-1CwzoDUaVffgrThEBe2sl74kKG0/edit?usp=sharing"",""สุพรรณบุรี!S736"")+IMPORTRANGE(""https://docs.google.com/spreadsheets/d/1BmIruG_sIrJLYao_Pdr7zVArWsf"&amp;"oBt2692TMi6x_854/edit?usp=sharing"",""อ่างทอง!S736"")"),0)</f>
        <v>0</v>
      </c>
      <c r="T736" s="130">
        <f t="shared" ca="1" si="500"/>
        <v>0</v>
      </c>
      <c r="U736" s="130">
        <f t="shared" ca="1" si="501"/>
        <v>0</v>
      </c>
    </row>
    <row r="737" spans="1:21" ht="19.5" x14ac:dyDescent="0.3">
      <c r="A737" s="274"/>
      <c r="B737" s="275"/>
      <c r="C737" s="304" t="s">
        <v>18</v>
      </c>
      <c r="D737" s="568" t="s">
        <v>38</v>
      </c>
      <c r="E737" s="762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13wPX838HrBrQMCywv1BsuMkt4PEKTChp52zj44s2izQ/edit?usp=sharing"",""กาญจนบุรี!I740"")+IMPORTRANGE(""https://docs.google.com/spreadsheets/d/1ddFKvqj1W1NEiWytbGlB1zMx_ykJDVtmfEQ-6-lIUBA/edit?usp=sharing"","&amp;"""จันทบุรี!I740"")+IMPORTRANGE(""https://docs.google.com/spreadsheets/d/1T1PQvRODqOBZk8BRht_U031fIS1beLA0Ub2CEytj2q0/edit?usp=sharing"",""ฉะเชิงเทรา!I740"")+IMPORTRANGE(""https://docs.google.com/spreadsheets/d/11tr1B-Bhyr79v2bkwVh5h_fR-PStkgjlZtkrZpYurG0/"&amp;"edit?usp=sharing"",""ชลบุรี!I740"")+IMPORTRANGE(""https://docs.google.com/spreadsheets/d/1hh-FVnSX0vozXhGluamEcS54Dw9_zqW0N7qJUWgJ0Sw/edit?usp=sharing"",""ชัยนาท!I740"")+IMPORTRANGE(""https://docs.google.com/spreadsheets/d/1jkqa6GXxSacMcY1eN8AHjMNJ_7dDXMJ"&amp;"VRLDlaFSOdPM/edit?usp=sharing"",""ตราด!I740"")+IMPORTRANGE(""https://docs.google.com/spreadsheets/d/18hSgUJ3VwClqi_qtULmmW3cLr0oe3OKaSYoKzdpTsYQ/edit?usp=sharing"",""นครนายก!I740"")+IMPORTRANGE(""https://docs.google.com/spreadsheets/d/1YTZo6WM2dQ6Ix6FSdnL"&amp;"5P7uVnVKu40sxZu975tgG10E/edit?usp=sharing"",""นครปฐม!I740"")+IMPORTRANGE(""https://docs.google.com/spreadsheets/d/1OYoGg4WDg5RIzwGeB10padOxJF9E_Vljuvvct_M7RDo/edit?usp=sharing"",""ปทุมธานี!I740"")+IMPORTRANGE(""https://docs.google.com/spreadsheets/d/1GbCI"&amp;"E4D4wk9FUozzqk7SxfDMxDVBwVmI5zcaVUSzKAc/edit?usp=sharing"",""ประจวบคีรีขันธ์!I740"")+IMPORTRANGE(""https://docs.google.com/spreadsheets/d/1vVf6wykvW_lAyu7Yo9L4hUTqHqIeP_qcVuxCtosJEbg/edit?usp=sharing"",""ปราจีนบุรี!I740"")+IMPORTRANGE(""https://docs.googl"&amp;"e.com/spreadsheets/d/1BIDqLLg5jk3v59G8NlR8rk5xfQDKne0sAvZHSj7TI6I/edit?usp=sharing"",""พระนครศรีอยุธยา!I740"")+IMPORTRANGE(""https://docs.google.com/spreadsheets/d/1YXvxf8Yu6_rV4hTBrwMqAcAnv6DfhUxh5emyM3CJp_w/edit?usp=sharing"",""เพชรบุรี!I740"")+IMPORTRA"&amp;"NGE(""https://docs.google.com/spreadsheets/d/19KBlQQs7uwvsao6t2n-KvW3Ax8J8uRRfZPq1zPbXgKc/edit?usp=sharing"",""ระยอง!I740"")+IMPORTRANGE(""https://docs.google.com/spreadsheets/d/1jQ6P4QcrGM89YfqcC_PxOHGCMq5ezhucwJd8ci-NHng/edit?usp=sharing"",""ราชบุรี!I74"&amp;"0"")+IMPORTRANGE(""https://docs.google.com/spreadsheets/d/1lufeA2cfFqM-elVq2hznhDzC6Pr7wkJ9ZG_sYNGCMCU/edit?usp=sharing"",""ลพบุรี!I740"")+IMPORTRANGE(""https://docs.google.com/spreadsheets/d/10oOiF7loTyfsTkbd4MpaIm0HQ9SwB7IYHdIUvt-U1Uc/edit?usp=sharing"""&amp;",""สระแก้ว!I740"")+IMPORTRANGE(""https://docs.google.com/spreadsheets/d/1xmPlrr1QbdSIKvl1dWUl9K4PjAfSL9oeMr_37QVzcxc/edit?usp=sharing"",""สระบุรี!I740"")+IMPORTRANGE(""https://docs.google.com/spreadsheets/d/1j51vR6CYVGhABJpv6tkstgok82RLpXieLzW1yOY5rHw/edi"&amp;"t?usp=sharing"",""สิงห์บุรี!I740"")+IMPORTRANGE(""https://docs.google.com/spreadsheets/d/1H1EalTWKUSzO4Z1-1CwzoDUaVffgrThEBe2sl74kKG0/edit?usp=sharing"",""สุพรรณบุรี!I740"")+IMPORTRANGE(""https://docs.google.com/spreadsheets/d/1BmIruG_sIrJLYao_Pdr7zVArWsf"&amp;"oBt2692TMi6x_854/edit?usp=sharing"",""อ่างทอง!I740"")"),5440)</f>
        <v>5440</v>
      </c>
      <c r="J740" s="292">
        <f ca="1">IFERROR(__xludf.DUMMYFUNCTION("IMPORTRANGE(""https://docs.google.com/spreadsheets/d/13wPX838HrBrQMCywv1BsuMkt4PEKTChp52zj44s2izQ/edit?usp=sharing"",""กาญจนบุรี!J740"")+IMPORTRANGE(""https://docs.google.com/spreadsheets/d/1ddFKvqj1W1NEiWytbGlB1zMx_ykJDVtmfEQ-6-lIUBA/edit?usp=sharing"","&amp;"""จันทบุรี!J740"")+IMPORTRANGE(""https://docs.google.com/spreadsheets/d/1T1PQvRODqOBZk8BRht_U031fIS1beLA0Ub2CEytj2q0/edit?usp=sharing"",""ฉะเชิงเทรา!J740"")+IMPORTRANGE(""https://docs.google.com/spreadsheets/d/11tr1B-Bhyr79v2bkwVh5h_fR-PStkgjlZtkrZpYurG0/"&amp;"edit?usp=sharing"",""ชลบุรี!J740"")+IMPORTRANGE(""https://docs.google.com/spreadsheets/d/1hh-FVnSX0vozXhGluamEcS54Dw9_zqW0N7qJUWgJ0Sw/edit?usp=sharing"",""ชัยนาท!J740"")+IMPORTRANGE(""https://docs.google.com/spreadsheets/d/1jkqa6GXxSacMcY1eN8AHjMNJ_7dDXMJ"&amp;"VRLDlaFSOdPM/edit?usp=sharing"",""ตราด!J740"")+IMPORTRANGE(""https://docs.google.com/spreadsheets/d/18hSgUJ3VwClqi_qtULmmW3cLr0oe3OKaSYoKzdpTsYQ/edit?usp=sharing"",""นครนายก!J740"")+IMPORTRANGE(""https://docs.google.com/spreadsheets/d/1YTZo6WM2dQ6Ix6FSdnL"&amp;"5P7uVnVKu40sxZu975tgG10E/edit?usp=sharing"",""นครปฐม!J740"")+IMPORTRANGE(""https://docs.google.com/spreadsheets/d/1OYoGg4WDg5RIzwGeB10padOxJF9E_Vljuvvct_M7RDo/edit?usp=sharing"",""ปทุมธานี!J740"")+IMPORTRANGE(""https://docs.google.com/spreadsheets/d/1GbCI"&amp;"E4D4wk9FUozzqk7SxfDMxDVBwVmI5zcaVUSzKAc/edit?usp=sharing"",""ประจวบคีรีขันธ์!J740"")+IMPORTRANGE(""https://docs.google.com/spreadsheets/d/1vVf6wykvW_lAyu7Yo9L4hUTqHqIeP_qcVuxCtosJEbg/edit?usp=sharing"",""ปราจีนบุรี!J740"")+IMPORTRANGE(""https://docs.googl"&amp;"e.com/spreadsheets/d/1BIDqLLg5jk3v59G8NlR8rk5xfQDKne0sAvZHSj7TI6I/edit?usp=sharing"",""พระนครศรีอยุธยา!J740"")+IMPORTRANGE(""https://docs.google.com/spreadsheets/d/1YXvxf8Yu6_rV4hTBrwMqAcAnv6DfhUxh5emyM3CJp_w/edit?usp=sharing"",""เพชรบุรี!J740"")+IMPORTRA"&amp;"NGE(""https://docs.google.com/spreadsheets/d/19KBlQQs7uwvsao6t2n-KvW3Ax8J8uRRfZPq1zPbXgKc/edit?usp=sharing"",""ระยอง!J740"")+IMPORTRANGE(""https://docs.google.com/spreadsheets/d/1jQ6P4QcrGM89YfqcC_PxOHGCMq5ezhucwJd8ci-NHng/edit?usp=sharing"",""ราชบุรี!J74"&amp;"0"")+IMPORTRANGE(""https://docs.google.com/spreadsheets/d/1lufeA2cfFqM-elVq2hznhDzC6Pr7wkJ9ZG_sYNGCMCU/edit?usp=sharing"",""ลพบุรี!J740"")+IMPORTRANGE(""https://docs.google.com/spreadsheets/d/10oOiF7loTyfsTkbd4MpaIm0HQ9SwB7IYHdIUvt-U1Uc/edit?usp=sharing"""&amp;",""สระแก้ว!J740"")+IMPORTRANGE(""https://docs.google.com/spreadsheets/d/1xmPlrr1QbdSIKvl1dWUl9K4PjAfSL9oeMr_37QVzcxc/edit?usp=sharing"",""สระบุรี!J740"")+IMPORTRANGE(""https://docs.google.com/spreadsheets/d/1j51vR6CYVGhABJpv6tkstgok82RLpXieLzW1yOY5rHw/edi"&amp;"t?usp=sharing"",""สิงห์บุรี!J740"")+IMPORTRANGE(""https://docs.google.com/spreadsheets/d/1H1EalTWKUSzO4Z1-1CwzoDUaVffgrThEBe2sl74kKG0/edit?usp=sharing"",""สุพรรณบุรี!J740"")+IMPORTRANGE(""https://docs.google.com/spreadsheets/d/1BmIruG_sIrJLYao_Pdr7zVArWsf"&amp;"oBt2692TMi6x_854/edit?usp=sharing"",""อ่างทอง!J740"")"),3480)</f>
        <v>3480</v>
      </c>
      <c r="K740" s="72">
        <f ca="1">IF(I740&gt;0,J740*100/I740,0)</f>
        <v>63.970588235294116</v>
      </c>
      <c r="L740" s="85"/>
      <c r="M740" s="85"/>
      <c r="N740" s="85"/>
      <c r="O740" s="85"/>
      <c r="P740" s="85"/>
      <c r="Q740" s="84"/>
      <c r="R740" s="85"/>
      <c r="S740" s="85"/>
      <c r="T740" s="85"/>
      <c r="U740" s="85"/>
    </row>
    <row r="741" spans="1:21" ht="18.75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f ca="1">IFERROR(__xludf.DUMMYFUNCTION("IMPORTRANGE(""https://docs.google.com/spreadsheets/d/13wPX838HrBrQMCywv1BsuMkt4PEKTChp52zj44s2izQ/edit?usp=sharing"",""กาญจนบุรี!J741"")+IMPORTRANGE(""https://docs.google.com/spreadsheets/d/1ddFKvqj1W1NEiWytbGlB1zMx_ykJDVtmfEQ-6-lIUBA/edit?usp=sharing"","&amp;"""จันทบุรี!J741"")+IMPORTRANGE(""https://docs.google.com/spreadsheets/d/1T1PQvRODqOBZk8BRht_U031fIS1beLA0Ub2CEytj2q0/edit?usp=sharing"",""ฉะเชิงเทรา!J741"")+IMPORTRANGE(""https://docs.google.com/spreadsheets/d/11tr1B-Bhyr79v2bkwVh5h_fR-PStkgjlZtkrZpYurG0/"&amp;"edit?usp=sharing"",""ชลบุรี!J741"")+IMPORTRANGE(""https://docs.google.com/spreadsheets/d/1hh-FVnSX0vozXhGluamEcS54Dw9_zqW0N7qJUWgJ0Sw/edit?usp=sharing"",""ชัยนาท!J741"")+IMPORTRANGE(""https://docs.google.com/spreadsheets/d/1jkqa6GXxSacMcY1eN8AHjMNJ_7dDXMJ"&amp;"VRLDlaFSOdPM/edit?usp=sharing"",""ตราด!J741"")+IMPORTRANGE(""https://docs.google.com/spreadsheets/d/18hSgUJ3VwClqi_qtULmmW3cLr0oe3OKaSYoKzdpTsYQ/edit?usp=sharing"",""นครนายก!J741"")+IMPORTRANGE(""https://docs.google.com/spreadsheets/d/1YTZo6WM2dQ6Ix6FSdnL"&amp;"5P7uVnVKu40sxZu975tgG10E/edit?usp=sharing"",""นครปฐม!J741"")+IMPORTRANGE(""https://docs.google.com/spreadsheets/d/1OYoGg4WDg5RIzwGeB10padOxJF9E_Vljuvvct_M7RDo/edit?usp=sharing"",""ปทุมธานี!J741"")+IMPORTRANGE(""https://docs.google.com/spreadsheets/d/1GbCI"&amp;"E4D4wk9FUozzqk7SxfDMxDVBwVmI5zcaVUSzKAc/edit?usp=sharing"",""ประจวบคีรีขันธ์!J741"")+IMPORTRANGE(""https://docs.google.com/spreadsheets/d/1vVf6wykvW_lAyu7Yo9L4hUTqHqIeP_qcVuxCtosJEbg/edit?usp=sharing"",""ปราจีนบุรี!J741"")+IMPORTRANGE(""https://docs.googl"&amp;"e.com/spreadsheets/d/1BIDqLLg5jk3v59G8NlR8rk5xfQDKne0sAvZHSj7TI6I/edit?usp=sharing"",""พระนครศรีอยุธยา!J741"")+IMPORTRANGE(""https://docs.google.com/spreadsheets/d/1YXvxf8Yu6_rV4hTBrwMqAcAnv6DfhUxh5emyM3CJp_w/edit?usp=sharing"",""เพชรบุรี!J741"")+IMPORTRA"&amp;"NGE(""https://docs.google.com/spreadsheets/d/19KBlQQs7uwvsao6t2n-KvW3Ax8J8uRRfZPq1zPbXgKc/edit?usp=sharing"",""ระยอง!J741"")+IMPORTRANGE(""https://docs.google.com/spreadsheets/d/1jQ6P4QcrGM89YfqcC_PxOHGCMq5ezhucwJd8ci-NHng/edit?usp=sharing"",""ราชบุรี!J74"&amp;"1"")+IMPORTRANGE(""https://docs.google.com/spreadsheets/d/1lufeA2cfFqM-elVq2hznhDzC6Pr7wkJ9ZG_sYNGCMCU/edit?usp=sharing"",""ลพบุรี!J741"")+IMPORTRANGE(""https://docs.google.com/spreadsheets/d/10oOiF7loTyfsTkbd4MpaIm0HQ9SwB7IYHdIUvt-U1Uc/edit?usp=sharing"""&amp;",""สระแก้ว!J741"")+IMPORTRANGE(""https://docs.google.com/spreadsheets/d/1xmPlrr1QbdSIKvl1dWUl9K4PjAfSL9oeMr_37QVzcxc/edit?usp=sharing"",""สระบุรี!J741"")+IMPORTRANGE(""https://docs.google.com/spreadsheets/d/1j51vR6CYVGhABJpv6tkstgok82RLpXieLzW1yOY5rHw/edi"&amp;"t?usp=sharing"",""สิงห์บุรี!J741"")+IMPORTRANGE(""https://docs.google.com/spreadsheets/d/1H1EalTWKUSzO4Z1-1CwzoDUaVffgrThEBe2sl74kKG0/edit?usp=sharing"",""สุพรรณบุรี!J741"")+IMPORTRANGE(""https://docs.google.com/spreadsheets/d/1BmIruG_sIrJLYao_Pdr7zVArWsf"&amp;"oBt2692TMi6x_854/edit?usp=sharing"",""อ่างทอง!J741"")"),88)</f>
        <v>88</v>
      </c>
      <c r="K741" s="85"/>
      <c r="L741" s="85"/>
      <c r="M741" s="85"/>
      <c r="N741" s="85"/>
      <c r="O741" s="85"/>
      <c r="P741" s="85"/>
      <c r="Q741" s="84"/>
      <c r="R741" s="85"/>
      <c r="S741" s="85"/>
      <c r="T741" s="85"/>
      <c r="U741" s="85"/>
    </row>
    <row r="742" spans="1:21" ht="18.75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13wPX838HrBrQMCywv1BsuMkt4PEKTChp52zj44s2izQ/edit?usp=sharing"",""กาญจนบุรี!I742"")+IMPORTRANGE(""https://docs.google.com/spreadsheets/d/1ddFKvqj1W1NEiWytbGlB1zMx_ykJDVtmfEQ-6-lIUBA/edit?usp=sharing"","&amp;"""จันทบุรี!I742"")+IMPORTRANGE(""https://docs.google.com/spreadsheets/d/1T1PQvRODqOBZk8BRht_U031fIS1beLA0Ub2CEytj2q0/edit?usp=sharing"",""ฉะเชิงเทรา!I742"")+IMPORTRANGE(""https://docs.google.com/spreadsheets/d/11tr1B-Bhyr79v2bkwVh5h_fR-PStkgjlZtkrZpYurG0/"&amp;"edit?usp=sharing"",""ชลบุรี!I742"")+IMPORTRANGE(""https://docs.google.com/spreadsheets/d/1hh-FVnSX0vozXhGluamEcS54Dw9_zqW0N7qJUWgJ0Sw/edit?usp=sharing"",""ชัยนาท!I742"")+IMPORTRANGE(""https://docs.google.com/spreadsheets/d/1jkqa6GXxSacMcY1eN8AHjMNJ_7dDXMJ"&amp;"VRLDlaFSOdPM/edit?usp=sharing"",""ตราด!I742"")+IMPORTRANGE(""https://docs.google.com/spreadsheets/d/18hSgUJ3VwClqi_qtULmmW3cLr0oe3OKaSYoKzdpTsYQ/edit?usp=sharing"",""นครนายก!I742"")+IMPORTRANGE(""https://docs.google.com/spreadsheets/d/1YTZo6WM2dQ6Ix6FSdnL"&amp;"5P7uVnVKu40sxZu975tgG10E/edit?usp=sharing"",""นครปฐม!I742"")+IMPORTRANGE(""https://docs.google.com/spreadsheets/d/1OYoGg4WDg5RIzwGeB10padOxJF9E_Vljuvvct_M7RDo/edit?usp=sharing"",""ปทุมธานี!I742"")+IMPORTRANGE(""https://docs.google.com/spreadsheets/d/1GbCI"&amp;"E4D4wk9FUozzqk7SxfDMxDVBwVmI5zcaVUSzKAc/edit?usp=sharing"",""ประจวบคีรีขันธ์!I742"")+IMPORTRANGE(""https://docs.google.com/spreadsheets/d/1vVf6wykvW_lAyu7Yo9L4hUTqHqIeP_qcVuxCtosJEbg/edit?usp=sharing"",""ปราจีนบุรี!I742"")+IMPORTRANGE(""https://docs.googl"&amp;"e.com/spreadsheets/d/1BIDqLLg5jk3v59G8NlR8rk5xfQDKne0sAvZHSj7TI6I/edit?usp=sharing"",""พระนครศรีอยุธยา!I742"")+IMPORTRANGE(""https://docs.google.com/spreadsheets/d/1YXvxf8Yu6_rV4hTBrwMqAcAnv6DfhUxh5emyM3CJp_w/edit?usp=sharing"",""เพชรบุรี!I742"")+IMPORTRA"&amp;"NGE(""https://docs.google.com/spreadsheets/d/19KBlQQs7uwvsao6t2n-KvW3Ax8J8uRRfZPq1zPbXgKc/edit?usp=sharing"",""ระยอง!I742"")+IMPORTRANGE(""https://docs.google.com/spreadsheets/d/1jQ6P4QcrGM89YfqcC_PxOHGCMq5ezhucwJd8ci-NHng/edit?usp=sharing"",""ราชบุรี!I74"&amp;"2"")+IMPORTRANGE(""https://docs.google.com/spreadsheets/d/1lufeA2cfFqM-elVq2hznhDzC6Pr7wkJ9ZG_sYNGCMCU/edit?usp=sharing"",""ลพบุรี!I742"")+IMPORTRANGE(""https://docs.google.com/spreadsheets/d/10oOiF7loTyfsTkbd4MpaIm0HQ9SwB7IYHdIUvt-U1Uc/edit?usp=sharing"""&amp;",""สระแก้ว!I742"")+IMPORTRANGE(""https://docs.google.com/spreadsheets/d/1xmPlrr1QbdSIKvl1dWUl9K4PjAfSL9oeMr_37QVzcxc/edit?usp=sharing"",""สระบุรี!I742"")+IMPORTRANGE(""https://docs.google.com/spreadsheets/d/1j51vR6CYVGhABJpv6tkstgok82RLpXieLzW1yOY5rHw/edi"&amp;"t?usp=sharing"",""สิงห์บุรี!I742"")+IMPORTRANGE(""https://docs.google.com/spreadsheets/d/1H1EalTWKUSzO4Z1-1CwzoDUaVffgrThEBe2sl74kKG0/edit?usp=sharing"",""สุพรรณบุรี!I742"")+IMPORTRANGE(""https://docs.google.com/spreadsheets/d/1BmIruG_sIrJLYao_Pdr7zVArWsf"&amp;"oBt2692TMi6x_854/edit?usp=sharing"",""อ่างทอง!I742"")"),544)</f>
        <v>544</v>
      </c>
      <c r="J742" s="292">
        <f ca="1">IFERROR(__xludf.DUMMYFUNCTION("IMPORTRANGE(""https://docs.google.com/spreadsheets/d/13wPX838HrBrQMCywv1BsuMkt4PEKTChp52zj44s2izQ/edit?usp=sharing"",""กาญจนบุรี!J742"")+IMPORTRANGE(""https://docs.google.com/spreadsheets/d/1ddFKvqj1W1NEiWytbGlB1zMx_ykJDVtmfEQ-6-lIUBA/edit?usp=sharing"","&amp;"""จันทบุรี!J742"")+IMPORTRANGE(""https://docs.google.com/spreadsheets/d/1T1PQvRODqOBZk8BRht_U031fIS1beLA0Ub2CEytj2q0/edit?usp=sharing"",""ฉะเชิงเทรา!J742"")+IMPORTRANGE(""https://docs.google.com/spreadsheets/d/11tr1B-Bhyr79v2bkwVh5h_fR-PStkgjlZtkrZpYurG0/"&amp;"edit?usp=sharing"",""ชลบุรี!J742"")+IMPORTRANGE(""https://docs.google.com/spreadsheets/d/1hh-FVnSX0vozXhGluamEcS54Dw9_zqW0N7qJUWgJ0Sw/edit?usp=sharing"",""ชัยนาท!J742"")+IMPORTRANGE(""https://docs.google.com/spreadsheets/d/1jkqa6GXxSacMcY1eN8AHjMNJ_7dDXMJ"&amp;"VRLDlaFSOdPM/edit?usp=sharing"",""ตราด!J742"")+IMPORTRANGE(""https://docs.google.com/spreadsheets/d/18hSgUJ3VwClqi_qtULmmW3cLr0oe3OKaSYoKzdpTsYQ/edit?usp=sharing"",""นครนายก!J742"")+IMPORTRANGE(""https://docs.google.com/spreadsheets/d/1YTZo6WM2dQ6Ix6FSdnL"&amp;"5P7uVnVKu40sxZu975tgG10E/edit?usp=sharing"",""นครปฐม!J742"")+IMPORTRANGE(""https://docs.google.com/spreadsheets/d/1OYoGg4WDg5RIzwGeB10padOxJF9E_Vljuvvct_M7RDo/edit?usp=sharing"",""ปทุมธานี!J742"")+IMPORTRANGE(""https://docs.google.com/spreadsheets/d/1GbCI"&amp;"E4D4wk9FUozzqk7SxfDMxDVBwVmI5zcaVUSzKAc/edit?usp=sharing"",""ประจวบคีรีขันธ์!J742"")+IMPORTRANGE(""https://docs.google.com/spreadsheets/d/1vVf6wykvW_lAyu7Yo9L4hUTqHqIeP_qcVuxCtosJEbg/edit?usp=sharing"",""ปราจีนบุรี!J742"")+IMPORTRANGE(""https://docs.googl"&amp;"e.com/spreadsheets/d/1BIDqLLg5jk3v59G8NlR8rk5xfQDKne0sAvZHSj7TI6I/edit?usp=sharing"",""พระนครศรีอยุธยา!J742"")+IMPORTRANGE(""https://docs.google.com/spreadsheets/d/1YXvxf8Yu6_rV4hTBrwMqAcAnv6DfhUxh5emyM3CJp_w/edit?usp=sharing"",""เพชรบุรี!J742"")+IMPORTRA"&amp;"NGE(""https://docs.google.com/spreadsheets/d/19KBlQQs7uwvsao6t2n-KvW3Ax8J8uRRfZPq1zPbXgKc/edit?usp=sharing"",""ระยอง!J742"")+IMPORTRANGE(""https://docs.google.com/spreadsheets/d/1jQ6P4QcrGM89YfqcC_PxOHGCMq5ezhucwJd8ci-NHng/edit?usp=sharing"",""ราชบุรี!J74"&amp;"2"")+IMPORTRANGE(""https://docs.google.com/spreadsheets/d/1lufeA2cfFqM-elVq2hznhDzC6Pr7wkJ9ZG_sYNGCMCU/edit?usp=sharing"",""ลพบุรี!J742"")+IMPORTRANGE(""https://docs.google.com/spreadsheets/d/10oOiF7loTyfsTkbd4MpaIm0HQ9SwB7IYHdIUvt-U1Uc/edit?usp=sharing"""&amp;",""สระแก้ว!J742"")+IMPORTRANGE(""https://docs.google.com/spreadsheets/d/1xmPlrr1QbdSIKvl1dWUl9K4PjAfSL9oeMr_37QVzcxc/edit?usp=sharing"",""สระบุรี!J742"")+IMPORTRANGE(""https://docs.google.com/spreadsheets/d/1j51vR6CYVGhABJpv6tkstgok82RLpXieLzW1yOY5rHw/edi"&amp;"t?usp=sharing"",""สิงห์บุรี!J742"")+IMPORTRANGE(""https://docs.google.com/spreadsheets/d/1H1EalTWKUSzO4Z1-1CwzoDUaVffgrThEBe2sl74kKG0/edit?usp=sharing"",""สุพรรณบุรี!J742"")+IMPORTRANGE(""https://docs.google.com/spreadsheets/d/1BmIruG_sIrJLYao_Pdr7zVArWsf"&amp;"oBt2692TMi6x_854/edit?usp=sharing"",""อ่างทอง!J742"")"),465)</f>
        <v>465</v>
      </c>
      <c r="K742" s="72">
        <f ca="1">IF(I742&gt;0,J742*100/I742,0)</f>
        <v>85.477941176470594</v>
      </c>
      <c r="L742" s="85"/>
      <c r="M742" s="85"/>
      <c r="N742" s="85"/>
      <c r="O742" s="85"/>
      <c r="P742" s="85"/>
      <c r="Q742" s="84"/>
      <c r="R742" s="85"/>
      <c r="S742" s="85"/>
      <c r="T742" s="85"/>
      <c r="U742" s="85"/>
    </row>
    <row r="743" spans="1:21" ht="18.75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5"/>
      <c r="M743" s="85"/>
      <c r="N743" s="85"/>
      <c r="O743" s="85"/>
      <c r="P743" s="85"/>
      <c r="Q743" s="84"/>
      <c r="R743" s="85"/>
      <c r="S743" s="85"/>
      <c r="T743" s="85"/>
      <c r="U743" s="85"/>
    </row>
    <row r="744" spans="1:21" ht="18.75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13wPX838HrBrQMCywv1BsuMkt4PEKTChp52zj44s2izQ/edit?usp=sharing"",""กาญจนบุรี!I744"")+IMPORTRANGE(""https://docs.google.com/spreadsheets/d/1ddFKvqj1W1NEiWytbGlB1zMx_ykJDVtmfEQ-6-lIUBA/edit?usp=sharing"","&amp;"""จันทบุรี!I744"")+IMPORTRANGE(""https://docs.google.com/spreadsheets/d/1T1PQvRODqOBZk8BRht_U031fIS1beLA0Ub2CEytj2q0/edit?usp=sharing"",""ฉะเชิงเทรา!I744"")+IMPORTRANGE(""https://docs.google.com/spreadsheets/d/11tr1B-Bhyr79v2bkwVh5h_fR-PStkgjlZtkrZpYurG0/"&amp;"edit?usp=sharing"",""ชลบุรี!I744"")+IMPORTRANGE(""https://docs.google.com/spreadsheets/d/1hh-FVnSX0vozXhGluamEcS54Dw9_zqW0N7qJUWgJ0Sw/edit?usp=sharing"",""ชัยนาท!I744"")+IMPORTRANGE(""https://docs.google.com/spreadsheets/d/1jkqa6GXxSacMcY1eN8AHjMNJ_7dDXMJ"&amp;"VRLDlaFSOdPM/edit?usp=sharing"",""ตราด!I744"")+IMPORTRANGE(""https://docs.google.com/spreadsheets/d/18hSgUJ3VwClqi_qtULmmW3cLr0oe3OKaSYoKzdpTsYQ/edit?usp=sharing"",""นครนายก!I744"")+IMPORTRANGE(""https://docs.google.com/spreadsheets/d/1YTZo6WM2dQ6Ix6FSdnL"&amp;"5P7uVnVKu40sxZu975tgG10E/edit?usp=sharing"",""นครปฐม!I744"")+IMPORTRANGE(""https://docs.google.com/spreadsheets/d/1OYoGg4WDg5RIzwGeB10padOxJF9E_Vljuvvct_M7RDo/edit?usp=sharing"",""ปทุมธานี!I744"")+IMPORTRANGE(""https://docs.google.com/spreadsheets/d/1GbCI"&amp;"E4D4wk9FUozzqk7SxfDMxDVBwVmI5zcaVUSzKAc/edit?usp=sharing"",""ประจวบคีรีขันธ์!I744"")+IMPORTRANGE(""https://docs.google.com/spreadsheets/d/1vVf6wykvW_lAyu7Yo9L4hUTqHqIeP_qcVuxCtosJEbg/edit?usp=sharing"",""ปราจีนบุรี!I744"")+IMPORTRANGE(""https://docs.googl"&amp;"e.com/spreadsheets/d/1BIDqLLg5jk3v59G8NlR8rk5xfQDKne0sAvZHSj7TI6I/edit?usp=sharing"",""พระนครศรีอยุธยา!I744"")+IMPORTRANGE(""https://docs.google.com/spreadsheets/d/1YXvxf8Yu6_rV4hTBrwMqAcAnv6DfhUxh5emyM3CJp_w/edit?usp=sharing"",""เพชรบุรี!I744"")+IMPORTRA"&amp;"NGE(""https://docs.google.com/spreadsheets/d/19KBlQQs7uwvsao6t2n-KvW3Ax8J8uRRfZPq1zPbXgKc/edit?usp=sharing"",""ระยอง!I744"")+IMPORTRANGE(""https://docs.google.com/spreadsheets/d/1jQ6P4QcrGM89YfqcC_PxOHGCMq5ezhucwJd8ci-NHng/edit?usp=sharing"",""ราชบุรี!I74"&amp;"4"")+IMPORTRANGE(""https://docs.google.com/spreadsheets/d/1lufeA2cfFqM-elVq2hznhDzC6Pr7wkJ9ZG_sYNGCMCU/edit?usp=sharing"",""ลพบุรี!I744"")+IMPORTRANGE(""https://docs.google.com/spreadsheets/d/10oOiF7loTyfsTkbd4MpaIm0HQ9SwB7IYHdIUvt-U1Uc/edit?usp=sharing"""&amp;",""สระแก้ว!I744"")+IMPORTRANGE(""https://docs.google.com/spreadsheets/d/1xmPlrr1QbdSIKvl1dWUl9K4PjAfSL9oeMr_37QVzcxc/edit?usp=sharing"",""สระบุรี!I744"")+IMPORTRANGE(""https://docs.google.com/spreadsheets/d/1j51vR6CYVGhABJpv6tkstgok82RLpXieLzW1yOY5rHw/edi"&amp;"t?usp=sharing"",""สิงห์บุรี!I744"")+IMPORTRANGE(""https://docs.google.com/spreadsheets/d/1H1EalTWKUSzO4Z1-1CwzoDUaVffgrThEBe2sl74kKG0/edit?usp=sharing"",""สุพรรณบุรี!I744"")+IMPORTRANGE(""https://docs.google.com/spreadsheets/d/1BmIruG_sIrJLYao_Pdr7zVArWsf"&amp;"oBt2692TMi6x_854/edit?usp=sharing"",""อ่างทอง!I744"")"),1360)</f>
        <v>1360</v>
      </c>
      <c r="J744" s="292">
        <f ca="1">IFERROR(__xludf.DUMMYFUNCTION("IMPORTRANGE(""https://docs.google.com/spreadsheets/d/13wPX838HrBrQMCywv1BsuMkt4PEKTChp52zj44s2izQ/edit?usp=sharing"",""กาญจนบุรี!J744"")+IMPORTRANGE(""https://docs.google.com/spreadsheets/d/1ddFKvqj1W1NEiWytbGlB1zMx_ykJDVtmfEQ-6-lIUBA/edit?usp=sharing"","&amp;"""จันทบุรี!J744"")+IMPORTRANGE(""https://docs.google.com/spreadsheets/d/1T1PQvRODqOBZk8BRht_U031fIS1beLA0Ub2CEytj2q0/edit?usp=sharing"",""ฉะเชิงเทรา!J744"")+IMPORTRANGE(""https://docs.google.com/spreadsheets/d/11tr1B-Bhyr79v2bkwVh5h_fR-PStkgjlZtkrZpYurG0/"&amp;"edit?usp=sharing"",""ชลบุรี!J744"")+IMPORTRANGE(""https://docs.google.com/spreadsheets/d/1hh-FVnSX0vozXhGluamEcS54Dw9_zqW0N7qJUWgJ0Sw/edit?usp=sharing"",""ชัยนาท!J744"")+IMPORTRANGE(""https://docs.google.com/spreadsheets/d/1jkqa6GXxSacMcY1eN8AHjMNJ_7dDXMJ"&amp;"VRLDlaFSOdPM/edit?usp=sharing"",""ตราด!J744"")+IMPORTRANGE(""https://docs.google.com/spreadsheets/d/18hSgUJ3VwClqi_qtULmmW3cLr0oe3OKaSYoKzdpTsYQ/edit?usp=sharing"",""นครนายก!J744"")+IMPORTRANGE(""https://docs.google.com/spreadsheets/d/1YTZo6WM2dQ6Ix6FSdnL"&amp;"5P7uVnVKu40sxZu975tgG10E/edit?usp=sharing"",""นครปฐม!J744"")+IMPORTRANGE(""https://docs.google.com/spreadsheets/d/1OYoGg4WDg5RIzwGeB10padOxJF9E_Vljuvvct_M7RDo/edit?usp=sharing"",""ปทุมธานี!J744"")+IMPORTRANGE(""https://docs.google.com/spreadsheets/d/1GbCI"&amp;"E4D4wk9FUozzqk7SxfDMxDVBwVmI5zcaVUSzKAc/edit?usp=sharing"",""ประจวบคีรีขันธ์!J744"")+IMPORTRANGE(""https://docs.google.com/spreadsheets/d/1vVf6wykvW_lAyu7Yo9L4hUTqHqIeP_qcVuxCtosJEbg/edit?usp=sharing"",""ปราจีนบุรี!J744"")+IMPORTRANGE(""https://docs.googl"&amp;"e.com/spreadsheets/d/1BIDqLLg5jk3v59G8NlR8rk5xfQDKne0sAvZHSj7TI6I/edit?usp=sharing"",""พระนครศรีอยุธยา!J744"")+IMPORTRANGE(""https://docs.google.com/spreadsheets/d/1YXvxf8Yu6_rV4hTBrwMqAcAnv6DfhUxh5emyM3CJp_w/edit?usp=sharing"",""เพชรบุรี!J744"")+IMPORTRA"&amp;"NGE(""https://docs.google.com/spreadsheets/d/19KBlQQs7uwvsao6t2n-KvW3Ax8J8uRRfZPq1zPbXgKc/edit?usp=sharing"",""ระยอง!J744"")+IMPORTRANGE(""https://docs.google.com/spreadsheets/d/1jQ6P4QcrGM89YfqcC_PxOHGCMq5ezhucwJd8ci-NHng/edit?usp=sharing"",""ราชบุรี!J74"&amp;"4"")+IMPORTRANGE(""https://docs.google.com/spreadsheets/d/1lufeA2cfFqM-elVq2hznhDzC6Pr7wkJ9ZG_sYNGCMCU/edit?usp=sharing"",""ลพบุรี!J744"")+IMPORTRANGE(""https://docs.google.com/spreadsheets/d/10oOiF7loTyfsTkbd4MpaIm0HQ9SwB7IYHdIUvt-U1Uc/edit?usp=sharing"""&amp;",""สระแก้ว!J744"")+IMPORTRANGE(""https://docs.google.com/spreadsheets/d/1xmPlrr1QbdSIKvl1dWUl9K4PjAfSL9oeMr_37QVzcxc/edit?usp=sharing"",""สระบุรี!J744"")+IMPORTRANGE(""https://docs.google.com/spreadsheets/d/1j51vR6CYVGhABJpv6tkstgok82RLpXieLzW1yOY5rHw/edi"&amp;"t?usp=sharing"",""สิงห์บุรี!J744"")+IMPORTRANGE(""https://docs.google.com/spreadsheets/d/1H1EalTWKUSzO4Z1-1CwzoDUaVffgrThEBe2sl74kKG0/edit?usp=sharing"",""สุพรรณบุรี!J744"")+IMPORTRANGE(""https://docs.google.com/spreadsheets/d/1BmIruG_sIrJLYao_Pdr7zVArWsf"&amp;"oBt2692TMi6x_854/edit?usp=sharing"",""อ่างทอง!J744"")"),870)</f>
        <v>870</v>
      </c>
      <c r="K744" s="72">
        <f ca="1">IF(I744&gt;0,J744*100/I744,0)</f>
        <v>63.970588235294116</v>
      </c>
      <c r="L744" s="85"/>
      <c r="M744" s="85"/>
      <c r="N744" s="85"/>
      <c r="O744" s="85"/>
      <c r="P744" s="85"/>
      <c r="Q744" s="84"/>
      <c r="R744" s="85"/>
      <c r="S744" s="85"/>
      <c r="T744" s="85"/>
      <c r="U744" s="85"/>
    </row>
    <row r="745" spans="1:21" ht="18.75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f ca="1">IFERROR(__xludf.DUMMYFUNCTION("IMPORTRANGE(""https://docs.google.com/spreadsheets/d/13wPX838HrBrQMCywv1BsuMkt4PEKTChp52zj44s2izQ/edit?usp=sharing"",""กาญจนบุรี!J745"")+IMPORTRANGE(""https://docs.google.com/spreadsheets/d/1ddFKvqj1W1NEiWytbGlB1zMx_ykJDVtmfEQ-6-lIUBA/edit?usp=sharing"","&amp;"""จันทบุรี!J745"")+IMPORTRANGE(""https://docs.google.com/spreadsheets/d/1T1PQvRODqOBZk8BRht_U031fIS1beLA0Ub2CEytj2q0/edit?usp=sharing"",""ฉะเชิงเทรา!J745"")+IMPORTRANGE(""https://docs.google.com/spreadsheets/d/11tr1B-Bhyr79v2bkwVh5h_fR-PStkgjlZtkrZpYurG0/"&amp;"edit?usp=sharing"",""ชลบุรี!J745"")+IMPORTRANGE(""https://docs.google.com/spreadsheets/d/1hh-FVnSX0vozXhGluamEcS54Dw9_zqW0N7qJUWgJ0Sw/edit?usp=sharing"",""ชัยนาท!J745"")+IMPORTRANGE(""https://docs.google.com/spreadsheets/d/1jkqa6GXxSacMcY1eN8AHjMNJ_7dDXMJ"&amp;"VRLDlaFSOdPM/edit?usp=sharing"",""ตราด!J745"")+IMPORTRANGE(""https://docs.google.com/spreadsheets/d/18hSgUJ3VwClqi_qtULmmW3cLr0oe3OKaSYoKzdpTsYQ/edit?usp=sharing"",""นครนายก!J745"")+IMPORTRANGE(""https://docs.google.com/spreadsheets/d/1YTZo6WM2dQ6Ix6FSdnL"&amp;"5P7uVnVKu40sxZu975tgG10E/edit?usp=sharing"",""นครปฐม!J745"")+IMPORTRANGE(""https://docs.google.com/spreadsheets/d/1OYoGg4WDg5RIzwGeB10padOxJF9E_Vljuvvct_M7RDo/edit?usp=sharing"",""ปทุมธานี!J745"")+IMPORTRANGE(""https://docs.google.com/spreadsheets/d/1GbCI"&amp;"E4D4wk9FUozzqk7SxfDMxDVBwVmI5zcaVUSzKAc/edit?usp=sharing"",""ประจวบคีรีขันธ์!J745"")+IMPORTRANGE(""https://docs.google.com/spreadsheets/d/1vVf6wykvW_lAyu7Yo9L4hUTqHqIeP_qcVuxCtosJEbg/edit?usp=sharing"",""ปราจีนบุรี!J745"")+IMPORTRANGE(""https://docs.googl"&amp;"e.com/spreadsheets/d/1BIDqLLg5jk3v59G8NlR8rk5xfQDKne0sAvZHSj7TI6I/edit?usp=sharing"",""พระนครศรีอยุธยา!J745"")+IMPORTRANGE(""https://docs.google.com/spreadsheets/d/1YXvxf8Yu6_rV4hTBrwMqAcAnv6DfhUxh5emyM3CJp_w/edit?usp=sharing"",""เพชรบุรี!J745"")+IMPORTRA"&amp;"NGE(""https://docs.google.com/spreadsheets/d/19KBlQQs7uwvsao6t2n-KvW3Ax8J8uRRfZPq1zPbXgKc/edit?usp=sharing"",""ระยอง!J745"")+IMPORTRANGE(""https://docs.google.com/spreadsheets/d/1jQ6P4QcrGM89YfqcC_PxOHGCMq5ezhucwJd8ci-NHng/edit?usp=sharing"",""ราชบุรี!J74"&amp;"5"")+IMPORTRANGE(""https://docs.google.com/spreadsheets/d/1lufeA2cfFqM-elVq2hznhDzC6Pr7wkJ9ZG_sYNGCMCU/edit?usp=sharing"",""ลพบุรี!J745"")+IMPORTRANGE(""https://docs.google.com/spreadsheets/d/10oOiF7loTyfsTkbd4MpaIm0HQ9SwB7IYHdIUvt-U1Uc/edit?usp=sharing"""&amp;",""สระแก้ว!J745"")+IMPORTRANGE(""https://docs.google.com/spreadsheets/d/1xmPlrr1QbdSIKvl1dWUl9K4PjAfSL9oeMr_37QVzcxc/edit?usp=sharing"",""สระบุรี!J745"")+IMPORTRANGE(""https://docs.google.com/spreadsheets/d/1j51vR6CYVGhABJpv6tkstgok82RLpXieLzW1yOY5rHw/edi"&amp;"t?usp=sharing"",""สิงห์บุรี!J745"")+IMPORTRANGE(""https://docs.google.com/spreadsheets/d/1H1EalTWKUSzO4Z1-1CwzoDUaVffgrThEBe2sl74kKG0/edit?usp=sharing"",""สุพรรณบุรี!J745"")+IMPORTRANGE(""https://docs.google.com/spreadsheets/d/1BmIruG_sIrJLYao_Pdr7zVArWsf"&amp;"oBt2692TMi6x_854/edit?usp=sharing"",""อ่างทอง!J745"")"),22)</f>
        <v>22</v>
      </c>
      <c r="K745" s="85"/>
      <c r="L745" s="85"/>
      <c r="M745" s="85"/>
      <c r="N745" s="85"/>
      <c r="O745" s="85"/>
      <c r="P745" s="85"/>
      <c r="Q745" s="84"/>
      <c r="R745" s="85"/>
      <c r="S745" s="85"/>
      <c r="T745" s="85"/>
      <c r="U745" s="85"/>
    </row>
    <row r="746" spans="1:21" ht="18.75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13wPX838HrBrQMCywv1BsuMkt4PEKTChp52zj44s2izQ/edit?usp=sharing"",""กาญจนบุรี!I746"")+IMPORTRANGE(""https://docs.google.com/spreadsheets/d/1ddFKvqj1W1NEiWytbGlB1zMx_ykJDVtmfEQ-6-lIUBA/edit?usp=sharing"","&amp;"""จันทบุรี!I746"")+IMPORTRANGE(""https://docs.google.com/spreadsheets/d/1T1PQvRODqOBZk8BRht_U031fIS1beLA0Ub2CEytj2q0/edit?usp=sharing"",""ฉะเชิงเทรา!I746"")+IMPORTRANGE(""https://docs.google.com/spreadsheets/d/11tr1B-Bhyr79v2bkwVh5h_fR-PStkgjlZtkrZpYurG0/"&amp;"edit?usp=sharing"",""ชลบุรี!I746"")+IMPORTRANGE(""https://docs.google.com/spreadsheets/d/1hh-FVnSX0vozXhGluamEcS54Dw9_zqW0N7qJUWgJ0Sw/edit?usp=sharing"",""ชัยนาท!I746"")+IMPORTRANGE(""https://docs.google.com/spreadsheets/d/1jkqa6GXxSacMcY1eN8AHjMNJ_7dDXMJ"&amp;"VRLDlaFSOdPM/edit?usp=sharing"",""ตราด!I746"")+IMPORTRANGE(""https://docs.google.com/spreadsheets/d/18hSgUJ3VwClqi_qtULmmW3cLr0oe3OKaSYoKzdpTsYQ/edit?usp=sharing"",""นครนายก!I746"")+IMPORTRANGE(""https://docs.google.com/spreadsheets/d/1YTZo6WM2dQ6Ix6FSdnL"&amp;"5P7uVnVKu40sxZu975tgG10E/edit?usp=sharing"",""นครปฐม!I746"")+IMPORTRANGE(""https://docs.google.com/spreadsheets/d/1OYoGg4WDg5RIzwGeB10padOxJF9E_Vljuvvct_M7RDo/edit?usp=sharing"",""ปทุมธานี!I746"")+IMPORTRANGE(""https://docs.google.com/spreadsheets/d/1GbCI"&amp;"E4D4wk9FUozzqk7SxfDMxDVBwVmI5zcaVUSzKAc/edit?usp=sharing"",""ประจวบคีรีขันธ์!I746"")+IMPORTRANGE(""https://docs.google.com/spreadsheets/d/1vVf6wykvW_lAyu7Yo9L4hUTqHqIeP_qcVuxCtosJEbg/edit?usp=sharing"",""ปราจีนบุรี!I746"")+IMPORTRANGE(""https://docs.googl"&amp;"e.com/spreadsheets/d/1BIDqLLg5jk3v59G8NlR8rk5xfQDKne0sAvZHSj7TI6I/edit?usp=sharing"",""พระนครศรีอยุธยา!I746"")+IMPORTRANGE(""https://docs.google.com/spreadsheets/d/1YXvxf8Yu6_rV4hTBrwMqAcAnv6DfhUxh5emyM3CJp_w/edit?usp=sharing"",""เพชรบุรี!I746"")+IMPORTRA"&amp;"NGE(""https://docs.google.com/spreadsheets/d/19KBlQQs7uwvsao6t2n-KvW3Ax8J8uRRfZPq1zPbXgKc/edit?usp=sharing"",""ระยอง!I746"")+IMPORTRANGE(""https://docs.google.com/spreadsheets/d/1jQ6P4QcrGM89YfqcC_PxOHGCMq5ezhucwJd8ci-NHng/edit?usp=sharing"",""ราชบุรี!I74"&amp;"6"")+IMPORTRANGE(""https://docs.google.com/spreadsheets/d/1lufeA2cfFqM-elVq2hznhDzC6Pr7wkJ9ZG_sYNGCMCU/edit?usp=sharing"",""ลพบุรี!I746"")+IMPORTRANGE(""https://docs.google.com/spreadsheets/d/10oOiF7loTyfsTkbd4MpaIm0HQ9SwB7IYHdIUvt-U1Uc/edit?usp=sharing"""&amp;",""สระแก้ว!I746"")+IMPORTRANGE(""https://docs.google.com/spreadsheets/d/1xmPlrr1QbdSIKvl1dWUl9K4PjAfSL9oeMr_37QVzcxc/edit?usp=sharing"",""สระบุรี!I746"")+IMPORTRANGE(""https://docs.google.com/spreadsheets/d/1j51vR6CYVGhABJpv6tkstgok82RLpXieLzW1yOY5rHw/edi"&amp;"t?usp=sharing"",""สิงห์บุรี!I746"")+IMPORTRANGE(""https://docs.google.com/spreadsheets/d/1H1EalTWKUSzO4Z1-1CwzoDUaVffgrThEBe2sl74kKG0/edit?usp=sharing"",""สุพรรณบุรี!I746"")+IMPORTRANGE(""https://docs.google.com/spreadsheets/d/1BmIruG_sIrJLYao_Pdr7zVArWsf"&amp;"oBt2692TMi6x_854/edit?usp=sharing"",""อ่างทอง!I746"")"),136)</f>
        <v>136</v>
      </c>
      <c r="J746" s="292">
        <f ca="1">IFERROR(__xludf.DUMMYFUNCTION("IMPORTRANGE(""https://docs.google.com/spreadsheets/d/13wPX838HrBrQMCywv1BsuMkt4PEKTChp52zj44s2izQ/edit?usp=sharing"",""กาญจนบุรี!J746"")+IMPORTRANGE(""https://docs.google.com/spreadsheets/d/1ddFKvqj1W1NEiWytbGlB1zMx_ykJDVtmfEQ-6-lIUBA/edit?usp=sharing"","&amp;"""จันทบุรี!J746"")+IMPORTRANGE(""https://docs.google.com/spreadsheets/d/1T1PQvRODqOBZk8BRht_U031fIS1beLA0Ub2CEytj2q0/edit?usp=sharing"",""ฉะเชิงเทรา!J746"")+IMPORTRANGE(""https://docs.google.com/spreadsheets/d/11tr1B-Bhyr79v2bkwVh5h_fR-PStkgjlZtkrZpYurG0/"&amp;"edit?usp=sharing"",""ชลบุรี!J746"")+IMPORTRANGE(""https://docs.google.com/spreadsheets/d/1hh-FVnSX0vozXhGluamEcS54Dw9_zqW0N7qJUWgJ0Sw/edit?usp=sharing"",""ชัยนาท!J746"")+IMPORTRANGE(""https://docs.google.com/spreadsheets/d/1jkqa6GXxSacMcY1eN8AHjMNJ_7dDXMJ"&amp;"VRLDlaFSOdPM/edit?usp=sharing"",""ตราด!J746"")+IMPORTRANGE(""https://docs.google.com/spreadsheets/d/18hSgUJ3VwClqi_qtULmmW3cLr0oe3OKaSYoKzdpTsYQ/edit?usp=sharing"",""นครนายก!J746"")+IMPORTRANGE(""https://docs.google.com/spreadsheets/d/1YTZo6WM2dQ6Ix6FSdnL"&amp;"5P7uVnVKu40sxZu975tgG10E/edit?usp=sharing"",""นครปฐม!J746"")+IMPORTRANGE(""https://docs.google.com/spreadsheets/d/1OYoGg4WDg5RIzwGeB10padOxJF9E_Vljuvvct_M7RDo/edit?usp=sharing"",""ปทุมธานี!J746"")+IMPORTRANGE(""https://docs.google.com/spreadsheets/d/1GbCI"&amp;"E4D4wk9FUozzqk7SxfDMxDVBwVmI5zcaVUSzKAc/edit?usp=sharing"",""ประจวบคีรีขันธ์!J746"")+IMPORTRANGE(""https://docs.google.com/spreadsheets/d/1vVf6wykvW_lAyu7Yo9L4hUTqHqIeP_qcVuxCtosJEbg/edit?usp=sharing"",""ปราจีนบุรี!J746"")+IMPORTRANGE(""https://docs.googl"&amp;"e.com/spreadsheets/d/1BIDqLLg5jk3v59G8NlR8rk5xfQDKne0sAvZHSj7TI6I/edit?usp=sharing"",""พระนครศรีอยุธยา!J746"")+IMPORTRANGE(""https://docs.google.com/spreadsheets/d/1YXvxf8Yu6_rV4hTBrwMqAcAnv6DfhUxh5emyM3CJp_w/edit?usp=sharing"",""เพชรบุรี!J746"")+IMPORTRA"&amp;"NGE(""https://docs.google.com/spreadsheets/d/19KBlQQs7uwvsao6t2n-KvW3Ax8J8uRRfZPq1zPbXgKc/edit?usp=sharing"",""ระยอง!J746"")+IMPORTRANGE(""https://docs.google.com/spreadsheets/d/1jQ6P4QcrGM89YfqcC_PxOHGCMq5ezhucwJd8ci-NHng/edit?usp=sharing"",""ราชบุรี!J74"&amp;"6"")+IMPORTRANGE(""https://docs.google.com/spreadsheets/d/1lufeA2cfFqM-elVq2hznhDzC6Pr7wkJ9ZG_sYNGCMCU/edit?usp=sharing"",""ลพบุรี!J746"")+IMPORTRANGE(""https://docs.google.com/spreadsheets/d/10oOiF7loTyfsTkbd4MpaIm0HQ9SwB7IYHdIUvt-U1Uc/edit?usp=sharing"""&amp;",""สระแก้ว!J746"")+IMPORTRANGE(""https://docs.google.com/spreadsheets/d/1xmPlrr1QbdSIKvl1dWUl9K4PjAfSL9oeMr_37QVzcxc/edit?usp=sharing"",""สระบุรี!J746"")+IMPORTRANGE(""https://docs.google.com/spreadsheets/d/1j51vR6CYVGhABJpv6tkstgok82RLpXieLzW1yOY5rHw/edi"&amp;"t?usp=sharing"",""สิงห์บุรี!J746"")+IMPORTRANGE(""https://docs.google.com/spreadsheets/d/1H1EalTWKUSzO4Z1-1CwzoDUaVffgrThEBe2sl74kKG0/edit?usp=sharing"",""สุพรรณบุรี!J746"")+IMPORTRANGE(""https://docs.google.com/spreadsheets/d/1BmIruG_sIrJLYao_Pdr7zVArWsf"&amp;"oBt2692TMi6x_854/edit?usp=sharing"",""อ่างทอง!J746"")"),101)</f>
        <v>101</v>
      </c>
      <c r="K746" s="72">
        <f ca="1">IF(I746&gt;0,J746*100/I746,0)</f>
        <v>74.264705882352942</v>
      </c>
      <c r="L746" s="85"/>
      <c r="M746" s="85"/>
      <c r="N746" s="85"/>
      <c r="O746" s="85"/>
      <c r="P746" s="85"/>
      <c r="Q746" s="84"/>
      <c r="R746" s="85"/>
      <c r="S746" s="85"/>
      <c r="T746" s="85"/>
      <c r="U746" s="85"/>
    </row>
    <row r="747" spans="1:21" ht="18.75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5"/>
      <c r="M747" s="85"/>
      <c r="N747" s="85"/>
      <c r="O747" s="85"/>
      <c r="P747" s="85"/>
      <c r="Q747" s="84"/>
      <c r="R747" s="85"/>
      <c r="S747" s="85"/>
      <c r="T747" s="85"/>
      <c r="U747" s="85"/>
    </row>
    <row r="748" spans="1:21" ht="18.75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f ca="1">IFERROR(__xludf.DUMMYFUNCTION("IMPORTRANGE(""https://docs.google.com/spreadsheets/d/13wPX838HrBrQMCywv1BsuMkt4PEKTChp52zj44s2izQ/edit?usp=sharing"",""กาญจนบุรี!J748"")+IMPORTRANGE(""https://docs.google.com/spreadsheets/d/1ddFKvqj1W1NEiWytbGlB1zMx_ykJDVtmfEQ-6-lIUBA/edit?usp=sharing"","&amp;"""จันทบุรี!J748"")+IMPORTRANGE(""https://docs.google.com/spreadsheets/d/1T1PQvRODqOBZk8BRht_U031fIS1beLA0Ub2CEytj2q0/edit?usp=sharing"",""ฉะเชิงเทรา!J748"")+IMPORTRANGE(""https://docs.google.com/spreadsheets/d/11tr1B-Bhyr79v2bkwVh5h_fR-PStkgjlZtkrZpYurG0/"&amp;"edit?usp=sharing"",""ชลบุรี!J748"")+IMPORTRANGE(""https://docs.google.com/spreadsheets/d/1hh-FVnSX0vozXhGluamEcS54Dw9_zqW0N7qJUWgJ0Sw/edit?usp=sharing"",""ชัยนาท!J748"")+IMPORTRANGE(""https://docs.google.com/spreadsheets/d/1jkqa6GXxSacMcY1eN8AHjMNJ_7dDXMJ"&amp;"VRLDlaFSOdPM/edit?usp=sharing"",""ตราด!J748"")+IMPORTRANGE(""https://docs.google.com/spreadsheets/d/18hSgUJ3VwClqi_qtULmmW3cLr0oe3OKaSYoKzdpTsYQ/edit?usp=sharing"",""นครนายก!J748"")+IMPORTRANGE(""https://docs.google.com/spreadsheets/d/1YTZo6WM2dQ6Ix6FSdnL"&amp;"5P7uVnVKu40sxZu975tgG10E/edit?usp=sharing"",""นครปฐม!J748"")+IMPORTRANGE(""https://docs.google.com/spreadsheets/d/1OYoGg4WDg5RIzwGeB10padOxJF9E_Vljuvvct_M7RDo/edit?usp=sharing"",""ปทุมธานี!J748"")+IMPORTRANGE(""https://docs.google.com/spreadsheets/d/1GbCI"&amp;"E4D4wk9FUozzqk7SxfDMxDVBwVmI5zcaVUSzKAc/edit?usp=sharing"",""ประจวบคีรีขันธ์!J748"")+IMPORTRANGE(""https://docs.google.com/spreadsheets/d/1vVf6wykvW_lAyu7Yo9L4hUTqHqIeP_qcVuxCtosJEbg/edit?usp=sharing"",""ปราจีนบุรี!J748"")+IMPORTRANGE(""https://docs.googl"&amp;"e.com/spreadsheets/d/1BIDqLLg5jk3v59G8NlR8rk5xfQDKne0sAvZHSj7TI6I/edit?usp=sharing"",""พระนครศรีอยุธยา!J748"")+IMPORTRANGE(""https://docs.google.com/spreadsheets/d/1YXvxf8Yu6_rV4hTBrwMqAcAnv6DfhUxh5emyM3CJp_w/edit?usp=sharing"",""เพชรบุรี!J748"")+IMPORTRA"&amp;"NGE(""https://docs.google.com/spreadsheets/d/19KBlQQs7uwvsao6t2n-KvW3Ax8J8uRRfZPq1zPbXgKc/edit?usp=sharing"",""ระยอง!J748"")+IMPORTRANGE(""https://docs.google.com/spreadsheets/d/1jQ6P4QcrGM89YfqcC_PxOHGCMq5ezhucwJd8ci-NHng/edit?usp=sharing"",""ราชบุรี!J74"&amp;"8"")+IMPORTRANGE(""https://docs.google.com/spreadsheets/d/1lufeA2cfFqM-elVq2hznhDzC6Pr7wkJ9ZG_sYNGCMCU/edit?usp=sharing"",""ลพบุรี!J748"")+IMPORTRANGE(""https://docs.google.com/spreadsheets/d/10oOiF7loTyfsTkbd4MpaIm0HQ9SwB7IYHdIUvt-U1Uc/edit?usp=sharing"""&amp;",""สระแก้ว!J748"")+IMPORTRANGE(""https://docs.google.com/spreadsheets/d/1xmPlrr1QbdSIKvl1dWUl9K4PjAfSL9oeMr_37QVzcxc/edit?usp=sharing"",""สระบุรี!J748"")+IMPORTRANGE(""https://docs.google.com/spreadsheets/d/1j51vR6CYVGhABJpv6tkstgok82RLpXieLzW1yOY5rHw/edi"&amp;"t?usp=sharing"",""สิงห์บุรี!J748"")+IMPORTRANGE(""https://docs.google.com/spreadsheets/d/1H1EalTWKUSzO4Z1-1CwzoDUaVffgrThEBe2sl74kKG0/edit?usp=sharing"",""สุพรรณบุรี!J748"")+IMPORTRANGE(""https://docs.google.com/spreadsheets/d/1BmIruG_sIrJLYao_Pdr7zVArWsf"&amp;"oBt2692TMi6x_854/edit?usp=sharing"",""อ่างทอง!J748"")"),32)</f>
        <v>32</v>
      </c>
      <c r="K748" s="85"/>
      <c r="L748" s="85"/>
      <c r="M748" s="85"/>
      <c r="N748" s="85"/>
      <c r="O748" s="85"/>
      <c r="P748" s="85"/>
      <c r="Q748" s="84"/>
      <c r="R748" s="85"/>
      <c r="S748" s="85"/>
      <c r="T748" s="85"/>
      <c r="U748" s="85"/>
    </row>
    <row r="749" spans="1:21" ht="18.75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13wPX838HrBrQMCywv1BsuMkt4PEKTChp52zj44s2izQ/edit?usp=sharing"",""กาญจนบุรี!I749"")+IMPORTRANGE(""https://docs.google.com/spreadsheets/d/1ddFKvqj1W1NEiWytbGlB1zMx_ykJDVtmfEQ-6-lIUBA/edit?usp=sharing"","&amp;"""จันทบุรี!I749"")+IMPORTRANGE(""https://docs.google.com/spreadsheets/d/1T1PQvRODqOBZk8BRht_U031fIS1beLA0Ub2CEytj2q0/edit?usp=sharing"",""ฉะเชิงเทรา!I749"")+IMPORTRANGE(""https://docs.google.com/spreadsheets/d/11tr1B-Bhyr79v2bkwVh5h_fR-PStkgjlZtkrZpYurG0/"&amp;"edit?usp=sharing"",""ชลบุรี!I749"")+IMPORTRANGE(""https://docs.google.com/spreadsheets/d/1hh-FVnSX0vozXhGluamEcS54Dw9_zqW0N7qJUWgJ0Sw/edit?usp=sharing"",""ชัยนาท!I749"")+IMPORTRANGE(""https://docs.google.com/spreadsheets/d/1jkqa6GXxSacMcY1eN8AHjMNJ_7dDXMJ"&amp;"VRLDlaFSOdPM/edit?usp=sharing"",""ตราด!I749"")+IMPORTRANGE(""https://docs.google.com/spreadsheets/d/18hSgUJ3VwClqi_qtULmmW3cLr0oe3OKaSYoKzdpTsYQ/edit?usp=sharing"",""นครนายก!I749"")+IMPORTRANGE(""https://docs.google.com/spreadsheets/d/1YTZo6WM2dQ6Ix6FSdnL"&amp;"5P7uVnVKu40sxZu975tgG10E/edit?usp=sharing"",""นครปฐม!I749"")+IMPORTRANGE(""https://docs.google.com/spreadsheets/d/1OYoGg4WDg5RIzwGeB10padOxJF9E_Vljuvvct_M7RDo/edit?usp=sharing"",""ปทุมธานี!I749"")+IMPORTRANGE(""https://docs.google.com/spreadsheets/d/1GbCI"&amp;"E4D4wk9FUozzqk7SxfDMxDVBwVmI5zcaVUSzKAc/edit?usp=sharing"",""ประจวบคีรีขันธ์!I749"")+IMPORTRANGE(""https://docs.google.com/spreadsheets/d/1vVf6wykvW_lAyu7Yo9L4hUTqHqIeP_qcVuxCtosJEbg/edit?usp=sharing"",""ปราจีนบุรี!I749"")+IMPORTRANGE(""https://docs.googl"&amp;"e.com/spreadsheets/d/1BIDqLLg5jk3v59G8NlR8rk5xfQDKne0sAvZHSj7TI6I/edit?usp=sharing"",""พระนครศรีอยุธยา!I749"")+IMPORTRANGE(""https://docs.google.com/spreadsheets/d/1YXvxf8Yu6_rV4hTBrwMqAcAnv6DfhUxh5emyM3CJp_w/edit?usp=sharing"",""เพชรบุรี!I749"")+IMPORTRA"&amp;"NGE(""https://docs.google.com/spreadsheets/d/19KBlQQs7uwvsao6t2n-KvW3Ax8J8uRRfZPq1zPbXgKc/edit?usp=sharing"",""ระยอง!I749"")+IMPORTRANGE(""https://docs.google.com/spreadsheets/d/1jQ6P4QcrGM89YfqcC_PxOHGCMq5ezhucwJd8ci-NHng/edit?usp=sharing"",""ราชบุรี!I74"&amp;"9"")+IMPORTRANGE(""https://docs.google.com/spreadsheets/d/1lufeA2cfFqM-elVq2hznhDzC6Pr7wkJ9ZG_sYNGCMCU/edit?usp=sharing"",""ลพบุรี!I749"")+IMPORTRANGE(""https://docs.google.com/spreadsheets/d/10oOiF7loTyfsTkbd4MpaIm0HQ9SwB7IYHdIUvt-U1Uc/edit?usp=sharing"""&amp;",""สระแก้ว!I749"")+IMPORTRANGE(""https://docs.google.com/spreadsheets/d/1xmPlrr1QbdSIKvl1dWUl9K4PjAfSL9oeMr_37QVzcxc/edit?usp=sharing"",""สระบุรี!I749"")+IMPORTRANGE(""https://docs.google.com/spreadsheets/d/1j51vR6CYVGhABJpv6tkstgok82RLpXieLzW1yOY5rHw/edi"&amp;"t?usp=sharing"",""สิงห์บุรี!I749"")+IMPORTRANGE(""https://docs.google.com/spreadsheets/d/1H1EalTWKUSzO4Z1-1CwzoDUaVffgrThEBe2sl74kKG0/edit?usp=sharing"",""สุพรรณบุรี!I749"")+IMPORTRANGE(""https://docs.google.com/spreadsheets/d/1BmIruG_sIrJLYao_Pdr7zVArWsf"&amp;"oBt2692TMi6x_854/edit?usp=sharing"",""อ่างทอง!I749"")"),23)</f>
        <v>23</v>
      </c>
      <c r="J749" s="292">
        <f ca="1">IFERROR(__xludf.DUMMYFUNCTION("IMPORTRANGE(""https://docs.google.com/spreadsheets/d/13wPX838HrBrQMCywv1BsuMkt4PEKTChp52zj44s2izQ/edit?usp=sharing"",""กาญจนบุรี!J749"")+IMPORTRANGE(""https://docs.google.com/spreadsheets/d/1ddFKvqj1W1NEiWytbGlB1zMx_ykJDVtmfEQ-6-lIUBA/edit?usp=sharing"","&amp;"""จันทบุรี!J749"")+IMPORTRANGE(""https://docs.google.com/spreadsheets/d/1T1PQvRODqOBZk8BRht_U031fIS1beLA0Ub2CEytj2q0/edit?usp=sharing"",""ฉะเชิงเทรา!J749"")+IMPORTRANGE(""https://docs.google.com/spreadsheets/d/11tr1B-Bhyr79v2bkwVh5h_fR-PStkgjlZtkrZpYurG0/"&amp;"edit?usp=sharing"",""ชลบุรี!J749"")+IMPORTRANGE(""https://docs.google.com/spreadsheets/d/1hh-FVnSX0vozXhGluamEcS54Dw9_zqW0N7qJUWgJ0Sw/edit?usp=sharing"",""ชัยนาท!J749"")+IMPORTRANGE(""https://docs.google.com/spreadsheets/d/1jkqa6GXxSacMcY1eN8AHjMNJ_7dDXMJ"&amp;"VRLDlaFSOdPM/edit?usp=sharing"",""ตราด!J749"")+IMPORTRANGE(""https://docs.google.com/spreadsheets/d/18hSgUJ3VwClqi_qtULmmW3cLr0oe3OKaSYoKzdpTsYQ/edit?usp=sharing"",""นครนายก!J749"")+IMPORTRANGE(""https://docs.google.com/spreadsheets/d/1YTZo6WM2dQ6Ix6FSdnL"&amp;"5P7uVnVKu40sxZu975tgG10E/edit?usp=sharing"",""นครปฐม!J749"")+IMPORTRANGE(""https://docs.google.com/spreadsheets/d/1OYoGg4WDg5RIzwGeB10padOxJF9E_Vljuvvct_M7RDo/edit?usp=sharing"",""ปทุมธานี!J749"")+IMPORTRANGE(""https://docs.google.com/spreadsheets/d/1GbCI"&amp;"E4D4wk9FUozzqk7SxfDMxDVBwVmI5zcaVUSzKAc/edit?usp=sharing"",""ประจวบคีรีขันธ์!J749"")+IMPORTRANGE(""https://docs.google.com/spreadsheets/d/1vVf6wykvW_lAyu7Yo9L4hUTqHqIeP_qcVuxCtosJEbg/edit?usp=sharing"",""ปราจีนบุรี!J749"")+IMPORTRANGE(""https://docs.googl"&amp;"e.com/spreadsheets/d/1BIDqLLg5jk3v59G8NlR8rk5xfQDKne0sAvZHSj7TI6I/edit?usp=sharing"",""พระนครศรีอยุธยา!J749"")+IMPORTRANGE(""https://docs.google.com/spreadsheets/d/1YXvxf8Yu6_rV4hTBrwMqAcAnv6DfhUxh5emyM3CJp_w/edit?usp=sharing"",""เพชรบุรี!J749"")+IMPORTRA"&amp;"NGE(""https://docs.google.com/spreadsheets/d/19KBlQQs7uwvsao6t2n-KvW3Ax8J8uRRfZPq1zPbXgKc/edit?usp=sharing"",""ระยอง!J749"")+IMPORTRANGE(""https://docs.google.com/spreadsheets/d/1jQ6P4QcrGM89YfqcC_PxOHGCMq5ezhucwJd8ci-NHng/edit?usp=sharing"",""ราชบุรี!J74"&amp;"9"")+IMPORTRANGE(""https://docs.google.com/spreadsheets/d/1lufeA2cfFqM-elVq2hznhDzC6Pr7wkJ9ZG_sYNGCMCU/edit?usp=sharing"",""ลพบุรี!J749"")+IMPORTRANGE(""https://docs.google.com/spreadsheets/d/10oOiF7loTyfsTkbd4MpaIm0HQ9SwB7IYHdIUvt-U1Uc/edit?usp=sharing"""&amp;",""สระแก้ว!J749"")+IMPORTRANGE(""https://docs.google.com/spreadsheets/d/1xmPlrr1QbdSIKvl1dWUl9K4PjAfSL9oeMr_37QVzcxc/edit?usp=sharing"",""สระบุรี!J749"")+IMPORTRANGE(""https://docs.google.com/spreadsheets/d/1j51vR6CYVGhABJpv6tkstgok82RLpXieLzW1yOY5rHw/edi"&amp;"t?usp=sharing"",""สิงห์บุรี!J749"")+IMPORTRANGE(""https://docs.google.com/spreadsheets/d/1H1EalTWKUSzO4Z1-1CwzoDUaVffgrThEBe2sl74kKG0/edit?usp=sharing"",""สุพรรณบุรี!J749"")+IMPORTRANGE(""https://docs.google.com/spreadsheets/d/1BmIruG_sIrJLYao_Pdr7zVArWsf"&amp;"oBt2692TMi6x_854/edit?usp=sharing"",""อ่างทอง!J749"")"),14)</f>
        <v>14</v>
      </c>
      <c r="K749" s="72">
        <f ca="1">IF(I749&gt;0,J749*100/I749,0)</f>
        <v>60.869565217391305</v>
      </c>
      <c r="L749" s="85"/>
      <c r="M749" s="85"/>
      <c r="N749" s="85"/>
      <c r="O749" s="85"/>
      <c r="P749" s="85"/>
      <c r="Q749" s="84"/>
      <c r="R749" s="85"/>
      <c r="S749" s="85"/>
      <c r="T749" s="85"/>
      <c r="U749" s="85"/>
    </row>
    <row r="750" spans="1:21" ht="19.5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5"/>
      <c r="M750" s="85"/>
      <c r="N750" s="85"/>
      <c r="O750" s="85"/>
      <c r="P750" s="85"/>
      <c r="Q750" s="84"/>
      <c r="R750" s="85"/>
      <c r="S750" s="85"/>
      <c r="T750" s="85"/>
      <c r="U750" s="85"/>
    </row>
    <row r="751" spans="1:21" ht="18.75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5"/>
      <c r="M751" s="85"/>
      <c r="N751" s="85"/>
      <c r="O751" s="85"/>
      <c r="P751" s="85"/>
      <c r="Q751" s="84"/>
      <c r="R751" s="85"/>
      <c r="S751" s="85"/>
      <c r="T751" s="85"/>
      <c r="U751" s="85"/>
    </row>
    <row r="752" spans="1:21" ht="18.75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13wPX838HrBrQMCywv1BsuMkt4PEKTChp52zj44s2izQ/edit?usp=sharing"",""กาญจนบุรี!I752"")+IMPORTRANGE(""https://docs.google.com/spreadsheets/d/1ddFKvqj1W1NEiWytbGlB1zMx_ykJDVtmfEQ-6-lIUBA/edit?usp=sharing"","&amp;"""จันทบุรี!I752"")+IMPORTRANGE(""https://docs.google.com/spreadsheets/d/1T1PQvRODqOBZk8BRht_U031fIS1beLA0Ub2CEytj2q0/edit?usp=sharing"",""ฉะเชิงเทรา!I752"")+IMPORTRANGE(""https://docs.google.com/spreadsheets/d/11tr1B-Bhyr79v2bkwVh5h_fR-PStkgjlZtkrZpYurG0/"&amp;"edit?usp=sharing"",""ชลบุรี!I752"")+IMPORTRANGE(""https://docs.google.com/spreadsheets/d/1hh-FVnSX0vozXhGluamEcS54Dw9_zqW0N7qJUWgJ0Sw/edit?usp=sharing"",""ชัยนาท!I752"")+IMPORTRANGE(""https://docs.google.com/spreadsheets/d/1jkqa6GXxSacMcY1eN8AHjMNJ_7dDXMJ"&amp;"VRLDlaFSOdPM/edit?usp=sharing"",""ตราด!I752"")+IMPORTRANGE(""https://docs.google.com/spreadsheets/d/18hSgUJ3VwClqi_qtULmmW3cLr0oe3OKaSYoKzdpTsYQ/edit?usp=sharing"",""นครนายก!I752"")+IMPORTRANGE(""https://docs.google.com/spreadsheets/d/1YTZo6WM2dQ6Ix6FSdnL"&amp;"5P7uVnVKu40sxZu975tgG10E/edit?usp=sharing"",""นครปฐม!I752"")+IMPORTRANGE(""https://docs.google.com/spreadsheets/d/1OYoGg4WDg5RIzwGeB10padOxJF9E_Vljuvvct_M7RDo/edit?usp=sharing"",""ปทุมธานี!I752"")+IMPORTRANGE(""https://docs.google.com/spreadsheets/d/1GbCI"&amp;"E4D4wk9FUozzqk7SxfDMxDVBwVmI5zcaVUSzKAc/edit?usp=sharing"",""ประจวบคีรีขันธ์!I752"")+IMPORTRANGE(""https://docs.google.com/spreadsheets/d/1vVf6wykvW_lAyu7Yo9L4hUTqHqIeP_qcVuxCtosJEbg/edit?usp=sharing"",""ปราจีนบุรี!I752"")+IMPORTRANGE(""https://docs.googl"&amp;"e.com/spreadsheets/d/1BIDqLLg5jk3v59G8NlR8rk5xfQDKne0sAvZHSj7TI6I/edit?usp=sharing"",""พระนครศรีอยุธยา!I752"")+IMPORTRANGE(""https://docs.google.com/spreadsheets/d/1YXvxf8Yu6_rV4hTBrwMqAcAnv6DfhUxh5emyM3CJp_w/edit?usp=sharing"",""เพชรบุรี!I752"")+IMPORTRA"&amp;"NGE(""https://docs.google.com/spreadsheets/d/19KBlQQs7uwvsao6t2n-KvW3Ax8J8uRRfZPq1zPbXgKc/edit?usp=sharing"",""ระยอง!I752"")+IMPORTRANGE(""https://docs.google.com/spreadsheets/d/1jQ6P4QcrGM89YfqcC_PxOHGCMq5ezhucwJd8ci-NHng/edit?usp=sharing"",""ราชบุรี!I75"&amp;"2"")+IMPORTRANGE(""https://docs.google.com/spreadsheets/d/1lufeA2cfFqM-elVq2hznhDzC6Pr7wkJ9ZG_sYNGCMCU/edit?usp=sharing"",""ลพบุรี!I752"")+IMPORTRANGE(""https://docs.google.com/spreadsheets/d/10oOiF7loTyfsTkbd4MpaIm0HQ9SwB7IYHdIUvt-U1Uc/edit?usp=sharing"""&amp;",""สระแก้ว!I752"")+IMPORTRANGE(""https://docs.google.com/spreadsheets/d/1xmPlrr1QbdSIKvl1dWUl9K4PjAfSL9oeMr_37QVzcxc/edit?usp=sharing"",""สระบุรี!I752"")+IMPORTRANGE(""https://docs.google.com/spreadsheets/d/1j51vR6CYVGhABJpv6tkstgok82RLpXieLzW1yOY5rHw/edi"&amp;"t?usp=sharing"",""สิงห์บุรี!I752"")+IMPORTRANGE(""https://docs.google.com/spreadsheets/d/1H1EalTWKUSzO4Z1-1CwzoDUaVffgrThEBe2sl74kKG0/edit?usp=sharing"",""สุพรรณบุรี!I752"")+IMPORTRANGE(""https://docs.google.com/spreadsheets/d/1BmIruG_sIrJLYao_Pdr7zVArWsf"&amp;"oBt2692TMi6x_854/edit?usp=sharing"",""อ่างทอง!I752"")"),5440)</f>
        <v>5440</v>
      </c>
      <c r="J752" s="292">
        <f ca="1">IFERROR(__xludf.DUMMYFUNCTION("IMPORTRANGE(""https://docs.google.com/spreadsheets/d/13wPX838HrBrQMCywv1BsuMkt4PEKTChp52zj44s2izQ/edit?usp=sharing"",""กาญจนบุรี!J752"")+IMPORTRANGE(""https://docs.google.com/spreadsheets/d/1ddFKvqj1W1NEiWytbGlB1zMx_ykJDVtmfEQ-6-lIUBA/edit?usp=sharing"","&amp;"""จันทบุรี!J752"")+IMPORTRANGE(""https://docs.google.com/spreadsheets/d/1T1PQvRODqOBZk8BRht_U031fIS1beLA0Ub2CEytj2q0/edit?usp=sharing"",""ฉะเชิงเทรา!J752"")+IMPORTRANGE(""https://docs.google.com/spreadsheets/d/11tr1B-Bhyr79v2bkwVh5h_fR-PStkgjlZtkrZpYurG0/"&amp;"edit?usp=sharing"",""ชลบุรี!J752"")+IMPORTRANGE(""https://docs.google.com/spreadsheets/d/1hh-FVnSX0vozXhGluamEcS54Dw9_zqW0N7qJUWgJ0Sw/edit?usp=sharing"",""ชัยนาท!J752"")+IMPORTRANGE(""https://docs.google.com/spreadsheets/d/1jkqa6GXxSacMcY1eN8AHjMNJ_7dDXMJ"&amp;"VRLDlaFSOdPM/edit?usp=sharing"",""ตราด!J752"")+IMPORTRANGE(""https://docs.google.com/spreadsheets/d/18hSgUJ3VwClqi_qtULmmW3cLr0oe3OKaSYoKzdpTsYQ/edit?usp=sharing"",""นครนายก!J752"")+IMPORTRANGE(""https://docs.google.com/spreadsheets/d/1YTZo6WM2dQ6Ix6FSdnL"&amp;"5P7uVnVKu40sxZu975tgG10E/edit?usp=sharing"",""นครปฐม!J752"")+IMPORTRANGE(""https://docs.google.com/spreadsheets/d/1OYoGg4WDg5RIzwGeB10padOxJF9E_Vljuvvct_M7RDo/edit?usp=sharing"",""ปทุมธานี!J752"")+IMPORTRANGE(""https://docs.google.com/spreadsheets/d/1GbCI"&amp;"E4D4wk9FUozzqk7SxfDMxDVBwVmI5zcaVUSzKAc/edit?usp=sharing"",""ประจวบคีรีขันธ์!J752"")+IMPORTRANGE(""https://docs.google.com/spreadsheets/d/1vVf6wykvW_lAyu7Yo9L4hUTqHqIeP_qcVuxCtosJEbg/edit?usp=sharing"",""ปราจีนบุรี!J752"")+IMPORTRANGE(""https://docs.googl"&amp;"e.com/spreadsheets/d/1BIDqLLg5jk3v59G8NlR8rk5xfQDKne0sAvZHSj7TI6I/edit?usp=sharing"",""พระนครศรีอยุธยา!J752"")+IMPORTRANGE(""https://docs.google.com/spreadsheets/d/1YXvxf8Yu6_rV4hTBrwMqAcAnv6DfhUxh5emyM3CJp_w/edit?usp=sharing"",""เพชรบุรี!J752"")+IMPORTRA"&amp;"NGE(""https://docs.google.com/spreadsheets/d/19KBlQQs7uwvsao6t2n-KvW3Ax8J8uRRfZPq1zPbXgKc/edit?usp=sharing"",""ระยอง!J752"")+IMPORTRANGE(""https://docs.google.com/spreadsheets/d/1jQ6P4QcrGM89YfqcC_PxOHGCMq5ezhucwJd8ci-NHng/edit?usp=sharing"",""ราชบุรี!J75"&amp;"2"")+IMPORTRANGE(""https://docs.google.com/spreadsheets/d/1lufeA2cfFqM-elVq2hznhDzC6Pr7wkJ9ZG_sYNGCMCU/edit?usp=sharing"",""ลพบุรี!J752"")+IMPORTRANGE(""https://docs.google.com/spreadsheets/d/10oOiF7loTyfsTkbd4MpaIm0HQ9SwB7IYHdIUvt-U1Uc/edit?usp=sharing"""&amp;",""สระแก้ว!J752"")+IMPORTRANGE(""https://docs.google.com/spreadsheets/d/1xmPlrr1QbdSIKvl1dWUl9K4PjAfSL9oeMr_37QVzcxc/edit?usp=sharing"",""สระบุรี!J752"")+IMPORTRANGE(""https://docs.google.com/spreadsheets/d/1j51vR6CYVGhABJpv6tkstgok82RLpXieLzW1yOY5rHw/edi"&amp;"t?usp=sharing"",""สิงห์บุรี!J752"")+IMPORTRANGE(""https://docs.google.com/spreadsheets/d/1H1EalTWKUSzO4Z1-1CwzoDUaVffgrThEBe2sl74kKG0/edit?usp=sharing"",""สุพรรณบุรี!J752"")+IMPORTRANGE(""https://docs.google.com/spreadsheets/d/1BmIruG_sIrJLYao_Pdr7zVArWsf"&amp;"oBt2692TMi6x_854/edit?usp=sharing"",""อ่างทอง!J752"")"),1440)</f>
        <v>1440</v>
      </c>
      <c r="K752" s="72">
        <f ca="1">IF(I752&gt;0,J752*100/I752,0)</f>
        <v>26.470588235294116</v>
      </c>
      <c r="L752" s="85"/>
      <c r="M752" s="85"/>
      <c r="N752" s="85"/>
      <c r="O752" s="85"/>
      <c r="P752" s="85"/>
      <c r="Q752" s="84"/>
      <c r="R752" s="85"/>
      <c r="S752" s="85"/>
      <c r="T752" s="85"/>
      <c r="U752" s="85"/>
    </row>
    <row r="753" spans="1:21" ht="18.75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f ca="1">IFERROR(__xludf.DUMMYFUNCTION("IMPORTRANGE(""https://docs.google.com/spreadsheets/d/13wPX838HrBrQMCywv1BsuMkt4PEKTChp52zj44s2izQ/edit?usp=sharing"",""กาญจนบุรี!J753"")+IMPORTRANGE(""https://docs.google.com/spreadsheets/d/1ddFKvqj1W1NEiWytbGlB1zMx_ykJDVtmfEQ-6-lIUBA/edit?usp=sharing"","&amp;"""จันทบุรี!J753"")+IMPORTRANGE(""https://docs.google.com/spreadsheets/d/1T1PQvRODqOBZk8BRht_U031fIS1beLA0Ub2CEytj2q0/edit?usp=sharing"",""ฉะเชิงเทรา!J753"")+IMPORTRANGE(""https://docs.google.com/spreadsheets/d/11tr1B-Bhyr79v2bkwVh5h_fR-PStkgjlZtkrZpYurG0/"&amp;"edit?usp=sharing"",""ชลบุรี!J753"")+IMPORTRANGE(""https://docs.google.com/spreadsheets/d/1hh-FVnSX0vozXhGluamEcS54Dw9_zqW0N7qJUWgJ0Sw/edit?usp=sharing"",""ชัยนาท!J753"")+IMPORTRANGE(""https://docs.google.com/spreadsheets/d/1jkqa6GXxSacMcY1eN8AHjMNJ_7dDXMJ"&amp;"VRLDlaFSOdPM/edit?usp=sharing"",""ตราด!J753"")+IMPORTRANGE(""https://docs.google.com/spreadsheets/d/18hSgUJ3VwClqi_qtULmmW3cLr0oe3OKaSYoKzdpTsYQ/edit?usp=sharing"",""นครนายก!J753"")+IMPORTRANGE(""https://docs.google.com/spreadsheets/d/1YTZo6WM2dQ6Ix6FSdnL"&amp;"5P7uVnVKu40sxZu975tgG10E/edit?usp=sharing"",""นครปฐม!J753"")+IMPORTRANGE(""https://docs.google.com/spreadsheets/d/1OYoGg4WDg5RIzwGeB10padOxJF9E_Vljuvvct_M7RDo/edit?usp=sharing"",""ปทุมธานี!J753"")+IMPORTRANGE(""https://docs.google.com/spreadsheets/d/1GbCI"&amp;"E4D4wk9FUozzqk7SxfDMxDVBwVmI5zcaVUSzKAc/edit?usp=sharing"",""ประจวบคีรีขันธ์!J753"")+IMPORTRANGE(""https://docs.google.com/spreadsheets/d/1vVf6wykvW_lAyu7Yo9L4hUTqHqIeP_qcVuxCtosJEbg/edit?usp=sharing"",""ปราจีนบุรี!J753"")+IMPORTRANGE(""https://docs.googl"&amp;"e.com/spreadsheets/d/1BIDqLLg5jk3v59G8NlR8rk5xfQDKne0sAvZHSj7TI6I/edit?usp=sharing"",""พระนครศรีอยุธยา!J753"")+IMPORTRANGE(""https://docs.google.com/spreadsheets/d/1YXvxf8Yu6_rV4hTBrwMqAcAnv6DfhUxh5emyM3CJp_w/edit?usp=sharing"",""เพชรบุรี!J753"")+IMPORTRA"&amp;"NGE(""https://docs.google.com/spreadsheets/d/19KBlQQs7uwvsao6t2n-KvW3Ax8J8uRRfZPq1zPbXgKc/edit?usp=sharing"",""ระยอง!J753"")+IMPORTRANGE(""https://docs.google.com/spreadsheets/d/1jQ6P4QcrGM89YfqcC_PxOHGCMq5ezhucwJd8ci-NHng/edit?usp=sharing"",""ราชบุรี!J75"&amp;"3"")+IMPORTRANGE(""https://docs.google.com/spreadsheets/d/1lufeA2cfFqM-elVq2hznhDzC6Pr7wkJ9ZG_sYNGCMCU/edit?usp=sharing"",""ลพบุรี!J753"")+IMPORTRANGE(""https://docs.google.com/spreadsheets/d/10oOiF7loTyfsTkbd4MpaIm0HQ9SwB7IYHdIUvt-U1Uc/edit?usp=sharing"""&amp;",""สระแก้ว!J753"")+IMPORTRANGE(""https://docs.google.com/spreadsheets/d/1xmPlrr1QbdSIKvl1dWUl9K4PjAfSL9oeMr_37QVzcxc/edit?usp=sharing"",""สระบุรี!J753"")+IMPORTRANGE(""https://docs.google.com/spreadsheets/d/1j51vR6CYVGhABJpv6tkstgok82RLpXieLzW1yOY5rHw/edi"&amp;"t?usp=sharing"",""สิงห์บุรี!J753"")+IMPORTRANGE(""https://docs.google.com/spreadsheets/d/1H1EalTWKUSzO4Z1-1CwzoDUaVffgrThEBe2sl74kKG0/edit?usp=sharing"",""สุพรรณบุรี!J753"")+IMPORTRANGE(""https://docs.google.com/spreadsheets/d/1BmIruG_sIrJLYao_Pdr7zVArWsf"&amp;"oBt2692TMi6x_854/edit?usp=sharing"",""อ่างทอง!J753"")"),140)</f>
        <v>140</v>
      </c>
      <c r="K753" s="85"/>
      <c r="L753" s="85"/>
      <c r="M753" s="85"/>
      <c r="N753" s="85"/>
      <c r="O753" s="85"/>
      <c r="P753" s="85"/>
      <c r="Q753" s="84"/>
      <c r="R753" s="85"/>
      <c r="S753" s="85"/>
      <c r="T753" s="85"/>
      <c r="U753" s="85"/>
    </row>
    <row r="754" spans="1:21" ht="18.75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5"/>
      <c r="M754" s="85"/>
      <c r="N754" s="85"/>
      <c r="O754" s="85"/>
      <c r="P754" s="85"/>
      <c r="Q754" s="84"/>
      <c r="R754" s="85"/>
      <c r="S754" s="85"/>
      <c r="T754" s="85"/>
      <c r="U754" s="85"/>
    </row>
    <row r="755" spans="1:21" ht="18.75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13wPX838HrBrQMCywv1BsuMkt4PEKTChp52zj44s2izQ/edit?usp=sharing"",""กาญจนบุรี!I755"")+IMPORTRANGE(""https://docs.google.com/spreadsheets/d/1ddFKvqj1W1NEiWytbGlB1zMx_ykJDVtmfEQ-6-lIUBA/edit?usp=sharing"","&amp;"""จันทบุรี!I755"")+IMPORTRANGE(""https://docs.google.com/spreadsheets/d/1T1PQvRODqOBZk8BRht_U031fIS1beLA0Ub2CEytj2q0/edit?usp=sharing"",""ฉะเชิงเทรา!I755"")+IMPORTRANGE(""https://docs.google.com/spreadsheets/d/11tr1B-Bhyr79v2bkwVh5h_fR-PStkgjlZtkrZpYurG0/"&amp;"edit?usp=sharing"",""ชลบุรี!I755"")+IMPORTRANGE(""https://docs.google.com/spreadsheets/d/1hh-FVnSX0vozXhGluamEcS54Dw9_zqW0N7qJUWgJ0Sw/edit?usp=sharing"",""ชัยนาท!I755"")+IMPORTRANGE(""https://docs.google.com/spreadsheets/d/1jkqa6GXxSacMcY1eN8AHjMNJ_7dDXMJ"&amp;"VRLDlaFSOdPM/edit?usp=sharing"",""ตราด!I755"")+IMPORTRANGE(""https://docs.google.com/spreadsheets/d/18hSgUJ3VwClqi_qtULmmW3cLr0oe3OKaSYoKzdpTsYQ/edit?usp=sharing"",""นครนายก!I755"")+IMPORTRANGE(""https://docs.google.com/spreadsheets/d/1YTZo6WM2dQ6Ix6FSdnL"&amp;"5P7uVnVKu40sxZu975tgG10E/edit?usp=sharing"",""นครปฐม!I755"")+IMPORTRANGE(""https://docs.google.com/spreadsheets/d/1OYoGg4WDg5RIzwGeB10padOxJF9E_Vljuvvct_M7RDo/edit?usp=sharing"",""ปทุมธานี!I755"")+IMPORTRANGE(""https://docs.google.com/spreadsheets/d/1GbCI"&amp;"E4D4wk9FUozzqk7SxfDMxDVBwVmI5zcaVUSzKAc/edit?usp=sharing"",""ประจวบคีรีขันธ์!I755"")+IMPORTRANGE(""https://docs.google.com/spreadsheets/d/1vVf6wykvW_lAyu7Yo9L4hUTqHqIeP_qcVuxCtosJEbg/edit?usp=sharing"",""ปราจีนบุรี!I755"")+IMPORTRANGE(""https://docs.googl"&amp;"e.com/spreadsheets/d/1BIDqLLg5jk3v59G8NlR8rk5xfQDKne0sAvZHSj7TI6I/edit?usp=sharing"",""พระนครศรีอยุธยา!I755"")+IMPORTRANGE(""https://docs.google.com/spreadsheets/d/1YXvxf8Yu6_rV4hTBrwMqAcAnv6DfhUxh5emyM3CJp_w/edit?usp=sharing"",""เพชรบุรี!I755"")+IMPORTRA"&amp;"NGE(""https://docs.google.com/spreadsheets/d/19KBlQQs7uwvsao6t2n-KvW3Ax8J8uRRfZPq1zPbXgKc/edit?usp=sharing"",""ระยอง!I755"")+IMPORTRANGE(""https://docs.google.com/spreadsheets/d/1jQ6P4QcrGM89YfqcC_PxOHGCMq5ezhucwJd8ci-NHng/edit?usp=sharing"",""ราชบุรี!I75"&amp;"5"")+IMPORTRANGE(""https://docs.google.com/spreadsheets/d/1lufeA2cfFqM-elVq2hznhDzC6Pr7wkJ9ZG_sYNGCMCU/edit?usp=sharing"",""ลพบุรี!I755"")+IMPORTRANGE(""https://docs.google.com/spreadsheets/d/10oOiF7loTyfsTkbd4MpaIm0HQ9SwB7IYHdIUvt-U1Uc/edit?usp=sharing"""&amp;",""สระแก้ว!I755"")+IMPORTRANGE(""https://docs.google.com/spreadsheets/d/1xmPlrr1QbdSIKvl1dWUl9K4PjAfSL9oeMr_37QVzcxc/edit?usp=sharing"",""สระบุรี!I755"")+IMPORTRANGE(""https://docs.google.com/spreadsheets/d/1j51vR6CYVGhABJpv6tkstgok82RLpXieLzW1yOY5rHw/edi"&amp;"t?usp=sharing"",""สิงห์บุรี!I755"")+IMPORTRANGE(""https://docs.google.com/spreadsheets/d/1H1EalTWKUSzO4Z1-1CwzoDUaVffgrThEBe2sl74kKG0/edit?usp=sharing"",""สุพรรณบุรี!I755"")+IMPORTRANGE(""https://docs.google.com/spreadsheets/d/1BmIruG_sIrJLYao_Pdr7zVArWsf"&amp;"oBt2692TMi6x_854/edit?usp=sharing"",""อ่างทอง!I755"")"),1360)</f>
        <v>1360</v>
      </c>
      <c r="J755" s="292">
        <f ca="1">IFERROR(__xludf.DUMMYFUNCTION("IMPORTRANGE(""https://docs.google.com/spreadsheets/d/13wPX838HrBrQMCywv1BsuMkt4PEKTChp52zj44s2izQ/edit?usp=sharing"",""กาญจนบุรี!J755"")+IMPORTRANGE(""https://docs.google.com/spreadsheets/d/1ddFKvqj1W1NEiWytbGlB1zMx_ykJDVtmfEQ-6-lIUBA/edit?usp=sharing"","&amp;"""จันทบุรี!J755"")+IMPORTRANGE(""https://docs.google.com/spreadsheets/d/1T1PQvRODqOBZk8BRht_U031fIS1beLA0Ub2CEytj2q0/edit?usp=sharing"",""ฉะเชิงเทรา!J755"")+IMPORTRANGE(""https://docs.google.com/spreadsheets/d/11tr1B-Bhyr79v2bkwVh5h_fR-PStkgjlZtkrZpYurG0/"&amp;"edit?usp=sharing"",""ชลบุรี!J755"")+IMPORTRANGE(""https://docs.google.com/spreadsheets/d/1hh-FVnSX0vozXhGluamEcS54Dw9_zqW0N7qJUWgJ0Sw/edit?usp=sharing"",""ชัยนาท!J755"")+IMPORTRANGE(""https://docs.google.com/spreadsheets/d/1jkqa6GXxSacMcY1eN8AHjMNJ_7dDXMJ"&amp;"VRLDlaFSOdPM/edit?usp=sharing"",""ตราด!J755"")+IMPORTRANGE(""https://docs.google.com/spreadsheets/d/18hSgUJ3VwClqi_qtULmmW3cLr0oe3OKaSYoKzdpTsYQ/edit?usp=sharing"",""นครนายก!J755"")+IMPORTRANGE(""https://docs.google.com/spreadsheets/d/1YTZo6WM2dQ6Ix6FSdnL"&amp;"5P7uVnVKu40sxZu975tgG10E/edit?usp=sharing"",""นครปฐม!J755"")+IMPORTRANGE(""https://docs.google.com/spreadsheets/d/1OYoGg4WDg5RIzwGeB10padOxJF9E_Vljuvvct_M7RDo/edit?usp=sharing"",""ปทุมธานี!J755"")+IMPORTRANGE(""https://docs.google.com/spreadsheets/d/1GbCI"&amp;"E4D4wk9FUozzqk7SxfDMxDVBwVmI5zcaVUSzKAc/edit?usp=sharing"",""ประจวบคีรีขันธ์!J755"")+IMPORTRANGE(""https://docs.google.com/spreadsheets/d/1vVf6wykvW_lAyu7Yo9L4hUTqHqIeP_qcVuxCtosJEbg/edit?usp=sharing"",""ปราจีนบุรี!J755"")+IMPORTRANGE(""https://docs.googl"&amp;"e.com/spreadsheets/d/1BIDqLLg5jk3v59G8NlR8rk5xfQDKne0sAvZHSj7TI6I/edit?usp=sharing"",""พระนครศรีอยุธยา!J755"")+IMPORTRANGE(""https://docs.google.com/spreadsheets/d/1YXvxf8Yu6_rV4hTBrwMqAcAnv6DfhUxh5emyM3CJp_w/edit?usp=sharing"",""เพชรบุรี!J755"")+IMPORTRA"&amp;"NGE(""https://docs.google.com/spreadsheets/d/19KBlQQs7uwvsao6t2n-KvW3Ax8J8uRRfZPq1zPbXgKc/edit?usp=sharing"",""ระยอง!J755"")+IMPORTRANGE(""https://docs.google.com/spreadsheets/d/1jQ6P4QcrGM89YfqcC_PxOHGCMq5ezhucwJd8ci-NHng/edit?usp=sharing"",""ราชบุรี!J75"&amp;"5"")+IMPORTRANGE(""https://docs.google.com/spreadsheets/d/1lufeA2cfFqM-elVq2hznhDzC6Pr7wkJ9ZG_sYNGCMCU/edit?usp=sharing"",""ลพบุรี!J755"")+IMPORTRANGE(""https://docs.google.com/spreadsheets/d/10oOiF7loTyfsTkbd4MpaIm0HQ9SwB7IYHdIUvt-U1Uc/edit?usp=sharing"""&amp;",""สระแก้ว!J755"")+IMPORTRANGE(""https://docs.google.com/spreadsheets/d/1xmPlrr1QbdSIKvl1dWUl9K4PjAfSL9oeMr_37QVzcxc/edit?usp=sharing"",""สระบุรี!J755"")+IMPORTRANGE(""https://docs.google.com/spreadsheets/d/1j51vR6CYVGhABJpv6tkstgok82RLpXieLzW1yOY5rHw/edi"&amp;"t?usp=sharing"",""สิงห์บุรี!J755"")+IMPORTRANGE(""https://docs.google.com/spreadsheets/d/1H1EalTWKUSzO4Z1-1CwzoDUaVffgrThEBe2sl74kKG0/edit?usp=sharing"",""สุพรรณบุรี!J755"")+IMPORTRANGE(""https://docs.google.com/spreadsheets/d/1BmIruG_sIrJLYao_Pdr7zVArWsf"&amp;"oBt2692TMi6x_854/edit?usp=sharing"",""อ่างทอง!J755"")"),360)</f>
        <v>360</v>
      </c>
      <c r="K755" s="72">
        <f ca="1">IF(I755&gt;0,J755*100/I755,0)</f>
        <v>26.470588235294116</v>
      </c>
      <c r="L755" s="85"/>
      <c r="M755" s="85"/>
      <c r="N755" s="85"/>
      <c r="O755" s="85"/>
      <c r="P755" s="85"/>
      <c r="Q755" s="84"/>
      <c r="R755" s="85"/>
      <c r="S755" s="85"/>
      <c r="T755" s="85"/>
      <c r="U755" s="85"/>
    </row>
    <row r="756" spans="1:21" ht="18.75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f ca="1">IFERROR(__xludf.DUMMYFUNCTION("IMPORTRANGE(""https://docs.google.com/spreadsheets/d/13wPX838HrBrQMCywv1BsuMkt4PEKTChp52zj44s2izQ/edit?usp=sharing"",""กาญจนบุรี!J756"")+IMPORTRANGE(""https://docs.google.com/spreadsheets/d/1ddFKvqj1W1NEiWytbGlB1zMx_ykJDVtmfEQ-6-lIUBA/edit?usp=sharing"","&amp;"""จันทบุรี!J756"")+IMPORTRANGE(""https://docs.google.com/spreadsheets/d/1T1PQvRODqOBZk8BRht_U031fIS1beLA0Ub2CEytj2q0/edit?usp=sharing"",""ฉะเชิงเทรา!J756"")+IMPORTRANGE(""https://docs.google.com/spreadsheets/d/11tr1B-Bhyr79v2bkwVh5h_fR-PStkgjlZtkrZpYurG0/"&amp;"edit?usp=sharing"",""ชลบุรี!J756"")+IMPORTRANGE(""https://docs.google.com/spreadsheets/d/1hh-FVnSX0vozXhGluamEcS54Dw9_zqW0N7qJUWgJ0Sw/edit?usp=sharing"",""ชัยนาท!J756"")+IMPORTRANGE(""https://docs.google.com/spreadsheets/d/1jkqa6GXxSacMcY1eN8AHjMNJ_7dDXMJ"&amp;"VRLDlaFSOdPM/edit?usp=sharing"",""ตราด!J756"")+IMPORTRANGE(""https://docs.google.com/spreadsheets/d/18hSgUJ3VwClqi_qtULmmW3cLr0oe3OKaSYoKzdpTsYQ/edit?usp=sharing"",""นครนายก!J756"")+IMPORTRANGE(""https://docs.google.com/spreadsheets/d/1YTZo6WM2dQ6Ix6FSdnL"&amp;"5P7uVnVKu40sxZu975tgG10E/edit?usp=sharing"",""นครปฐม!J756"")+IMPORTRANGE(""https://docs.google.com/spreadsheets/d/1OYoGg4WDg5RIzwGeB10padOxJF9E_Vljuvvct_M7RDo/edit?usp=sharing"",""ปทุมธานี!J756"")+IMPORTRANGE(""https://docs.google.com/spreadsheets/d/1GbCI"&amp;"E4D4wk9FUozzqk7SxfDMxDVBwVmI5zcaVUSzKAc/edit?usp=sharing"",""ประจวบคีรีขันธ์!J756"")+IMPORTRANGE(""https://docs.google.com/spreadsheets/d/1vVf6wykvW_lAyu7Yo9L4hUTqHqIeP_qcVuxCtosJEbg/edit?usp=sharing"",""ปราจีนบุรี!J756"")+IMPORTRANGE(""https://docs.googl"&amp;"e.com/spreadsheets/d/1BIDqLLg5jk3v59G8NlR8rk5xfQDKne0sAvZHSj7TI6I/edit?usp=sharing"",""พระนครศรีอยุธยา!J756"")+IMPORTRANGE(""https://docs.google.com/spreadsheets/d/1YXvxf8Yu6_rV4hTBrwMqAcAnv6DfhUxh5emyM3CJp_w/edit?usp=sharing"",""เพชรบุรี!J756"")+IMPORTRA"&amp;"NGE(""https://docs.google.com/spreadsheets/d/19KBlQQs7uwvsao6t2n-KvW3Ax8J8uRRfZPq1zPbXgKc/edit?usp=sharing"",""ระยอง!J756"")+IMPORTRANGE(""https://docs.google.com/spreadsheets/d/1jQ6P4QcrGM89YfqcC_PxOHGCMq5ezhucwJd8ci-NHng/edit?usp=sharing"",""ราชบุรี!J75"&amp;"6"")+IMPORTRANGE(""https://docs.google.com/spreadsheets/d/1lufeA2cfFqM-elVq2hznhDzC6Pr7wkJ9ZG_sYNGCMCU/edit?usp=sharing"",""ลพบุรี!J756"")+IMPORTRANGE(""https://docs.google.com/spreadsheets/d/10oOiF7loTyfsTkbd4MpaIm0HQ9SwB7IYHdIUvt-U1Uc/edit?usp=sharing"""&amp;",""สระแก้ว!J756"")+IMPORTRANGE(""https://docs.google.com/spreadsheets/d/1xmPlrr1QbdSIKvl1dWUl9K4PjAfSL9oeMr_37QVzcxc/edit?usp=sharing"",""สระบุรี!J756"")+IMPORTRANGE(""https://docs.google.com/spreadsheets/d/1j51vR6CYVGhABJpv6tkstgok82RLpXieLzW1yOY5rHw/edi"&amp;"t?usp=sharing"",""สิงห์บุรี!J756"")+IMPORTRANGE(""https://docs.google.com/spreadsheets/d/1H1EalTWKUSzO4Z1-1CwzoDUaVffgrThEBe2sl74kKG0/edit?usp=sharing"",""สุพรรณบุรี!J756"")+IMPORTRANGE(""https://docs.google.com/spreadsheets/d/1BmIruG_sIrJLYao_Pdr7zVArWsf"&amp;"oBt2692TMi6x_854/edit?usp=sharing"",""อ่างทอง!J756"")"),251)</f>
        <v>251</v>
      </c>
      <c r="K756" s="85"/>
      <c r="L756" s="85"/>
      <c r="M756" s="85"/>
      <c r="N756" s="85"/>
      <c r="O756" s="85"/>
      <c r="P756" s="85"/>
      <c r="Q756" s="84"/>
      <c r="R756" s="85"/>
      <c r="S756" s="85"/>
      <c r="T756" s="85"/>
      <c r="U756" s="85"/>
    </row>
    <row r="757" spans="1:21" ht="18.75" x14ac:dyDescent="0.25">
      <c r="A757" s="764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f ca="1">IFERROR(__xludf.DUMMYFUNCTION("IMPORTRANGE(""https://docs.google.com/spreadsheets/d/13wPX838HrBrQMCywv1BsuMkt4PEKTChp52zj44s2izQ/edit?usp=sharing"",""กาญจนบุรี!J757"")+IMPORTRANGE(""https://docs.google.com/spreadsheets/d/1ddFKvqj1W1NEiWytbGlB1zMx_ykJDVtmfEQ-6-lIUBA/edit?usp=sharing"","&amp;"""จันทบุรี!J757"")+IMPORTRANGE(""https://docs.google.com/spreadsheets/d/1T1PQvRODqOBZk8BRht_U031fIS1beLA0Ub2CEytj2q0/edit?usp=sharing"",""ฉะเชิงเทรา!J757"")+IMPORTRANGE(""https://docs.google.com/spreadsheets/d/11tr1B-Bhyr79v2bkwVh5h_fR-PStkgjlZtkrZpYurG0/"&amp;"edit?usp=sharing"",""ชลบุรี!J757"")+IMPORTRANGE(""https://docs.google.com/spreadsheets/d/1hh-FVnSX0vozXhGluamEcS54Dw9_zqW0N7qJUWgJ0Sw/edit?usp=sharing"",""ชัยนาท!J757"")+IMPORTRANGE(""https://docs.google.com/spreadsheets/d/1jkqa6GXxSacMcY1eN8AHjMNJ_7dDXMJ"&amp;"VRLDlaFSOdPM/edit?usp=sharing"",""ตราด!J757"")+IMPORTRANGE(""https://docs.google.com/spreadsheets/d/18hSgUJ3VwClqi_qtULmmW3cLr0oe3OKaSYoKzdpTsYQ/edit?usp=sharing"",""นครนายก!J757"")+IMPORTRANGE(""https://docs.google.com/spreadsheets/d/1YTZo6WM2dQ6Ix6FSdnL"&amp;"5P7uVnVKu40sxZu975tgG10E/edit?usp=sharing"",""นครปฐม!J757"")+IMPORTRANGE(""https://docs.google.com/spreadsheets/d/1OYoGg4WDg5RIzwGeB10padOxJF9E_Vljuvvct_M7RDo/edit?usp=sharing"",""ปทุมธานี!J757"")+IMPORTRANGE(""https://docs.google.com/spreadsheets/d/1GbCI"&amp;"E4D4wk9FUozzqk7SxfDMxDVBwVmI5zcaVUSzKAc/edit?usp=sharing"",""ประจวบคีรีขันธ์!J757"")+IMPORTRANGE(""https://docs.google.com/spreadsheets/d/1vVf6wykvW_lAyu7Yo9L4hUTqHqIeP_qcVuxCtosJEbg/edit?usp=sharing"",""ปราจีนบุรี!J757"")+IMPORTRANGE(""https://docs.googl"&amp;"e.com/spreadsheets/d/1BIDqLLg5jk3v59G8NlR8rk5xfQDKne0sAvZHSj7TI6I/edit?usp=sharing"",""พระนครศรีอยุธยา!J757"")+IMPORTRANGE(""https://docs.google.com/spreadsheets/d/1YXvxf8Yu6_rV4hTBrwMqAcAnv6DfhUxh5emyM3CJp_w/edit?usp=sharing"",""เพชรบุรี!J757"")+IMPORTRA"&amp;"NGE(""https://docs.google.com/spreadsheets/d/19KBlQQs7uwvsao6t2n-KvW3Ax8J8uRRfZPq1zPbXgKc/edit?usp=sharing"",""ระยอง!J757"")+IMPORTRANGE(""https://docs.google.com/spreadsheets/d/1jQ6P4QcrGM89YfqcC_PxOHGCMq5ezhucwJd8ci-NHng/edit?usp=sharing"",""ราชบุรี!J75"&amp;"7"")+IMPORTRANGE(""https://docs.google.com/spreadsheets/d/1lufeA2cfFqM-elVq2hznhDzC6Pr7wkJ9ZG_sYNGCMCU/edit?usp=sharing"",""ลพบุรี!J757"")+IMPORTRANGE(""https://docs.google.com/spreadsheets/d/10oOiF7loTyfsTkbd4MpaIm0HQ9SwB7IYHdIUvt-U1Uc/edit?usp=sharing"""&amp;",""สระแก้ว!J757"")+IMPORTRANGE(""https://docs.google.com/spreadsheets/d/1xmPlrr1QbdSIKvl1dWUl9K4PjAfSL9oeMr_37QVzcxc/edit?usp=sharing"",""สระบุรี!J757"")+IMPORTRANGE(""https://docs.google.com/spreadsheets/d/1j51vR6CYVGhABJpv6tkstgok82RLpXieLzW1yOY5rHw/edi"&amp;"t?usp=sharing"",""สิงห์บุรี!J757"")+IMPORTRANGE(""https://docs.google.com/spreadsheets/d/1H1EalTWKUSzO4Z1-1CwzoDUaVffgrThEBe2sl74kKG0/edit?usp=sharing"",""สุพรรณบุรี!J757"")+IMPORTRANGE(""https://docs.google.com/spreadsheets/d/1BmIruG_sIrJLYao_Pdr7zVArWsf"&amp;"oBt2692TMi6x_854/edit?usp=sharing"",""อ่างทอง!J757"")"),6)</f>
        <v>6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06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t="shared" ref="I758:J758" ca="1" si="510">I772</f>
        <v>425</v>
      </c>
      <c r="J758" s="743">
        <f t="shared" ca="1" si="510"/>
        <v>335</v>
      </c>
      <c r="K758" s="744">
        <f t="shared" ref="K758:K759" ca="1" si="511">IF(I758&gt;0,J758*100/I758,0)</f>
        <v>78.82352941176471</v>
      </c>
      <c r="L758" s="712"/>
      <c r="M758" s="712"/>
      <c r="N758" s="712"/>
      <c r="O758" s="712"/>
      <c r="P758" s="712"/>
      <c r="Q758" s="713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t="shared" ref="I759:J759" ca="1" si="512">I774</f>
        <v>885</v>
      </c>
      <c r="J759" s="743">
        <f t="shared" ca="1" si="512"/>
        <v>670</v>
      </c>
      <c r="K759" s="744">
        <f t="shared" ca="1" si="511"/>
        <v>75.706214689265536</v>
      </c>
      <c r="L759" s="712"/>
      <c r="M759" s="712"/>
      <c r="N759" s="712"/>
      <c r="O759" s="712"/>
      <c r="P759" s="712"/>
      <c r="Q759" s="713"/>
      <c r="R759" s="712"/>
      <c r="S759" s="712"/>
      <c r="T759" s="712"/>
      <c r="U759" s="712"/>
    </row>
    <row r="760" spans="1:21" ht="19.5" x14ac:dyDescent="0.3">
      <c r="A760" s="255"/>
      <c r="B760" s="267"/>
      <c r="C760" s="304" t="s">
        <v>18</v>
      </c>
      <c r="D760" s="1403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262">
        <f t="shared" ref="L760:N760" ca="1" si="513">L761+L762</f>
        <v>0</v>
      </c>
      <c r="M760" s="262">
        <f t="shared" ca="1" si="513"/>
        <v>0</v>
      </c>
      <c r="N760" s="262">
        <f t="shared" ca="1" si="513"/>
        <v>0</v>
      </c>
      <c r="O760" s="262">
        <f t="shared" ref="O760:O768" ca="1" si="514">IF(L760&gt;0,N760*100/L760,0)</f>
        <v>0</v>
      </c>
      <c r="P760" s="262">
        <f t="shared" ref="P760:P768" ca="1" si="515">IF(M760&gt;0,N760*100/M760,0)</f>
        <v>0</v>
      </c>
      <c r="Q760" s="212">
        <f t="shared" ref="Q760:S760" ca="1" si="516">Q761+Q762</f>
        <v>3121330</v>
      </c>
      <c r="R760" s="213">
        <f t="shared" ca="1" si="516"/>
        <v>3121330</v>
      </c>
      <c r="S760" s="213">
        <f t="shared" ca="1" si="516"/>
        <v>1922088.34</v>
      </c>
      <c r="T760" s="213">
        <f t="shared" ref="T760:T768" ca="1" si="517">IF(Q760&gt;0,S760*100/Q760,0)</f>
        <v>61.579145428391101</v>
      </c>
      <c r="U760" s="213">
        <f t="shared" ref="U760:U768" ca="1" si="518">IF(R760&gt;0,S760*100/R760,0)</f>
        <v>61.579145428391101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5">
        <f t="shared" ref="L761:N761" ca="1" si="519">L764+L767</f>
        <v>0</v>
      </c>
      <c r="M761" s="75">
        <f t="shared" ca="1" si="519"/>
        <v>0</v>
      </c>
      <c r="N761" s="75">
        <f t="shared" ca="1" si="519"/>
        <v>0</v>
      </c>
      <c r="O761" s="75">
        <f t="shared" ca="1" si="514"/>
        <v>0</v>
      </c>
      <c r="P761" s="75">
        <f t="shared" ca="1" si="515"/>
        <v>0</v>
      </c>
      <c r="Q761" s="215">
        <f t="shared" ref="Q761:S761" ca="1" si="520">Q764+Q767</f>
        <v>0</v>
      </c>
      <c r="R761" s="131">
        <f t="shared" ca="1" si="520"/>
        <v>0</v>
      </c>
      <c r="S761" s="131">
        <f t="shared" ca="1" si="520"/>
        <v>0</v>
      </c>
      <c r="T761" s="131">
        <f t="shared" ca="1" si="517"/>
        <v>0</v>
      </c>
      <c r="U761" s="131">
        <f t="shared" ca="1" si="518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2">
        <f t="shared" ref="L762:N762" ca="1" si="521">L765+L768</f>
        <v>0</v>
      </c>
      <c r="M762" s="72">
        <f t="shared" ca="1" si="521"/>
        <v>0</v>
      </c>
      <c r="N762" s="72">
        <f t="shared" ca="1" si="521"/>
        <v>0</v>
      </c>
      <c r="O762" s="72">
        <f t="shared" ca="1" si="514"/>
        <v>0</v>
      </c>
      <c r="P762" s="72">
        <f t="shared" ca="1" si="515"/>
        <v>0</v>
      </c>
      <c r="Q762" s="129">
        <f t="shared" ref="Q762:S762" ca="1" si="522">Q765+Q768</f>
        <v>3121330</v>
      </c>
      <c r="R762" s="130">
        <f t="shared" ca="1" si="522"/>
        <v>3121330</v>
      </c>
      <c r="S762" s="130">
        <f t="shared" ca="1" si="522"/>
        <v>1922088.34</v>
      </c>
      <c r="T762" s="130">
        <f t="shared" ca="1" si="517"/>
        <v>61.579145428391101</v>
      </c>
      <c r="U762" s="130">
        <f t="shared" ca="1" si="518"/>
        <v>61.579145428391101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 t="shared" ref="L763:N763" ca="1" si="523">L764+L765</f>
        <v>0</v>
      </c>
      <c r="M763" s="72">
        <f t="shared" ca="1" si="523"/>
        <v>0</v>
      </c>
      <c r="N763" s="72">
        <f t="shared" ca="1" si="523"/>
        <v>0</v>
      </c>
      <c r="O763" s="72">
        <f t="shared" ca="1" si="514"/>
        <v>0</v>
      </c>
      <c r="P763" s="72">
        <f t="shared" ca="1" si="515"/>
        <v>0</v>
      </c>
      <c r="Q763" s="129">
        <f t="shared" ref="Q763:S763" ca="1" si="524">Q764+Q765</f>
        <v>3121330</v>
      </c>
      <c r="R763" s="130">
        <f t="shared" ca="1" si="524"/>
        <v>3121330</v>
      </c>
      <c r="S763" s="130">
        <f t="shared" ca="1" si="524"/>
        <v>1922088.34</v>
      </c>
      <c r="T763" s="130">
        <f t="shared" ca="1" si="517"/>
        <v>61.579145428391101</v>
      </c>
      <c r="U763" s="130">
        <f t="shared" ca="1" si="518"/>
        <v>61.579145428391101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5">
        <f ca="1">IFERROR(__xludf.DUMMYFUNCTION("IMPORTRANGE(""https://docs.google.com/spreadsheets/d/13wPX838HrBrQMCywv1BsuMkt4PEKTChp52zj44s2izQ/edit?usp=sharing"",""กาญจนบุรี!L764"")+IMPORTRANGE(""https://docs.google.com/spreadsheets/d/1ddFKvqj1W1NEiWytbGlB1zMx_ykJDVtmfEQ-6-lIUBA/edit?usp=sharing"","&amp;"""จันทบุรี!L764"")+IMPORTRANGE(""https://docs.google.com/spreadsheets/d/1T1PQvRODqOBZk8BRht_U031fIS1beLA0Ub2CEytj2q0/edit?usp=sharing"",""ฉะเชิงเทรา!L764"")+IMPORTRANGE(""https://docs.google.com/spreadsheets/d/11tr1B-Bhyr79v2bkwVh5h_fR-PStkgjlZtkrZpYurG0/"&amp;"edit?usp=sharing"",""ชลบุรี!L764"")+IMPORTRANGE(""https://docs.google.com/spreadsheets/d/1hh-FVnSX0vozXhGluamEcS54Dw9_zqW0N7qJUWgJ0Sw/edit?usp=sharing"",""ชัยนาท!L764"")+IMPORTRANGE(""https://docs.google.com/spreadsheets/d/1jkqa6GXxSacMcY1eN8AHjMNJ_7dDXMJ"&amp;"VRLDlaFSOdPM/edit?usp=sharing"",""ตราด!L764"")+IMPORTRANGE(""https://docs.google.com/spreadsheets/d/18hSgUJ3VwClqi_qtULmmW3cLr0oe3OKaSYoKzdpTsYQ/edit?usp=sharing"",""นครนายก!L764"")+IMPORTRANGE(""https://docs.google.com/spreadsheets/d/1YTZo6WM2dQ6Ix6FSdnL"&amp;"5P7uVnVKu40sxZu975tgG10E/edit?usp=sharing"",""นครปฐม!L764"")+IMPORTRANGE(""https://docs.google.com/spreadsheets/d/1OYoGg4WDg5RIzwGeB10padOxJF9E_Vljuvvct_M7RDo/edit?usp=sharing"",""ปทุมธานี!L764"")+IMPORTRANGE(""https://docs.google.com/spreadsheets/d/1GbCI"&amp;"E4D4wk9FUozzqk7SxfDMxDVBwVmI5zcaVUSzKAc/edit?usp=sharing"",""ประจวบคีรีขันธ์!L764"")+IMPORTRANGE(""https://docs.google.com/spreadsheets/d/1vVf6wykvW_lAyu7Yo9L4hUTqHqIeP_qcVuxCtosJEbg/edit?usp=sharing"",""ปราจีนบุรี!L764"")+IMPORTRANGE(""https://docs.googl"&amp;"e.com/spreadsheets/d/1BIDqLLg5jk3v59G8NlR8rk5xfQDKne0sAvZHSj7TI6I/edit?usp=sharing"",""พระนครศรีอยุธยา!L764"")+IMPORTRANGE(""https://docs.google.com/spreadsheets/d/1YXvxf8Yu6_rV4hTBrwMqAcAnv6DfhUxh5emyM3CJp_w/edit?usp=sharing"",""เพชรบุรี!L764"")+IMPORTRA"&amp;"NGE(""https://docs.google.com/spreadsheets/d/19KBlQQs7uwvsao6t2n-KvW3Ax8J8uRRfZPq1zPbXgKc/edit?usp=sharing"",""ระยอง!L764"")+IMPORTRANGE(""https://docs.google.com/spreadsheets/d/1jQ6P4QcrGM89YfqcC_PxOHGCMq5ezhucwJd8ci-NHng/edit?usp=sharing"",""ราชบุรี!L76"&amp;"4"")+IMPORTRANGE(""https://docs.google.com/spreadsheets/d/1lufeA2cfFqM-elVq2hznhDzC6Pr7wkJ9ZG_sYNGCMCU/edit?usp=sharing"",""ลพบุรี!L764"")+IMPORTRANGE(""https://docs.google.com/spreadsheets/d/10oOiF7loTyfsTkbd4MpaIm0HQ9SwB7IYHdIUvt-U1Uc/edit?usp=sharing"""&amp;",""สระแก้ว!L764"")+IMPORTRANGE(""https://docs.google.com/spreadsheets/d/1xmPlrr1QbdSIKvl1dWUl9K4PjAfSL9oeMr_37QVzcxc/edit?usp=sharing"",""สระบุรี!L764"")+IMPORTRANGE(""https://docs.google.com/spreadsheets/d/1j51vR6CYVGhABJpv6tkstgok82RLpXieLzW1yOY5rHw/edi"&amp;"t?usp=sharing"",""สิงห์บุรี!L764"")+IMPORTRANGE(""https://docs.google.com/spreadsheets/d/1H1EalTWKUSzO4Z1-1CwzoDUaVffgrThEBe2sl74kKG0/edit?usp=sharing"",""สุพรรณบุรี!L764"")+IMPORTRANGE(""https://docs.google.com/spreadsheets/d/1BmIruG_sIrJLYao_Pdr7zVArWsf"&amp;"oBt2692TMi6x_854/edit?usp=sharing"",""อ่างทอง!L764"")"),0)</f>
        <v>0</v>
      </c>
      <c r="M764" s="75">
        <f ca="1">IFERROR(__xludf.DUMMYFUNCTION("IMPORTRANGE(""https://docs.google.com/spreadsheets/d/13wPX838HrBrQMCywv1BsuMkt4PEKTChp52zj44s2izQ/edit?usp=sharing"",""กาญจนบุรี!M764"")+IMPORTRANGE(""https://docs.google.com/spreadsheets/d/1ddFKvqj1W1NEiWytbGlB1zMx_ykJDVtmfEQ-6-lIUBA/edit?usp=sharing"","&amp;"""จันทบุรี!M764"")+IMPORTRANGE(""https://docs.google.com/spreadsheets/d/1T1PQvRODqOBZk8BRht_U031fIS1beLA0Ub2CEytj2q0/edit?usp=sharing"",""ฉะเชิงเทรา!M764"")+IMPORTRANGE(""https://docs.google.com/spreadsheets/d/11tr1B-Bhyr79v2bkwVh5h_fR-PStkgjlZtkrZpYurG0/"&amp;"edit?usp=sharing"",""ชลบุรี!M764"")+IMPORTRANGE(""https://docs.google.com/spreadsheets/d/1hh-FVnSX0vozXhGluamEcS54Dw9_zqW0N7qJUWgJ0Sw/edit?usp=sharing"",""ชัยนาท!M764"")+IMPORTRANGE(""https://docs.google.com/spreadsheets/d/1jkqa6GXxSacMcY1eN8AHjMNJ_7dDXMJ"&amp;"VRLDlaFSOdPM/edit?usp=sharing"",""ตราด!M764"")+IMPORTRANGE(""https://docs.google.com/spreadsheets/d/18hSgUJ3VwClqi_qtULmmW3cLr0oe3OKaSYoKzdpTsYQ/edit?usp=sharing"",""นครนายก!M764"")+IMPORTRANGE(""https://docs.google.com/spreadsheets/d/1YTZo6WM2dQ6Ix6FSdnL"&amp;"5P7uVnVKu40sxZu975tgG10E/edit?usp=sharing"",""นครปฐม!M764"")+IMPORTRANGE(""https://docs.google.com/spreadsheets/d/1OYoGg4WDg5RIzwGeB10padOxJF9E_Vljuvvct_M7RDo/edit?usp=sharing"",""ปทุมธานี!M764"")+IMPORTRANGE(""https://docs.google.com/spreadsheets/d/1GbCI"&amp;"E4D4wk9FUozzqk7SxfDMxDVBwVmI5zcaVUSzKAc/edit?usp=sharing"",""ประจวบคีรีขันธ์!M764"")+IMPORTRANGE(""https://docs.google.com/spreadsheets/d/1vVf6wykvW_lAyu7Yo9L4hUTqHqIeP_qcVuxCtosJEbg/edit?usp=sharing"",""ปราจีนบุรี!M764"")+IMPORTRANGE(""https://docs.googl"&amp;"e.com/spreadsheets/d/1BIDqLLg5jk3v59G8NlR8rk5xfQDKne0sAvZHSj7TI6I/edit?usp=sharing"",""พระนครศรีอยุธยา!M764"")+IMPORTRANGE(""https://docs.google.com/spreadsheets/d/1YXvxf8Yu6_rV4hTBrwMqAcAnv6DfhUxh5emyM3CJp_w/edit?usp=sharing"",""เพชรบุรี!M764"")+IMPORTRA"&amp;"NGE(""https://docs.google.com/spreadsheets/d/19KBlQQs7uwvsao6t2n-KvW3Ax8J8uRRfZPq1zPbXgKc/edit?usp=sharing"",""ระยอง!M764"")+IMPORTRANGE(""https://docs.google.com/spreadsheets/d/1jQ6P4QcrGM89YfqcC_PxOHGCMq5ezhucwJd8ci-NHng/edit?usp=sharing"",""ราชบุรี!M76"&amp;"4"")+IMPORTRANGE(""https://docs.google.com/spreadsheets/d/1lufeA2cfFqM-elVq2hznhDzC6Pr7wkJ9ZG_sYNGCMCU/edit?usp=sharing"",""ลพบุรี!M764"")+IMPORTRANGE(""https://docs.google.com/spreadsheets/d/10oOiF7loTyfsTkbd4MpaIm0HQ9SwB7IYHdIUvt-U1Uc/edit?usp=sharing"""&amp;",""สระแก้ว!M764"")+IMPORTRANGE(""https://docs.google.com/spreadsheets/d/1xmPlrr1QbdSIKvl1dWUl9K4PjAfSL9oeMr_37QVzcxc/edit?usp=sharing"",""สระบุรี!M764"")+IMPORTRANGE(""https://docs.google.com/spreadsheets/d/1j51vR6CYVGhABJpv6tkstgok82RLpXieLzW1yOY5rHw/edi"&amp;"t?usp=sharing"",""สิงห์บุรี!M764"")+IMPORTRANGE(""https://docs.google.com/spreadsheets/d/1H1EalTWKUSzO4Z1-1CwzoDUaVffgrThEBe2sl74kKG0/edit?usp=sharing"",""สุพรรณบุรี!M764"")+IMPORTRANGE(""https://docs.google.com/spreadsheets/d/1BmIruG_sIrJLYao_Pdr7zVArWsf"&amp;"oBt2692TMi6x_854/edit?usp=sharing"",""อ่างทอง!M764"")"),0)</f>
        <v>0</v>
      </c>
      <c r="N764" s="75">
        <f ca="1">IFERROR(__xludf.DUMMYFUNCTION("IMPORTRANGE(""https://docs.google.com/spreadsheets/d/13wPX838HrBrQMCywv1BsuMkt4PEKTChp52zj44s2izQ/edit?usp=sharing"",""กาญจนบุรี!N764"")+IMPORTRANGE(""https://docs.google.com/spreadsheets/d/1ddFKvqj1W1NEiWytbGlB1zMx_ykJDVtmfEQ-6-lIUBA/edit?usp=sharing"","&amp;"""จันทบุรี!N764"")+IMPORTRANGE(""https://docs.google.com/spreadsheets/d/1T1PQvRODqOBZk8BRht_U031fIS1beLA0Ub2CEytj2q0/edit?usp=sharing"",""ฉะเชิงเทรา!N764"")+IMPORTRANGE(""https://docs.google.com/spreadsheets/d/11tr1B-Bhyr79v2bkwVh5h_fR-PStkgjlZtkrZpYurG0/"&amp;"edit?usp=sharing"",""ชลบุรี!N764"")+IMPORTRANGE(""https://docs.google.com/spreadsheets/d/1hh-FVnSX0vozXhGluamEcS54Dw9_zqW0N7qJUWgJ0Sw/edit?usp=sharing"",""ชัยนาท!N764"")+IMPORTRANGE(""https://docs.google.com/spreadsheets/d/1jkqa6GXxSacMcY1eN8AHjMNJ_7dDXMJ"&amp;"VRLDlaFSOdPM/edit?usp=sharing"",""ตราด!N764"")+IMPORTRANGE(""https://docs.google.com/spreadsheets/d/18hSgUJ3VwClqi_qtULmmW3cLr0oe3OKaSYoKzdpTsYQ/edit?usp=sharing"",""นครนายก!N764"")+IMPORTRANGE(""https://docs.google.com/spreadsheets/d/1YTZo6WM2dQ6Ix6FSdnL"&amp;"5P7uVnVKu40sxZu975tgG10E/edit?usp=sharing"",""นครปฐม!N764"")+IMPORTRANGE(""https://docs.google.com/spreadsheets/d/1OYoGg4WDg5RIzwGeB10padOxJF9E_Vljuvvct_M7RDo/edit?usp=sharing"",""ปทุมธานี!N764"")+IMPORTRANGE(""https://docs.google.com/spreadsheets/d/1GbCI"&amp;"E4D4wk9FUozzqk7SxfDMxDVBwVmI5zcaVUSzKAc/edit?usp=sharing"",""ประจวบคีรีขันธ์!N764"")+IMPORTRANGE(""https://docs.google.com/spreadsheets/d/1vVf6wykvW_lAyu7Yo9L4hUTqHqIeP_qcVuxCtosJEbg/edit?usp=sharing"",""ปราจีนบุรี!N764"")+IMPORTRANGE(""https://docs.googl"&amp;"e.com/spreadsheets/d/1BIDqLLg5jk3v59G8NlR8rk5xfQDKne0sAvZHSj7TI6I/edit?usp=sharing"",""พระนครศรีอยุธยา!N764"")+IMPORTRANGE(""https://docs.google.com/spreadsheets/d/1YXvxf8Yu6_rV4hTBrwMqAcAnv6DfhUxh5emyM3CJp_w/edit?usp=sharing"",""เพชรบุรี!N764"")+IMPORTRA"&amp;"NGE(""https://docs.google.com/spreadsheets/d/19KBlQQs7uwvsao6t2n-KvW3Ax8J8uRRfZPq1zPbXgKc/edit?usp=sharing"",""ระยอง!N764"")+IMPORTRANGE(""https://docs.google.com/spreadsheets/d/1jQ6P4QcrGM89YfqcC_PxOHGCMq5ezhucwJd8ci-NHng/edit?usp=sharing"",""ราชบุรี!N76"&amp;"4"")+IMPORTRANGE(""https://docs.google.com/spreadsheets/d/1lufeA2cfFqM-elVq2hznhDzC6Pr7wkJ9ZG_sYNGCMCU/edit?usp=sharing"",""ลพบุรี!N764"")+IMPORTRANGE(""https://docs.google.com/spreadsheets/d/10oOiF7loTyfsTkbd4MpaIm0HQ9SwB7IYHdIUvt-U1Uc/edit?usp=sharing"""&amp;",""สระแก้ว!N764"")+IMPORTRANGE(""https://docs.google.com/spreadsheets/d/1xmPlrr1QbdSIKvl1dWUl9K4PjAfSL9oeMr_37QVzcxc/edit?usp=sharing"",""สระบุรี!N764"")+IMPORTRANGE(""https://docs.google.com/spreadsheets/d/1j51vR6CYVGhABJpv6tkstgok82RLpXieLzW1yOY5rHw/edi"&amp;"t?usp=sharing"",""สิงห์บุรี!N764"")+IMPORTRANGE(""https://docs.google.com/spreadsheets/d/1H1EalTWKUSzO4Z1-1CwzoDUaVffgrThEBe2sl74kKG0/edit?usp=sharing"",""สุพรรณบุรี!N764"")+IMPORTRANGE(""https://docs.google.com/spreadsheets/d/1BmIruG_sIrJLYao_Pdr7zVArWsf"&amp;"oBt2692TMi6x_854/edit?usp=sharing"",""อ่างทอง!N764"")"),0)</f>
        <v>0</v>
      </c>
      <c r="O764" s="75">
        <f t="shared" ca="1" si="514"/>
        <v>0</v>
      </c>
      <c r="P764" s="75">
        <f t="shared" ca="1" si="515"/>
        <v>0</v>
      </c>
      <c r="Q764" s="74">
        <f ca="1">IFERROR(__xludf.DUMMYFUNCTION("IMPORTRANGE(""https://docs.google.com/spreadsheets/d/13wPX838HrBrQMCywv1BsuMkt4PEKTChp52zj44s2izQ/edit?usp=sharing"",""กาญจนบุรี!Q764"")+IMPORTRANGE(""https://docs.google.com/spreadsheets/d/1ddFKvqj1W1NEiWytbGlB1zMx_ykJDVtmfEQ-6-lIUBA/edit?usp=sharing"","&amp;"""จันทบุรี!Q764"")+IMPORTRANGE(""https://docs.google.com/spreadsheets/d/1T1PQvRODqOBZk8BRht_U031fIS1beLA0Ub2CEytj2q0/edit?usp=sharing"",""ฉะเชิงเทรา!Q764"")+IMPORTRANGE(""https://docs.google.com/spreadsheets/d/11tr1B-Bhyr79v2bkwVh5h_fR-PStkgjlZtkrZpYurG0/"&amp;"edit?usp=sharing"",""ชลบุรี!Q764"")+IMPORTRANGE(""https://docs.google.com/spreadsheets/d/1hh-FVnSX0vozXhGluamEcS54Dw9_zqW0N7qJUWgJ0Sw/edit?usp=sharing"",""ชัยนาท!Q764"")+IMPORTRANGE(""https://docs.google.com/spreadsheets/d/1jkqa6GXxSacMcY1eN8AHjMNJ_7dDXMJ"&amp;"VRLDlaFSOdPM/edit?usp=sharing"",""ตราด!Q764"")+IMPORTRANGE(""https://docs.google.com/spreadsheets/d/18hSgUJ3VwClqi_qtULmmW3cLr0oe3OKaSYoKzdpTsYQ/edit?usp=sharing"",""นครนายก!Q764"")+IMPORTRANGE(""https://docs.google.com/spreadsheets/d/1YTZo6WM2dQ6Ix6FSdnL"&amp;"5P7uVnVKu40sxZu975tgG10E/edit?usp=sharing"",""นครปฐม!Q764"")+IMPORTRANGE(""https://docs.google.com/spreadsheets/d/1OYoGg4WDg5RIzwGeB10padOxJF9E_Vljuvvct_M7RDo/edit?usp=sharing"",""ปทุมธานี!Q764"")+IMPORTRANGE(""https://docs.google.com/spreadsheets/d/1GbCI"&amp;"E4D4wk9FUozzqk7SxfDMxDVBwVmI5zcaVUSzKAc/edit?usp=sharing"",""ประจวบคีรีขันธ์!Q764"")+IMPORTRANGE(""https://docs.google.com/spreadsheets/d/1vVf6wykvW_lAyu7Yo9L4hUTqHqIeP_qcVuxCtosJEbg/edit?usp=sharing"",""ปราจีนบุรี!Q764"")+IMPORTRANGE(""https://docs.googl"&amp;"e.com/spreadsheets/d/1BIDqLLg5jk3v59G8NlR8rk5xfQDKne0sAvZHSj7TI6I/edit?usp=sharing"",""พระนครศรีอยุธยา!Q764"")+IMPORTRANGE(""https://docs.google.com/spreadsheets/d/1YXvxf8Yu6_rV4hTBrwMqAcAnv6DfhUxh5emyM3CJp_w/edit?usp=sharing"",""เพชรบุรี!Q764"")+IMPORTRA"&amp;"NGE(""https://docs.google.com/spreadsheets/d/19KBlQQs7uwvsao6t2n-KvW3Ax8J8uRRfZPq1zPbXgKc/edit?usp=sharing"",""ระยอง!Q764"")+IMPORTRANGE(""https://docs.google.com/spreadsheets/d/1jQ6P4QcrGM89YfqcC_PxOHGCMq5ezhucwJd8ci-NHng/edit?usp=sharing"",""ราชบุรี!Q76"&amp;"4"")+IMPORTRANGE(""https://docs.google.com/spreadsheets/d/1lufeA2cfFqM-elVq2hznhDzC6Pr7wkJ9ZG_sYNGCMCU/edit?usp=sharing"",""ลพบุรี!Q764"")+IMPORTRANGE(""https://docs.google.com/spreadsheets/d/10oOiF7loTyfsTkbd4MpaIm0HQ9SwB7IYHdIUvt-U1Uc/edit?usp=sharing"""&amp;",""สระแก้ว!Q764"")+IMPORTRANGE(""https://docs.google.com/spreadsheets/d/1xmPlrr1QbdSIKvl1dWUl9K4PjAfSL9oeMr_37QVzcxc/edit?usp=sharing"",""สระบุรี!Q764"")+IMPORTRANGE(""https://docs.google.com/spreadsheets/d/1j51vR6CYVGhABJpv6tkstgok82RLpXieLzW1yOY5rHw/edi"&amp;"t?usp=sharing"",""สิงห์บุรี!Q764"")+IMPORTRANGE(""https://docs.google.com/spreadsheets/d/1H1EalTWKUSzO4Z1-1CwzoDUaVffgrThEBe2sl74kKG0/edit?usp=sharing"",""สุพรรณบุรี!Q764"")+IMPORTRANGE(""https://docs.google.com/spreadsheets/d/1BmIruG_sIrJLYao_Pdr7zVArWsf"&amp;"oBt2692TMi6x_854/edit?usp=sharing"",""อ่างทอง!Q764"")"),0)</f>
        <v>0</v>
      </c>
      <c r="R764" s="75">
        <f ca="1">IFERROR(__xludf.DUMMYFUNCTION("IMPORTRANGE(""https://docs.google.com/spreadsheets/d/13wPX838HrBrQMCywv1BsuMkt4PEKTChp52zj44s2izQ/edit?usp=sharing"",""กาญจนบุรี!R764"")+IMPORTRANGE(""https://docs.google.com/spreadsheets/d/1ddFKvqj1W1NEiWytbGlB1zMx_ykJDVtmfEQ-6-lIUBA/edit?usp=sharing"","&amp;"""จันทบุรี!R764"")+IMPORTRANGE(""https://docs.google.com/spreadsheets/d/1T1PQvRODqOBZk8BRht_U031fIS1beLA0Ub2CEytj2q0/edit?usp=sharing"",""ฉะเชิงเทรา!R764"")+IMPORTRANGE(""https://docs.google.com/spreadsheets/d/11tr1B-Bhyr79v2bkwVh5h_fR-PStkgjlZtkrZpYurG0/"&amp;"edit?usp=sharing"",""ชลบุรี!R764"")+IMPORTRANGE(""https://docs.google.com/spreadsheets/d/1hh-FVnSX0vozXhGluamEcS54Dw9_zqW0N7qJUWgJ0Sw/edit?usp=sharing"",""ชัยนาท!R764"")+IMPORTRANGE(""https://docs.google.com/spreadsheets/d/1jkqa6GXxSacMcY1eN8AHjMNJ_7dDXMJ"&amp;"VRLDlaFSOdPM/edit?usp=sharing"",""ตราด!R764"")+IMPORTRANGE(""https://docs.google.com/spreadsheets/d/18hSgUJ3VwClqi_qtULmmW3cLr0oe3OKaSYoKzdpTsYQ/edit?usp=sharing"",""นครนายก!R764"")+IMPORTRANGE(""https://docs.google.com/spreadsheets/d/1YTZo6WM2dQ6Ix6FSdnL"&amp;"5P7uVnVKu40sxZu975tgG10E/edit?usp=sharing"",""นครปฐม!R764"")+IMPORTRANGE(""https://docs.google.com/spreadsheets/d/1OYoGg4WDg5RIzwGeB10padOxJF9E_Vljuvvct_M7RDo/edit?usp=sharing"",""ปทุมธานี!R764"")+IMPORTRANGE(""https://docs.google.com/spreadsheets/d/1GbCI"&amp;"E4D4wk9FUozzqk7SxfDMxDVBwVmI5zcaVUSzKAc/edit?usp=sharing"",""ประจวบคีรีขันธ์!R764"")+IMPORTRANGE(""https://docs.google.com/spreadsheets/d/1vVf6wykvW_lAyu7Yo9L4hUTqHqIeP_qcVuxCtosJEbg/edit?usp=sharing"",""ปราจีนบุรี!R764"")+IMPORTRANGE(""https://docs.googl"&amp;"e.com/spreadsheets/d/1BIDqLLg5jk3v59G8NlR8rk5xfQDKne0sAvZHSj7TI6I/edit?usp=sharing"",""พระนครศรีอยุธยา!R764"")+IMPORTRANGE(""https://docs.google.com/spreadsheets/d/1YXvxf8Yu6_rV4hTBrwMqAcAnv6DfhUxh5emyM3CJp_w/edit?usp=sharing"",""เพชรบุรี!R764"")+IMPORTRA"&amp;"NGE(""https://docs.google.com/spreadsheets/d/19KBlQQs7uwvsao6t2n-KvW3Ax8J8uRRfZPq1zPbXgKc/edit?usp=sharing"",""ระยอง!R764"")+IMPORTRANGE(""https://docs.google.com/spreadsheets/d/1jQ6P4QcrGM89YfqcC_PxOHGCMq5ezhucwJd8ci-NHng/edit?usp=sharing"",""ราชบุรี!R76"&amp;"4"")+IMPORTRANGE(""https://docs.google.com/spreadsheets/d/1lufeA2cfFqM-elVq2hznhDzC6Pr7wkJ9ZG_sYNGCMCU/edit?usp=sharing"",""ลพบุรี!R764"")+IMPORTRANGE(""https://docs.google.com/spreadsheets/d/10oOiF7loTyfsTkbd4MpaIm0HQ9SwB7IYHdIUvt-U1Uc/edit?usp=sharing"""&amp;",""สระแก้ว!R764"")+IMPORTRANGE(""https://docs.google.com/spreadsheets/d/1xmPlrr1QbdSIKvl1dWUl9K4PjAfSL9oeMr_37QVzcxc/edit?usp=sharing"",""สระบุรี!R764"")+IMPORTRANGE(""https://docs.google.com/spreadsheets/d/1j51vR6CYVGhABJpv6tkstgok82RLpXieLzW1yOY5rHw/edi"&amp;"t?usp=sharing"",""สิงห์บุรี!R764"")+IMPORTRANGE(""https://docs.google.com/spreadsheets/d/1H1EalTWKUSzO4Z1-1CwzoDUaVffgrThEBe2sl74kKG0/edit?usp=sharing"",""สุพรรณบุรี!R764"")+IMPORTRANGE(""https://docs.google.com/spreadsheets/d/1BmIruG_sIrJLYao_Pdr7zVArWsf"&amp;"oBt2692TMi6x_854/edit?usp=sharing"",""อ่างทอง!R764"")"),0)</f>
        <v>0</v>
      </c>
      <c r="S764" s="75">
        <f ca="1">IFERROR(__xludf.DUMMYFUNCTION("IMPORTRANGE(""https://docs.google.com/spreadsheets/d/13wPX838HrBrQMCywv1BsuMkt4PEKTChp52zj44s2izQ/edit?usp=sharing"",""กาญจนบุรี!S764"")+IMPORTRANGE(""https://docs.google.com/spreadsheets/d/1ddFKvqj1W1NEiWytbGlB1zMx_ykJDVtmfEQ-6-lIUBA/edit?usp=sharing"","&amp;"""จันทบุรี!S764"")+IMPORTRANGE(""https://docs.google.com/spreadsheets/d/1T1PQvRODqOBZk8BRht_U031fIS1beLA0Ub2CEytj2q0/edit?usp=sharing"",""ฉะเชิงเทรา!S764"")+IMPORTRANGE(""https://docs.google.com/spreadsheets/d/11tr1B-Bhyr79v2bkwVh5h_fR-PStkgjlZtkrZpYurG0/"&amp;"edit?usp=sharing"",""ชลบุรี!S764"")+IMPORTRANGE(""https://docs.google.com/spreadsheets/d/1hh-FVnSX0vozXhGluamEcS54Dw9_zqW0N7qJUWgJ0Sw/edit?usp=sharing"",""ชัยนาท!S764"")+IMPORTRANGE(""https://docs.google.com/spreadsheets/d/1jkqa6GXxSacMcY1eN8AHjMNJ_7dDXMJ"&amp;"VRLDlaFSOdPM/edit?usp=sharing"",""ตราด!S764"")+IMPORTRANGE(""https://docs.google.com/spreadsheets/d/18hSgUJ3VwClqi_qtULmmW3cLr0oe3OKaSYoKzdpTsYQ/edit?usp=sharing"",""นครนายก!S764"")+IMPORTRANGE(""https://docs.google.com/spreadsheets/d/1YTZo6WM2dQ6Ix6FSdnL"&amp;"5P7uVnVKu40sxZu975tgG10E/edit?usp=sharing"",""นครปฐม!S764"")+IMPORTRANGE(""https://docs.google.com/spreadsheets/d/1OYoGg4WDg5RIzwGeB10padOxJF9E_Vljuvvct_M7RDo/edit?usp=sharing"",""ปทุมธานี!S764"")+IMPORTRANGE(""https://docs.google.com/spreadsheets/d/1GbCI"&amp;"E4D4wk9FUozzqk7SxfDMxDVBwVmI5zcaVUSzKAc/edit?usp=sharing"",""ประจวบคีรีขันธ์!S764"")+IMPORTRANGE(""https://docs.google.com/spreadsheets/d/1vVf6wykvW_lAyu7Yo9L4hUTqHqIeP_qcVuxCtosJEbg/edit?usp=sharing"",""ปราจีนบุรี!S764"")+IMPORTRANGE(""https://docs.googl"&amp;"e.com/spreadsheets/d/1BIDqLLg5jk3v59G8NlR8rk5xfQDKne0sAvZHSj7TI6I/edit?usp=sharing"",""พระนครศรีอยุธยา!S764"")+IMPORTRANGE(""https://docs.google.com/spreadsheets/d/1YXvxf8Yu6_rV4hTBrwMqAcAnv6DfhUxh5emyM3CJp_w/edit?usp=sharing"",""เพชรบุรี!S764"")+IMPORTRA"&amp;"NGE(""https://docs.google.com/spreadsheets/d/19KBlQQs7uwvsao6t2n-KvW3Ax8J8uRRfZPq1zPbXgKc/edit?usp=sharing"",""ระยอง!S764"")+IMPORTRANGE(""https://docs.google.com/spreadsheets/d/1jQ6P4QcrGM89YfqcC_PxOHGCMq5ezhucwJd8ci-NHng/edit?usp=sharing"",""ราชบุรี!S76"&amp;"4"")+IMPORTRANGE(""https://docs.google.com/spreadsheets/d/1lufeA2cfFqM-elVq2hznhDzC6Pr7wkJ9ZG_sYNGCMCU/edit?usp=sharing"",""ลพบุรี!S764"")+IMPORTRANGE(""https://docs.google.com/spreadsheets/d/10oOiF7loTyfsTkbd4MpaIm0HQ9SwB7IYHdIUvt-U1Uc/edit?usp=sharing"""&amp;",""สระแก้ว!S764"")+IMPORTRANGE(""https://docs.google.com/spreadsheets/d/1xmPlrr1QbdSIKvl1dWUl9K4PjAfSL9oeMr_37QVzcxc/edit?usp=sharing"",""สระบุรี!S764"")+IMPORTRANGE(""https://docs.google.com/spreadsheets/d/1j51vR6CYVGhABJpv6tkstgok82RLpXieLzW1yOY5rHw/edi"&amp;"t?usp=sharing"",""สิงห์บุรี!S764"")+IMPORTRANGE(""https://docs.google.com/spreadsheets/d/1H1EalTWKUSzO4Z1-1CwzoDUaVffgrThEBe2sl74kKG0/edit?usp=sharing"",""สุพรรณบุรี!S764"")+IMPORTRANGE(""https://docs.google.com/spreadsheets/d/1BmIruG_sIrJLYao_Pdr7zVArWsf"&amp;"oBt2692TMi6x_854/edit?usp=sharing"",""อ่างทอง!S764"")"),0)</f>
        <v>0</v>
      </c>
      <c r="T764" s="131">
        <f t="shared" ca="1" si="517"/>
        <v>0</v>
      </c>
      <c r="U764" s="131">
        <f t="shared" ca="1" si="518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2">
        <f ca="1">IFERROR(__xludf.DUMMYFUNCTION("IMPORTRANGE(""https://docs.google.com/spreadsheets/d/13wPX838HrBrQMCywv1BsuMkt4PEKTChp52zj44s2izQ/edit?usp=sharing"",""กาญจนบุรี!L765"")+IMPORTRANGE(""https://docs.google.com/spreadsheets/d/1ddFKvqj1W1NEiWytbGlB1zMx_ykJDVtmfEQ-6-lIUBA/edit?usp=sharing"","&amp;"""จันทบุรี!L765"")+IMPORTRANGE(""https://docs.google.com/spreadsheets/d/1T1PQvRODqOBZk8BRht_U031fIS1beLA0Ub2CEytj2q0/edit?usp=sharing"",""ฉะเชิงเทรา!L765"")+IMPORTRANGE(""https://docs.google.com/spreadsheets/d/11tr1B-Bhyr79v2bkwVh5h_fR-PStkgjlZtkrZpYurG0/"&amp;"edit?usp=sharing"",""ชลบุรี!L765"")+IMPORTRANGE(""https://docs.google.com/spreadsheets/d/1hh-FVnSX0vozXhGluamEcS54Dw9_zqW0N7qJUWgJ0Sw/edit?usp=sharing"",""ชัยนาท!L765"")+IMPORTRANGE(""https://docs.google.com/spreadsheets/d/1jkqa6GXxSacMcY1eN8AHjMNJ_7dDXMJ"&amp;"VRLDlaFSOdPM/edit?usp=sharing"",""ตราด!L765"")+IMPORTRANGE(""https://docs.google.com/spreadsheets/d/18hSgUJ3VwClqi_qtULmmW3cLr0oe3OKaSYoKzdpTsYQ/edit?usp=sharing"",""นครนายก!L765"")+IMPORTRANGE(""https://docs.google.com/spreadsheets/d/1YTZo6WM2dQ6Ix6FSdnL"&amp;"5P7uVnVKu40sxZu975tgG10E/edit?usp=sharing"",""นครปฐม!L765"")+IMPORTRANGE(""https://docs.google.com/spreadsheets/d/1OYoGg4WDg5RIzwGeB10padOxJF9E_Vljuvvct_M7RDo/edit?usp=sharing"",""ปทุมธานี!L765"")+IMPORTRANGE(""https://docs.google.com/spreadsheets/d/1GbCI"&amp;"E4D4wk9FUozzqk7SxfDMxDVBwVmI5zcaVUSzKAc/edit?usp=sharing"",""ประจวบคีรีขันธ์!L765"")+IMPORTRANGE(""https://docs.google.com/spreadsheets/d/1vVf6wykvW_lAyu7Yo9L4hUTqHqIeP_qcVuxCtosJEbg/edit?usp=sharing"",""ปราจีนบุรี!L765"")+IMPORTRANGE(""https://docs.googl"&amp;"e.com/spreadsheets/d/1BIDqLLg5jk3v59G8NlR8rk5xfQDKne0sAvZHSj7TI6I/edit?usp=sharing"",""พระนครศรีอยุธยา!L765"")+IMPORTRANGE(""https://docs.google.com/spreadsheets/d/1YXvxf8Yu6_rV4hTBrwMqAcAnv6DfhUxh5emyM3CJp_w/edit?usp=sharing"",""เพชรบุรี!L765"")+IMPORTRA"&amp;"NGE(""https://docs.google.com/spreadsheets/d/19KBlQQs7uwvsao6t2n-KvW3Ax8J8uRRfZPq1zPbXgKc/edit?usp=sharing"",""ระยอง!L765"")+IMPORTRANGE(""https://docs.google.com/spreadsheets/d/1jQ6P4QcrGM89YfqcC_PxOHGCMq5ezhucwJd8ci-NHng/edit?usp=sharing"",""ราชบุรี!L76"&amp;"5"")+IMPORTRANGE(""https://docs.google.com/spreadsheets/d/1lufeA2cfFqM-elVq2hznhDzC6Pr7wkJ9ZG_sYNGCMCU/edit?usp=sharing"",""ลพบุรี!L765"")+IMPORTRANGE(""https://docs.google.com/spreadsheets/d/10oOiF7loTyfsTkbd4MpaIm0HQ9SwB7IYHdIUvt-U1Uc/edit?usp=sharing"""&amp;",""สระแก้ว!L765"")+IMPORTRANGE(""https://docs.google.com/spreadsheets/d/1xmPlrr1QbdSIKvl1dWUl9K4PjAfSL9oeMr_37QVzcxc/edit?usp=sharing"",""สระบุรี!L765"")+IMPORTRANGE(""https://docs.google.com/spreadsheets/d/1j51vR6CYVGhABJpv6tkstgok82RLpXieLzW1yOY5rHw/edi"&amp;"t?usp=sharing"",""สิงห์บุรี!L765"")+IMPORTRANGE(""https://docs.google.com/spreadsheets/d/1H1EalTWKUSzO4Z1-1CwzoDUaVffgrThEBe2sl74kKG0/edit?usp=sharing"",""สุพรรณบุรี!L765"")+IMPORTRANGE(""https://docs.google.com/spreadsheets/d/1BmIruG_sIrJLYao_Pdr7zVArWsf"&amp;"oBt2692TMi6x_854/edit?usp=sharing"",""อ่างทอง!L765"")"),0)</f>
        <v>0</v>
      </c>
      <c r="M765" s="72">
        <f ca="1">IFERROR(__xludf.DUMMYFUNCTION("IMPORTRANGE(""https://docs.google.com/spreadsheets/d/13wPX838HrBrQMCywv1BsuMkt4PEKTChp52zj44s2izQ/edit?usp=sharing"",""กาญจนบุรี!M765"")+IMPORTRANGE(""https://docs.google.com/spreadsheets/d/1ddFKvqj1W1NEiWytbGlB1zMx_ykJDVtmfEQ-6-lIUBA/edit?usp=sharing"","&amp;"""จันทบุรี!M765"")+IMPORTRANGE(""https://docs.google.com/spreadsheets/d/1T1PQvRODqOBZk8BRht_U031fIS1beLA0Ub2CEytj2q0/edit?usp=sharing"",""ฉะเชิงเทรา!M765"")+IMPORTRANGE(""https://docs.google.com/spreadsheets/d/11tr1B-Bhyr79v2bkwVh5h_fR-PStkgjlZtkrZpYurG0/"&amp;"edit?usp=sharing"",""ชลบุรี!M765"")+IMPORTRANGE(""https://docs.google.com/spreadsheets/d/1hh-FVnSX0vozXhGluamEcS54Dw9_zqW0N7qJUWgJ0Sw/edit?usp=sharing"",""ชัยนาท!M765"")+IMPORTRANGE(""https://docs.google.com/spreadsheets/d/1jkqa6GXxSacMcY1eN8AHjMNJ_7dDXMJ"&amp;"VRLDlaFSOdPM/edit?usp=sharing"",""ตราด!M765"")+IMPORTRANGE(""https://docs.google.com/spreadsheets/d/18hSgUJ3VwClqi_qtULmmW3cLr0oe3OKaSYoKzdpTsYQ/edit?usp=sharing"",""นครนายก!M765"")+IMPORTRANGE(""https://docs.google.com/spreadsheets/d/1YTZo6WM2dQ6Ix6FSdnL"&amp;"5P7uVnVKu40sxZu975tgG10E/edit?usp=sharing"",""นครปฐม!M765"")+IMPORTRANGE(""https://docs.google.com/spreadsheets/d/1OYoGg4WDg5RIzwGeB10padOxJF9E_Vljuvvct_M7RDo/edit?usp=sharing"",""ปทุมธานี!M765"")+IMPORTRANGE(""https://docs.google.com/spreadsheets/d/1GbCI"&amp;"E4D4wk9FUozzqk7SxfDMxDVBwVmI5zcaVUSzKAc/edit?usp=sharing"",""ประจวบคีรีขันธ์!M765"")+IMPORTRANGE(""https://docs.google.com/spreadsheets/d/1vVf6wykvW_lAyu7Yo9L4hUTqHqIeP_qcVuxCtosJEbg/edit?usp=sharing"",""ปราจีนบุรี!M765"")+IMPORTRANGE(""https://docs.googl"&amp;"e.com/spreadsheets/d/1BIDqLLg5jk3v59G8NlR8rk5xfQDKne0sAvZHSj7TI6I/edit?usp=sharing"",""พระนครศรีอยุธยา!M765"")+IMPORTRANGE(""https://docs.google.com/spreadsheets/d/1YXvxf8Yu6_rV4hTBrwMqAcAnv6DfhUxh5emyM3CJp_w/edit?usp=sharing"",""เพชรบุรี!M765"")+IMPORTRA"&amp;"NGE(""https://docs.google.com/spreadsheets/d/19KBlQQs7uwvsao6t2n-KvW3Ax8J8uRRfZPq1zPbXgKc/edit?usp=sharing"",""ระยอง!M765"")+IMPORTRANGE(""https://docs.google.com/spreadsheets/d/1jQ6P4QcrGM89YfqcC_PxOHGCMq5ezhucwJd8ci-NHng/edit?usp=sharing"",""ราชบุรี!M76"&amp;"5"")+IMPORTRANGE(""https://docs.google.com/spreadsheets/d/1lufeA2cfFqM-elVq2hznhDzC6Pr7wkJ9ZG_sYNGCMCU/edit?usp=sharing"",""ลพบุรี!M765"")+IMPORTRANGE(""https://docs.google.com/spreadsheets/d/10oOiF7loTyfsTkbd4MpaIm0HQ9SwB7IYHdIUvt-U1Uc/edit?usp=sharing"""&amp;",""สระแก้ว!M765"")+IMPORTRANGE(""https://docs.google.com/spreadsheets/d/1xmPlrr1QbdSIKvl1dWUl9K4PjAfSL9oeMr_37QVzcxc/edit?usp=sharing"",""สระบุรี!M765"")+IMPORTRANGE(""https://docs.google.com/spreadsheets/d/1j51vR6CYVGhABJpv6tkstgok82RLpXieLzW1yOY5rHw/edi"&amp;"t?usp=sharing"",""สิงห์บุรี!M765"")+IMPORTRANGE(""https://docs.google.com/spreadsheets/d/1H1EalTWKUSzO4Z1-1CwzoDUaVffgrThEBe2sl74kKG0/edit?usp=sharing"",""สุพรรณบุรี!M765"")+IMPORTRANGE(""https://docs.google.com/spreadsheets/d/1BmIruG_sIrJLYao_Pdr7zVArWsf"&amp;"oBt2692TMi6x_854/edit?usp=sharing"",""อ่างทอง!M765"")"),0)</f>
        <v>0</v>
      </c>
      <c r="N765" s="72">
        <f ca="1">IFERROR(__xludf.DUMMYFUNCTION("IMPORTRANGE(""https://docs.google.com/spreadsheets/d/13wPX838HrBrQMCywv1BsuMkt4PEKTChp52zj44s2izQ/edit?usp=sharing"",""กาญจนบุรี!N765"")+IMPORTRANGE(""https://docs.google.com/spreadsheets/d/1ddFKvqj1W1NEiWytbGlB1zMx_ykJDVtmfEQ-6-lIUBA/edit?usp=sharing"","&amp;"""จันทบุรี!N765"")+IMPORTRANGE(""https://docs.google.com/spreadsheets/d/1T1PQvRODqOBZk8BRht_U031fIS1beLA0Ub2CEytj2q0/edit?usp=sharing"",""ฉะเชิงเทรา!N765"")+IMPORTRANGE(""https://docs.google.com/spreadsheets/d/11tr1B-Bhyr79v2bkwVh5h_fR-PStkgjlZtkrZpYurG0/"&amp;"edit?usp=sharing"",""ชลบุรี!N765"")+IMPORTRANGE(""https://docs.google.com/spreadsheets/d/1hh-FVnSX0vozXhGluamEcS54Dw9_zqW0N7qJUWgJ0Sw/edit?usp=sharing"",""ชัยนาท!N765"")+IMPORTRANGE(""https://docs.google.com/spreadsheets/d/1jkqa6GXxSacMcY1eN8AHjMNJ_7dDXMJ"&amp;"VRLDlaFSOdPM/edit?usp=sharing"",""ตราด!N765"")+IMPORTRANGE(""https://docs.google.com/spreadsheets/d/18hSgUJ3VwClqi_qtULmmW3cLr0oe3OKaSYoKzdpTsYQ/edit?usp=sharing"",""นครนายก!N765"")+IMPORTRANGE(""https://docs.google.com/spreadsheets/d/1YTZo6WM2dQ6Ix6FSdnL"&amp;"5P7uVnVKu40sxZu975tgG10E/edit?usp=sharing"",""นครปฐม!N765"")+IMPORTRANGE(""https://docs.google.com/spreadsheets/d/1OYoGg4WDg5RIzwGeB10padOxJF9E_Vljuvvct_M7RDo/edit?usp=sharing"",""ปทุมธานี!N765"")+IMPORTRANGE(""https://docs.google.com/spreadsheets/d/1GbCI"&amp;"E4D4wk9FUozzqk7SxfDMxDVBwVmI5zcaVUSzKAc/edit?usp=sharing"",""ประจวบคีรีขันธ์!N765"")+IMPORTRANGE(""https://docs.google.com/spreadsheets/d/1vVf6wykvW_lAyu7Yo9L4hUTqHqIeP_qcVuxCtosJEbg/edit?usp=sharing"",""ปราจีนบุรี!N765"")+IMPORTRANGE(""https://docs.googl"&amp;"e.com/spreadsheets/d/1BIDqLLg5jk3v59G8NlR8rk5xfQDKne0sAvZHSj7TI6I/edit?usp=sharing"",""พระนครศรีอยุธยา!N765"")+IMPORTRANGE(""https://docs.google.com/spreadsheets/d/1YXvxf8Yu6_rV4hTBrwMqAcAnv6DfhUxh5emyM3CJp_w/edit?usp=sharing"",""เพชรบุรี!N765"")+IMPORTRA"&amp;"NGE(""https://docs.google.com/spreadsheets/d/19KBlQQs7uwvsao6t2n-KvW3Ax8J8uRRfZPq1zPbXgKc/edit?usp=sharing"",""ระยอง!N765"")+IMPORTRANGE(""https://docs.google.com/spreadsheets/d/1jQ6P4QcrGM89YfqcC_PxOHGCMq5ezhucwJd8ci-NHng/edit?usp=sharing"",""ราชบุรี!N76"&amp;"5"")+IMPORTRANGE(""https://docs.google.com/spreadsheets/d/1lufeA2cfFqM-elVq2hznhDzC6Pr7wkJ9ZG_sYNGCMCU/edit?usp=sharing"",""ลพบุรี!N765"")+IMPORTRANGE(""https://docs.google.com/spreadsheets/d/10oOiF7loTyfsTkbd4MpaIm0HQ9SwB7IYHdIUvt-U1Uc/edit?usp=sharing"""&amp;",""สระแก้ว!N765"")+IMPORTRANGE(""https://docs.google.com/spreadsheets/d/1xmPlrr1QbdSIKvl1dWUl9K4PjAfSL9oeMr_37QVzcxc/edit?usp=sharing"",""สระบุรี!N765"")+IMPORTRANGE(""https://docs.google.com/spreadsheets/d/1j51vR6CYVGhABJpv6tkstgok82RLpXieLzW1yOY5rHw/edi"&amp;"t?usp=sharing"",""สิงห์บุรี!N765"")+IMPORTRANGE(""https://docs.google.com/spreadsheets/d/1H1EalTWKUSzO4Z1-1CwzoDUaVffgrThEBe2sl74kKG0/edit?usp=sharing"",""สุพรรณบุรี!N765"")+IMPORTRANGE(""https://docs.google.com/spreadsheets/d/1BmIruG_sIrJLYao_Pdr7zVArWsf"&amp;"oBt2692TMi6x_854/edit?usp=sharing"",""อ่างทอง!N765"")"),0)</f>
        <v>0</v>
      </c>
      <c r="O765" s="72">
        <f t="shared" ca="1" si="514"/>
        <v>0</v>
      </c>
      <c r="P765" s="72">
        <f t="shared" ca="1" si="515"/>
        <v>0</v>
      </c>
      <c r="Q765" s="129">
        <f ca="1">IFERROR(__xludf.DUMMYFUNCTION("IMPORTRANGE(""https://docs.google.com/spreadsheets/d/13wPX838HrBrQMCywv1BsuMkt4PEKTChp52zj44s2izQ/edit?usp=sharing"",""กาญจนบุรี!Q765"")+IMPORTRANGE(""https://docs.google.com/spreadsheets/d/1ddFKvqj1W1NEiWytbGlB1zMx_ykJDVtmfEQ-6-lIUBA/edit?usp=sharing"","&amp;"""จันทบุรี!Q765"")+IMPORTRANGE(""https://docs.google.com/spreadsheets/d/1T1PQvRODqOBZk8BRht_U031fIS1beLA0Ub2CEytj2q0/edit?usp=sharing"",""ฉะเชิงเทรา!Q765"")+IMPORTRANGE(""https://docs.google.com/spreadsheets/d/11tr1B-Bhyr79v2bkwVh5h_fR-PStkgjlZtkrZpYurG0/"&amp;"edit?usp=sharing"",""ชลบุรี!Q765"")+IMPORTRANGE(""https://docs.google.com/spreadsheets/d/1hh-FVnSX0vozXhGluamEcS54Dw9_zqW0N7qJUWgJ0Sw/edit?usp=sharing"",""ชัยนาท!Q765"")+IMPORTRANGE(""https://docs.google.com/spreadsheets/d/1jkqa6GXxSacMcY1eN8AHjMNJ_7dDXMJ"&amp;"VRLDlaFSOdPM/edit?usp=sharing"",""ตราด!Q765"")+IMPORTRANGE(""https://docs.google.com/spreadsheets/d/18hSgUJ3VwClqi_qtULmmW3cLr0oe3OKaSYoKzdpTsYQ/edit?usp=sharing"",""นครนายก!Q765"")+IMPORTRANGE(""https://docs.google.com/spreadsheets/d/1YTZo6WM2dQ6Ix6FSdnL"&amp;"5P7uVnVKu40sxZu975tgG10E/edit?usp=sharing"",""นครปฐม!Q765"")+IMPORTRANGE(""https://docs.google.com/spreadsheets/d/1OYoGg4WDg5RIzwGeB10padOxJF9E_Vljuvvct_M7RDo/edit?usp=sharing"",""ปทุมธานี!Q765"")+IMPORTRANGE(""https://docs.google.com/spreadsheets/d/1GbCI"&amp;"E4D4wk9FUozzqk7SxfDMxDVBwVmI5zcaVUSzKAc/edit?usp=sharing"",""ประจวบคีรีขันธ์!Q765"")+IMPORTRANGE(""https://docs.google.com/spreadsheets/d/1vVf6wykvW_lAyu7Yo9L4hUTqHqIeP_qcVuxCtosJEbg/edit?usp=sharing"",""ปราจีนบุรี!Q765"")+IMPORTRANGE(""https://docs.googl"&amp;"e.com/spreadsheets/d/1BIDqLLg5jk3v59G8NlR8rk5xfQDKne0sAvZHSj7TI6I/edit?usp=sharing"",""พระนครศรีอยุธยา!Q765"")+IMPORTRANGE(""https://docs.google.com/spreadsheets/d/1YXvxf8Yu6_rV4hTBrwMqAcAnv6DfhUxh5emyM3CJp_w/edit?usp=sharing"",""เพชรบุรี!Q765"")+IMPORTRA"&amp;"NGE(""https://docs.google.com/spreadsheets/d/19KBlQQs7uwvsao6t2n-KvW3Ax8J8uRRfZPq1zPbXgKc/edit?usp=sharing"",""ระยอง!Q765"")+IMPORTRANGE(""https://docs.google.com/spreadsheets/d/1jQ6P4QcrGM89YfqcC_PxOHGCMq5ezhucwJd8ci-NHng/edit?usp=sharing"",""ราชบุรี!Q76"&amp;"5"")+IMPORTRANGE(""https://docs.google.com/spreadsheets/d/1lufeA2cfFqM-elVq2hznhDzC6Pr7wkJ9ZG_sYNGCMCU/edit?usp=sharing"",""ลพบุรี!Q765"")+IMPORTRANGE(""https://docs.google.com/spreadsheets/d/10oOiF7loTyfsTkbd4MpaIm0HQ9SwB7IYHdIUvt-U1Uc/edit?usp=sharing"""&amp;",""สระแก้ว!Q765"")+IMPORTRANGE(""https://docs.google.com/spreadsheets/d/1xmPlrr1QbdSIKvl1dWUl9K4PjAfSL9oeMr_37QVzcxc/edit?usp=sharing"",""สระบุรี!Q765"")+IMPORTRANGE(""https://docs.google.com/spreadsheets/d/1j51vR6CYVGhABJpv6tkstgok82RLpXieLzW1yOY5rHw/edi"&amp;"t?usp=sharing"",""สิงห์บุรี!Q765"")+IMPORTRANGE(""https://docs.google.com/spreadsheets/d/1H1EalTWKUSzO4Z1-1CwzoDUaVffgrThEBe2sl74kKG0/edit?usp=sharing"",""สุพรรณบุรี!Q765"")+IMPORTRANGE(""https://docs.google.com/spreadsheets/d/1BmIruG_sIrJLYao_Pdr7zVArWsf"&amp;"oBt2692TMi6x_854/edit?usp=sharing"",""อ่างทอง!Q765"")"),3121330)</f>
        <v>3121330</v>
      </c>
      <c r="R765" s="130">
        <f ca="1">IFERROR(__xludf.DUMMYFUNCTION("IMPORTRANGE(""https://docs.google.com/spreadsheets/d/13wPX838HrBrQMCywv1BsuMkt4PEKTChp52zj44s2izQ/edit?usp=sharing"",""กาญจนบุรี!R765"")+IMPORTRANGE(""https://docs.google.com/spreadsheets/d/1ddFKvqj1W1NEiWytbGlB1zMx_ykJDVtmfEQ-6-lIUBA/edit?usp=sharing"","&amp;"""จันทบุรี!R765"")+IMPORTRANGE(""https://docs.google.com/spreadsheets/d/1T1PQvRODqOBZk8BRht_U031fIS1beLA0Ub2CEytj2q0/edit?usp=sharing"",""ฉะเชิงเทรา!R765"")+IMPORTRANGE(""https://docs.google.com/spreadsheets/d/11tr1B-Bhyr79v2bkwVh5h_fR-PStkgjlZtkrZpYurG0/"&amp;"edit?usp=sharing"",""ชลบุรี!R765"")+IMPORTRANGE(""https://docs.google.com/spreadsheets/d/1hh-FVnSX0vozXhGluamEcS54Dw9_zqW0N7qJUWgJ0Sw/edit?usp=sharing"",""ชัยนาท!R765"")+IMPORTRANGE(""https://docs.google.com/spreadsheets/d/1jkqa6GXxSacMcY1eN8AHjMNJ_7dDXMJ"&amp;"VRLDlaFSOdPM/edit?usp=sharing"",""ตราด!R765"")+IMPORTRANGE(""https://docs.google.com/spreadsheets/d/18hSgUJ3VwClqi_qtULmmW3cLr0oe3OKaSYoKzdpTsYQ/edit?usp=sharing"",""นครนายก!R765"")+IMPORTRANGE(""https://docs.google.com/spreadsheets/d/1YTZo6WM2dQ6Ix6FSdnL"&amp;"5P7uVnVKu40sxZu975tgG10E/edit?usp=sharing"",""นครปฐม!R765"")+IMPORTRANGE(""https://docs.google.com/spreadsheets/d/1OYoGg4WDg5RIzwGeB10padOxJF9E_Vljuvvct_M7RDo/edit?usp=sharing"",""ปทุมธานี!R765"")+IMPORTRANGE(""https://docs.google.com/spreadsheets/d/1GbCI"&amp;"E4D4wk9FUozzqk7SxfDMxDVBwVmI5zcaVUSzKAc/edit?usp=sharing"",""ประจวบคีรีขันธ์!R765"")+IMPORTRANGE(""https://docs.google.com/spreadsheets/d/1vVf6wykvW_lAyu7Yo9L4hUTqHqIeP_qcVuxCtosJEbg/edit?usp=sharing"",""ปราจีนบุรี!R765"")+IMPORTRANGE(""https://docs.googl"&amp;"e.com/spreadsheets/d/1BIDqLLg5jk3v59G8NlR8rk5xfQDKne0sAvZHSj7TI6I/edit?usp=sharing"",""พระนครศรีอยุธยา!R765"")+IMPORTRANGE(""https://docs.google.com/spreadsheets/d/1YXvxf8Yu6_rV4hTBrwMqAcAnv6DfhUxh5emyM3CJp_w/edit?usp=sharing"",""เพชรบุรี!R765"")+IMPORTRA"&amp;"NGE(""https://docs.google.com/spreadsheets/d/19KBlQQs7uwvsao6t2n-KvW3Ax8J8uRRfZPq1zPbXgKc/edit?usp=sharing"",""ระยอง!R765"")+IMPORTRANGE(""https://docs.google.com/spreadsheets/d/1jQ6P4QcrGM89YfqcC_PxOHGCMq5ezhucwJd8ci-NHng/edit?usp=sharing"",""ราชบุรี!R76"&amp;"5"")+IMPORTRANGE(""https://docs.google.com/spreadsheets/d/1lufeA2cfFqM-elVq2hznhDzC6Pr7wkJ9ZG_sYNGCMCU/edit?usp=sharing"",""ลพบุรี!R765"")+IMPORTRANGE(""https://docs.google.com/spreadsheets/d/10oOiF7loTyfsTkbd4MpaIm0HQ9SwB7IYHdIUvt-U1Uc/edit?usp=sharing"""&amp;",""สระแก้ว!R765"")+IMPORTRANGE(""https://docs.google.com/spreadsheets/d/1xmPlrr1QbdSIKvl1dWUl9K4PjAfSL9oeMr_37QVzcxc/edit?usp=sharing"",""สระบุรี!R765"")+IMPORTRANGE(""https://docs.google.com/spreadsheets/d/1j51vR6CYVGhABJpv6tkstgok82RLpXieLzW1yOY5rHw/edi"&amp;"t?usp=sharing"",""สิงห์บุรี!R765"")+IMPORTRANGE(""https://docs.google.com/spreadsheets/d/1H1EalTWKUSzO4Z1-1CwzoDUaVffgrThEBe2sl74kKG0/edit?usp=sharing"",""สุพรรณบุรี!R765"")+IMPORTRANGE(""https://docs.google.com/spreadsheets/d/1BmIruG_sIrJLYao_Pdr7zVArWsf"&amp;"oBt2692TMi6x_854/edit?usp=sharing"",""อ่างทอง!R765"")"),3121330)</f>
        <v>3121330</v>
      </c>
      <c r="S765" s="130">
        <f ca="1">IFERROR(__xludf.DUMMYFUNCTION("IMPORTRANGE(""https://docs.google.com/spreadsheets/d/13wPX838HrBrQMCywv1BsuMkt4PEKTChp52zj44s2izQ/edit?usp=sharing"",""กาญจนบุรี!S765"")+IMPORTRANGE(""https://docs.google.com/spreadsheets/d/1ddFKvqj1W1NEiWytbGlB1zMx_ykJDVtmfEQ-6-lIUBA/edit?usp=sharing"","&amp;"""จันทบุรี!S765"")+IMPORTRANGE(""https://docs.google.com/spreadsheets/d/1T1PQvRODqOBZk8BRht_U031fIS1beLA0Ub2CEytj2q0/edit?usp=sharing"",""ฉะเชิงเทรา!S765"")+IMPORTRANGE(""https://docs.google.com/spreadsheets/d/11tr1B-Bhyr79v2bkwVh5h_fR-PStkgjlZtkrZpYurG0/"&amp;"edit?usp=sharing"",""ชลบุรี!S765"")+IMPORTRANGE(""https://docs.google.com/spreadsheets/d/1hh-FVnSX0vozXhGluamEcS54Dw9_zqW0N7qJUWgJ0Sw/edit?usp=sharing"",""ชัยนาท!S765"")+IMPORTRANGE(""https://docs.google.com/spreadsheets/d/1jkqa6GXxSacMcY1eN8AHjMNJ_7dDXMJ"&amp;"VRLDlaFSOdPM/edit?usp=sharing"",""ตราด!S765"")+IMPORTRANGE(""https://docs.google.com/spreadsheets/d/18hSgUJ3VwClqi_qtULmmW3cLr0oe3OKaSYoKzdpTsYQ/edit?usp=sharing"",""นครนายก!S765"")+IMPORTRANGE(""https://docs.google.com/spreadsheets/d/1YTZo6WM2dQ6Ix6FSdnL"&amp;"5P7uVnVKu40sxZu975tgG10E/edit?usp=sharing"",""นครปฐม!S765"")+IMPORTRANGE(""https://docs.google.com/spreadsheets/d/1OYoGg4WDg5RIzwGeB10padOxJF9E_Vljuvvct_M7RDo/edit?usp=sharing"",""ปทุมธานี!S765"")+IMPORTRANGE(""https://docs.google.com/spreadsheets/d/1GbCI"&amp;"E4D4wk9FUozzqk7SxfDMxDVBwVmI5zcaVUSzKAc/edit?usp=sharing"",""ประจวบคีรีขันธ์!S765"")+IMPORTRANGE(""https://docs.google.com/spreadsheets/d/1vVf6wykvW_lAyu7Yo9L4hUTqHqIeP_qcVuxCtosJEbg/edit?usp=sharing"",""ปราจีนบุรี!S765"")+IMPORTRANGE(""https://docs.googl"&amp;"e.com/spreadsheets/d/1BIDqLLg5jk3v59G8NlR8rk5xfQDKne0sAvZHSj7TI6I/edit?usp=sharing"",""พระนครศรีอยุธยา!S765"")+IMPORTRANGE(""https://docs.google.com/spreadsheets/d/1YXvxf8Yu6_rV4hTBrwMqAcAnv6DfhUxh5emyM3CJp_w/edit?usp=sharing"",""เพชรบุรี!S765"")+IMPORTRA"&amp;"NGE(""https://docs.google.com/spreadsheets/d/19KBlQQs7uwvsao6t2n-KvW3Ax8J8uRRfZPq1zPbXgKc/edit?usp=sharing"",""ระยอง!S765"")+IMPORTRANGE(""https://docs.google.com/spreadsheets/d/1jQ6P4QcrGM89YfqcC_PxOHGCMq5ezhucwJd8ci-NHng/edit?usp=sharing"",""ราชบุรี!S76"&amp;"5"")+IMPORTRANGE(""https://docs.google.com/spreadsheets/d/1lufeA2cfFqM-elVq2hznhDzC6Pr7wkJ9ZG_sYNGCMCU/edit?usp=sharing"",""ลพบุรี!S765"")+IMPORTRANGE(""https://docs.google.com/spreadsheets/d/10oOiF7loTyfsTkbd4MpaIm0HQ9SwB7IYHdIUvt-U1Uc/edit?usp=sharing"""&amp;",""สระแก้ว!S765"")+IMPORTRANGE(""https://docs.google.com/spreadsheets/d/1xmPlrr1QbdSIKvl1dWUl9K4PjAfSL9oeMr_37QVzcxc/edit?usp=sharing"",""สระบุรี!S765"")+IMPORTRANGE(""https://docs.google.com/spreadsheets/d/1j51vR6CYVGhABJpv6tkstgok82RLpXieLzW1yOY5rHw/edi"&amp;"t?usp=sharing"",""สิงห์บุรี!S765"")+IMPORTRANGE(""https://docs.google.com/spreadsheets/d/1H1EalTWKUSzO4Z1-1CwzoDUaVffgrThEBe2sl74kKG0/edit?usp=sharing"",""สุพรรณบุรี!S765"")+IMPORTRANGE(""https://docs.google.com/spreadsheets/d/1BmIruG_sIrJLYao_Pdr7zVArWsf"&amp;"oBt2692TMi6x_854/edit?usp=sharing"",""อ่างทอง!S765"")"),1922088.34)</f>
        <v>1922088.34</v>
      </c>
      <c r="T765" s="130">
        <f t="shared" ca="1" si="517"/>
        <v>61.579145428391101</v>
      </c>
      <c r="U765" s="130">
        <f t="shared" ca="1" si="518"/>
        <v>61.579145428391101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 t="shared" ref="L766:N766" ca="1" si="525">L767+L768</f>
        <v>0</v>
      </c>
      <c r="M766" s="72">
        <f t="shared" ca="1" si="525"/>
        <v>0</v>
      </c>
      <c r="N766" s="72">
        <f t="shared" ca="1" si="525"/>
        <v>0</v>
      </c>
      <c r="O766" s="72">
        <f t="shared" ca="1" si="514"/>
        <v>0</v>
      </c>
      <c r="P766" s="72">
        <f t="shared" ca="1" si="515"/>
        <v>0</v>
      </c>
      <c r="Q766" s="129">
        <f t="shared" ref="Q766:S766" ca="1" si="526">Q767+Q768</f>
        <v>0</v>
      </c>
      <c r="R766" s="130">
        <f t="shared" ca="1" si="526"/>
        <v>0</v>
      </c>
      <c r="S766" s="130">
        <f t="shared" ca="1" si="526"/>
        <v>0</v>
      </c>
      <c r="T766" s="130">
        <f t="shared" ca="1" si="517"/>
        <v>0</v>
      </c>
      <c r="U766" s="130">
        <f t="shared" ca="1" si="518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5">
        <f ca="1">IFERROR(__xludf.DUMMYFUNCTION("IMPORTRANGE(""https://docs.google.com/spreadsheets/d/13wPX838HrBrQMCywv1BsuMkt4PEKTChp52zj44s2izQ/edit?usp=sharing"",""กาญจนบุรี!L767"")+IMPORTRANGE(""https://docs.google.com/spreadsheets/d/1ddFKvqj1W1NEiWytbGlB1zMx_ykJDVtmfEQ-6-lIUBA/edit?usp=sharing"","&amp;"""จันทบุรี!L767"")+IMPORTRANGE(""https://docs.google.com/spreadsheets/d/1T1PQvRODqOBZk8BRht_U031fIS1beLA0Ub2CEytj2q0/edit?usp=sharing"",""ฉะเชิงเทรา!L767"")+IMPORTRANGE(""https://docs.google.com/spreadsheets/d/11tr1B-Bhyr79v2bkwVh5h_fR-PStkgjlZtkrZpYurG0/"&amp;"edit?usp=sharing"",""ชลบุรี!L767"")+IMPORTRANGE(""https://docs.google.com/spreadsheets/d/1hh-FVnSX0vozXhGluamEcS54Dw9_zqW0N7qJUWgJ0Sw/edit?usp=sharing"",""ชัยนาท!L767"")+IMPORTRANGE(""https://docs.google.com/spreadsheets/d/1jkqa6GXxSacMcY1eN8AHjMNJ_7dDXMJ"&amp;"VRLDlaFSOdPM/edit?usp=sharing"",""ตราด!L767"")+IMPORTRANGE(""https://docs.google.com/spreadsheets/d/18hSgUJ3VwClqi_qtULmmW3cLr0oe3OKaSYoKzdpTsYQ/edit?usp=sharing"",""นครนายก!L767"")+IMPORTRANGE(""https://docs.google.com/spreadsheets/d/1YTZo6WM2dQ6Ix6FSdnL"&amp;"5P7uVnVKu40sxZu975tgG10E/edit?usp=sharing"",""นครปฐม!L767"")+IMPORTRANGE(""https://docs.google.com/spreadsheets/d/1OYoGg4WDg5RIzwGeB10padOxJF9E_Vljuvvct_M7RDo/edit?usp=sharing"",""ปทุมธานี!L767"")+IMPORTRANGE(""https://docs.google.com/spreadsheets/d/1GbCI"&amp;"E4D4wk9FUozzqk7SxfDMxDVBwVmI5zcaVUSzKAc/edit?usp=sharing"",""ประจวบคีรีขันธ์!L767"")+IMPORTRANGE(""https://docs.google.com/spreadsheets/d/1vVf6wykvW_lAyu7Yo9L4hUTqHqIeP_qcVuxCtosJEbg/edit?usp=sharing"",""ปราจีนบุรี!L767"")+IMPORTRANGE(""https://docs.googl"&amp;"e.com/spreadsheets/d/1BIDqLLg5jk3v59G8NlR8rk5xfQDKne0sAvZHSj7TI6I/edit?usp=sharing"",""พระนครศรีอยุธยา!L767"")+IMPORTRANGE(""https://docs.google.com/spreadsheets/d/1YXvxf8Yu6_rV4hTBrwMqAcAnv6DfhUxh5emyM3CJp_w/edit?usp=sharing"",""เพชรบุรี!L767"")+IMPORTRA"&amp;"NGE(""https://docs.google.com/spreadsheets/d/19KBlQQs7uwvsao6t2n-KvW3Ax8J8uRRfZPq1zPbXgKc/edit?usp=sharing"",""ระยอง!L767"")+IMPORTRANGE(""https://docs.google.com/spreadsheets/d/1jQ6P4QcrGM89YfqcC_PxOHGCMq5ezhucwJd8ci-NHng/edit?usp=sharing"",""ราชบุรี!L76"&amp;"7"")+IMPORTRANGE(""https://docs.google.com/spreadsheets/d/1lufeA2cfFqM-elVq2hznhDzC6Pr7wkJ9ZG_sYNGCMCU/edit?usp=sharing"",""ลพบุรี!L767"")+IMPORTRANGE(""https://docs.google.com/spreadsheets/d/10oOiF7loTyfsTkbd4MpaIm0HQ9SwB7IYHdIUvt-U1Uc/edit?usp=sharing"""&amp;",""สระแก้ว!L767"")+IMPORTRANGE(""https://docs.google.com/spreadsheets/d/1xmPlrr1QbdSIKvl1dWUl9K4PjAfSL9oeMr_37QVzcxc/edit?usp=sharing"",""สระบุรี!L767"")+IMPORTRANGE(""https://docs.google.com/spreadsheets/d/1j51vR6CYVGhABJpv6tkstgok82RLpXieLzW1yOY5rHw/edi"&amp;"t?usp=sharing"",""สิงห์บุรี!L767"")+IMPORTRANGE(""https://docs.google.com/spreadsheets/d/1H1EalTWKUSzO4Z1-1CwzoDUaVffgrThEBe2sl74kKG0/edit?usp=sharing"",""สุพรรณบุรี!L767"")+IMPORTRANGE(""https://docs.google.com/spreadsheets/d/1BmIruG_sIrJLYao_Pdr7zVArWsf"&amp;"oBt2692TMi6x_854/edit?usp=sharing"",""อ่างทอง!L767"")"),0)</f>
        <v>0</v>
      </c>
      <c r="M767" s="75">
        <f ca="1">IFERROR(__xludf.DUMMYFUNCTION("IMPORTRANGE(""https://docs.google.com/spreadsheets/d/13wPX838HrBrQMCywv1BsuMkt4PEKTChp52zj44s2izQ/edit?usp=sharing"",""กาญจนบุรี!M767"")+IMPORTRANGE(""https://docs.google.com/spreadsheets/d/1ddFKvqj1W1NEiWytbGlB1zMx_ykJDVtmfEQ-6-lIUBA/edit?usp=sharing"","&amp;"""จันทบุรี!M767"")+IMPORTRANGE(""https://docs.google.com/spreadsheets/d/1T1PQvRODqOBZk8BRht_U031fIS1beLA0Ub2CEytj2q0/edit?usp=sharing"",""ฉะเชิงเทรา!M767"")+IMPORTRANGE(""https://docs.google.com/spreadsheets/d/11tr1B-Bhyr79v2bkwVh5h_fR-PStkgjlZtkrZpYurG0/"&amp;"edit?usp=sharing"",""ชลบุรี!M767"")+IMPORTRANGE(""https://docs.google.com/spreadsheets/d/1hh-FVnSX0vozXhGluamEcS54Dw9_zqW0N7qJUWgJ0Sw/edit?usp=sharing"",""ชัยนาท!M767"")+IMPORTRANGE(""https://docs.google.com/spreadsheets/d/1jkqa6GXxSacMcY1eN8AHjMNJ_7dDXMJ"&amp;"VRLDlaFSOdPM/edit?usp=sharing"",""ตราด!M767"")+IMPORTRANGE(""https://docs.google.com/spreadsheets/d/18hSgUJ3VwClqi_qtULmmW3cLr0oe3OKaSYoKzdpTsYQ/edit?usp=sharing"",""นครนายก!M767"")+IMPORTRANGE(""https://docs.google.com/spreadsheets/d/1YTZo6WM2dQ6Ix6FSdnL"&amp;"5P7uVnVKu40sxZu975tgG10E/edit?usp=sharing"",""นครปฐม!M767"")+IMPORTRANGE(""https://docs.google.com/spreadsheets/d/1OYoGg4WDg5RIzwGeB10padOxJF9E_Vljuvvct_M7RDo/edit?usp=sharing"",""ปทุมธานี!M767"")+IMPORTRANGE(""https://docs.google.com/spreadsheets/d/1GbCI"&amp;"E4D4wk9FUozzqk7SxfDMxDVBwVmI5zcaVUSzKAc/edit?usp=sharing"",""ประจวบคีรีขันธ์!M767"")+IMPORTRANGE(""https://docs.google.com/spreadsheets/d/1vVf6wykvW_lAyu7Yo9L4hUTqHqIeP_qcVuxCtosJEbg/edit?usp=sharing"",""ปราจีนบุรี!M767"")+IMPORTRANGE(""https://docs.googl"&amp;"e.com/spreadsheets/d/1BIDqLLg5jk3v59G8NlR8rk5xfQDKne0sAvZHSj7TI6I/edit?usp=sharing"",""พระนครศรีอยุธยา!M767"")+IMPORTRANGE(""https://docs.google.com/spreadsheets/d/1YXvxf8Yu6_rV4hTBrwMqAcAnv6DfhUxh5emyM3CJp_w/edit?usp=sharing"",""เพชรบุรี!M767"")+IMPORTRA"&amp;"NGE(""https://docs.google.com/spreadsheets/d/19KBlQQs7uwvsao6t2n-KvW3Ax8J8uRRfZPq1zPbXgKc/edit?usp=sharing"",""ระยอง!M767"")+IMPORTRANGE(""https://docs.google.com/spreadsheets/d/1jQ6P4QcrGM89YfqcC_PxOHGCMq5ezhucwJd8ci-NHng/edit?usp=sharing"",""ราชบุรี!M76"&amp;"7"")+IMPORTRANGE(""https://docs.google.com/spreadsheets/d/1lufeA2cfFqM-elVq2hznhDzC6Pr7wkJ9ZG_sYNGCMCU/edit?usp=sharing"",""ลพบุรี!M767"")+IMPORTRANGE(""https://docs.google.com/spreadsheets/d/10oOiF7loTyfsTkbd4MpaIm0HQ9SwB7IYHdIUvt-U1Uc/edit?usp=sharing"""&amp;",""สระแก้ว!M767"")+IMPORTRANGE(""https://docs.google.com/spreadsheets/d/1xmPlrr1QbdSIKvl1dWUl9K4PjAfSL9oeMr_37QVzcxc/edit?usp=sharing"",""สระบุรี!M767"")+IMPORTRANGE(""https://docs.google.com/spreadsheets/d/1j51vR6CYVGhABJpv6tkstgok82RLpXieLzW1yOY5rHw/edi"&amp;"t?usp=sharing"",""สิงห์บุรี!M767"")+IMPORTRANGE(""https://docs.google.com/spreadsheets/d/1H1EalTWKUSzO4Z1-1CwzoDUaVffgrThEBe2sl74kKG0/edit?usp=sharing"",""สุพรรณบุรี!M767"")+IMPORTRANGE(""https://docs.google.com/spreadsheets/d/1BmIruG_sIrJLYao_Pdr7zVArWsf"&amp;"oBt2692TMi6x_854/edit?usp=sharing"",""อ่างทอง!M767"")"),0)</f>
        <v>0</v>
      </c>
      <c r="N767" s="75">
        <f ca="1">IFERROR(__xludf.DUMMYFUNCTION("IMPORTRANGE(""https://docs.google.com/spreadsheets/d/13wPX838HrBrQMCywv1BsuMkt4PEKTChp52zj44s2izQ/edit?usp=sharing"",""กาญจนบุรี!N767"")+IMPORTRANGE(""https://docs.google.com/spreadsheets/d/1ddFKvqj1W1NEiWytbGlB1zMx_ykJDVtmfEQ-6-lIUBA/edit?usp=sharing"","&amp;"""จันทบุรี!N767"")+IMPORTRANGE(""https://docs.google.com/spreadsheets/d/1T1PQvRODqOBZk8BRht_U031fIS1beLA0Ub2CEytj2q0/edit?usp=sharing"",""ฉะเชิงเทรา!N767"")+IMPORTRANGE(""https://docs.google.com/spreadsheets/d/11tr1B-Bhyr79v2bkwVh5h_fR-PStkgjlZtkrZpYurG0/"&amp;"edit?usp=sharing"",""ชลบุรี!N767"")+IMPORTRANGE(""https://docs.google.com/spreadsheets/d/1hh-FVnSX0vozXhGluamEcS54Dw9_zqW0N7qJUWgJ0Sw/edit?usp=sharing"",""ชัยนาท!N767"")+IMPORTRANGE(""https://docs.google.com/spreadsheets/d/1jkqa6GXxSacMcY1eN8AHjMNJ_7dDXMJ"&amp;"VRLDlaFSOdPM/edit?usp=sharing"",""ตราด!N767"")+IMPORTRANGE(""https://docs.google.com/spreadsheets/d/18hSgUJ3VwClqi_qtULmmW3cLr0oe3OKaSYoKzdpTsYQ/edit?usp=sharing"",""นครนายก!N767"")+IMPORTRANGE(""https://docs.google.com/spreadsheets/d/1YTZo6WM2dQ6Ix6FSdnL"&amp;"5P7uVnVKu40sxZu975tgG10E/edit?usp=sharing"",""นครปฐม!N767"")+IMPORTRANGE(""https://docs.google.com/spreadsheets/d/1OYoGg4WDg5RIzwGeB10padOxJF9E_Vljuvvct_M7RDo/edit?usp=sharing"",""ปทุมธานี!N767"")+IMPORTRANGE(""https://docs.google.com/spreadsheets/d/1GbCI"&amp;"E4D4wk9FUozzqk7SxfDMxDVBwVmI5zcaVUSzKAc/edit?usp=sharing"",""ประจวบคีรีขันธ์!N767"")+IMPORTRANGE(""https://docs.google.com/spreadsheets/d/1vVf6wykvW_lAyu7Yo9L4hUTqHqIeP_qcVuxCtosJEbg/edit?usp=sharing"",""ปราจีนบุรี!N767"")+IMPORTRANGE(""https://docs.googl"&amp;"e.com/spreadsheets/d/1BIDqLLg5jk3v59G8NlR8rk5xfQDKne0sAvZHSj7TI6I/edit?usp=sharing"",""พระนครศรีอยุธยา!N767"")+IMPORTRANGE(""https://docs.google.com/spreadsheets/d/1YXvxf8Yu6_rV4hTBrwMqAcAnv6DfhUxh5emyM3CJp_w/edit?usp=sharing"",""เพชรบุรี!N767"")+IMPORTRA"&amp;"NGE(""https://docs.google.com/spreadsheets/d/19KBlQQs7uwvsao6t2n-KvW3Ax8J8uRRfZPq1zPbXgKc/edit?usp=sharing"",""ระยอง!N767"")+IMPORTRANGE(""https://docs.google.com/spreadsheets/d/1jQ6P4QcrGM89YfqcC_PxOHGCMq5ezhucwJd8ci-NHng/edit?usp=sharing"",""ราชบุรี!N76"&amp;"7"")+IMPORTRANGE(""https://docs.google.com/spreadsheets/d/1lufeA2cfFqM-elVq2hznhDzC6Pr7wkJ9ZG_sYNGCMCU/edit?usp=sharing"",""ลพบุรี!N767"")+IMPORTRANGE(""https://docs.google.com/spreadsheets/d/10oOiF7loTyfsTkbd4MpaIm0HQ9SwB7IYHdIUvt-U1Uc/edit?usp=sharing"""&amp;",""สระแก้ว!N767"")+IMPORTRANGE(""https://docs.google.com/spreadsheets/d/1xmPlrr1QbdSIKvl1dWUl9K4PjAfSL9oeMr_37QVzcxc/edit?usp=sharing"",""สระบุรี!N767"")+IMPORTRANGE(""https://docs.google.com/spreadsheets/d/1j51vR6CYVGhABJpv6tkstgok82RLpXieLzW1yOY5rHw/edi"&amp;"t?usp=sharing"",""สิงห์บุรี!N767"")+IMPORTRANGE(""https://docs.google.com/spreadsheets/d/1H1EalTWKUSzO4Z1-1CwzoDUaVffgrThEBe2sl74kKG0/edit?usp=sharing"",""สุพรรณบุรี!N767"")+IMPORTRANGE(""https://docs.google.com/spreadsheets/d/1BmIruG_sIrJLYao_Pdr7zVArWsf"&amp;"oBt2692TMi6x_854/edit?usp=sharing"",""อ่างทอง!N767"")"),0)</f>
        <v>0</v>
      </c>
      <c r="O767" s="75">
        <f t="shared" ca="1" si="514"/>
        <v>0</v>
      </c>
      <c r="P767" s="75">
        <f t="shared" ca="1" si="515"/>
        <v>0</v>
      </c>
      <c r="Q767" s="74">
        <f ca="1">IFERROR(__xludf.DUMMYFUNCTION("IMPORTRANGE(""https://docs.google.com/spreadsheets/d/13wPX838HrBrQMCywv1BsuMkt4PEKTChp52zj44s2izQ/edit?usp=sharing"",""กาญจนบุรี!Q767"")+IMPORTRANGE(""https://docs.google.com/spreadsheets/d/1ddFKvqj1W1NEiWytbGlB1zMx_ykJDVtmfEQ-6-lIUBA/edit?usp=sharing"","&amp;"""จันทบุรี!Q767"")+IMPORTRANGE(""https://docs.google.com/spreadsheets/d/1T1PQvRODqOBZk8BRht_U031fIS1beLA0Ub2CEytj2q0/edit?usp=sharing"",""ฉะเชิงเทรา!Q767"")+IMPORTRANGE(""https://docs.google.com/spreadsheets/d/11tr1B-Bhyr79v2bkwVh5h_fR-PStkgjlZtkrZpYurG0/"&amp;"edit?usp=sharing"",""ชลบุรี!Q767"")+IMPORTRANGE(""https://docs.google.com/spreadsheets/d/1hh-FVnSX0vozXhGluamEcS54Dw9_zqW0N7qJUWgJ0Sw/edit?usp=sharing"",""ชัยนาท!Q767"")+IMPORTRANGE(""https://docs.google.com/spreadsheets/d/1jkqa6GXxSacMcY1eN8AHjMNJ_7dDXMJ"&amp;"VRLDlaFSOdPM/edit?usp=sharing"",""ตราด!Q767"")+IMPORTRANGE(""https://docs.google.com/spreadsheets/d/18hSgUJ3VwClqi_qtULmmW3cLr0oe3OKaSYoKzdpTsYQ/edit?usp=sharing"",""นครนายก!Q767"")+IMPORTRANGE(""https://docs.google.com/spreadsheets/d/1YTZo6WM2dQ6Ix6FSdnL"&amp;"5P7uVnVKu40sxZu975tgG10E/edit?usp=sharing"",""นครปฐม!Q767"")+IMPORTRANGE(""https://docs.google.com/spreadsheets/d/1OYoGg4WDg5RIzwGeB10padOxJF9E_Vljuvvct_M7RDo/edit?usp=sharing"",""ปทุมธานี!Q767"")+IMPORTRANGE(""https://docs.google.com/spreadsheets/d/1GbCI"&amp;"E4D4wk9FUozzqk7SxfDMxDVBwVmI5zcaVUSzKAc/edit?usp=sharing"",""ประจวบคีรีขันธ์!Q767"")+IMPORTRANGE(""https://docs.google.com/spreadsheets/d/1vVf6wykvW_lAyu7Yo9L4hUTqHqIeP_qcVuxCtosJEbg/edit?usp=sharing"",""ปราจีนบุรี!Q767"")+IMPORTRANGE(""https://docs.googl"&amp;"e.com/spreadsheets/d/1BIDqLLg5jk3v59G8NlR8rk5xfQDKne0sAvZHSj7TI6I/edit?usp=sharing"",""พระนครศรีอยุธยา!Q767"")+IMPORTRANGE(""https://docs.google.com/spreadsheets/d/1YXvxf8Yu6_rV4hTBrwMqAcAnv6DfhUxh5emyM3CJp_w/edit?usp=sharing"",""เพชรบุรี!Q767"")+IMPORTRA"&amp;"NGE(""https://docs.google.com/spreadsheets/d/19KBlQQs7uwvsao6t2n-KvW3Ax8J8uRRfZPq1zPbXgKc/edit?usp=sharing"",""ระยอง!Q767"")+IMPORTRANGE(""https://docs.google.com/spreadsheets/d/1jQ6P4QcrGM89YfqcC_PxOHGCMq5ezhucwJd8ci-NHng/edit?usp=sharing"",""ราชบุรี!Q76"&amp;"7"")+IMPORTRANGE(""https://docs.google.com/spreadsheets/d/1lufeA2cfFqM-elVq2hznhDzC6Pr7wkJ9ZG_sYNGCMCU/edit?usp=sharing"",""ลพบุรี!Q767"")+IMPORTRANGE(""https://docs.google.com/spreadsheets/d/10oOiF7loTyfsTkbd4MpaIm0HQ9SwB7IYHdIUvt-U1Uc/edit?usp=sharing"""&amp;",""สระแก้ว!Q767"")+IMPORTRANGE(""https://docs.google.com/spreadsheets/d/1xmPlrr1QbdSIKvl1dWUl9K4PjAfSL9oeMr_37QVzcxc/edit?usp=sharing"",""สระบุรี!Q767"")+IMPORTRANGE(""https://docs.google.com/spreadsheets/d/1j51vR6CYVGhABJpv6tkstgok82RLpXieLzW1yOY5rHw/edi"&amp;"t?usp=sharing"",""สิงห์บุรี!Q767"")+IMPORTRANGE(""https://docs.google.com/spreadsheets/d/1H1EalTWKUSzO4Z1-1CwzoDUaVffgrThEBe2sl74kKG0/edit?usp=sharing"",""สุพรรณบุรี!Q767"")+IMPORTRANGE(""https://docs.google.com/spreadsheets/d/1BmIruG_sIrJLYao_Pdr7zVArWsf"&amp;"oBt2692TMi6x_854/edit?usp=sharing"",""อ่างทอง!Q767"")"),0)</f>
        <v>0</v>
      </c>
      <c r="R767" s="75">
        <f ca="1">IFERROR(__xludf.DUMMYFUNCTION("IMPORTRANGE(""https://docs.google.com/spreadsheets/d/13wPX838HrBrQMCywv1BsuMkt4PEKTChp52zj44s2izQ/edit?usp=sharing"",""กาญจนบุรี!R767"")+IMPORTRANGE(""https://docs.google.com/spreadsheets/d/1ddFKvqj1W1NEiWytbGlB1zMx_ykJDVtmfEQ-6-lIUBA/edit?usp=sharing"","&amp;"""จันทบุรี!R767"")+IMPORTRANGE(""https://docs.google.com/spreadsheets/d/1T1PQvRODqOBZk8BRht_U031fIS1beLA0Ub2CEytj2q0/edit?usp=sharing"",""ฉะเชิงเทรา!R767"")+IMPORTRANGE(""https://docs.google.com/spreadsheets/d/11tr1B-Bhyr79v2bkwVh5h_fR-PStkgjlZtkrZpYurG0/"&amp;"edit?usp=sharing"",""ชลบุรี!R767"")+IMPORTRANGE(""https://docs.google.com/spreadsheets/d/1hh-FVnSX0vozXhGluamEcS54Dw9_zqW0N7qJUWgJ0Sw/edit?usp=sharing"",""ชัยนาท!R767"")+IMPORTRANGE(""https://docs.google.com/spreadsheets/d/1jkqa6GXxSacMcY1eN8AHjMNJ_7dDXMJ"&amp;"VRLDlaFSOdPM/edit?usp=sharing"",""ตราด!R767"")+IMPORTRANGE(""https://docs.google.com/spreadsheets/d/18hSgUJ3VwClqi_qtULmmW3cLr0oe3OKaSYoKzdpTsYQ/edit?usp=sharing"",""นครนายก!R767"")+IMPORTRANGE(""https://docs.google.com/spreadsheets/d/1YTZo6WM2dQ6Ix6FSdnL"&amp;"5P7uVnVKu40sxZu975tgG10E/edit?usp=sharing"",""นครปฐม!R767"")+IMPORTRANGE(""https://docs.google.com/spreadsheets/d/1OYoGg4WDg5RIzwGeB10padOxJF9E_Vljuvvct_M7RDo/edit?usp=sharing"",""ปทุมธานี!R767"")+IMPORTRANGE(""https://docs.google.com/spreadsheets/d/1GbCI"&amp;"E4D4wk9FUozzqk7SxfDMxDVBwVmI5zcaVUSzKAc/edit?usp=sharing"",""ประจวบคีรีขันธ์!R767"")+IMPORTRANGE(""https://docs.google.com/spreadsheets/d/1vVf6wykvW_lAyu7Yo9L4hUTqHqIeP_qcVuxCtosJEbg/edit?usp=sharing"",""ปราจีนบุรี!R767"")+IMPORTRANGE(""https://docs.googl"&amp;"e.com/spreadsheets/d/1BIDqLLg5jk3v59G8NlR8rk5xfQDKne0sAvZHSj7TI6I/edit?usp=sharing"",""พระนครศรีอยุธยา!R767"")+IMPORTRANGE(""https://docs.google.com/spreadsheets/d/1YXvxf8Yu6_rV4hTBrwMqAcAnv6DfhUxh5emyM3CJp_w/edit?usp=sharing"",""เพชรบุรี!R767"")+IMPORTRA"&amp;"NGE(""https://docs.google.com/spreadsheets/d/19KBlQQs7uwvsao6t2n-KvW3Ax8J8uRRfZPq1zPbXgKc/edit?usp=sharing"",""ระยอง!R767"")+IMPORTRANGE(""https://docs.google.com/spreadsheets/d/1jQ6P4QcrGM89YfqcC_PxOHGCMq5ezhucwJd8ci-NHng/edit?usp=sharing"",""ราชบุรี!R76"&amp;"7"")+IMPORTRANGE(""https://docs.google.com/spreadsheets/d/1lufeA2cfFqM-elVq2hznhDzC6Pr7wkJ9ZG_sYNGCMCU/edit?usp=sharing"",""ลพบุรี!R767"")+IMPORTRANGE(""https://docs.google.com/spreadsheets/d/10oOiF7loTyfsTkbd4MpaIm0HQ9SwB7IYHdIUvt-U1Uc/edit?usp=sharing"""&amp;",""สระแก้ว!R767"")+IMPORTRANGE(""https://docs.google.com/spreadsheets/d/1xmPlrr1QbdSIKvl1dWUl9K4PjAfSL9oeMr_37QVzcxc/edit?usp=sharing"",""สระบุรี!R767"")+IMPORTRANGE(""https://docs.google.com/spreadsheets/d/1j51vR6CYVGhABJpv6tkstgok82RLpXieLzW1yOY5rHw/edi"&amp;"t?usp=sharing"",""สิงห์บุรี!R767"")+IMPORTRANGE(""https://docs.google.com/spreadsheets/d/1H1EalTWKUSzO4Z1-1CwzoDUaVffgrThEBe2sl74kKG0/edit?usp=sharing"",""สุพรรณบุรี!R767"")+IMPORTRANGE(""https://docs.google.com/spreadsheets/d/1BmIruG_sIrJLYao_Pdr7zVArWsf"&amp;"oBt2692TMi6x_854/edit?usp=sharing"",""อ่างทอง!R767"")"),0)</f>
        <v>0</v>
      </c>
      <c r="S767" s="75">
        <f ca="1">IFERROR(__xludf.DUMMYFUNCTION("IMPORTRANGE(""https://docs.google.com/spreadsheets/d/13wPX838HrBrQMCywv1BsuMkt4PEKTChp52zj44s2izQ/edit?usp=sharing"",""กาญจนบุรี!S767"")+IMPORTRANGE(""https://docs.google.com/spreadsheets/d/1ddFKvqj1W1NEiWytbGlB1zMx_ykJDVtmfEQ-6-lIUBA/edit?usp=sharing"","&amp;"""จันทบุรี!S767"")+IMPORTRANGE(""https://docs.google.com/spreadsheets/d/1T1PQvRODqOBZk8BRht_U031fIS1beLA0Ub2CEytj2q0/edit?usp=sharing"",""ฉะเชิงเทรา!S767"")+IMPORTRANGE(""https://docs.google.com/spreadsheets/d/11tr1B-Bhyr79v2bkwVh5h_fR-PStkgjlZtkrZpYurG0/"&amp;"edit?usp=sharing"",""ชลบุรี!S767"")+IMPORTRANGE(""https://docs.google.com/spreadsheets/d/1hh-FVnSX0vozXhGluamEcS54Dw9_zqW0N7qJUWgJ0Sw/edit?usp=sharing"",""ชัยนาท!S767"")+IMPORTRANGE(""https://docs.google.com/spreadsheets/d/1jkqa6GXxSacMcY1eN8AHjMNJ_7dDXMJ"&amp;"VRLDlaFSOdPM/edit?usp=sharing"",""ตราด!S767"")+IMPORTRANGE(""https://docs.google.com/spreadsheets/d/18hSgUJ3VwClqi_qtULmmW3cLr0oe3OKaSYoKzdpTsYQ/edit?usp=sharing"",""นครนายก!S767"")+IMPORTRANGE(""https://docs.google.com/spreadsheets/d/1YTZo6WM2dQ6Ix6FSdnL"&amp;"5P7uVnVKu40sxZu975tgG10E/edit?usp=sharing"",""นครปฐม!S767"")+IMPORTRANGE(""https://docs.google.com/spreadsheets/d/1OYoGg4WDg5RIzwGeB10padOxJF9E_Vljuvvct_M7RDo/edit?usp=sharing"",""ปทุมธานี!S767"")+IMPORTRANGE(""https://docs.google.com/spreadsheets/d/1GbCI"&amp;"E4D4wk9FUozzqk7SxfDMxDVBwVmI5zcaVUSzKAc/edit?usp=sharing"",""ประจวบคีรีขันธ์!S767"")+IMPORTRANGE(""https://docs.google.com/spreadsheets/d/1vVf6wykvW_lAyu7Yo9L4hUTqHqIeP_qcVuxCtosJEbg/edit?usp=sharing"",""ปราจีนบุรี!S767"")+IMPORTRANGE(""https://docs.googl"&amp;"e.com/spreadsheets/d/1BIDqLLg5jk3v59G8NlR8rk5xfQDKne0sAvZHSj7TI6I/edit?usp=sharing"",""พระนครศรีอยุธยา!S767"")+IMPORTRANGE(""https://docs.google.com/spreadsheets/d/1YXvxf8Yu6_rV4hTBrwMqAcAnv6DfhUxh5emyM3CJp_w/edit?usp=sharing"",""เพชรบุรี!S767"")+IMPORTRA"&amp;"NGE(""https://docs.google.com/spreadsheets/d/19KBlQQs7uwvsao6t2n-KvW3Ax8J8uRRfZPq1zPbXgKc/edit?usp=sharing"",""ระยอง!S767"")+IMPORTRANGE(""https://docs.google.com/spreadsheets/d/1jQ6P4QcrGM89YfqcC_PxOHGCMq5ezhucwJd8ci-NHng/edit?usp=sharing"",""ราชบุรี!S76"&amp;"7"")+IMPORTRANGE(""https://docs.google.com/spreadsheets/d/1lufeA2cfFqM-elVq2hznhDzC6Pr7wkJ9ZG_sYNGCMCU/edit?usp=sharing"",""ลพบุรี!S767"")+IMPORTRANGE(""https://docs.google.com/spreadsheets/d/10oOiF7loTyfsTkbd4MpaIm0HQ9SwB7IYHdIUvt-U1Uc/edit?usp=sharing"""&amp;",""สระแก้ว!S767"")+IMPORTRANGE(""https://docs.google.com/spreadsheets/d/1xmPlrr1QbdSIKvl1dWUl9K4PjAfSL9oeMr_37QVzcxc/edit?usp=sharing"",""สระบุรี!S767"")+IMPORTRANGE(""https://docs.google.com/spreadsheets/d/1j51vR6CYVGhABJpv6tkstgok82RLpXieLzW1yOY5rHw/edi"&amp;"t?usp=sharing"",""สิงห์บุรี!S767"")+IMPORTRANGE(""https://docs.google.com/spreadsheets/d/1H1EalTWKUSzO4Z1-1CwzoDUaVffgrThEBe2sl74kKG0/edit?usp=sharing"",""สุพรรณบุรี!S767"")+IMPORTRANGE(""https://docs.google.com/spreadsheets/d/1BmIruG_sIrJLYao_Pdr7zVArWsf"&amp;"oBt2692TMi6x_854/edit?usp=sharing"",""อ่างทอง!S767"")"),0)</f>
        <v>0</v>
      </c>
      <c r="T767" s="131">
        <f t="shared" ca="1" si="517"/>
        <v>0</v>
      </c>
      <c r="U767" s="131">
        <f t="shared" ca="1" si="518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2">
        <f ca="1">IFERROR(__xludf.DUMMYFUNCTION("IMPORTRANGE(""https://docs.google.com/spreadsheets/d/13wPX838HrBrQMCywv1BsuMkt4PEKTChp52zj44s2izQ/edit?usp=sharing"",""กาญจนบุรี!L768"")+IMPORTRANGE(""https://docs.google.com/spreadsheets/d/1ddFKvqj1W1NEiWytbGlB1zMx_ykJDVtmfEQ-6-lIUBA/edit?usp=sharing"","&amp;"""จันทบุรี!L768"")+IMPORTRANGE(""https://docs.google.com/spreadsheets/d/1T1PQvRODqOBZk8BRht_U031fIS1beLA0Ub2CEytj2q0/edit?usp=sharing"",""ฉะเชิงเทรา!L768"")+IMPORTRANGE(""https://docs.google.com/spreadsheets/d/11tr1B-Bhyr79v2bkwVh5h_fR-PStkgjlZtkrZpYurG0/"&amp;"edit?usp=sharing"",""ชลบุรี!L768"")+IMPORTRANGE(""https://docs.google.com/spreadsheets/d/1hh-FVnSX0vozXhGluamEcS54Dw9_zqW0N7qJUWgJ0Sw/edit?usp=sharing"",""ชัยนาท!L768"")+IMPORTRANGE(""https://docs.google.com/spreadsheets/d/1jkqa6GXxSacMcY1eN8AHjMNJ_7dDXMJ"&amp;"VRLDlaFSOdPM/edit?usp=sharing"",""ตราด!L768"")+IMPORTRANGE(""https://docs.google.com/spreadsheets/d/18hSgUJ3VwClqi_qtULmmW3cLr0oe3OKaSYoKzdpTsYQ/edit?usp=sharing"",""นครนายก!L768"")+IMPORTRANGE(""https://docs.google.com/spreadsheets/d/1YTZo6WM2dQ6Ix6FSdnL"&amp;"5P7uVnVKu40sxZu975tgG10E/edit?usp=sharing"",""นครปฐม!L768"")+IMPORTRANGE(""https://docs.google.com/spreadsheets/d/1OYoGg4WDg5RIzwGeB10padOxJF9E_Vljuvvct_M7RDo/edit?usp=sharing"",""ปทุมธานี!L768"")+IMPORTRANGE(""https://docs.google.com/spreadsheets/d/1GbCI"&amp;"E4D4wk9FUozzqk7SxfDMxDVBwVmI5zcaVUSzKAc/edit?usp=sharing"",""ประจวบคีรีขันธ์!L768"")+IMPORTRANGE(""https://docs.google.com/spreadsheets/d/1vVf6wykvW_lAyu7Yo9L4hUTqHqIeP_qcVuxCtosJEbg/edit?usp=sharing"",""ปราจีนบุรี!L768"")+IMPORTRANGE(""https://docs.googl"&amp;"e.com/spreadsheets/d/1BIDqLLg5jk3v59G8NlR8rk5xfQDKne0sAvZHSj7TI6I/edit?usp=sharing"",""พระนครศรีอยุธยา!L768"")+IMPORTRANGE(""https://docs.google.com/spreadsheets/d/1YXvxf8Yu6_rV4hTBrwMqAcAnv6DfhUxh5emyM3CJp_w/edit?usp=sharing"",""เพชรบุรี!L768"")+IMPORTRA"&amp;"NGE(""https://docs.google.com/spreadsheets/d/19KBlQQs7uwvsao6t2n-KvW3Ax8J8uRRfZPq1zPbXgKc/edit?usp=sharing"",""ระยอง!L768"")+IMPORTRANGE(""https://docs.google.com/spreadsheets/d/1jQ6P4QcrGM89YfqcC_PxOHGCMq5ezhucwJd8ci-NHng/edit?usp=sharing"",""ราชบุรี!L76"&amp;"8"")+IMPORTRANGE(""https://docs.google.com/spreadsheets/d/1lufeA2cfFqM-elVq2hznhDzC6Pr7wkJ9ZG_sYNGCMCU/edit?usp=sharing"",""ลพบุรี!L768"")+IMPORTRANGE(""https://docs.google.com/spreadsheets/d/10oOiF7loTyfsTkbd4MpaIm0HQ9SwB7IYHdIUvt-U1Uc/edit?usp=sharing"""&amp;",""สระแก้ว!L768"")+IMPORTRANGE(""https://docs.google.com/spreadsheets/d/1xmPlrr1QbdSIKvl1dWUl9K4PjAfSL9oeMr_37QVzcxc/edit?usp=sharing"",""สระบุรี!L768"")+IMPORTRANGE(""https://docs.google.com/spreadsheets/d/1j51vR6CYVGhABJpv6tkstgok82RLpXieLzW1yOY5rHw/edi"&amp;"t?usp=sharing"",""สิงห์บุรี!L768"")+IMPORTRANGE(""https://docs.google.com/spreadsheets/d/1H1EalTWKUSzO4Z1-1CwzoDUaVffgrThEBe2sl74kKG0/edit?usp=sharing"",""สุพรรณบุรี!L768"")+IMPORTRANGE(""https://docs.google.com/spreadsheets/d/1BmIruG_sIrJLYao_Pdr7zVArWsf"&amp;"oBt2692TMi6x_854/edit?usp=sharing"",""อ่างทอง!L768"")"),0)</f>
        <v>0</v>
      </c>
      <c r="M768" s="72">
        <f ca="1">IFERROR(__xludf.DUMMYFUNCTION("IMPORTRANGE(""https://docs.google.com/spreadsheets/d/13wPX838HrBrQMCywv1BsuMkt4PEKTChp52zj44s2izQ/edit?usp=sharing"",""กาญจนบุรี!M768"")+IMPORTRANGE(""https://docs.google.com/spreadsheets/d/1ddFKvqj1W1NEiWytbGlB1zMx_ykJDVtmfEQ-6-lIUBA/edit?usp=sharing"","&amp;"""จันทบุรี!M768"")+IMPORTRANGE(""https://docs.google.com/spreadsheets/d/1T1PQvRODqOBZk8BRht_U031fIS1beLA0Ub2CEytj2q0/edit?usp=sharing"",""ฉะเชิงเทรา!M768"")+IMPORTRANGE(""https://docs.google.com/spreadsheets/d/11tr1B-Bhyr79v2bkwVh5h_fR-PStkgjlZtkrZpYurG0/"&amp;"edit?usp=sharing"",""ชลบุรี!M768"")+IMPORTRANGE(""https://docs.google.com/spreadsheets/d/1hh-FVnSX0vozXhGluamEcS54Dw9_zqW0N7qJUWgJ0Sw/edit?usp=sharing"",""ชัยนาท!M768"")+IMPORTRANGE(""https://docs.google.com/spreadsheets/d/1jkqa6GXxSacMcY1eN8AHjMNJ_7dDXMJ"&amp;"VRLDlaFSOdPM/edit?usp=sharing"",""ตราด!M768"")+IMPORTRANGE(""https://docs.google.com/spreadsheets/d/18hSgUJ3VwClqi_qtULmmW3cLr0oe3OKaSYoKzdpTsYQ/edit?usp=sharing"",""นครนายก!M768"")+IMPORTRANGE(""https://docs.google.com/spreadsheets/d/1YTZo6WM2dQ6Ix6FSdnL"&amp;"5P7uVnVKu40sxZu975tgG10E/edit?usp=sharing"",""นครปฐม!M768"")+IMPORTRANGE(""https://docs.google.com/spreadsheets/d/1OYoGg4WDg5RIzwGeB10padOxJF9E_Vljuvvct_M7RDo/edit?usp=sharing"",""ปทุมธานี!M768"")+IMPORTRANGE(""https://docs.google.com/spreadsheets/d/1GbCI"&amp;"E4D4wk9FUozzqk7SxfDMxDVBwVmI5zcaVUSzKAc/edit?usp=sharing"",""ประจวบคีรีขันธ์!M768"")+IMPORTRANGE(""https://docs.google.com/spreadsheets/d/1vVf6wykvW_lAyu7Yo9L4hUTqHqIeP_qcVuxCtosJEbg/edit?usp=sharing"",""ปราจีนบุรี!M768"")+IMPORTRANGE(""https://docs.googl"&amp;"e.com/spreadsheets/d/1BIDqLLg5jk3v59G8NlR8rk5xfQDKne0sAvZHSj7TI6I/edit?usp=sharing"",""พระนครศรีอยุธยา!M768"")+IMPORTRANGE(""https://docs.google.com/spreadsheets/d/1YXvxf8Yu6_rV4hTBrwMqAcAnv6DfhUxh5emyM3CJp_w/edit?usp=sharing"",""เพชรบุรี!M768"")+IMPORTRA"&amp;"NGE(""https://docs.google.com/spreadsheets/d/19KBlQQs7uwvsao6t2n-KvW3Ax8J8uRRfZPq1zPbXgKc/edit?usp=sharing"",""ระยอง!M768"")+IMPORTRANGE(""https://docs.google.com/spreadsheets/d/1jQ6P4QcrGM89YfqcC_PxOHGCMq5ezhucwJd8ci-NHng/edit?usp=sharing"",""ราชบุรี!M76"&amp;"8"")+IMPORTRANGE(""https://docs.google.com/spreadsheets/d/1lufeA2cfFqM-elVq2hznhDzC6Pr7wkJ9ZG_sYNGCMCU/edit?usp=sharing"",""ลพบุรี!M768"")+IMPORTRANGE(""https://docs.google.com/spreadsheets/d/10oOiF7loTyfsTkbd4MpaIm0HQ9SwB7IYHdIUvt-U1Uc/edit?usp=sharing"""&amp;",""สระแก้ว!M768"")+IMPORTRANGE(""https://docs.google.com/spreadsheets/d/1xmPlrr1QbdSIKvl1dWUl9K4PjAfSL9oeMr_37QVzcxc/edit?usp=sharing"",""สระบุรี!M768"")+IMPORTRANGE(""https://docs.google.com/spreadsheets/d/1j51vR6CYVGhABJpv6tkstgok82RLpXieLzW1yOY5rHw/edi"&amp;"t?usp=sharing"",""สิงห์บุรี!M768"")+IMPORTRANGE(""https://docs.google.com/spreadsheets/d/1H1EalTWKUSzO4Z1-1CwzoDUaVffgrThEBe2sl74kKG0/edit?usp=sharing"",""สุพรรณบุรี!M768"")+IMPORTRANGE(""https://docs.google.com/spreadsheets/d/1BmIruG_sIrJLYao_Pdr7zVArWsf"&amp;"oBt2692TMi6x_854/edit?usp=sharing"",""อ่างทอง!M768"")"),0)</f>
        <v>0</v>
      </c>
      <c r="N768" s="72">
        <f ca="1">IFERROR(__xludf.DUMMYFUNCTION("IMPORTRANGE(""https://docs.google.com/spreadsheets/d/13wPX838HrBrQMCywv1BsuMkt4PEKTChp52zj44s2izQ/edit?usp=sharing"",""กาญจนบุรี!N768"")+IMPORTRANGE(""https://docs.google.com/spreadsheets/d/1ddFKvqj1W1NEiWytbGlB1zMx_ykJDVtmfEQ-6-lIUBA/edit?usp=sharing"","&amp;"""จันทบุรี!N768"")+IMPORTRANGE(""https://docs.google.com/spreadsheets/d/1T1PQvRODqOBZk8BRht_U031fIS1beLA0Ub2CEytj2q0/edit?usp=sharing"",""ฉะเชิงเทรา!N768"")+IMPORTRANGE(""https://docs.google.com/spreadsheets/d/11tr1B-Bhyr79v2bkwVh5h_fR-PStkgjlZtkrZpYurG0/"&amp;"edit?usp=sharing"",""ชลบุรี!N768"")+IMPORTRANGE(""https://docs.google.com/spreadsheets/d/1hh-FVnSX0vozXhGluamEcS54Dw9_zqW0N7qJUWgJ0Sw/edit?usp=sharing"",""ชัยนาท!N768"")+IMPORTRANGE(""https://docs.google.com/spreadsheets/d/1jkqa6GXxSacMcY1eN8AHjMNJ_7dDXMJ"&amp;"VRLDlaFSOdPM/edit?usp=sharing"",""ตราด!N768"")+IMPORTRANGE(""https://docs.google.com/spreadsheets/d/18hSgUJ3VwClqi_qtULmmW3cLr0oe3OKaSYoKzdpTsYQ/edit?usp=sharing"",""นครนายก!N768"")+IMPORTRANGE(""https://docs.google.com/spreadsheets/d/1YTZo6WM2dQ6Ix6FSdnL"&amp;"5P7uVnVKu40sxZu975tgG10E/edit?usp=sharing"",""นครปฐม!N768"")+IMPORTRANGE(""https://docs.google.com/spreadsheets/d/1OYoGg4WDg5RIzwGeB10padOxJF9E_Vljuvvct_M7RDo/edit?usp=sharing"",""ปทุมธานี!N768"")+IMPORTRANGE(""https://docs.google.com/spreadsheets/d/1GbCI"&amp;"E4D4wk9FUozzqk7SxfDMxDVBwVmI5zcaVUSzKAc/edit?usp=sharing"",""ประจวบคีรีขันธ์!N768"")+IMPORTRANGE(""https://docs.google.com/spreadsheets/d/1vVf6wykvW_lAyu7Yo9L4hUTqHqIeP_qcVuxCtosJEbg/edit?usp=sharing"",""ปราจีนบุรี!N768"")+IMPORTRANGE(""https://docs.googl"&amp;"e.com/spreadsheets/d/1BIDqLLg5jk3v59G8NlR8rk5xfQDKne0sAvZHSj7TI6I/edit?usp=sharing"",""พระนครศรีอยุธยา!N768"")+IMPORTRANGE(""https://docs.google.com/spreadsheets/d/1YXvxf8Yu6_rV4hTBrwMqAcAnv6DfhUxh5emyM3CJp_w/edit?usp=sharing"",""เพชรบุรี!N768"")+IMPORTRA"&amp;"NGE(""https://docs.google.com/spreadsheets/d/19KBlQQs7uwvsao6t2n-KvW3Ax8J8uRRfZPq1zPbXgKc/edit?usp=sharing"",""ระยอง!N768"")+IMPORTRANGE(""https://docs.google.com/spreadsheets/d/1jQ6P4QcrGM89YfqcC_PxOHGCMq5ezhucwJd8ci-NHng/edit?usp=sharing"",""ราชบุรี!N76"&amp;"8"")+IMPORTRANGE(""https://docs.google.com/spreadsheets/d/1lufeA2cfFqM-elVq2hznhDzC6Pr7wkJ9ZG_sYNGCMCU/edit?usp=sharing"",""ลพบุรี!N768"")+IMPORTRANGE(""https://docs.google.com/spreadsheets/d/10oOiF7loTyfsTkbd4MpaIm0HQ9SwB7IYHdIUvt-U1Uc/edit?usp=sharing"""&amp;",""สระแก้ว!N768"")+IMPORTRANGE(""https://docs.google.com/spreadsheets/d/1xmPlrr1QbdSIKvl1dWUl9K4PjAfSL9oeMr_37QVzcxc/edit?usp=sharing"",""สระบุรี!N768"")+IMPORTRANGE(""https://docs.google.com/spreadsheets/d/1j51vR6CYVGhABJpv6tkstgok82RLpXieLzW1yOY5rHw/edi"&amp;"t?usp=sharing"",""สิงห์บุรี!N768"")+IMPORTRANGE(""https://docs.google.com/spreadsheets/d/1H1EalTWKUSzO4Z1-1CwzoDUaVffgrThEBe2sl74kKG0/edit?usp=sharing"",""สุพรรณบุรี!N768"")+IMPORTRANGE(""https://docs.google.com/spreadsheets/d/1BmIruG_sIrJLYao_Pdr7zVArWsf"&amp;"oBt2692TMi6x_854/edit?usp=sharing"",""อ่างทอง!N768"")"),0)</f>
        <v>0</v>
      </c>
      <c r="O768" s="72">
        <f t="shared" ca="1" si="514"/>
        <v>0</v>
      </c>
      <c r="P768" s="72">
        <f t="shared" ca="1" si="515"/>
        <v>0</v>
      </c>
      <c r="Q768" s="71">
        <f ca="1">IFERROR(__xludf.DUMMYFUNCTION("IMPORTRANGE(""https://docs.google.com/spreadsheets/d/13wPX838HrBrQMCywv1BsuMkt4PEKTChp52zj44s2izQ/edit?usp=sharing"",""กาญจนบุรี!Q768"")+IMPORTRANGE(""https://docs.google.com/spreadsheets/d/1ddFKvqj1W1NEiWytbGlB1zMx_ykJDVtmfEQ-6-lIUBA/edit?usp=sharing"","&amp;"""จันทบุรี!Q768"")+IMPORTRANGE(""https://docs.google.com/spreadsheets/d/1T1PQvRODqOBZk8BRht_U031fIS1beLA0Ub2CEytj2q0/edit?usp=sharing"",""ฉะเชิงเทรา!Q768"")+IMPORTRANGE(""https://docs.google.com/spreadsheets/d/11tr1B-Bhyr79v2bkwVh5h_fR-PStkgjlZtkrZpYurG0/"&amp;"edit?usp=sharing"",""ชลบุรี!Q768"")+IMPORTRANGE(""https://docs.google.com/spreadsheets/d/1hh-FVnSX0vozXhGluamEcS54Dw9_zqW0N7qJUWgJ0Sw/edit?usp=sharing"",""ชัยนาท!Q768"")+IMPORTRANGE(""https://docs.google.com/spreadsheets/d/1jkqa6GXxSacMcY1eN8AHjMNJ_7dDXMJ"&amp;"VRLDlaFSOdPM/edit?usp=sharing"",""ตราด!Q768"")+IMPORTRANGE(""https://docs.google.com/spreadsheets/d/18hSgUJ3VwClqi_qtULmmW3cLr0oe3OKaSYoKzdpTsYQ/edit?usp=sharing"",""นครนายก!Q768"")+IMPORTRANGE(""https://docs.google.com/spreadsheets/d/1YTZo6WM2dQ6Ix6FSdnL"&amp;"5P7uVnVKu40sxZu975tgG10E/edit?usp=sharing"",""นครปฐม!Q768"")+IMPORTRANGE(""https://docs.google.com/spreadsheets/d/1OYoGg4WDg5RIzwGeB10padOxJF9E_Vljuvvct_M7RDo/edit?usp=sharing"",""ปทุมธานี!Q768"")+IMPORTRANGE(""https://docs.google.com/spreadsheets/d/1GbCI"&amp;"E4D4wk9FUozzqk7SxfDMxDVBwVmI5zcaVUSzKAc/edit?usp=sharing"",""ประจวบคีรีขันธ์!Q768"")+IMPORTRANGE(""https://docs.google.com/spreadsheets/d/1vVf6wykvW_lAyu7Yo9L4hUTqHqIeP_qcVuxCtosJEbg/edit?usp=sharing"",""ปราจีนบุรี!Q768"")+IMPORTRANGE(""https://docs.googl"&amp;"e.com/spreadsheets/d/1BIDqLLg5jk3v59G8NlR8rk5xfQDKne0sAvZHSj7TI6I/edit?usp=sharing"",""พระนครศรีอยุธยา!Q768"")+IMPORTRANGE(""https://docs.google.com/spreadsheets/d/1YXvxf8Yu6_rV4hTBrwMqAcAnv6DfhUxh5emyM3CJp_w/edit?usp=sharing"",""เพชรบุรี!Q768"")+IMPORTRA"&amp;"NGE(""https://docs.google.com/spreadsheets/d/19KBlQQs7uwvsao6t2n-KvW3Ax8J8uRRfZPq1zPbXgKc/edit?usp=sharing"",""ระยอง!Q768"")+IMPORTRANGE(""https://docs.google.com/spreadsheets/d/1jQ6P4QcrGM89YfqcC_PxOHGCMq5ezhucwJd8ci-NHng/edit?usp=sharing"",""ราชบุรี!Q76"&amp;"8"")+IMPORTRANGE(""https://docs.google.com/spreadsheets/d/1lufeA2cfFqM-elVq2hznhDzC6Pr7wkJ9ZG_sYNGCMCU/edit?usp=sharing"",""ลพบุรี!Q768"")+IMPORTRANGE(""https://docs.google.com/spreadsheets/d/10oOiF7loTyfsTkbd4MpaIm0HQ9SwB7IYHdIUvt-U1Uc/edit?usp=sharing"""&amp;",""สระแก้ว!Q768"")+IMPORTRANGE(""https://docs.google.com/spreadsheets/d/1xmPlrr1QbdSIKvl1dWUl9K4PjAfSL9oeMr_37QVzcxc/edit?usp=sharing"",""สระบุรี!Q768"")+IMPORTRANGE(""https://docs.google.com/spreadsheets/d/1j51vR6CYVGhABJpv6tkstgok82RLpXieLzW1yOY5rHw/edi"&amp;"t?usp=sharing"",""สิงห์บุรี!Q768"")+IMPORTRANGE(""https://docs.google.com/spreadsheets/d/1H1EalTWKUSzO4Z1-1CwzoDUaVffgrThEBe2sl74kKG0/edit?usp=sharing"",""สุพรรณบุรี!Q768"")+IMPORTRANGE(""https://docs.google.com/spreadsheets/d/1BmIruG_sIrJLYao_Pdr7zVArWsf"&amp;"oBt2692TMi6x_854/edit?usp=sharing"",""อ่างทอง!Q768"")"),0)</f>
        <v>0</v>
      </c>
      <c r="R768" s="72">
        <f ca="1">IFERROR(__xludf.DUMMYFUNCTION("IMPORTRANGE(""https://docs.google.com/spreadsheets/d/13wPX838HrBrQMCywv1BsuMkt4PEKTChp52zj44s2izQ/edit?usp=sharing"",""กาญจนบุรี!R768"")+IMPORTRANGE(""https://docs.google.com/spreadsheets/d/1ddFKvqj1W1NEiWytbGlB1zMx_ykJDVtmfEQ-6-lIUBA/edit?usp=sharing"","&amp;"""จันทบุรี!R768"")+IMPORTRANGE(""https://docs.google.com/spreadsheets/d/1T1PQvRODqOBZk8BRht_U031fIS1beLA0Ub2CEytj2q0/edit?usp=sharing"",""ฉะเชิงเทรา!R768"")+IMPORTRANGE(""https://docs.google.com/spreadsheets/d/11tr1B-Bhyr79v2bkwVh5h_fR-PStkgjlZtkrZpYurG0/"&amp;"edit?usp=sharing"",""ชลบุรี!R768"")+IMPORTRANGE(""https://docs.google.com/spreadsheets/d/1hh-FVnSX0vozXhGluamEcS54Dw9_zqW0N7qJUWgJ0Sw/edit?usp=sharing"",""ชัยนาท!R768"")+IMPORTRANGE(""https://docs.google.com/spreadsheets/d/1jkqa6GXxSacMcY1eN8AHjMNJ_7dDXMJ"&amp;"VRLDlaFSOdPM/edit?usp=sharing"",""ตราด!R768"")+IMPORTRANGE(""https://docs.google.com/spreadsheets/d/18hSgUJ3VwClqi_qtULmmW3cLr0oe3OKaSYoKzdpTsYQ/edit?usp=sharing"",""นครนายก!R768"")+IMPORTRANGE(""https://docs.google.com/spreadsheets/d/1YTZo6WM2dQ6Ix6FSdnL"&amp;"5P7uVnVKu40sxZu975tgG10E/edit?usp=sharing"",""นครปฐม!R768"")+IMPORTRANGE(""https://docs.google.com/spreadsheets/d/1OYoGg4WDg5RIzwGeB10padOxJF9E_Vljuvvct_M7RDo/edit?usp=sharing"",""ปทุมธานี!R768"")+IMPORTRANGE(""https://docs.google.com/spreadsheets/d/1GbCI"&amp;"E4D4wk9FUozzqk7SxfDMxDVBwVmI5zcaVUSzKAc/edit?usp=sharing"",""ประจวบคีรีขันธ์!R768"")+IMPORTRANGE(""https://docs.google.com/spreadsheets/d/1vVf6wykvW_lAyu7Yo9L4hUTqHqIeP_qcVuxCtosJEbg/edit?usp=sharing"",""ปราจีนบุรี!R768"")+IMPORTRANGE(""https://docs.googl"&amp;"e.com/spreadsheets/d/1BIDqLLg5jk3v59G8NlR8rk5xfQDKne0sAvZHSj7TI6I/edit?usp=sharing"",""พระนครศรีอยุธยา!R768"")+IMPORTRANGE(""https://docs.google.com/spreadsheets/d/1YXvxf8Yu6_rV4hTBrwMqAcAnv6DfhUxh5emyM3CJp_w/edit?usp=sharing"",""เพชรบุรี!R768"")+IMPORTRA"&amp;"NGE(""https://docs.google.com/spreadsheets/d/19KBlQQs7uwvsao6t2n-KvW3Ax8J8uRRfZPq1zPbXgKc/edit?usp=sharing"",""ระยอง!R768"")+IMPORTRANGE(""https://docs.google.com/spreadsheets/d/1jQ6P4QcrGM89YfqcC_PxOHGCMq5ezhucwJd8ci-NHng/edit?usp=sharing"",""ราชบุรี!R76"&amp;"8"")+IMPORTRANGE(""https://docs.google.com/spreadsheets/d/1lufeA2cfFqM-elVq2hznhDzC6Pr7wkJ9ZG_sYNGCMCU/edit?usp=sharing"",""ลพบุรี!R768"")+IMPORTRANGE(""https://docs.google.com/spreadsheets/d/10oOiF7loTyfsTkbd4MpaIm0HQ9SwB7IYHdIUvt-U1Uc/edit?usp=sharing"""&amp;",""สระแก้ว!R768"")+IMPORTRANGE(""https://docs.google.com/spreadsheets/d/1xmPlrr1QbdSIKvl1dWUl9K4PjAfSL9oeMr_37QVzcxc/edit?usp=sharing"",""สระบุรี!R768"")+IMPORTRANGE(""https://docs.google.com/spreadsheets/d/1j51vR6CYVGhABJpv6tkstgok82RLpXieLzW1yOY5rHw/edi"&amp;"t?usp=sharing"",""สิงห์บุรี!R768"")+IMPORTRANGE(""https://docs.google.com/spreadsheets/d/1H1EalTWKUSzO4Z1-1CwzoDUaVffgrThEBe2sl74kKG0/edit?usp=sharing"",""สุพรรณบุรี!R768"")+IMPORTRANGE(""https://docs.google.com/spreadsheets/d/1BmIruG_sIrJLYao_Pdr7zVArWsf"&amp;"oBt2692TMi6x_854/edit?usp=sharing"",""อ่างทอง!R768"")"),0)</f>
        <v>0</v>
      </c>
      <c r="S768" s="72">
        <f ca="1">IFERROR(__xludf.DUMMYFUNCTION("IMPORTRANGE(""https://docs.google.com/spreadsheets/d/13wPX838HrBrQMCywv1BsuMkt4PEKTChp52zj44s2izQ/edit?usp=sharing"",""กาญจนบุรี!S768"")+IMPORTRANGE(""https://docs.google.com/spreadsheets/d/1ddFKvqj1W1NEiWytbGlB1zMx_ykJDVtmfEQ-6-lIUBA/edit?usp=sharing"","&amp;"""จันทบุรี!S768"")+IMPORTRANGE(""https://docs.google.com/spreadsheets/d/1T1PQvRODqOBZk8BRht_U031fIS1beLA0Ub2CEytj2q0/edit?usp=sharing"",""ฉะเชิงเทรา!S768"")+IMPORTRANGE(""https://docs.google.com/spreadsheets/d/11tr1B-Bhyr79v2bkwVh5h_fR-PStkgjlZtkrZpYurG0/"&amp;"edit?usp=sharing"",""ชลบุรี!S768"")+IMPORTRANGE(""https://docs.google.com/spreadsheets/d/1hh-FVnSX0vozXhGluamEcS54Dw9_zqW0N7qJUWgJ0Sw/edit?usp=sharing"",""ชัยนาท!S768"")+IMPORTRANGE(""https://docs.google.com/spreadsheets/d/1jkqa6GXxSacMcY1eN8AHjMNJ_7dDXMJ"&amp;"VRLDlaFSOdPM/edit?usp=sharing"",""ตราด!S768"")+IMPORTRANGE(""https://docs.google.com/spreadsheets/d/18hSgUJ3VwClqi_qtULmmW3cLr0oe3OKaSYoKzdpTsYQ/edit?usp=sharing"",""นครนายก!S768"")+IMPORTRANGE(""https://docs.google.com/spreadsheets/d/1YTZo6WM2dQ6Ix6FSdnL"&amp;"5P7uVnVKu40sxZu975tgG10E/edit?usp=sharing"",""นครปฐม!S768"")+IMPORTRANGE(""https://docs.google.com/spreadsheets/d/1OYoGg4WDg5RIzwGeB10padOxJF9E_Vljuvvct_M7RDo/edit?usp=sharing"",""ปทุมธานี!S768"")+IMPORTRANGE(""https://docs.google.com/spreadsheets/d/1GbCI"&amp;"E4D4wk9FUozzqk7SxfDMxDVBwVmI5zcaVUSzKAc/edit?usp=sharing"",""ประจวบคีรีขันธ์!S768"")+IMPORTRANGE(""https://docs.google.com/spreadsheets/d/1vVf6wykvW_lAyu7Yo9L4hUTqHqIeP_qcVuxCtosJEbg/edit?usp=sharing"",""ปราจีนบุรี!S768"")+IMPORTRANGE(""https://docs.googl"&amp;"e.com/spreadsheets/d/1BIDqLLg5jk3v59G8NlR8rk5xfQDKne0sAvZHSj7TI6I/edit?usp=sharing"",""พระนครศรีอยุธยา!S768"")+IMPORTRANGE(""https://docs.google.com/spreadsheets/d/1YXvxf8Yu6_rV4hTBrwMqAcAnv6DfhUxh5emyM3CJp_w/edit?usp=sharing"",""เพชรบุรี!S768"")+IMPORTRA"&amp;"NGE(""https://docs.google.com/spreadsheets/d/19KBlQQs7uwvsao6t2n-KvW3Ax8J8uRRfZPq1zPbXgKc/edit?usp=sharing"",""ระยอง!S768"")+IMPORTRANGE(""https://docs.google.com/spreadsheets/d/1jQ6P4QcrGM89YfqcC_PxOHGCMq5ezhucwJd8ci-NHng/edit?usp=sharing"",""ราชบุรี!S76"&amp;"8"")+IMPORTRANGE(""https://docs.google.com/spreadsheets/d/1lufeA2cfFqM-elVq2hznhDzC6Pr7wkJ9ZG_sYNGCMCU/edit?usp=sharing"",""ลพบุรี!S768"")+IMPORTRANGE(""https://docs.google.com/spreadsheets/d/10oOiF7loTyfsTkbd4MpaIm0HQ9SwB7IYHdIUvt-U1Uc/edit?usp=sharing"""&amp;",""สระแก้ว!S768"")+IMPORTRANGE(""https://docs.google.com/spreadsheets/d/1xmPlrr1QbdSIKvl1dWUl9K4PjAfSL9oeMr_37QVzcxc/edit?usp=sharing"",""สระบุรี!S768"")+IMPORTRANGE(""https://docs.google.com/spreadsheets/d/1j51vR6CYVGhABJpv6tkstgok82RLpXieLzW1yOY5rHw/edi"&amp;"t?usp=sharing"",""สิงห์บุรี!S768"")+IMPORTRANGE(""https://docs.google.com/spreadsheets/d/1H1EalTWKUSzO4Z1-1CwzoDUaVffgrThEBe2sl74kKG0/edit?usp=sharing"",""สุพรรณบุรี!S768"")+IMPORTRANGE(""https://docs.google.com/spreadsheets/d/1BmIruG_sIrJLYao_Pdr7zVArWsf"&amp;"oBt2692TMi6x_854/edit?usp=sharing"",""อ่างทอง!S768"")"),0)</f>
        <v>0</v>
      </c>
      <c r="T768" s="130">
        <f t="shared" ca="1" si="517"/>
        <v>0</v>
      </c>
      <c r="U768" s="130">
        <f t="shared" ca="1" si="518"/>
        <v>0</v>
      </c>
    </row>
    <row r="769" spans="1:21" ht="19.5" x14ac:dyDescent="0.3">
      <c r="A769" s="274"/>
      <c r="B769" s="275"/>
      <c r="C769" s="771" t="s">
        <v>18</v>
      </c>
      <c r="D769" s="723" t="s">
        <v>38</v>
      </c>
      <c r="E769" s="762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13wPX838HrBrQMCywv1BsuMkt4PEKTChp52zj44s2izQ/edit?usp=sharing"",""กาญจนบุรี!I770"")+IMPORTRANGE(""https://docs.google.com/spreadsheets/d/1ddFKvqj1W1NEiWytbGlB1zMx_ykJDVtmfEQ-6-lIUBA/edit?usp=sharing"","&amp;"""จันทบุรี!I770"")+IMPORTRANGE(""https://docs.google.com/spreadsheets/d/1T1PQvRODqOBZk8BRht_U031fIS1beLA0Ub2CEytj2q0/edit?usp=sharing"",""ฉะเชิงเทรา!I770"")+IMPORTRANGE(""https://docs.google.com/spreadsheets/d/11tr1B-Bhyr79v2bkwVh5h_fR-PStkgjlZtkrZpYurG0/"&amp;"edit?usp=sharing"",""ชลบุรี!I770"")+IMPORTRANGE(""https://docs.google.com/spreadsheets/d/1hh-FVnSX0vozXhGluamEcS54Dw9_zqW0N7qJUWgJ0Sw/edit?usp=sharing"",""ชัยนาท!I770"")+IMPORTRANGE(""https://docs.google.com/spreadsheets/d/1jkqa6GXxSacMcY1eN8AHjMNJ_7dDXMJ"&amp;"VRLDlaFSOdPM/edit?usp=sharing"",""ตราด!I770"")+IMPORTRANGE(""https://docs.google.com/spreadsheets/d/18hSgUJ3VwClqi_qtULmmW3cLr0oe3OKaSYoKzdpTsYQ/edit?usp=sharing"",""นครนายก!I770"")+IMPORTRANGE(""https://docs.google.com/spreadsheets/d/1YTZo6WM2dQ6Ix6FSdnL"&amp;"5P7uVnVKu40sxZu975tgG10E/edit?usp=sharing"",""นครปฐม!I770"")+IMPORTRANGE(""https://docs.google.com/spreadsheets/d/1OYoGg4WDg5RIzwGeB10padOxJF9E_Vljuvvct_M7RDo/edit?usp=sharing"",""ปทุมธานี!I770"")+IMPORTRANGE(""https://docs.google.com/spreadsheets/d/1GbCI"&amp;"E4D4wk9FUozzqk7SxfDMxDVBwVmI5zcaVUSzKAc/edit?usp=sharing"",""ประจวบคีรีขันธ์!I770"")+IMPORTRANGE(""https://docs.google.com/spreadsheets/d/1vVf6wykvW_lAyu7Yo9L4hUTqHqIeP_qcVuxCtosJEbg/edit?usp=sharing"",""ปราจีนบุรี!I770"")+IMPORTRANGE(""https://docs.googl"&amp;"e.com/spreadsheets/d/1BIDqLLg5jk3v59G8NlR8rk5xfQDKne0sAvZHSj7TI6I/edit?usp=sharing"",""พระนครศรีอยุธยา!I770"")+IMPORTRANGE(""https://docs.google.com/spreadsheets/d/1YXvxf8Yu6_rV4hTBrwMqAcAnv6DfhUxh5emyM3CJp_w/edit?usp=sharing"",""เพชรบุรี!I770"")+IMPORTRA"&amp;"NGE(""https://docs.google.com/spreadsheets/d/19KBlQQs7uwvsao6t2n-KvW3Ax8J8uRRfZPq1zPbXgKc/edit?usp=sharing"",""ระยอง!I770"")+IMPORTRANGE(""https://docs.google.com/spreadsheets/d/1jQ6P4QcrGM89YfqcC_PxOHGCMq5ezhucwJd8ci-NHng/edit?usp=sharing"",""ราชบุรี!I77"&amp;"0"")+IMPORTRANGE(""https://docs.google.com/spreadsheets/d/1lufeA2cfFqM-elVq2hznhDzC6Pr7wkJ9ZG_sYNGCMCU/edit?usp=sharing"",""ลพบุรี!I770"")+IMPORTRANGE(""https://docs.google.com/spreadsheets/d/10oOiF7loTyfsTkbd4MpaIm0HQ9SwB7IYHdIUvt-U1Uc/edit?usp=sharing"""&amp;",""สระแก้ว!I770"")+IMPORTRANGE(""https://docs.google.com/spreadsheets/d/1xmPlrr1QbdSIKvl1dWUl9K4PjAfSL9oeMr_37QVzcxc/edit?usp=sharing"",""สระบุรี!I770"")+IMPORTRANGE(""https://docs.google.com/spreadsheets/d/1j51vR6CYVGhABJpv6tkstgok82RLpXieLzW1yOY5rHw/edi"&amp;"t?usp=sharing"",""สิงห์บุรี!I770"")+IMPORTRANGE(""https://docs.google.com/spreadsheets/d/1H1EalTWKUSzO4Z1-1CwzoDUaVffgrThEBe2sl74kKG0/edit?usp=sharing"",""สุพรรณบุรี!I770"")+IMPORTRANGE(""https://docs.google.com/spreadsheets/d/1BmIruG_sIrJLYao_Pdr7zVArWsf"&amp;"oBt2692TMi6x_854/edit?usp=sharing"",""อ่างทอง!I770"")"),0)</f>
        <v>0</v>
      </c>
      <c r="J770" s="570">
        <f ca="1">IFERROR(__xludf.DUMMYFUNCTION("IMPORTRANGE(""https://docs.google.com/spreadsheets/d/13wPX838HrBrQMCywv1BsuMkt4PEKTChp52zj44s2izQ/edit?usp=sharing"",""กาญจนบุรี!J770"")+IMPORTRANGE(""https://docs.google.com/spreadsheets/d/1ddFKvqj1W1NEiWytbGlB1zMx_ykJDVtmfEQ-6-lIUBA/edit?usp=sharing"","&amp;"""จันทบุรี!J770"")+IMPORTRANGE(""https://docs.google.com/spreadsheets/d/1T1PQvRODqOBZk8BRht_U031fIS1beLA0Ub2CEytj2q0/edit?usp=sharing"",""ฉะเชิงเทรา!J770"")+IMPORTRANGE(""https://docs.google.com/spreadsheets/d/11tr1B-Bhyr79v2bkwVh5h_fR-PStkgjlZtkrZpYurG0/"&amp;"edit?usp=sharing"",""ชลบุรี!J770"")+IMPORTRANGE(""https://docs.google.com/spreadsheets/d/1hh-FVnSX0vozXhGluamEcS54Dw9_zqW0N7qJUWgJ0Sw/edit?usp=sharing"",""ชัยนาท!J770"")+IMPORTRANGE(""https://docs.google.com/spreadsheets/d/1jkqa6GXxSacMcY1eN8AHjMNJ_7dDXMJ"&amp;"VRLDlaFSOdPM/edit?usp=sharing"",""ตราด!J770"")+IMPORTRANGE(""https://docs.google.com/spreadsheets/d/18hSgUJ3VwClqi_qtULmmW3cLr0oe3OKaSYoKzdpTsYQ/edit?usp=sharing"",""นครนายก!J770"")+IMPORTRANGE(""https://docs.google.com/spreadsheets/d/1YTZo6WM2dQ6Ix6FSdnL"&amp;"5P7uVnVKu40sxZu975tgG10E/edit?usp=sharing"",""นครปฐม!J770"")+IMPORTRANGE(""https://docs.google.com/spreadsheets/d/1OYoGg4WDg5RIzwGeB10padOxJF9E_Vljuvvct_M7RDo/edit?usp=sharing"",""ปทุมธานี!J770"")+IMPORTRANGE(""https://docs.google.com/spreadsheets/d/1GbCI"&amp;"E4D4wk9FUozzqk7SxfDMxDVBwVmI5zcaVUSzKAc/edit?usp=sharing"",""ประจวบคีรีขันธ์!J770"")+IMPORTRANGE(""https://docs.google.com/spreadsheets/d/1vVf6wykvW_lAyu7Yo9L4hUTqHqIeP_qcVuxCtosJEbg/edit?usp=sharing"",""ปราจีนบุรี!J770"")+IMPORTRANGE(""https://docs.googl"&amp;"e.com/spreadsheets/d/1BIDqLLg5jk3v59G8NlR8rk5xfQDKne0sAvZHSj7TI6I/edit?usp=sharing"",""พระนครศรีอยุธยา!J770"")+IMPORTRANGE(""https://docs.google.com/spreadsheets/d/1YXvxf8Yu6_rV4hTBrwMqAcAnv6DfhUxh5emyM3CJp_w/edit?usp=sharing"",""เพชรบุรี!J770"")+IMPORTRA"&amp;"NGE(""https://docs.google.com/spreadsheets/d/19KBlQQs7uwvsao6t2n-KvW3Ax8J8uRRfZPq1zPbXgKc/edit?usp=sharing"",""ระยอง!J770"")+IMPORTRANGE(""https://docs.google.com/spreadsheets/d/1jQ6P4QcrGM89YfqcC_PxOHGCMq5ezhucwJd8ci-NHng/edit?usp=sharing"",""ราชบุรี!J77"&amp;"0"")+IMPORTRANGE(""https://docs.google.com/spreadsheets/d/1lufeA2cfFqM-elVq2hznhDzC6Pr7wkJ9ZG_sYNGCMCU/edit?usp=sharing"",""ลพบุรี!J770"")+IMPORTRANGE(""https://docs.google.com/spreadsheets/d/10oOiF7loTyfsTkbd4MpaIm0HQ9SwB7IYHdIUvt-U1Uc/edit?usp=sharing"""&amp;",""สระแก้ว!J770"")+IMPORTRANGE(""https://docs.google.com/spreadsheets/d/1xmPlrr1QbdSIKvl1dWUl9K4PjAfSL9oeMr_37QVzcxc/edit?usp=sharing"",""สระบุรี!J770"")+IMPORTRANGE(""https://docs.google.com/spreadsheets/d/1j51vR6CYVGhABJpv6tkstgok82RLpXieLzW1yOY5rHw/edi"&amp;"t?usp=sharing"",""สิงห์บุรี!J770"")+IMPORTRANGE(""https://docs.google.com/spreadsheets/d/1H1EalTWKUSzO4Z1-1CwzoDUaVffgrThEBe2sl74kKG0/edit?usp=sharing"",""สุพรรณบุรี!J770"")+IMPORTRANGE(""https://docs.google.com/spreadsheets/d/1BmIruG_sIrJLYao_Pdr7zVArWsf"&amp;"oBt2692TMi6x_854/edit?usp=sharing"",""อ่างทอง!J770"")"),0)</f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13wPX838HrBrQMCywv1BsuMkt4PEKTChp52zj44s2izQ/edit?usp=sharing"",""กาญจนบุรี!I772"")+IMPORTRANGE(""https://docs.google.com/spreadsheets/d/1ddFKvqj1W1NEiWytbGlB1zMx_ykJDVtmfEQ-6-lIUBA/edit?usp=sharing"","&amp;"""จันทบุรี!I772"")+IMPORTRANGE(""https://docs.google.com/spreadsheets/d/1T1PQvRODqOBZk8BRht_U031fIS1beLA0Ub2CEytj2q0/edit?usp=sharing"",""ฉะเชิงเทรา!I772"")+IMPORTRANGE(""https://docs.google.com/spreadsheets/d/11tr1B-Bhyr79v2bkwVh5h_fR-PStkgjlZtkrZpYurG0/"&amp;"edit?usp=sharing"",""ชลบุรี!I772"")+IMPORTRANGE(""https://docs.google.com/spreadsheets/d/1hh-FVnSX0vozXhGluamEcS54Dw9_zqW0N7qJUWgJ0Sw/edit?usp=sharing"",""ชัยนาท!I772"")+IMPORTRANGE(""https://docs.google.com/spreadsheets/d/1jkqa6GXxSacMcY1eN8AHjMNJ_7dDXMJ"&amp;"VRLDlaFSOdPM/edit?usp=sharing"",""ตราด!I772"")+IMPORTRANGE(""https://docs.google.com/spreadsheets/d/18hSgUJ3VwClqi_qtULmmW3cLr0oe3OKaSYoKzdpTsYQ/edit?usp=sharing"",""นครนายก!I772"")+IMPORTRANGE(""https://docs.google.com/spreadsheets/d/1YTZo6WM2dQ6Ix6FSdnL"&amp;"5P7uVnVKu40sxZu975tgG10E/edit?usp=sharing"",""นครปฐม!I772"")+IMPORTRANGE(""https://docs.google.com/spreadsheets/d/1OYoGg4WDg5RIzwGeB10padOxJF9E_Vljuvvct_M7RDo/edit?usp=sharing"",""ปทุมธานี!I772"")+IMPORTRANGE(""https://docs.google.com/spreadsheets/d/1GbCI"&amp;"E4D4wk9FUozzqk7SxfDMxDVBwVmI5zcaVUSzKAc/edit?usp=sharing"",""ประจวบคีรีขันธ์!I772"")+IMPORTRANGE(""https://docs.google.com/spreadsheets/d/1vVf6wykvW_lAyu7Yo9L4hUTqHqIeP_qcVuxCtosJEbg/edit?usp=sharing"",""ปราจีนบุรี!I772"")+IMPORTRANGE(""https://docs.googl"&amp;"e.com/spreadsheets/d/1BIDqLLg5jk3v59G8NlR8rk5xfQDKne0sAvZHSj7TI6I/edit?usp=sharing"",""พระนครศรีอยุธยา!I772"")+IMPORTRANGE(""https://docs.google.com/spreadsheets/d/1YXvxf8Yu6_rV4hTBrwMqAcAnv6DfhUxh5emyM3CJp_w/edit?usp=sharing"",""เพชรบุรี!I772"")+IMPORTRA"&amp;"NGE(""https://docs.google.com/spreadsheets/d/19KBlQQs7uwvsao6t2n-KvW3Ax8J8uRRfZPq1zPbXgKc/edit?usp=sharing"",""ระยอง!I772"")+IMPORTRANGE(""https://docs.google.com/spreadsheets/d/1jQ6P4QcrGM89YfqcC_PxOHGCMq5ezhucwJd8ci-NHng/edit?usp=sharing"",""ราชบุรี!I77"&amp;"2"")+IMPORTRANGE(""https://docs.google.com/spreadsheets/d/1lufeA2cfFqM-elVq2hznhDzC6Pr7wkJ9ZG_sYNGCMCU/edit?usp=sharing"",""ลพบุรี!I772"")+IMPORTRANGE(""https://docs.google.com/spreadsheets/d/10oOiF7loTyfsTkbd4MpaIm0HQ9SwB7IYHdIUvt-U1Uc/edit?usp=sharing"""&amp;",""สระแก้ว!I772"")+IMPORTRANGE(""https://docs.google.com/spreadsheets/d/1xmPlrr1QbdSIKvl1dWUl9K4PjAfSL9oeMr_37QVzcxc/edit?usp=sharing"",""สระบุรี!I772"")+IMPORTRANGE(""https://docs.google.com/spreadsheets/d/1j51vR6CYVGhABJpv6tkstgok82RLpXieLzW1yOY5rHw/edi"&amp;"t?usp=sharing"",""สิงห์บุรี!I772"")+IMPORTRANGE(""https://docs.google.com/spreadsheets/d/1H1EalTWKUSzO4Z1-1CwzoDUaVffgrThEBe2sl74kKG0/edit?usp=sharing"",""สุพรรณบุรี!I772"")+IMPORTRANGE(""https://docs.google.com/spreadsheets/d/1BmIruG_sIrJLYao_Pdr7zVArWsf"&amp;"oBt2692TMi6x_854/edit?usp=sharing"",""อ่างทอง!I772"")"),425)</f>
        <v>425</v>
      </c>
      <c r="J772" s="292">
        <f ca="1">IFERROR(__xludf.DUMMYFUNCTION("IMPORTRANGE(""https://docs.google.com/spreadsheets/d/13wPX838HrBrQMCywv1BsuMkt4PEKTChp52zj44s2izQ/edit?usp=sharing"",""กาญจนบุรี!J772"")+IMPORTRANGE(""https://docs.google.com/spreadsheets/d/1ddFKvqj1W1NEiWytbGlB1zMx_ykJDVtmfEQ-6-lIUBA/edit?usp=sharing"","&amp;"""จันทบุรี!J772"")+IMPORTRANGE(""https://docs.google.com/spreadsheets/d/1T1PQvRODqOBZk8BRht_U031fIS1beLA0Ub2CEytj2q0/edit?usp=sharing"",""ฉะเชิงเทรา!J772"")+IMPORTRANGE(""https://docs.google.com/spreadsheets/d/11tr1B-Bhyr79v2bkwVh5h_fR-PStkgjlZtkrZpYurG0/"&amp;"edit?usp=sharing"",""ชลบุรี!J772"")+IMPORTRANGE(""https://docs.google.com/spreadsheets/d/1hh-FVnSX0vozXhGluamEcS54Dw9_zqW0N7qJUWgJ0Sw/edit?usp=sharing"",""ชัยนาท!J772"")+IMPORTRANGE(""https://docs.google.com/spreadsheets/d/1jkqa6GXxSacMcY1eN8AHjMNJ_7dDXMJ"&amp;"VRLDlaFSOdPM/edit?usp=sharing"",""ตราด!J772"")+IMPORTRANGE(""https://docs.google.com/spreadsheets/d/18hSgUJ3VwClqi_qtULmmW3cLr0oe3OKaSYoKzdpTsYQ/edit?usp=sharing"",""นครนายก!J772"")+IMPORTRANGE(""https://docs.google.com/spreadsheets/d/1YTZo6WM2dQ6Ix6FSdnL"&amp;"5P7uVnVKu40sxZu975tgG10E/edit?usp=sharing"",""นครปฐม!J772"")+IMPORTRANGE(""https://docs.google.com/spreadsheets/d/1OYoGg4WDg5RIzwGeB10padOxJF9E_Vljuvvct_M7RDo/edit?usp=sharing"",""ปทุมธานี!J772"")+IMPORTRANGE(""https://docs.google.com/spreadsheets/d/1GbCI"&amp;"E4D4wk9FUozzqk7SxfDMxDVBwVmI5zcaVUSzKAc/edit?usp=sharing"",""ประจวบคีรีขันธ์!J772"")+IMPORTRANGE(""https://docs.google.com/spreadsheets/d/1vVf6wykvW_lAyu7Yo9L4hUTqHqIeP_qcVuxCtosJEbg/edit?usp=sharing"",""ปราจีนบุรี!J772"")+IMPORTRANGE(""https://docs.googl"&amp;"e.com/spreadsheets/d/1BIDqLLg5jk3v59G8NlR8rk5xfQDKne0sAvZHSj7TI6I/edit?usp=sharing"",""พระนครศรีอยุธยา!J772"")+IMPORTRANGE(""https://docs.google.com/spreadsheets/d/1YXvxf8Yu6_rV4hTBrwMqAcAnv6DfhUxh5emyM3CJp_w/edit?usp=sharing"",""เพชรบุรี!J772"")+IMPORTRA"&amp;"NGE(""https://docs.google.com/spreadsheets/d/19KBlQQs7uwvsao6t2n-KvW3Ax8J8uRRfZPq1zPbXgKc/edit?usp=sharing"",""ระยอง!J772"")+IMPORTRANGE(""https://docs.google.com/spreadsheets/d/1jQ6P4QcrGM89YfqcC_PxOHGCMq5ezhucwJd8ci-NHng/edit?usp=sharing"",""ราชบุรี!J77"&amp;"2"")+IMPORTRANGE(""https://docs.google.com/spreadsheets/d/1lufeA2cfFqM-elVq2hznhDzC6Pr7wkJ9ZG_sYNGCMCU/edit?usp=sharing"",""ลพบุรี!J772"")+IMPORTRANGE(""https://docs.google.com/spreadsheets/d/10oOiF7loTyfsTkbd4MpaIm0HQ9SwB7IYHdIUvt-U1Uc/edit?usp=sharing"""&amp;",""สระแก้ว!J772"")+IMPORTRANGE(""https://docs.google.com/spreadsheets/d/1xmPlrr1QbdSIKvl1dWUl9K4PjAfSL9oeMr_37QVzcxc/edit?usp=sharing"",""สระบุรี!J772"")+IMPORTRANGE(""https://docs.google.com/spreadsheets/d/1j51vR6CYVGhABJpv6tkstgok82RLpXieLzW1yOY5rHw/edi"&amp;"t?usp=sharing"",""สิงห์บุรี!J772"")+IMPORTRANGE(""https://docs.google.com/spreadsheets/d/1H1EalTWKUSzO4Z1-1CwzoDUaVffgrThEBe2sl74kKG0/edit?usp=sharing"",""สุพรรณบุรี!J772"")+IMPORTRANGE(""https://docs.google.com/spreadsheets/d/1BmIruG_sIrJLYao_Pdr7zVArWsf"&amp;"oBt2692TMi6x_854/edit?usp=sharing"",""อ่างทอง!J772"")"),335)</f>
        <v>335</v>
      </c>
      <c r="K772" s="72">
        <f ca="1">IF(I772&gt;0,J772*100/I772,0)</f>
        <v>78.82352941176471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13wPX838HrBrQMCywv1BsuMkt4PEKTChp52zj44s2izQ/edit?usp=sharing"",""กาญจนบุรี!I774"")+IMPORTRANGE(""https://docs.google.com/spreadsheets/d/1ddFKvqj1W1NEiWytbGlB1zMx_ykJDVtmfEQ-6-lIUBA/edit?usp=sharing"","&amp;"""จันทบุรี!I774"")+IMPORTRANGE(""https://docs.google.com/spreadsheets/d/1T1PQvRODqOBZk8BRht_U031fIS1beLA0Ub2CEytj2q0/edit?usp=sharing"",""ฉะเชิงเทรา!I774"")+IMPORTRANGE(""https://docs.google.com/spreadsheets/d/11tr1B-Bhyr79v2bkwVh5h_fR-PStkgjlZtkrZpYurG0/"&amp;"edit?usp=sharing"",""ชลบุรี!I774"")+IMPORTRANGE(""https://docs.google.com/spreadsheets/d/1hh-FVnSX0vozXhGluamEcS54Dw9_zqW0N7qJUWgJ0Sw/edit?usp=sharing"",""ชัยนาท!I774"")+IMPORTRANGE(""https://docs.google.com/spreadsheets/d/1jkqa6GXxSacMcY1eN8AHjMNJ_7dDXMJ"&amp;"VRLDlaFSOdPM/edit?usp=sharing"",""ตราด!I774"")+IMPORTRANGE(""https://docs.google.com/spreadsheets/d/18hSgUJ3VwClqi_qtULmmW3cLr0oe3OKaSYoKzdpTsYQ/edit?usp=sharing"",""นครนายก!I774"")+IMPORTRANGE(""https://docs.google.com/spreadsheets/d/1YTZo6WM2dQ6Ix6FSdnL"&amp;"5P7uVnVKu40sxZu975tgG10E/edit?usp=sharing"",""นครปฐม!I774"")+IMPORTRANGE(""https://docs.google.com/spreadsheets/d/1OYoGg4WDg5RIzwGeB10padOxJF9E_Vljuvvct_M7RDo/edit?usp=sharing"",""ปทุมธานี!I774"")+IMPORTRANGE(""https://docs.google.com/spreadsheets/d/1GbCI"&amp;"E4D4wk9FUozzqk7SxfDMxDVBwVmI5zcaVUSzKAc/edit?usp=sharing"",""ประจวบคีรีขันธ์!I774"")+IMPORTRANGE(""https://docs.google.com/spreadsheets/d/1vVf6wykvW_lAyu7Yo9L4hUTqHqIeP_qcVuxCtosJEbg/edit?usp=sharing"",""ปราจีนบุรี!I774"")+IMPORTRANGE(""https://docs.googl"&amp;"e.com/spreadsheets/d/1BIDqLLg5jk3v59G8NlR8rk5xfQDKne0sAvZHSj7TI6I/edit?usp=sharing"",""พระนครศรีอยุธยา!I774"")+IMPORTRANGE(""https://docs.google.com/spreadsheets/d/1YXvxf8Yu6_rV4hTBrwMqAcAnv6DfhUxh5emyM3CJp_w/edit?usp=sharing"",""เพชรบุรี!I774"")+IMPORTRA"&amp;"NGE(""https://docs.google.com/spreadsheets/d/19KBlQQs7uwvsao6t2n-KvW3Ax8J8uRRfZPq1zPbXgKc/edit?usp=sharing"",""ระยอง!I774"")+IMPORTRANGE(""https://docs.google.com/spreadsheets/d/1jQ6P4QcrGM89YfqcC_PxOHGCMq5ezhucwJd8ci-NHng/edit?usp=sharing"",""ราชบุรี!I77"&amp;"4"")+IMPORTRANGE(""https://docs.google.com/spreadsheets/d/1lufeA2cfFqM-elVq2hznhDzC6Pr7wkJ9ZG_sYNGCMCU/edit?usp=sharing"",""ลพบุรี!I774"")+IMPORTRANGE(""https://docs.google.com/spreadsheets/d/10oOiF7loTyfsTkbd4MpaIm0HQ9SwB7IYHdIUvt-U1Uc/edit?usp=sharing"""&amp;",""สระแก้ว!I774"")+IMPORTRANGE(""https://docs.google.com/spreadsheets/d/1xmPlrr1QbdSIKvl1dWUl9K4PjAfSL9oeMr_37QVzcxc/edit?usp=sharing"",""สระบุรี!I774"")+IMPORTRANGE(""https://docs.google.com/spreadsheets/d/1j51vR6CYVGhABJpv6tkstgok82RLpXieLzW1yOY5rHw/edi"&amp;"t?usp=sharing"",""สิงห์บุรี!I774"")+IMPORTRANGE(""https://docs.google.com/spreadsheets/d/1H1EalTWKUSzO4Z1-1CwzoDUaVffgrThEBe2sl74kKG0/edit?usp=sharing"",""สุพรรณบุรี!I774"")+IMPORTRANGE(""https://docs.google.com/spreadsheets/d/1BmIruG_sIrJLYao_Pdr7zVArWsf"&amp;"oBt2692TMi6x_854/edit?usp=sharing"",""อ่างทอง!I774"")"),885)</f>
        <v>885</v>
      </c>
      <c r="J774" s="292">
        <f ca="1">IFERROR(__xludf.DUMMYFUNCTION("IMPORTRANGE(""https://docs.google.com/spreadsheets/d/13wPX838HrBrQMCywv1BsuMkt4PEKTChp52zj44s2izQ/edit?usp=sharing"",""กาญจนบุรี!J774"")+IMPORTRANGE(""https://docs.google.com/spreadsheets/d/1ddFKvqj1W1NEiWytbGlB1zMx_ykJDVtmfEQ-6-lIUBA/edit?usp=sharing"","&amp;"""จันทบุรี!J774"")+IMPORTRANGE(""https://docs.google.com/spreadsheets/d/1T1PQvRODqOBZk8BRht_U031fIS1beLA0Ub2CEytj2q0/edit?usp=sharing"",""ฉะเชิงเทรา!J774"")+IMPORTRANGE(""https://docs.google.com/spreadsheets/d/11tr1B-Bhyr79v2bkwVh5h_fR-PStkgjlZtkrZpYurG0/"&amp;"edit?usp=sharing"",""ชลบุรี!J774"")+IMPORTRANGE(""https://docs.google.com/spreadsheets/d/1hh-FVnSX0vozXhGluamEcS54Dw9_zqW0N7qJUWgJ0Sw/edit?usp=sharing"",""ชัยนาท!J774"")+IMPORTRANGE(""https://docs.google.com/spreadsheets/d/1jkqa6GXxSacMcY1eN8AHjMNJ_7dDXMJ"&amp;"VRLDlaFSOdPM/edit?usp=sharing"",""ตราด!J774"")+IMPORTRANGE(""https://docs.google.com/spreadsheets/d/18hSgUJ3VwClqi_qtULmmW3cLr0oe3OKaSYoKzdpTsYQ/edit?usp=sharing"",""นครนายก!J774"")+IMPORTRANGE(""https://docs.google.com/spreadsheets/d/1YTZo6WM2dQ6Ix6FSdnL"&amp;"5P7uVnVKu40sxZu975tgG10E/edit?usp=sharing"",""นครปฐม!J774"")+IMPORTRANGE(""https://docs.google.com/spreadsheets/d/1OYoGg4WDg5RIzwGeB10padOxJF9E_Vljuvvct_M7RDo/edit?usp=sharing"",""ปทุมธานี!J774"")+IMPORTRANGE(""https://docs.google.com/spreadsheets/d/1GbCI"&amp;"E4D4wk9FUozzqk7SxfDMxDVBwVmI5zcaVUSzKAc/edit?usp=sharing"",""ประจวบคีรีขันธ์!J774"")+IMPORTRANGE(""https://docs.google.com/spreadsheets/d/1vVf6wykvW_lAyu7Yo9L4hUTqHqIeP_qcVuxCtosJEbg/edit?usp=sharing"",""ปราจีนบุรี!J774"")+IMPORTRANGE(""https://docs.googl"&amp;"e.com/spreadsheets/d/1BIDqLLg5jk3v59G8NlR8rk5xfQDKne0sAvZHSj7TI6I/edit?usp=sharing"",""พระนครศรีอยุธยา!J774"")+IMPORTRANGE(""https://docs.google.com/spreadsheets/d/1YXvxf8Yu6_rV4hTBrwMqAcAnv6DfhUxh5emyM3CJp_w/edit?usp=sharing"",""เพชรบุรี!J774"")+IMPORTRA"&amp;"NGE(""https://docs.google.com/spreadsheets/d/19KBlQQs7uwvsao6t2n-KvW3Ax8J8uRRfZPq1zPbXgKc/edit?usp=sharing"",""ระยอง!J774"")+IMPORTRANGE(""https://docs.google.com/spreadsheets/d/1jQ6P4QcrGM89YfqcC_PxOHGCMq5ezhucwJd8ci-NHng/edit?usp=sharing"",""ราชบุรี!J77"&amp;"4"")+IMPORTRANGE(""https://docs.google.com/spreadsheets/d/1lufeA2cfFqM-elVq2hznhDzC6Pr7wkJ9ZG_sYNGCMCU/edit?usp=sharing"",""ลพบุรี!J774"")+IMPORTRANGE(""https://docs.google.com/spreadsheets/d/10oOiF7loTyfsTkbd4MpaIm0HQ9SwB7IYHdIUvt-U1Uc/edit?usp=sharing"""&amp;",""สระแก้ว!J774"")+IMPORTRANGE(""https://docs.google.com/spreadsheets/d/1xmPlrr1QbdSIKvl1dWUl9K4PjAfSL9oeMr_37QVzcxc/edit?usp=sharing"",""สระบุรี!J774"")+IMPORTRANGE(""https://docs.google.com/spreadsheets/d/1j51vR6CYVGhABJpv6tkstgok82RLpXieLzW1yOY5rHw/edi"&amp;"t?usp=sharing"",""สิงห์บุรี!J774"")+IMPORTRANGE(""https://docs.google.com/spreadsheets/d/1H1EalTWKUSzO4Z1-1CwzoDUaVffgrThEBe2sl74kKG0/edit?usp=sharing"",""สุพรรณบุรี!J774"")+IMPORTRANGE(""https://docs.google.com/spreadsheets/d/1BmIruG_sIrJLYao_Pdr7zVArWsf"&amp;"oBt2692TMi6x_854/edit?usp=sharing"",""อ่างทอง!J774"")"),670)</f>
        <v>670</v>
      </c>
      <c r="K774" s="72">
        <f ca="1">IF(I774&gt;0,J774*100/I774,0)</f>
        <v>75.706214689265536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13wPX838HrBrQMCywv1BsuMkt4PEKTChp52zj44s2izQ/edit?usp=sharing"",""กาญจนบุรี!I775"")+IMPORTRANGE(""https://docs.google.com/spreadsheets/d/1ddFKvqj1W1NEiWytbGlB1zMx_ykJDVtmfEQ-6-lIUBA/edit?usp=sharing"","&amp;"""จันทบุรี!I775"")+IMPORTRANGE(""https://docs.google.com/spreadsheets/d/1T1PQvRODqOBZk8BRht_U031fIS1beLA0Ub2CEytj2q0/edit?usp=sharing"",""ฉะเชิงเทรา!I775"")+IMPORTRANGE(""https://docs.google.com/spreadsheets/d/11tr1B-Bhyr79v2bkwVh5h_fR-PStkgjlZtkrZpYurG0/"&amp;"edit?usp=sharing"",""ชลบุรี!I775"")+IMPORTRANGE(""https://docs.google.com/spreadsheets/d/1hh-FVnSX0vozXhGluamEcS54Dw9_zqW0N7qJUWgJ0Sw/edit?usp=sharing"",""ชัยนาท!I775"")+IMPORTRANGE(""https://docs.google.com/spreadsheets/d/1jkqa6GXxSacMcY1eN8AHjMNJ_7dDXMJ"&amp;"VRLDlaFSOdPM/edit?usp=sharing"",""ตราด!I775"")+IMPORTRANGE(""https://docs.google.com/spreadsheets/d/18hSgUJ3VwClqi_qtULmmW3cLr0oe3OKaSYoKzdpTsYQ/edit?usp=sharing"",""นครนายก!I775"")+IMPORTRANGE(""https://docs.google.com/spreadsheets/d/1YTZo6WM2dQ6Ix6FSdnL"&amp;"5P7uVnVKu40sxZu975tgG10E/edit?usp=sharing"",""นครปฐม!I775"")+IMPORTRANGE(""https://docs.google.com/spreadsheets/d/1OYoGg4WDg5RIzwGeB10padOxJF9E_Vljuvvct_M7RDo/edit?usp=sharing"",""ปทุมธานี!I775"")+IMPORTRANGE(""https://docs.google.com/spreadsheets/d/1GbCI"&amp;"E4D4wk9FUozzqk7SxfDMxDVBwVmI5zcaVUSzKAc/edit?usp=sharing"",""ประจวบคีรีขันธ์!I775"")+IMPORTRANGE(""https://docs.google.com/spreadsheets/d/1vVf6wykvW_lAyu7Yo9L4hUTqHqIeP_qcVuxCtosJEbg/edit?usp=sharing"",""ปราจีนบุรี!I775"")+IMPORTRANGE(""https://docs.googl"&amp;"e.com/spreadsheets/d/1BIDqLLg5jk3v59G8NlR8rk5xfQDKne0sAvZHSj7TI6I/edit?usp=sharing"",""พระนครศรีอยุธยา!I775"")+IMPORTRANGE(""https://docs.google.com/spreadsheets/d/1YXvxf8Yu6_rV4hTBrwMqAcAnv6DfhUxh5emyM3CJp_w/edit?usp=sharing"",""เพชรบุรี!I775"")+IMPORTRA"&amp;"NGE(""https://docs.google.com/spreadsheets/d/19KBlQQs7uwvsao6t2n-KvW3Ax8J8uRRfZPq1zPbXgKc/edit?usp=sharing"",""ระยอง!I775"")+IMPORTRANGE(""https://docs.google.com/spreadsheets/d/1jQ6P4QcrGM89YfqcC_PxOHGCMq5ezhucwJd8ci-NHng/edit?usp=sharing"",""ราชบุรี!I77"&amp;"5"")+IMPORTRANGE(""https://docs.google.com/spreadsheets/d/1lufeA2cfFqM-elVq2hznhDzC6Pr7wkJ9ZG_sYNGCMCU/edit?usp=sharing"",""ลพบุรี!I775"")+IMPORTRANGE(""https://docs.google.com/spreadsheets/d/10oOiF7loTyfsTkbd4MpaIm0HQ9SwB7IYHdIUvt-U1Uc/edit?usp=sharing"""&amp;",""สระแก้ว!I775"")+IMPORTRANGE(""https://docs.google.com/spreadsheets/d/1xmPlrr1QbdSIKvl1dWUl9K4PjAfSL9oeMr_37QVzcxc/edit?usp=sharing"",""สระบุรี!I775"")+IMPORTRANGE(""https://docs.google.com/spreadsheets/d/1j51vR6CYVGhABJpv6tkstgok82RLpXieLzW1yOY5rHw/edi"&amp;"t?usp=sharing"",""สิงห์บุรี!I775"")+IMPORTRANGE(""https://docs.google.com/spreadsheets/d/1H1EalTWKUSzO4Z1-1CwzoDUaVffgrThEBe2sl74kKG0/edit?usp=sharing"",""สุพรรณบุรี!I775"")+IMPORTRANGE(""https://docs.google.com/spreadsheets/d/1BmIruG_sIrJLYao_Pdr7zVArWsf"&amp;"oBt2692TMi6x_854/edit?usp=sharing"",""อ่างทอง!I775"")"),885)</f>
        <v>885</v>
      </c>
      <c r="J775" s="292">
        <f ca="1">IFERROR(__xludf.DUMMYFUNCTION("IMPORTRANGE(""https://docs.google.com/spreadsheets/d/13wPX838HrBrQMCywv1BsuMkt4PEKTChp52zj44s2izQ/edit?usp=sharing"",""กาญจนบุรี!J775"")+IMPORTRANGE(""https://docs.google.com/spreadsheets/d/1ddFKvqj1W1NEiWytbGlB1zMx_ykJDVtmfEQ-6-lIUBA/edit?usp=sharing"","&amp;"""จันทบุรี!J775"")+IMPORTRANGE(""https://docs.google.com/spreadsheets/d/1T1PQvRODqOBZk8BRht_U031fIS1beLA0Ub2CEytj2q0/edit?usp=sharing"",""ฉะเชิงเทรา!J775"")+IMPORTRANGE(""https://docs.google.com/spreadsheets/d/11tr1B-Bhyr79v2bkwVh5h_fR-PStkgjlZtkrZpYurG0/"&amp;"edit?usp=sharing"",""ชลบุรี!J775"")+IMPORTRANGE(""https://docs.google.com/spreadsheets/d/1hh-FVnSX0vozXhGluamEcS54Dw9_zqW0N7qJUWgJ0Sw/edit?usp=sharing"",""ชัยนาท!J775"")+IMPORTRANGE(""https://docs.google.com/spreadsheets/d/1jkqa6GXxSacMcY1eN8AHjMNJ_7dDXMJ"&amp;"VRLDlaFSOdPM/edit?usp=sharing"",""ตราด!J775"")+IMPORTRANGE(""https://docs.google.com/spreadsheets/d/18hSgUJ3VwClqi_qtULmmW3cLr0oe3OKaSYoKzdpTsYQ/edit?usp=sharing"",""นครนายก!J775"")+IMPORTRANGE(""https://docs.google.com/spreadsheets/d/1YTZo6WM2dQ6Ix6FSdnL"&amp;"5P7uVnVKu40sxZu975tgG10E/edit?usp=sharing"",""นครปฐม!J775"")+IMPORTRANGE(""https://docs.google.com/spreadsheets/d/1OYoGg4WDg5RIzwGeB10padOxJF9E_Vljuvvct_M7RDo/edit?usp=sharing"",""ปทุมธานี!J775"")+IMPORTRANGE(""https://docs.google.com/spreadsheets/d/1GbCI"&amp;"E4D4wk9FUozzqk7SxfDMxDVBwVmI5zcaVUSzKAc/edit?usp=sharing"",""ประจวบคีรีขันธ์!J775"")+IMPORTRANGE(""https://docs.google.com/spreadsheets/d/1vVf6wykvW_lAyu7Yo9L4hUTqHqIeP_qcVuxCtosJEbg/edit?usp=sharing"",""ปราจีนบุรี!J775"")+IMPORTRANGE(""https://docs.googl"&amp;"e.com/spreadsheets/d/1BIDqLLg5jk3v59G8NlR8rk5xfQDKne0sAvZHSj7TI6I/edit?usp=sharing"",""พระนครศรีอยุธยา!J775"")+IMPORTRANGE(""https://docs.google.com/spreadsheets/d/1YXvxf8Yu6_rV4hTBrwMqAcAnv6DfhUxh5emyM3CJp_w/edit?usp=sharing"",""เพชรบุรี!J775"")+IMPORTRA"&amp;"NGE(""https://docs.google.com/spreadsheets/d/19KBlQQs7uwvsao6t2n-KvW3Ax8J8uRRfZPq1zPbXgKc/edit?usp=sharing"",""ระยอง!J775"")+IMPORTRANGE(""https://docs.google.com/spreadsheets/d/1jQ6P4QcrGM89YfqcC_PxOHGCMq5ezhucwJd8ci-NHng/edit?usp=sharing"",""ราชบุรี!J77"&amp;"5"")+IMPORTRANGE(""https://docs.google.com/spreadsheets/d/1lufeA2cfFqM-elVq2hznhDzC6Pr7wkJ9ZG_sYNGCMCU/edit?usp=sharing"",""ลพบุรี!J775"")+IMPORTRANGE(""https://docs.google.com/spreadsheets/d/10oOiF7loTyfsTkbd4MpaIm0HQ9SwB7IYHdIUvt-U1Uc/edit?usp=sharing"""&amp;",""สระแก้ว!J775"")+IMPORTRANGE(""https://docs.google.com/spreadsheets/d/1xmPlrr1QbdSIKvl1dWUl9K4PjAfSL9oeMr_37QVzcxc/edit?usp=sharing"",""สระบุรี!J775"")+IMPORTRANGE(""https://docs.google.com/spreadsheets/d/1j51vR6CYVGhABJpv6tkstgok82RLpXieLzW1yOY5rHw/edi"&amp;"t?usp=sharing"",""สิงห์บุรี!J775"")+IMPORTRANGE(""https://docs.google.com/spreadsheets/d/1H1EalTWKUSzO4Z1-1CwzoDUaVffgrThEBe2sl74kKG0/edit?usp=sharing"",""สุพรรณบุรี!J775"")+IMPORTRANGE(""https://docs.google.com/spreadsheets/d/1BmIruG_sIrJLYao_Pdr7zVArWsf"&amp;"oBt2692TMi6x_854/edit?usp=sharing"",""อ่างทอง!J775"")"),330)</f>
        <v>330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13wPX838HrBrQMCywv1BsuMkt4PEKTChp52zj44s2izQ/edit?usp=sharing"",""กาญจนบุรี!I776"")+IMPORTRANGE(""https://docs.google.com/spreadsheets/d/1ddFKvqj1W1NEiWytbGlB1zMx_ykJDVtmfEQ-6-lIUBA/edit?usp=sharing"","&amp;"""จันทบุรี!I776"")+IMPORTRANGE(""https://docs.google.com/spreadsheets/d/1T1PQvRODqOBZk8BRht_U031fIS1beLA0Ub2CEytj2q0/edit?usp=sharing"",""ฉะเชิงเทรา!I776"")+IMPORTRANGE(""https://docs.google.com/spreadsheets/d/11tr1B-Bhyr79v2bkwVh5h_fR-PStkgjlZtkrZpYurG0/"&amp;"edit?usp=sharing"",""ชลบุรี!I776"")+IMPORTRANGE(""https://docs.google.com/spreadsheets/d/1hh-FVnSX0vozXhGluamEcS54Dw9_zqW0N7qJUWgJ0Sw/edit?usp=sharing"",""ชัยนาท!I776"")+IMPORTRANGE(""https://docs.google.com/spreadsheets/d/1jkqa6GXxSacMcY1eN8AHjMNJ_7dDXMJ"&amp;"VRLDlaFSOdPM/edit?usp=sharing"",""ตราด!I776"")+IMPORTRANGE(""https://docs.google.com/spreadsheets/d/18hSgUJ3VwClqi_qtULmmW3cLr0oe3OKaSYoKzdpTsYQ/edit?usp=sharing"",""นครนายก!I776"")+IMPORTRANGE(""https://docs.google.com/spreadsheets/d/1YTZo6WM2dQ6Ix6FSdnL"&amp;"5P7uVnVKu40sxZu975tgG10E/edit?usp=sharing"",""นครปฐม!I776"")+IMPORTRANGE(""https://docs.google.com/spreadsheets/d/1OYoGg4WDg5RIzwGeB10padOxJF9E_Vljuvvct_M7RDo/edit?usp=sharing"",""ปทุมธานี!I776"")+IMPORTRANGE(""https://docs.google.com/spreadsheets/d/1GbCI"&amp;"E4D4wk9FUozzqk7SxfDMxDVBwVmI5zcaVUSzKAc/edit?usp=sharing"",""ประจวบคีรีขันธ์!I776"")+IMPORTRANGE(""https://docs.google.com/spreadsheets/d/1vVf6wykvW_lAyu7Yo9L4hUTqHqIeP_qcVuxCtosJEbg/edit?usp=sharing"",""ปราจีนบุรี!I776"")+IMPORTRANGE(""https://docs.googl"&amp;"e.com/spreadsheets/d/1BIDqLLg5jk3v59G8NlR8rk5xfQDKne0sAvZHSj7TI6I/edit?usp=sharing"",""พระนครศรีอยุธยา!I776"")+IMPORTRANGE(""https://docs.google.com/spreadsheets/d/1YXvxf8Yu6_rV4hTBrwMqAcAnv6DfhUxh5emyM3CJp_w/edit?usp=sharing"",""เพชรบุรี!I776"")+IMPORTRA"&amp;"NGE(""https://docs.google.com/spreadsheets/d/19KBlQQs7uwvsao6t2n-KvW3Ax8J8uRRfZPq1zPbXgKc/edit?usp=sharing"",""ระยอง!I776"")+IMPORTRANGE(""https://docs.google.com/spreadsheets/d/1jQ6P4QcrGM89YfqcC_PxOHGCMq5ezhucwJd8ci-NHng/edit?usp=sharing"",""ราชบุรี!I77"&amp;"6"")+IMPORTRANGE(""https://docs.google.com/spreadsheets/d/1lufeA2cfFqM-elVq2hznhDzC6Pr7wkJ9ZG_sYNGCMCU/edit?usp=sharing"",""ลพบุรี!I776"")+IMPORTRANGE(""https://docs.google.com/spreadsheets/d/10oOiF7loTyfsTkbd4MpaIm0HQ9SwB7IYHdIUvt-U1Uc/edit?usp=sharing"""&amp;",""สระแก้ว!I776"")+IMPORTRANGE(""https://docs.google.com/spreadsheets/d/1xmPlrr1QbdSIKvl1dWUl9K4PjAfSL9oeMr_37QVzcxc/edit?usp=sharing"",""สระบุรี!I776"")+IMPORTRANGE(""https://docs.google.com/spreadsheets/d/1j51vR6CYVGhABJpv6tkstgok82RLpXieLzW1yOY5rHw/edi"&amp;"t?usp=sharing"",""สิงห์บุรี!I776"")+IMPORTRANGE(""https://docs.google.com/spreadsheets/d/1H1EalTWKUSzO4Z1-1CwzoDUaVffgrThEBe2sl74kKG0/edit?usp=sharing"",""สุพรรณบุรี!I776"")+IMPORTRANGE(""https://docs.google.com/spreadsheets/d/1BmIruG_sIrJLYao_Pdr7zVArWsf"&amp;"oBt2692TMi6x_854/edit?usp=sharing"",""อ่างทอง!I776"")"),425)</f>
        <v>425</v>
      </c>
      <c r="J776" s="739">
        <f ca="1">IFERROR(__xludf.DUMMYFUNCTION("IMPORTRANGE(""https://docs.google.com/spreadsheets/d/13wPX838HrBrQMCywv1BsuMkt4PEKTChp52zj44s2izQ/edit?usp=sharing"",""กาญจนบุรี!J776"")+IMPORTRANGE(""https://docs.google.com/spreadsheets/d/1ddFKvqj1W1NEiWytbGlB1zMx_ykJDVtmfEQ-6-lIUBA/edit?usp=sharing"","&amp;"""จันทบุรี!J776"")+IMPORTRANGE(""https://docs.google.com/spreadsheets/d/1T1PQvRODqOBZk8BRht_U031fIS1beLA0Ub2CEytj2q0/edit?usp=sharing"",""ฉะเชิงเทรา!J776"")+IMPORTRANGE(""https://docs.google.com/spreadsheets/d/11tr1B-Bhyr79v2bkwVh5h_fR-PStkgjlZtkrZpYurG0/"&amp;"edit?usp=sharing"",""ชลบุรี!J776"")+IMPORTRANGE(""https://docs.google.com/spreadsheets/d/1hh-FVnSX0vozXhGluamEcS54Dw9_zqW0N7qJUWgJ0Sw/edit?usp=sharing"",""ชัยนาท!J776"")+IMPORTRANGE(""https://docs.google.com/spreadsheets/d/1jkqa6GXxSacMcY1eN8AHjMNJ_7dDXMJ"&amp;"VRLDlaFSOdPM/edit?usp=sharing"",""ตราด!J776"")+IMPORTRANGE(""https://docs.google.com/spreadsheets/d/18hSgUJ3VwClqi_qtULmmW3cLr0oe3OKaSYoKzdpTsYQ/edit?usp=sharing"",""นครนายก!J776"")+IMPORTRANGE(""https://docs.google.com/spreadsheets/d/1YTZo6WM2dQ6Ix6FSdnL"&amp;"5P7uVnVKu40sxZu975tgG10E/edit?usp=sharing"",""นครปฐม!J776"")+IMPORTRANGE(""https://docs.google.com/spreadsheets/d/1OYoGg4WDg5RIzwGeB10padOxJF9E_Vljuvvct_M7RDo/edit?usp=sharing"",""ปทุมธานี!J776"")+IMPORTRANGE(""https://docs.google.com/spreadsheets/d/1GbCI"&amp;"E4D4wk9FUozzqk7SxfDMxDVBwVmI5zcaVUSzKAc/edit?usp=sharing"",""ประจวบคีรีขันธ์!J776"")+IMPORTRANGE(""https://docs.google.com/spreadsheets/d/1vVf6wykvW_lAyu7Yo9L4hUTqHqIeP_qcVuxCtosJEbg/edit?usp=sharing"",""ปราจีนบุรี!J776"")+IMPORTRANGE(""https://docs.googl"&amp;"e.com/spreadsheets/d/1BIDqLLg5jk3v59G8NlR8rk5xfQDKne0sAvZHSj7TI6I/edit?usp=sharing"",""พระนครศรีอยุธยา!J776"")+IMPORTRANGE(""https://docs.google.com/spreadsheets/d/1YXvxf8Yu6_rV4hTBrwMqAcAnv6DfhUxh5emyM3CJp_w/edit?usp=sharing"",""เพชรบุรี!J776"")+IMPORTRA"&amp;"NGE(""https://docs.google.com/spreadsheets/d/19KBlQQs7uwvsao6t2n-KvW3Ax8J8uRRfZPq1zPbXgKc/edit?usp=sharing"",""ระยอง!J776"")+IMPORTRANGE(""https://docs.google.com/spreadsheets/d/1jQ6P4QcrGM89YfqcC_PxOHGCMq5ezhucwJd8ci-NHng/edit?usp=sharing"",""ราชบุรี!J77"&amp;"6"")+IMPORTRANGE(""https://docs.google.com/spreadsheets/d/1lufeA2cfFqM-elVq2hznhDzC6Pr7wkJ9ZG_sYNGCMCU/edit?usp=sharing"",""ลพบุรี!J776"")+IMPORTRANGE(""https://docs.google.com/spreadsheets/d/10oOiF7loTyfsTkbd4MpaIm0HQ9SwB7IYHdIUvt-U1Uc/edit?usp=sharing"""&amp;",""สระแก้ว!J776"")+IMPORTRANGE(""https://docs.google.com/spreadsheets/d/1xmPlrr1QbdSIKvl1dWUl9K4PjAfSL9oeMr_37QVzcxc/edit?usp=sharing"",""สระบุรี!J776"")+IMPORTRANGE(""https://docs.google.com/spreadsheets/d/1j51vR6CYVGhABJpv6tkstgok82RLpXieLzW1yOY5rHw/edi"&amp;"t?usp=sharing"",""สิงห์บุรี!J776"")+IMPORTRANGE(""https://docs.google.com/spreadsheets/d/1H1EalTWKUSzO4Z1-1CwzoDUaVffgrThEBe2sl74kKG0/edit?usp=sharing"",""สุพรรณบุรี!J776"")+IMPORTRANGE(""https://docs.google.com/spreadsheets/d/1BmIruG_sIrJLYao_Pdr7zVArWsf"&amp;"oBt2692TMi6x_854/edit?usp=sharing"",""อ่างทอง!J776"")"),190)</f>
        <v>190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774" t="s">
        <v>295</v>
      </c>
      <c r="B777" s="775"/>
      <c r="C777" s="775"/>
      <c r="D777" s="775"/>
      <c r="E777" s="776"/>
      <c r="F777" s="776"/>
      <c r="G777" s="777"/>
      <c r="H777" s="778" t="str">
        <f ca="1">IFERROR(__xludf.DUMMYFUNCTION("IMPORTRANGE(""https://docs.google.com/spreadsheets/d/1gNPQPjxUj63ZZXIIIm2aX4x3w7PhAZpC9JuXdbpWwUQ/edit?usp=sharing"",""Sheet1!b2"")")," (ข้อมูล ณ 31 พ.ค. 67)")</f>
        <v xml:space="preserve"> 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529"/>
      <c r="B778" s="567" t="s">
        <v>296</v>
      </c>
      <c r="C778" s="267"/>
      <c r="D778" s="267"/>
      <c r="E778" s="256"/>
      <c r="F778" s="256"/>
      <c r="G778" s="259"/>
      <c r="H778" s="266" t="s">
        <v>14</v>
      </c>
      <c r="I778" s="291">
        <f ca="1">IFERROR(__xludf.DUMMYFUNCTION("IMPORTRANGE(""https://docs.google.com/spreadsheets/d/13wPX838HrBrQMCywv1BsuMkt4PEKTChp52zj44s2izQ/edit?usp=sharing"",""กาญจนบุรี!I778"")+IMPORTRANGE(""https://docs.google.com/spreadsheets/d/1ddFKvqj1W1NEiWytbGlB1zMx_ykJDVtmfEQ-6-lIUBA/edit?usp=sharing"","&amp;"""จันทบุรี!I778"")+IMPORTRANGE(""https://docs.google.com/spreadsheets/d/1T1PQvRODqOBZk8BRht_U031fIS1beLA0Ub2CEytj2q0/edit?usp=sharing"",""ฉะเชิงเทรา!I778"")+IMPORTRANGE(""https://docs.google.com/spreadsheets/d/11tr1B-Bhyr79v2bkwVh5h_fR-PStkgjlZtkrZpYurG0/"&amp;"edit?usp=sharing"",""ชลบุรี!I778"")+IMPORTRANGE(""https://docs.google.com/spreadsheets/d/1hh-FVnSX0vozXhGluamEcS54Dw9_zqW0N7qJUWgJ0Sw/edit?usp=sharing"",""ชัยนาท!I778"")+IMPORTRANGE(""https://docs.google.com/spreadsheets/d/1jkqa6GXxSacMcY1eN8AHjMNJ_7dDXMJ"&amp;"VRLDlaFSOdPM/edit?usp=sharing"",""ตราด!I778"")+IMPORTRANGE(""https://docs.google.com/spreadsheets/d/18hSgUJ3VwClqi_qtULmmW3cLr0oe3OKaSYoKzdpTsYQ/edit?usp=sharing"",""นครนายก!I778"")+IMPORTRANGE(""https://docs.google.com/spreadsheets/d/1YTZo6WM2dQ6Ix6FSdnL"&amp;"5P7uVnVKu40sxZu975tgG10E/edit?usp=sharing"",""นครปฐม!I778"")+IMPORTRANGE(""https://docs.google.com/spreadsheets/d/1OYoGg4WDg5RIzwGeB10padOxJF9E_Vljuvvct_M7RDo/edit?usp=sharing"",""ปทุมธานี!I778"")+IMPORTRANGE(""https://docs.google.com/spreadsheets/d/1GbCI"&amp;"E4D4wk9FUozzqk7SxfDMxDVBwVmI5zcaVUSzKAc/edit?usp=sharing"",""ประจวบคีรีขันธ์!I778"")+IMPORTRANGE(""https://docs.google.com/spreadsheets/d/1vVf6wykvW_lAyu7Yo9L4hUTqHqIeP_qcVuxCtosJEbg/edit?usp=sharing"",""ปราจีนบุรี!I778"")+IMPORTRANGE(""https://docs.googl"&amp;"e.com/spreadsheets/d/1BIDqLLg5jk3v59G8NlR8rk5xfQDKne0sAvZHSj7TI6I/edit?usp=sharing"",""พระนครศรีอยุธยา!I778"")+IMPORTRANGE(""https://docs.google.com/spreadsheets/d/1YXvxf8Yu6_rV4hTBrwMqAcAnv6DfhUxh5emyM3CJp_w/edit?usp=sharing"",""เพชรบุรี!I778"")+IMPORTRA"&amp;"NGE(""https://docs.google.com/spreadsheets/d/19KBlQQs7uwvsao6t2n-KvW3Ax8J8uRRfZPq1zPbXgKc/edit?usp=sharing"",""ระยอง!I778"")+IMPORTRANGE(""https://docs.google.com/spreadsheets/d/1jQ6P4QcrGM89YfqcC_PxOHGCMq5ezhucwJd8ci-NHng/edit?usp=sharing"",""ราชบุรี!I77"&amp;"8"")+IMPORTRANGE(""https://docs.google.com/spreadsheets/d/1lufeA2cfFqM-elVq2hznhDzC6Pr7wkJ9ZG_sYNGCMCU/edit?usp=sharing"",""ลพบุรี!I778"")+IMPORTRANGE(""https://docs.google.com/spreadsheets/d/10oOiF7loTyfsTkbd4MpaIm0HQ9SwB7IYHdIUvt-U1Uc/edit?usp=sharing"""&amp;",""สระแก้ว!I778"")+IMPORTRANGE(""https://docs.google.com/spreadsheets/d/1xmPlrr1QbdSIKvl1dWUl9K4PjAfSL9oeMr_37QVzcxc/edit?usp=sharing"",""สระบุรี!I778"")+IMPORTRANGE(""https://docs.google.com/spreadsheets/d/1j51vR6CYVGhABJpv6tkstgok82RLpXieLzW1yOY5rHw/edi"&amp;"t?usp=sharing"",""สิงห์บุรี!I778"")+IMPORTRANGE(""https://docs.google.com/spreadsheets/d/1H1EalTWKUSzO4Z1-1CwzoDUaVffgrThEBe2sl74kKG0/edit?usp=sharing"",""สุพรรณบุรี!I778"")+IMPORTRANGE(""https://docs.google.com/spreadsheets/d/1BmIruG_sIrJLYao_Pdr7zVArWsf"&amp;"oBt2692TMi6x_854/edit?usp=sharing"",""อ่างทอง!I778"")"),67807901.07)</f>
        <v>67807901.069999993</v>
      </c>
      <c r="J778" s="291">
        <f ca="1">IFERROR(__xludf.DUMMYFUNCTION("IMPORTRANGE(""https://docs.google.com/spreadsheets/d/13wPX838HrBrQMCywv1BsuMkt4PEKTChp52zj44s2izQ/edit?usp=sharing"",""กาญจนบุรี!J778"")+IMPORTRANGE(""https://docs.google.com/spreadsheets/d/1ddFKvqj1W1NEiWytbGlB1zMx_ykJDVtmfEQ-6-lIUBA/edit?usp=sharing"","&amp;"""จันทบุรี!J778"")+IMPORTRANGE(""https://docs.google.com/spreadsheets/d/1T1PQvRODqOBZk8BRht_U031fIS1beLA0Ub2CEytj2q0/edit?usp=sharing"",""ฉะเชิงเทรา!J778"")+IMPORTRANGE(""https://docs.google.com/spreadsheets/d/11tr1B-Bhyr79v2bkwVh5h_fR-PStkgjlZtkrZpYurG0/"&amp;"edit?usp=sharing"",""ชลบุรี!J778"")+IMPORTRANGE(""https://docs.google.com/spreadsheets/d/1hh-FVnSX0vozXhGluamEcS54Dw9_zqW0N7qJUWgJ0Sw/edit?usp=sharing"",""ชัยนาท!J778"")+IMPORTRANGE(""https://docs.google.com/spreadsheets/d/1jkqa6GXxSacMcY1eN8AHjMNJ_7dDXMJ"&amp;"VRLDlaFSOdPM/edit?usp=sharing"",""ตราด!J778"")+IMPORTRANGE(""https://docs.google.com/spreadsheets/d/18hSgUJ3VwClqi_qtULmmW3cLr0oe3OKaSYoKzdpTsYQ/edit?usp=sharing"",""นครนายก!J778"")+IMPORTRANGE(""https://docs.google.com/spreadsheets/d/1YTZo6WM2dQ6Ix6FSdnL"&amp;"5P7uVnVKu40sxZu975tgG10E/edit?usp=sharing"",""นครปฐม!J778"")+IMPORTRANGE(""https://docs.google.com/spreadsheets/d/1OYoGg4WDg5RIzwGeB10padOxJF9E_Vljuvvct_M7RDo/edit?usp=sharing"",""ปทุมธานี!J778"")+IMPORTRANGE(""https://docs.google.com/spreadsheets/d/1GbCI"&amp;"E4D4wk9FUozzqk7SxfDMxDVBwVmI5zcaVUSzKAc/edit?usp=sharing"",""ประจวบคีรีขันธ์!J778"")+IMPORTRANGE(""https://docs.google.com/spreadsheets/d/1vVf6wykvW_lAyu7Yo9L4hUTqHqIeP_qcVuxCtosJEbg/edit?usp=sharing"",""ปราจีนบุรี!J778"")+IMPORTRANGE(""https://docs.googl"&amp;"e.com/spreadsheets/d/1BIDqLLg5jk3v59G8NlR8rk5xfQDKne0sAvZHSj7TI6I/edit?usp=sharing"",""พระนครศรีอยุธยา!J778"")+IMPORTRANGE(""https://docs.google.com/spreadsheets/d/1YXvxf8Yu6_rV4hTBrwMqAcAnv6DfhUxh5emyM3CJp_w/edit?usp=sharing"",""เพชรบุรี!J778"")+IMPORTRA"&amp;"NGE(""https://docs.google.com/spreadsheets/d/19KBlQQs7uwvsao6t2n-KvW3Ax8J8uRRfZPq1zPbXgKc/edit?usp=sharing"",""ระยอง!J778"")+IMPORTRANGE(""https://docs.google.com/spreadsheets/d/1jQ6P4QcrGM89YfqcC_PxOHGCMq5ezhucwJd8ci-NHng/edit?usp=sharing"",""ราชบุรี!J77"&amp;"8"")+IMPORTRANGE(""https://docs.google.com/spreadsheets/d/1lufeA2cfFqM-elVq2hznhDzC6Pr7wkJ9ZG_sYNGCMCU/edit?usp=sharing"",""ลพบุรี!J778"")+IMPORTRANGE(""https://docs.google.com/spreadsheets/d/10oOiF7loTyfsTkbd4MpaIm0HQ9SwB7IYHdIUvt-U1Uc/edit?usp=sharing"""&amp;",""สระแก้ว!J778"")+IMPORTRANGE(""https://docs.google.com/spreadsheets/d/1xmPlrr1QbdSIKvl1dWUl9K4PjAfSL9oeMr_37QVzcxc/edit?usp=sharing"",""สระบุรี!J778"")+IMPORTRANGE(""https://docs.google.com/spreadsheets/d/1j51vR6CYVGhABJpv6tkstgok82RLpXieLzW1yOY5rHw/edi"&amp;"t?usp=sharing"",""สิงห์บุรี!J778"")+IMPORTRANGE(""https://docs.google.com/spreadsheets/d/1H1EalTWKUSzO4Z1-1CwzoDUaVffgrThEBe2sl74kKG0/edit?usp=sharing"",""สุพรรณบุรี!J778"")+IMPORTRANGE(""https://docs.google.com/spreadsheets/d/1BmIruG_sIrJLYao_Pdr7zVArWsf"&amp;"oBt2692TMi6x_854/edit?usp=sharing"",""อ่างทอง!J778"")"),47790511.94)</f>
        <v>47790511.939999998</v>
      </c>
      <c r="K778" s="72">
        <f t="shared" ref="K778:K785" ca="1" si="527">IF(I778&gt;0,J778*100/I778,0)</f>
        <v>70.479267439150661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529"/>
      <c r="B779" s="267"/>
      <c r="C779" s="267"/>
      <c r="D779" s="267"/>
      <c r="E779" s="256"/>
      <c r="F779" s="256"/>
      <c r="G779" s="259"/>
      <c r="H779" s="266" t="s">
        <v>35</v>
      </c>
      <c r="I779" s="291">
        <f ca="1">IFERROR(__xludf.DUMMYFUNCTION("IMPORTRANGE(""https://docs.google.com/spreadsheets/d/13wPX838HrBrQMCywv1BsuMkt4PEKTChp52zj44s2izQ/edit?usp=sharing"",""กาญจนบุรี!I779"")+IMPORTRANGE(""https://docs.google.com/spreadsheets/d/1ddFKvqj1W1NEiWytbGlB1zMx_ykJDVtmfEQ-6-lIUBA/edit?usp=sharing"","&amp;"""จันทบุรี!I779"")+IMPORTRANGE(""https://docs.google.com/spreadsheets/d/1T1PQvRODqOBZk8BRht_U031fIS1beLA0Ub2CEytj2q0/edit?usp=sharing"",""ฉะเชิงเทรา!I779"")+IMPORTRANGE(""https://docs.google.com/spreadsheets/d/11tr1B-Bhyr79v2bkwVh5h_fR-PStkgjlZtkrZpYurG0/"&amp;"edit?usp=sharing"",""ชลบุรี!I779"")+IMPORTRANGE(""https://docs.google.com/spreadsheets/d/1hh-FVnSX0vozXhGluamEcS54Dw9_zqW0N7qJUWgJ0Sw/edit?usp=sharing"",""ชัยนาท!I779"")+IMPORTRANGE(""https://docs.google.com/spreadsheets/d/1jkqa6GXxSacMcY1eN8AHjMNJ_7dDXMJ"&amp;"VRLDlaFSOdPM/edit?usp=sharing"",""ตราด!I779"")+IMPORTRANGE(""https://docs.google.com/spreadsheets/d/18hSgUJ3VwClqi_qtULmmW3cLr0oe3OKaSYoKzdpTsYQ/edit?usp=sharing"",""นครนายก!I779"")+IMPORTRANGE(""https://docs.google.com/spreadsheets/d/1YTZo6WM2dQ6Ix6FSdnL"&amp;"5P7uVnVKu40sxZu975tgG10E/edit?usp=sharing"",""นครปฐม!I779"")+IMPORTRANGE(""https://docs.google.com/spreadsheets/d/1OYoGg4WDg5RIzwGeB10padOxJF9E_Vljuvvct_M7RDo/edit?usp=sharing"",""ปทุมธานี!I779"")+IMPORTRANGE(""https://docs.google.com/spreadsheets/d/1GbCI"&amp;"E4D4wk9FUozzqk7SxfDMxDVBwVmI5zcaVUSzKAc/edit?usp=sharing"",""ประจวบคีรีขันธ์!I779"")+IMPORTRANGE(""https://docs.google.com/spreadsheets/d/1vVf6wykvW_lAyu7Yo9L4hUTqHqIeP_qcVuxCtosJEbg/edit?usp=sharing"",""ปราจีนบุรี!I779"")+IMPORTRANGE(""https://docs.googl"&amp;"e.com/spreadsheets/d/1BIDqLLg5jk3v59G8NlR8rk5xfQDKne0sAvZHSj7TI6I/edit?usp=sharing"",""พระนครศรีอยุธยา!I779"")+IMPORTRANGE(""https://docs.google.com/spreadsheets/d/1YXvxf8Yu6_rV4hTBrwMqAcAnv6DfhUxh5emyM3CJp_w/edit?usp=sharing"",""เพชรบุรี!I779"")+IMPORTRA"&amp;"NGE(""https://docs.google.com/spreadsheets/d/19KBlQQs7uwvsao6t2n-KvW3Ax8J8uRRfZPq1zPbXgKc/edit?usp=sharing"",""ระยอง!I779"")+IMPORTRANGE(""https://docs.google.com/spreadsheets/d/1jQ6P4QcrGM89YfqcC_PxOHGCMq5ezhucwJd8ci-NHng/edit?usp=sharing"",""ราชบุรี!I77"&amp;"9"")+IMPORTRANGE(""https://docs.google.com/spreadsheets/d/1lufeA2cfFqM-elVq2hznhDzC6Pr7wkJ9ZG_sYNGCMCU/edit?usp=sharing"",""ลพบุรี!I779"")+IMPORTRANGE(""https://docs.google.com/spreadsheets/d/10oOiF7loTyfsTkbd4MpaIm0HQ9SwB7IYHdIUvt-U1Uc/edit?usp=sharing"""&amp;",""สระแก้ว!I779"")+IMPORTRANGE(""https://docs.google.com/spreadsheets/d/1xmPlrr1QbdSIKvl1dWUl9K4PjAfSL9oeMr_37QVzcxc/edit?usp=sharing"",""สระบุรี!I779"")+IMPORTRANGE(""https://docs.google.com/spreadsheets/d/1j51vR6CYVGhABJpv6tkstgok82RLpXieLzW1yOY5rHw/edi"&amp;"t?usp=sharing"",""สิงห์บุรี!I779"")+IMPORTRANGE(""https://docs.google.com/spreadsheets/d/1H1EalTWKUSzO4Z1-1CwzoDUaVffgrThEBe2sl74kKG0/edit?usp=sharing"",""สุพรรณบุรี!I779"")+IMPORTRANGE(""https://docs.google.com/spreadsheets/d/1BmIruG_sIrJLYao_Pdr7zVArWsf"&amp;"oBt2692TMi6x_854/edit?usp=sharing"",""อ่างทอง!I779"")"),2536)</f>
        <v>2536</v>
      </c>
      <c r="J779" s="291">
        <f ca="1">IFERROR(__xludf.DUMMYFUNCTION("IMPORTRANGE(""https://docs.google.com/spreadsheets/d/13wPX838HrBrQMCywv1BsuMkt4PEKTChp52zj44s2izQ/edit?usp=sharing"",""กาญจนบุรี!J779"")+IMPORTRANGE(""https://docs.google.com/spreadsheets/d/1ddFKvqj1W1NEiWytbGlB1zMx_ykJDVtmfEQ-6-lIUBA/edit?usp=sharing"","&amp;"""จันทบุรี!J779"")+IMPORTRANGE(""https://docs.google.com/spreadsheets/d/1T1PQvRODqOBZk8BRht_U031fIS1beLA0Ub2CEytj2q0/edit?usp=sharing"",""ฉะเชิงเทรา!J779"")+IMPORTRANGE(""https://docs.google.com/spreadsheets/d/11tr1B-Bhyr79v2bkwVh5h_fR-PStkgjlZtkrZpYurG0/"&amp;"edit?usp=sharing"",""ชลบุรี!J779"")+IMPORTRANGE(""https://docs.google.com/spreadsheets/d/1hh-FVnSX0vozXhGluamEcS54Dw9_zqW0N7qJUWgJ0Sw/edit?usp=sharing"",""ชัยนาท!J779"")+IMPORTRANGE(""https://docs.google.com/spreadsheets/d/1jkqa6GXxSacMcY1eN8AHjMNJ_7dDXMJ"&amp;"VRLDlaFSOdPM/edit?usp=sharing"",""ตราด!J779"")+IMPORTRANGE(""https://docs.google.com/spreadsheets/d/18hSgUJ3VwClqi_qtULmmW3cLr0oe3OKaSYoKzdpTsYQ/edit?usp=sharing"",""นครนายก!J779"")+IMPORTRANGE(""https://docs.google.com/spreadsheets/d/1YTZo6WM2dQ6Ix6FSdnL"&amp;"5P7uVnVKu40sxZu975tgG10E/edit?usp=sharing"",""นครปฐม!J779"")+IMPORTRANGE(""https://docs.google.com/spreadsheets/d/1OYoGg4WDg5RIzwGeB10padOxJF9E_Vljuvvct_M7RDo/edit?usp=sharing"",""ปทุมธานี!J779"")+IMPORTRANGE(""https://docs.google.com/spreadsheets/d/1GbCI"&amp;"E4D4wk9FUozzqk7SxfDMxDVBwVmI5zcaVUSzKAc/edit?usp=sharing"",""ประจวบคีรีขันธ์!J779"")+IMPORTRANGE(""https://docs.google.com/spreadsheets/d/1vVf6wykvW_lAyu7Yo9L4hUTqHqIeP_qcVuxCtosJEbg/edit?usp=sharing"",""ปราจีนบุรี!J779"")+IMPORTRANGE(""https://docs.googl"&amp;"e.com/spreadsheets/d/1BIDqLLg5jk3v59G8NlR8rk5xfQDKne0sAvZHSj7TI6I/edit?usp=sharing"",""พระนครศรีอยุธยา!J779"")+IMPORTRANGE(""https://docs.google.com/spreadsheets/d/1YXvxf8Yu6_rV4hTBrwMqAcAnv6DfhUxh5emyM3CJp_w/edit?usp=sharing"",""เพชรบุรี!J779"")+IMPORTRA"&amp;"NGE(""https://docs.google.com/spreadsheets/d/19KBlQQs7uwvsao6t2n-KvW3Ax8J8uRRfZPq1zPbXgKc/edit?usp=sharing"",""ระยอง!J779"")+IMPORTRANGE(""https://docs.google.com/spreadsheets/d/1jQ6P4QcrGM89YfqcC_PxOHGCMq5ezhucwJd8ci-NHng/edit?usp=sharing"",""ราชบุรี!J77"&amp;"9"")+IMPORTRANGE(""https://docs.google.com/spreadsheets/d/1lufeA2cfFqM-elVq2hznhDzC6Pr7wkJ9ZG_sYNGCMCU/edit?usp=sharing"",""ลพบุรี!J779"")+IMPORTRANGE(""https://docs.google.com/spreadsheets/d/10oOiF7loTyfsTkbd4MpaIm0HQ9SwB7IYHdIUvt-U1Uc/edit?usp=sharing"""&amp;",""สระแก้ว!J779"")+IMPORTRANGE(""https://docs.google.com/spreadsheets/d/1xmPlrr1QbdSIKvl1dWUl9K4PjAfSL9oeMr_37QVzcxc/edit?usp=sharing"",""สระบุรี!J779"")+IMPORTRANGE(""https://docs.google.com/spreadsheets/d/1j51vR6CYVGhABJpv6tkstgok82RLpXieLzW1yOY5rHw/edi"&amp;"t?usp=sharing"",""สิงห์บุรี!J779"")+IMPORTRANGE(""https://docs.google.com/spreadsheets/d/1H1EalTWKUSzO4Z1-1CwzoDUaVffgrThEBe2sl74kKG0/edit?usp=sharing"",""สุพรรณบุรี!J779"")+IMPORTRANGE(""https://docs.google.com/spreadsheets/d/1BmIruG_sIrJLYao_Pdr7zVArWsf"&amp;"oBt2692TMi6x_854/edit?usp=sharing"",""อ่างทอง!J779"")"),1874)</f>
        <v>1874</v>
      </c>
      <c r="K779" s="72">
        <f t="shared" ca="1" si="527"/>
        <v>73.895899053627758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529"/>
      <c r="B780" s="567" t="s">
        <v>297</v>
      </c>
      <c r="C780" s="267"/>
      <c r="D780" s="267"/>
      <c r="E780" s="256"/>
      <c r="F780" s="256"/>
      <c r="G780" s="259"/>
      <c r="H780" s="266" t="s">
        <v>14</v>
      </c>
      <c r="I780" s="291">
        <f ca="1">IFERROR(__xludf.DUMMYFUNCTION("IMPORTRANGE(""https://docs.google.com/spreadsheets/d/13wPX838HrBrQMCywv1BsuMkt4PEKTChp52zj44s2izQ/edit?usp=sharing"",""กาญจนบุรี!I780"")+IMPORTRANGE(""https://docs.google.com/spreadsheets/d/1ddFKvqj1W1NEiWytbGlB1zMx_ykJDVtmfEQ-6-lIUBA/edit?usp=sharing"","&amp;"""จันทบุรี!I780"")+IMPORTRANGE(""https://docs.google.com/spreadsheets/d/1T1PQvRODqOBZk8BRht_U031fIS1beLA0Ub2CEytj2q0/edit?usp=sharing"",""ฉะเชิงเทรา!I780"")+IMPORTRANGE(""https://docs.google.com/spreadsheets/d/11tr1B-Bhyr79v2bkwVh5h_fR-PStkgjlZtkrZpYurG0/"&amp;"edit?usp=sharing"",""ชลบุรี!I780"")+IMPORTRANGE(""https://docs.google.com/spreadsheets/d/1hh-FVnSX0vozXhGluamEcS54Dw9_zqW0N7qJUWgJ0Sw/edit?usp=sharing"",""ชัยนาท!I780"")+IMPORTRANGE(""https://docs.google.com/spreadsheets/d/1jkqa6GXxSacMcY1eN8AHjMNJ_7dDXMJ"&amp;"VRLDlaFSOdPM/edit?usp=sharing"",""ตราด!I780"")+IMPORTRANGE(""https://docs.google.com/spreadsheets/d/18hSgUJ3VwClqi_qtULmmW3cLr0oe3OKaSYoKzdpTsYQ/edit?usp=sharing"",""นครนายก!I780"")+IMPORTRANGE(""https://docs.google.com/spreadsheets/d/1YTZo6WM2dQ6Ix6FSdnL"&amp;"5P7uVnVKu40sxZu975tgG10E/edit?usp=sharing"",""นครปฐม!I780"")+IMPORTRANGE(""https://docs.google.com/spreadsheets/d/1OYoGg4WDg5RIzwGeB10padOxJF9E_Vljuvvct_M7RDo/edit?usp=sharing"",""ปทุมธานี!I780"")+IMPORTRANGE(""https://docs.google.com/spreadsheets/d/1GbCI"&amp;"E4D4wk9FUozzqk7SxfDMxDVBwVmI5zcaVUSzKAc/edit?usp=sharing"",""ประจวบคีรีขันธ์!I780"")+IMPORTRANGE(""https://docs.google.com/spreadsheets/d/1vVf6wykvW_lAyu7Yo9L4hUTqHqIeP_qcVuxCtosJEbg/edit?usp=sharing"",""ปราจีนบุรี!I780"")+IMPORTRANGE(""https://docs.googl"&amp;"e.com/spreadsheets/d/1BIDqLLg5jk3v59G8NlR8rk5xfQDKne0sAvZHSj7TI6I/edit?usp=sharing"",""พระนครศรีอยุธยา!I780"")+IMPORTRANGE(""https://docs.google.com/spreadsheets/d/1YXvxf8Yu6_rV4hTBrwMqAcAnv6DfhUxh5emyM3CJp_w/edit?usp=sharing"",""เพชรบุรี!I780"")+IMPORTRA"&amp;"NGE(""https://docs.google.com/spreadsheets/d/19KBlQQs7uwvsao6t2n-KvW3Ax8J8uRRfZPq1zPbXgKc/edit?usp=sharing"",""ระยอง!I780"")+IMPORTRANGE(""https://docs.google.com/spreadsheets/d/1jQ6P4QcrGM89YfqcC_PxOHGCMq5ezhucwJd8ci-NHng/edit?usp=sharing"",""ราชบุรี!I78"&amp;"0"")+IMPORTRANGE(""https://docs.google.com/spreadsheets/d/1lufeA2cfFqM-elVq2hznhDzC6Pr7wkJ9ZG_sYNGCMCU/edit?usp=sharing"",""ลพบุรี!I780"")+IMPORTRANGE(""https://docs.google.com/spreadsheets/d/10oOiF7loTyfsTkbd4MpaIm0HQ9SwB7IYHdIUvt-U1Uc/edit?usp=sharing"""&amp;",""สระแก้ว!I780"")+IMPORTRANGE(""https://docs.google.com/spreadsheets/d/1xmPlrr1QbdSIKvl1dWUl9K4PjAfSL9oeMr_37QVzcxc/edit?usp=sharing"",""สระบุรี!I780"")+IMPORTRANGE(""https://docs.google.com/spreadsheets/d/1j51vR6CYVGhABJpv6tkstgok82RLpXieLzW1yOY5rHw/edi"&amp;"t?usp=sharing"",""สิงห์บุรี!I780"")+IMPORTRANGE(""https://docs.google.com/spreadsheets/d/1H1EalTWKUSzO4Z1-1CwzoDUaVffgrThEBe2sl74kKG0/edit?usp=sharing"",""สุพรรณบุรี!I780"")+IMPORTRANGE(""https://docs.google.com/spreadsheets/d/1BmIruG_sIrJLYao_Pdr7zVArWsf"&amp;"oBt2692TMi6x_854/edit?usp=sharing"",""อ่างทอง!I780"")"),105547070.139999)</f>
        <v>105547070.139999</v>
      </c>
      <c r="J780" s="291">
        <f ca="1">IFERROR(__xludf.DUMMYFUNCTION("IMPORTRANGE(""https://docs.google.com/spreadsheets/d/13wPX838HrBrQMCywv1BsuMkt4PEKTChp52zj44s2izQ/edit?usp=sharing"",""กาญจนบุรี!J780"")+IMPORTRANGE(""https://docs.google.com/spreadsheets/d/1ddFKvqj1W1NEiWytbGlB1zMx_ykJDVtmfEQ-6-lIUBA/edit?usp=sharing"","&amp;"""จันทบุรี!J780"")+IMPORTRANGE(""https://docs.google.com/spreadsheets/d/1T1PQvRODqOBZk8BRht_U031fIS1beLA0Ub2CEytj2q0/edit?usp=sharing"",""ฉะเชิงเทรา!J780"")+IMPORTRANGE(""https://docs.google.com/spreadsheets/d/11tr1B-Bhyr79v2bkwVh5h_fR-PStkgjlZtkrZpYurG0/"&amp;"edit?usp=sharing"",""ชลบุรี!J780"")+IMPORTRANGE(""https://docs.google.com/spreadsheets/d/1hh-FVnSX0vozXhGluamEcS54Dw9_zqW0N7qJUWgJ0Sw/edit?usp=sharing"",""ชัยนาท!J780"")+IMPORTRANGE(""https://docs.google.com/spreadsheets/d/1jkqa6GXxSacMcY1eN8AHjMNJ_7dDXMJ"&amp;"VRLDlaFSOdPM/edit?usp=sharing"",""ตราด!J780"")+IMPORTRANGE(""https://docs.google.com/spreadsheets/d/18hSgUJ3VwClqi_qtULmmW3cLr0oe3OKaSYoKzdpTsYQ/edit?usp=sharing"",""นครนายก!J780"")+IMPORTRANGE(""https://docs.google.com/spreadsheets/d/1YTZo6WM2dQ6Ix6FSdnL"&amp;"5P7uVnVKu40sxZu975tgG10E/edit?usp=sharing"",""นครปฐม!J780"")+IMPORTRANGE(""https://docs.google.com/spreadsheets/d/1OYoGg4WDg5RIzwGeB10padOxJF9E_Vljuvvct_M7RDo/edit?usp=sharing"",""ปทุมธานี!J780"")+IMPORTRANGE(""https://docs.google.com/spreadsheets/d/1GbCI"&amp;"E4D4wk9FUozzqk7SxfDMxDVBwVmI5zcaVUSzKAc/edit?usp=sharing"",""ประจวบคีรีขันธ์!J780"")+IMPORTRANGE(""https://docs.google.com/spreadsheets/d/1vVf6wykvW_lAyu7Yo9L4hUTqHqIeP_qcVuxCtosJEbg/edit?usp=sharing"",""ปราจีนบุรี!J780"")+IMPORTRANGE(""https://docs.googl"&amp;"e.com/spreadsheets/d/1BIDqLLg5jk3v59G8NlR8rk5xfQDKne0sAvZHSj7TI6I/edit?usp=sharing"",""พระนครศรีอยุธยา!J780"")+IMPORTRANGE(""https://docs.google.com/spreadsheets/d/1YXvxf8Yu6_rV4hTBrwMqAcAnv6DfhUxh5emyM3CJp_w/edit?usp=sharing"",""เพชรบุรี!J780"")+IMPORTRA"&amp;"NGE(""https://docs.google.com/spreadsheets/d/19KBlQQs7uwvsao6t2n-KvW3Ax8J8uRRfZPq1zPbXgKc/edit?usp=sharing"",""ระยอง!J780"")+IMPORTRANGE(""https://docs.google.com/spreadsheets/d/1jQ6P4QcrGM89YfqcC_PxOHGCMq5ezhucwJd8ci-NHng/edit?usp=sharing"",""ราชบุรี!J78"&amp;"0"")+IMPORTRANGE(""https://docs.google.com/spreadsheets/d/1lufeA2cfFqM-elVq2hznhDzC6Pr7wkJ9ZG_sYNGCMCU/edit?usp=sharing"",""ลพบุรี!J780"")+IMPORTRANGE(""https://docs.google.com/spreadsheets/d/10oOiF7loTyfsTkbd4MpaIm0HQ9SwB7IYHdIUvt-U1Uc/edit?usp=sharing"""&amp;",""สระแก้ว!J780"")+IMPORTRANGE(""https://docs.google.com/spreadsheets/d/1xmPlrr1QbdSIKvl1dWUl9K4PjAfSL9oeMr_37QVzcxc/edit?usp=sharing"",""สระบุรี!J780"")+IMPORTRANGE(""https://docs.google.com/spreadsheets/d/1j51vR6CYVGhABJpv6tkstgok82RLpXieLzW1yOY5rHw/edi"&amp;"t?usp=sharing"",""สิงห์บุรี!J780"")+IMPORTRANGE(""https://docs.google.com/spreadsheets/d/1H1EalTWKUSzO4Z1-1CwzoDUaVffgrThEBe2sl74kKG0/edit?usp=sharing"",""สุพรรณบุรี!J780"")+IMPORTRANGE(""https://docs.google.com/spreadsheets/d/1BmIruG_sIrJLYao_Pdr7zVArWsf"&amp;"oBt2692TMi6x_854/edit?usp=sharing"",""อ่างทอง!J780"")"),7226406.26)</f>
        <v>7226406.2599999998</v>
      </c>
      <c r="K780" s="72">
        <f t="shared" ca="1" si="527"/>
        <v>6.8466194754764871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529"/>
      <c r="B781" s="267"/>
      <c r="C781" s="267"/>
      <c r="D781" s="267"/>
      <c r="E781" s="256"/>
      <c r="F781" s="256"/>
      <c r="G781" s="259"/>
      <c r="H781" s="266" t="s">
        <v>35</v>
      </c>
      <c r="I781" s="291">
        <f ca="1">IFERROR(__xludf.DUMMYFUNCTION("IMPORTRANGE(""https://docs.google.com/spreadsheets/d/13wPX838HrBrQMCywv1BsuMkt4PEKTChp52zj44s2izQ/edit?usp=sharing"",""กาญจนบุรี!I781"")+IMPORTRANGE(""https://docs.google.com/spreadsheets/d/1ddFKvqj1W1NEiWytbGlB1zMx_ykJDVtmfEQ-6-lIUBA/edit?usp=sharing"","&amp;"""จันทบุรี!I781"")+IMPORTRANGE(""https://docs.google.com/spreadsheets/d/1T1PQvRODqOBZk8BRht_U031fIS1beLA0Ub2CEytj2q0/edit?usp=sharing"",""ฉะเชิงเทรา!I781"")+IMPORTRANGE(""https://docs.google.com/spreadsheets/d/11tr1B-Bhyr79v2bkwVh5h_fR-PStkgjlZtkrZpYurG0/"&amp;"edit?usp=sharing"",""ชลบุรี!I781"")+IMPORTRANGE(""https://docs.google.com/spreadsheets/d/1hh-FVnSX0vozXhGluamEcS54Dw9_zqW0N7qJUWgJ0Sw/edit?usp=sharing"",""ชัยนาท!I781"")+IMPORTRANGE(""https://docs.google.com/spreadsheets/d/1jkqa6GXxSacMcY1eN8AHjMNJ_7dDXMJ"&amp;"VRLDlaFSOdPM/edit?usp=sharing"",""ตราด!I781"")+IMPORTRANGE(""https://docs.google.com/spreadsheets/d/18hSgUJ3VwClqi_qtULmmW3cLr0oe3OKaSYoKzdpTsYQ/edit?usp=sharing"",""นครนายก!I781"")+IMPORTRANGE(""https://docs.google.com/spreadsheets/d/1YTZo6WM2dQ6Ix6FSdnL"&amp;"5P7uVnVKu40sxZu975tgG10E/edit?usp=sharing"",""นครปฐม!I781"")+IMPORTRANGE(""https://docs.google.com/spreadsheets/d/1OYoGg4WDg5RIzwGeB10padOxJF9E_Vljuvvct_M7RDo/edit?usp=sharing"",""ปทุมธานี!I781"")+IMPORTRANGE(""https://docs.google.com/spreadsheets/d/1GbCI"&amp;"E4D4wk9FUozzqk7SxfDMxDVBwVmI5zcaVUSzKAc/edit?usp=sharing"",""ประจวบคีรีขันธ์!I781"")+IMPORTRANGE(""https://docs.google.com/spreadsheets/d/1vVf6wykvW_lAyu7Yo9L4hUTqHqIeP_qcVuxCtosJEbg/edit?usp=sharing"",""ปราจีนบุรี!I781"")+IMPORTRANGE(""https://docs.googl"&amp;"e.com/spreadsheets/d/1BIDqLLg5jk3v59G8NlR8rk5xfQDKne0sAvZHSj7TI6I/edit?usp=sharing"",""พระนครศรีอยุธยา!I781"")+IMPORTRANGE(""https://docs.google.com/spreadsheets/d/1YXvxf8Yu6_rV4hTBrwMqAcAnv6DfhUxh5emyM3CJp_w/edit?usp=sharing"",""เพชรบุรี!I781"")+IMPORTRA"&amp;"NGE(""https://docs.google.com/spreadsheets/d/19KBlQQs7uwvsao6t2n-KvW3Ax8J8uRRfZPq1zPbXgKc/edit?usp=sharing"",""ระยอง!I781"")+IMPORTRANGE(""https://docs.google.com/spreadsheets/d/1jQ6P4QcrGM89YfqcC_PxOHGCMq5ezhucwJd8ci-NHng/edit?usp=sharing"",""ราชบุรี!I78"&amp;"1"")+IMPORTRANGE(""https://docs.google.com/spreadsheets/d/1lufeA2cfFqM-elVq2hznhDzC6Pr7wkJ9ZG_sYNGCMCU/edit?usp=sharing"",""ลพบุรี!I781"")+IMPORTRANGE(""https://docs.google.com/spreadsheets/d/10oOiF7loTyfsTkbd4MpaIm0HQ9SwB7IYHdIUvt-U1Uc/edit?usp=sharing"""&amp;",""สระแก้ว!I781"")+IMPORTRANGE(""https://docs.google.com/spreadsheets/d/1xmPlrr1QbdSIKvl1dWUl9K4PjAfSL9oeMr_37QVzcxc/edit?usp=sharing"",""สระบุรี!I781"")+IMPORTRANGE(""https://docs.google.com/spreadsheets/d/1j51vR6CYVGhABJpv6tkstgok82RLpXieLzW1yOY5rHw/edi"&amp;"t?usp=sharing"",""สิงห์บุรี!I781"")+IMPORTRANGE(""https://docs.google.com/spreadsheets/d/1H1EalTWKUSzO4Z1-1CwzoDUaVffgrThEBe2sl74kKG0/edit?usp=sharing"",""สุพรรณบุรี!I781"")+IMPORTRANGE(""https://docs.google.com/spreadsheets/d/1BmIruG_sIrJLYao_Pdr7zVArWsf"&amp;"oBt2692TMi6x_854/edit?usp=sharing"",""อ่างทอง!I781"")"),3146)</f>
        <v>3146</v>
      </c>
      <c r="J781" s="291">
        <f ca="1">IFERROR(__xludf.DUMMYFUNCTION("IMPORTRANGE(""https://docs.google.com/spreadsheets/d/13wPX838HrBrQMCywv1BsuMkt4PEKTChp52zj44s2izQ/edit?usp=sharing"",""กาญจนบุรี!J781"")+IMPORTRANGE(""https://docs.google.com/spreadsheets/d/1ddFKvqj1W1NEiWytbGlB1zMx_ykJDVtmfEQ-6-lIUBA/edit?usp=sharing"","&amp;"""จันทบุรี!J781"")+IMPORTRANGE(""https://docs.google.com/spreadsheets/d/1T1PQvRODqOBZk8BRht_U031fIS1beLA0Ub2CEytj2q0/edit?usp=sharing"",""ฉะเชิงเทรา!J781"")+IMPORTRANGE(""https://docs.google.com/spreadsheets/d/11tr1B-Bhyr79v2bkwVh5h_fR-PStkgjlZtkrZpYurG0/"&amp;"edit?usp=sharing"",""ชลบุรี!J781"")+IMPORTRANGE(""https://docs.google.com/spreadsheets/d/1hh-FVnSX0vozXhGluamEcS54Dw9_zqW0N7qJUWgJ0Sw/edit?usp=sharing"",""ชัยนาท!J781"")+IMPORTRANGE(""https://docs.google.com/spreadsheets/d/1jkqa6GXxSacMcY1eN8AHjMNJ_7dDXMJ"&amp;"VRLDlaFSOdPM/edit?usp=sharing"",""ตราด!J781"")+IMPORTRANGE(""https://docs.google.com/spreadsheets/d/18hSgUJ3VwClqi_qtULmmW3cLr0oe3OKaSYoKzdpTsYQ/edit?usp=sharing"",""นครนายก!J781"")+IMPORTRANGE(""https://docs.google.com/spreadsheets/d/1YTZo6WM2dQ6Ix6FSdnL"&amp;"5P7uVnVKu40sxZu975tgG10E/edit?usp=sharing"",""นครปฐม!J781"")+IMPORTRANGE(""https://docs.google.com/spreadsheets/d/1OYoGg4WDg5RIzwGeB10padOxJF9E_Vljuvvct_M7RDo/edit?usp=sharing"",""ปทุมธานี!J781"")+IMPORTRANGE(""https://docs.google.com/spreadsheets/d/1GbCI"&amp;"E4D4wk9FUozzqk7SxfDMxDVBwVmI5zcaVUSzKAc/edit?usp=sharing"",""ประจวบคีรีขันธ์!J781"")+IMPORTRANGE(""https://docs.google.com/spreadsheets/d/1vVf6wykvW_lAyu7Yo9L4hUTqHqIeP_qcVuxCtosJEbg/edit?usp=sharing"",""ปราจีนบุรี!J781"")+IMPORTRANGE(""https://docs.googl"&amp;"e.com/spreadsheets/d/1BIDqLLg5jk3v59G8NlR8rk5xfQDKne0sAvZHSj7TI6I/edit?usp=sharing"",""พระนครศรีอยุธยา!J781"")+IMPORTRANGE(""https://docs.google.com/spreadsheets/d/1YXvxf8Yu6_rV4hTBrwMqAcAnv6DfhUxh5emyM3CJp_w/edit?usp=sharing"",""เพชรบุรี!J781"")+IMPORTRA"&amp;"NGE(""https://docs.google.com/spreadsheets/d/19KBlQQs7uwvsao6t2n-KvW3Ax8J8uRRfZPq1zPbXgKc/edit?usp=sharing"",""ระยอง!J781"")+IMPORTRANGE(""https://docs.google.com/spreadsheets/d/1jQ6P4QcrGM89YfqcC_PxOHGCMq5ezhucwJd8ci-NHng/edit?usp=sharing"",""ราชบุรี!J78"&amp;"1"")+IMPORTRANGE(""https://docs.google.com/spreadsheets/d/1lufeA2cfFqM-elVq2hznhDzC6Pr7wkJ9ZG_sYNGCMCU/edit?usp=sharing"",""ลพบุรี!J781"")+IMPORTRANGE(""https://docs.google.com/spreadsheets/d/10oOiF7loTyfsTkbd4MpaIm0HQ9SwB7IYHdIUvt-U1Uc/edit?usp=sharing"""&amp;",""สระแก้ว!J781"")+IMPORTRANGE(""https://docs.google.com/spreadsheets/d/1xmPlrr1QbdSIKvl1dWUl9K4PjAfSL9oeMr_37QVzcxc/edit?usp=sharing"",""สระบุรี!J781"")+IMPORTRANGE(""https://docs.google.com/spreadsheets/d/1j51vR6CYVGhABJpv6tkstgok82RLpXieLzW1yOY5rHw/edi"&amp;"t?usp=sharing"",""สิงห์บุรี!J781"")+IMPORTRANGE(""https://docs.google.com/spreadsheets/d/1H1EalTWKUSzO4Z1-1CwzoDUaVffgrThEBe2sl74kKG0/edit?usp=sharing"",""สุพรรณบุรี!J781"")+IMPORTRANGE(""https://docs.google.com/spreadsheets/d/1BmIruG_sIrJLYao_Pdr7zVArWsf"&amp;"oBt2692TMi6x_854/edit?usp=sharing"",""อ่างทอง!J781"")"),867)</f>
        <v>867</v>
      </c>
      <c r="K781" s="72">
        <f t="shared" ca="1" si="527"/>
        <v>27.558804831532104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529"/>
      <c r="B782" s="567" t="s">
        <v>298</v>
      </c>
      <c r="C782" s="267"/>
      <c r="D782" s="267"/>
      <c r="E782" s="256"/>
      <c r="F782" s="256"/>
      <c r="G782" s="259"/>
      <c r="H782" s="266" t="s">
        <v>14</v>
      </c>
      <c r="I782" s="291">
        <f ca="1">IFERROR(__xludf.DUMMYFUNCTION("IMPORTRANGE(""https://docs.google.com/spreadsheets/d/13wPX838HrBrQMCywv1BsuMkt4PEKTChp52zj44s2izQ/edit?usp=sharing"",""กาญจนบุรี!I782"")+IMPORTRANGE(""https://docs.google.com/spreadsheets/d/1ddFKvqj1W1NEiWytbGlB1zMx_ykJDVtmfEQ-6-lIUBA/edit?usp=sharing"","&amp;"""จันทบุรี!I782"")+IMPORTRANGE(""https://docs.google.com/spreadsheets/d/1T1PQvRODqOBZk8BRht_U031fIS1beLA0Ub2CEytj2q0/edit?usp=sharing"",""ฉะเชิงเทรา!I782"")+IMPORTRANGE(""https://docs.google.com/spreadsheets/d/11tr1B-Bhyr79v2bkwVh5h_fR-PStkgjlZtkrZpYurG0/"&amp;"edit?usp=sharing"",""ชลบุรี!I782"")+IMPORTRANGE(""https://docs.google.com/spreadsheets/d/1hh-FVnSX0vozXhGluamEcS54Dw9_zqW0N7qJUWgJ0Sw/edit?usp=sharing"",""ชัยนาท!I782"")+IMPORTRANGE(""https://docs.google.com/spreadsheets/d/1jkqa6GXxSacMcY1eN8AHjMNJ_7dDXMJ"&amp;"VRLDlaFSOdPM/edit?usp=sharing"",""ตราด!I782"")+IMPORTRANGE(""https://docs.google.com/spreadsheets/d/18hSgUJ3VwClqi_qtULmmW3cLr0oe3OKaSYoKzdpTsYQ/edit?usp=sharing"",""นครนายก!I782"")+IMPORTRANGE(""https://docs.google.com/spreadsheets/d/1YTZo6WM2dQ6Ix6FSdnL"&amp;"5P7uVnVKu40sxZu975tgG10E/edit?usp=sharing"",""นครปฐม!I782"")+IMPORTRANGE(""https://docs.google.com/spreadsheets/d/1OYoGg4WDg5RIzwGeB10padOxJF9E_Vljuvvct_M7RDo/edit?usp=sharing"",""ปทุมธานี!I782"")+IMPORTRANGE(""https://docs.google.com/spreadsheets/d/1GbCI"&amp;"E4D4wk9FUozzqk7SxfDMxDVBwVmI5zcaVUSzKAc/edit?usp=sharing"",""ประจวบคีรีขันธ์!I782"")+IMPORTRANGE(""https://docs.google.com/spreadsheets/d/1vVf6wykvW_lAyu7Yo9L4hUTqHqIeP_qcVuxCtosJEbg/edit?usp=sharing"",""ปราจีนบุรี!I782"")+IMPORTRANGE(""https://docs.googl"&amp;"e.com/spreadsheets/d/1BIDqLLg5jk3v59G8NlR8rk5xfQDKne0sAvZHSj7TI6I/edit?usp=sharing"",""พระนครศรีอยุธยา!I782"")+IMPORTRANGE(""https://docs.google.com/spreadsheets/d/1YXvxf8Yu6_rV4hTBrwMqAcAnv6DfhUxh5emyM3CJp_w/edit?usp=sharing"",""เพชรบุรี!I782"")+IMPORTRA"&amp;"NGE(""https://docs.google.com/spreadsheets/d/19KBlQQs7uwvsao6t2n-KvW3Ax8J8uRRfZPq1zPbXgKc/edit?usp=sharing"",""ระยอง!I782"")+IMPORTRANGE(""https://docs.google.com/spreadsheets/d/1jQ6P4QcrGM89YfqcC_PxOHGCMq5ezhucwJd8ci-NHng/edit?usp=sharing"",""ราชบุรี!I78"&amp;"2"")+IMPORTRANGE(""https://docs.google.com/spreadsheets/d/1lufeA2cfFqM-elVq2hznhDzC6Pr7wkJ9ZG_sYNGCMCU/edit?usp=sharing"",""ลพบุรี!I782"")+IMPORTRANGE(""https://docs.google.com/spreadsheets/d/10oOiF7loTyfsTkbd4MpaIm0HQ9SwB7IYHdIUvt-U1Uc/edit?usp=sharing"""&amp;",""สระแก้ว!I782"")+IMPORTRANGE(""https://docs.google.com/spreadsheets/d/1xmPlrr1QbdSIKvl1dWUl9K4PjAfSL9oeMr_37QVzcxc/edit?usp=sharing"",""สระบุรี!I782"")+IMPORTRANGE(""https://docs.google.com/spreadsheets/d/1j51vR6CYVGhABJpv6tkstgok82RLpXieLzW1yOY5rHw/edi"&amp;"t?usp=sharing"",""สิงห์บุรี!I782"")+IMPORTRANGE(""https://docs.google.com/spreadsheets/d/1H1EalTWKUSzO4Z1-1CwzoDUaVffgrThEBe2sl74kKG0/edit?usp=sharing"",""สุพรรณบุรี!I782"")+IMPORTRANGE(""https://docs.google.com/spreadsheets/d/1BmIruG_sIrJLYao_Pdr7zVArWsf"&amp;"oBt2692TMi6x_854/edit?usp=sharing"",""อ่างทอง!I782"")"),39465393.03)</f>
        <v>39465393.030000001</v>
      </c>
      <c r="J782" s="291">
        <f ca="1">IFERROR(__xludf.DUMMYFUNCTION("IMPORTRANGE(""https://docs.google.com/spreadsheets/d/13wPX838HrBrQMCywv1BsuMkt4PEKTChp52zj44s2izQ/edit?usp=sharing"",""กาญจนบุรี!J782"")+IMPORTRANGE(""https://docs.google.com/spreadsheets/d/1ddFKvqj1W1NEiWytbGlB1zMx_ykJDVtmfEQ-6-lIUBA/edit?usp=sharing"","&amp;"""จันทบุรี!J782"")+IMPORTRANGE(""https://docs.google.com/spreadsheets/d/1T1PQvRODqOBZk8BRht_U031fIS1beLA0Ub2CEytj2q0/edit?usp=sharing"",""ฉะเชิงเทรา!J782"")+IMPORTRANGE(""https://docs.google.com/spreadsheets/d/11tr1B-Bhyr79v2bkwVh5h_fR-PStkgjlZtkrZpYurG0/"&amp;"edit?usp=sharing"",""ชลบุรี!J782"")+IMPORTRANGE(""https://docs.google.com/spreadsheets/d/1hh-FVnSX0vozXhGluamEcS54Dw9_zqW0N7qJUWgJ0Sw/edit?usp=sharing"",""ชัยนาท!J782"")+IMPORTRANGE(""https://docs.google.com/spreadsheets/d/1jkqa6GXxSacMcY1eN8AHjMNJ_7dDXMJ"&amp;"VRLDlaFSOdPM/edit?usp=sharing"",""ตราด!J782"")+IMPORTRANGE(""https://docs.google.com/spreadsheets/d/18hSgUJ3VwClqi_qtULmmW3cLr0oe3OKaSYoKzdpTsYQ/edit?usp=sharing"",""นครนายก!J782"")+IMPORTRANGE(""https://docs.google.com/spreadsheets/d/1YTZo6WM2dQ6Ix6FSdnL"&amp;"5P7uVnVKu40sxZu975tgG10E/edit?usp=sharing"",""นครปฐม!J782"")+IMPORTRANGE(""https://docs.google.com/spreadsheets/d/1OYoGg4WDg5RIzwGeB10padOxJF9E_Vljuvvct_M7RDo/edit?usp=sharing"",""ปทุมธานี!J782"")+IMPORTRANGE(""https://docs.google.com/spreadsheets/d/1GbCI"&amp;"E4D4wk9FUozzqk7SxfDMxDVBwVmI5zcaVUSzKAc/edit?usp=sharing"",""ประจวบคีรีขันธ์!J782"")+IMPORTRANGE(""https://docs.google.com/spreadsheets/d/1vVf6wykvW_lAyu7Yo9L4hUTqHqIeP_qcVuxCtosJEbg/edit?usp=sharing"",""ปราจีนบุรี!J782"")+IMPORTRANGE(""https://docs.googl"&amp;"e.com/spreadsheets/d/1BIDqLLg5jk3v59G8NlR8rk5xfQDKne0sAvZHSj7TI6I/edit?usp=sharing"",""พระนครศรีอยุธยา!J782"")+IMPORTRANGE(""https://docs.google.com/spreadsheets/d/1YXvxf8Yu6_rV4hTBrwMqAcAnv6DfhUxh5emyM3CJp_w/edit?usp=sharing"",""เพชรบุรี!J782"")+IMPORTRA"&amp;"NGE(""https://docs.google.com/spreadsheets/d/19KBlQQs7uwvsao6t2n-KvW3Ax8J8uRRfZPq1zPbXgKc/edit?usp=sharing"",""ระยอง!J782"")+IMPORTRANGE(""https://docs.google.com/spreadsheets/d/1jQ6P4QcrGM89YfqcC_PxOHGCMq5ezhucwJd8ci-NHng/edit?usp=sharing"",""ราชบุรี!J78"&amp;"2"")+IMPORTRANGE(""https://docs.google.com/spreadsheets/d/1lufeA2cfFqM-elVq2hznhDzC6Pr7wkJ9ZG_sYNGCMCU/edit?usp=sharing"",""ลพบุรี!J782"")+IMPORTRANGE(""https://docs.google.com/spreadsheets/d/10oOiF7loTyfsTkbd4MpaIm0HQ9SwB7IYHdIUvt-U1Uc/edit?usp=sharing"""&amp;",""สระแก้ว!J782"")+IMPORTRANGE(""https://docs.google.com/spreadsheets/d/1xmPlrr1QbdSIKvl1dWUl9K4PjAfSL9oeMr_37QVzcxc/edit?usp=sharing"",""สระบุรี!J782"")+IMPORTRANGE(""https://docs.google.com/spreadsheets/d/1j51vR6CYVGhABJpv6tkstgok82RLpXieLzW1yOY5rHw/edi"&amp;"t?usp=sharing"",""สิงห์บุรี!J782"")+IMPORTRANGE(""https://docs.google.com/spreadsheets/d/1H1EalTWKUSzO4Z1-1CwzoDUaVffgrThEBe2sl74kKG0/edit?usp=sharing"",""สุพรรณบุรี!J782"")+IMPORTRANGE(""https://docs.google.com/spreadsheets/d/1BmIruG_sIrJLYao_Pdr7zVArWsf"&amp;"oBt2692TMi6x_854/edit?usp=sharing"",""อ่างทอง!J782"")"),12512014.91)</f>
        <v>12512014.91</v>
      </c>
      <c r="K782" s="72">
        <f t="shared" ca="1" si="527"/>
        <v>31.703763599893382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529"/>
      <c r="B783" s="267"/>
      <c r="C783" s="267"/>
      <c r="D783" s="267"/>
      <c r="E783" s="256"/>
      <c r="F783" s="256"/>
      <c r="G783" s="259"/>
      <c r="H783" s="266" t="s">
        <v>35</v>
      </c>
      <c r="I783" s="291">
        <f ca="1">IFERROR(__xludf.DUMMYFUNCTION("IMPORTRANGE(""https://docs.google.com/spreadsheets/d/13wPX838HrBrQMCywv1BsuMkt4PEKTChp52zj44s2izQ/edit?usp=sharing"",""กาญจนบุรี!I783"")+IMPORTRANGE(""https://docs.google.com/spreadsheets/d/1ddFKvqj1W1NEiWytbGlB1zMx_ykJDVtmfEQ-6-lIUBA/edit?usp=sharing"","&amp;"""จันทบุรี!I783"")+IMPORTRANGE(""https://docs.google.com/spreadsheets/d/1T1PQvRODqOBZk8BRht_U031fIS1beLA0Ub2CEytj2q0/edit?usp=sharing"",""ฉะเชิงเทรา!I783"")+IMPORTRANGE(""https://docs.google.com/spreadsheets/d/11tr1B-Bhyr79v2bkwVh5h_fR-PStkgjlZtkrZpYurG0/"&amp;"edit?usp=sharing"",""ชลบุรี!I783"")+IMPORTRANGE(""https://docs.google.com/spreadsheets/d/1hh-FVnSX0vozXhGluamEcS54Dw9_zqW0N7qJUWgJ0Sw/edit?usp=sharing"",""ชัยนาท!I783"")+IMPORTRANGE(""https://docs.google.com/spreadsheets/d/1jkqa6GXxSacMcY1eN8AHjMNJ_7dDXMJ"&amp;"VRLDlaFSOdPM/edit?usp=sharing"",""ตราด!I783"")+IMPORTRANGE(""https://docs.google.com/spreadsheets/d/18hSgUJ3VwClqi_qtULmmW3cLr0oe3OKaSYoKzdpTsYQ/edit?usp=sharing"",""นครนายก!I783"")+IMPORTRANGE(""https://docs.google.com/spreadsheets/d/1YTZo6WM2dQ6Ix6FSdnL"&amp;"5P7uVnVKu40sxZu975tgG10E/edit?usp=sharing"",""นครปฐม!I783"")+IMPORTRANGE(""https://docs.google.com/spreadsheets/d/1OYoGg4WDg5RIzwGeB10padOxJF9E_Vljuvvct_M7RDo/edit?usp=sharing"",""ปทุมธานี!I783"")+IMPORTRANGE(""https://docs.google.com/spreadsheets/d/1GbCI"&amp;"E4D4wk9FUozzqk7SxfDMxDVBwVmI5zcaVUSzKAc/edit?usp=sharing"",""ประจวบคีรีขันธ์!I783"")+IMPORTRANGE(""https://docs.google.com/spreadsheets/d/1vVf6wykvW_lAyu7Yo9L4hUTqHqIeP_qcVuxCtosJEbg/edit?usp=sharing"",""ปราจีนบุรี!I783"")+IMPORTRANGE(""https://docs.googl"&amp;"e.com/spreadsheets/d/1BIDqLLg5jk3v59G8NlR8rk5xfQDKne0sAvZHSj7TI6I/edit?usp=sharing"",""พระนครศรีอยุธยา!I783"")+IMPORTRANGE(""https://docs.google.com/spreadsheets/d/1YXvxf8Yu6_rV4hTBrwMqAcAnv6DfhUxh5emyM3CJp_w/edit?usp=sharing"",""เพชรบุรี!I783"")+IMPORTRA"&amp;"NGE(""https://docs.google.com/spreadsheets/d/19KBlQQs7uwvsao6t2n-KvW3Ax8J8uRRfZPq1zPbXgKc/edit?usp=sharing"",""ระยอง!I783"")+IMPORTRANGE(""https://docs.google.com/spreadsheets/d/1jQ6P4QcrGM89YfqcC_PxOHGCMq5ezhucwJd8ci-NHng/edit?usp=sharing"",""ราชบุรี!I78"&amp;"3"")+IMPORTRANGE(""https://docs.google.com/spreadsheets/d/1lufeA2cfFqM-elVq2hznhDzC6Pr7wkJ9ZG_sYNGCMCU/edit?usp=sharing"",""ลพบุรี!I783"")+IMPORTRANGE(""https://docs.google.com/spreadsheets/d/10oOiF7loTyfsTkbd4MpaIm0HQ9SwB7IYHdIUvt-U1Uc/edit?usp=sharing"""&amp;",""สระแก้ว!I783"")+IMPORTRANGE(""https://docs.google.com/spreadsheets/d/1xmPlrr1QbdSIKvl1dWUl9K4PjAfSL9oeMr_37QVzcxc/edit?usp=sharing"",""สระบุรี!I783"")+IMPORTRANGE(""https://docs.google.com/spreadsheets/d/1j51vR6CYVGhABJpv6tkstgok82RLpXieLzW1yOY5rHw/edi"&amp;"t?usp=sharing"",""สิงห์บุรี!I783"")+IMPORTRANGE(""https://docs.google.com/spreadsheets/d/1H1EalTWKUSzO4Z1-1CwzoDUaVffgrThEBe2sl74kKG0/edit?usp=sharing"",""สุพรรณบุรี!I783"")+IMPORTRANGE(""https://docs.google.com/spreadsheets/d/1BmIruG_sIrJLYao_Pdr7zVArWsf"&amp;"oBt2692TMi6x_854/edit?usp=sharing"",""อ่างทอง!I783"")"),10800)</f>
        <v>10800</v>
      </c>
      <c r="J783" s="291">
        <f ca="1">IFERROR(__xludf.DUMMYFUNCTION("IMPORTRANGE(""https://docs.google.com/spreadsheets/d/13wPX838HrBrQMCywv1BsuMkt4PEKTChp52zj44s2izQ/edit?usp=sharing"",""กาญจนบุรี!J783"")+IMPORTRANGE(""https://docs.google.com/spreadsheets/d/1ddFKvqj1W1NEiWytbGlB1zMx_ykJDVtmfEQ-6-lIUBA/edit?usp=sharing"","&amp;"""จันทบุรี!J783"")+IMPORTRANGE(""https://docs.google.com/spreadsheets/d/1T1PQvRODqOBZk8BRht_U031fIS1beLA0Ub2CEytj2q0/edit?usp=sharing"",""ฉะเชิงเทรา!J783"")+IMPORTRANGE(""https://docs.google.com/spreadsheets/d/11tr1B-Bhyr79v2bkwVh5h_fR-PStkgjlZtkrZpYurG0/"&amp;"edit?usp=sharing"",""ชลบุรี!J783"")+IMPORTRANGE(""https://docs.google.com/spreadsheets/d/1hh-FVnSX0vozXhGluamEcS54Dw9_zqW0N7qJUWgJ0Sw/edit?usp=sharing"",""ชัยนาท!J783"")+IMPORTRANGE(""https://docs.google.com/spreadsheets/d/1jkqa6GXxSacMcY1eN8AHjMNJ_7dDXMJ"&amp;"VRLDlaFSOdPM/edit?usp=sharing"",""ตราด!J783"")+IMPORTRANGE(""https://docs.google.com/spreadsheets/d/18hSgUJ3VwClqi_qtULmmW3cLr0oe3OKaSYoKzdpTsYQ/edit?usp=sharing"",""นครนายก!J783"")+IMPORTRANGE(""https://docs.google.com/spreadsheets/d/1YTZo6WM2dQ6Ix6FSdnL"&amp;"5P7uVnVKu40sxZu975tgG10E/edit?usp=sharing"",""นครปฐม!J783"")+IMPORTRANGE(""https://docs.google.com/spreadsheets/d/1OYoGg4WDg5RIzwGeB10padOxJF9E_Vljuvvct_M7RDo/edit?usp=sharing"",""ปทุมธานี!J783"")+IMPORTRANGE(""https://docs.google.com/spreadsheets/d/1GbCI"&amp;"E4D4wk9FUozzqk7SxfDMxDVBwVmI5zcaVUSzKAc/edit?usp=sharing"",""ประจวบคีรีขันธ์!J783"")+IMPORTRANGE(""https://docs.google.com/spreadsheets/d/1vVf6wykvW_lAyu7Yo9L4hUTqHqIeP_qcVuxCtosJEbg/edit?usp=sharing"",""ปราจีนบุรี!J783"")+IMPORTRANGE(""https://docs.googl"&amp;"e.com/spreadsheets/d/1BIDqLLg5jk3v59G8NlR8rk5xfQDKne0sAvZHSj7TI6I/edit?usp=sharing"",""พระนครศรีอยุธยา!J783"")+IMPORTRANGE(""https://docs.google.com/spreadsheets/d/1YXvxf8Yu6_rV4hTBrwMqAcAnv6DfhUxh5emyM3CJp_w/edit?usp=sharing"",""เพชรบุรี!J783"")+IMPORTRA"&amp;"NGE(""https://docs.google.com/spreadsheets/d/19KBlQQs7uwvsao6t2n-KvW3Ax8J8uRRfZPq1zPbXgKc/edit?usp=sharing"",""ระยอง!J783"")+IMPORTRANGE(""https://docs.google.com/spreadsheets/d/1jQ6P4QcrGM89YfqcC_PxOHGCMq5ezhucwJd8ci-NHng/edit?usp=sharing"",""ราชบุรี!J78"&amp;"3"")+IMPORTRANGE(""https://docs.google.com/spreadsheets/d/1lufeA2cfFqM-elVq2hznhDzC6Pr7wkJ9ZG_sYNGCMCU/edit?usp=sharing"",""ลพบุรี!J783"")+IMPORTRANGE(""https://docs.google.com/spreadsheets/d/10oOiF7loTyfsTkbd4MpaIm0HQ9SwB7IYHdIUvt-U1Uc/edit?usp=sharing"""&amp;",""สระแก้ว!J783"")+IMPORTRANGE(""https://docs.google.com/spreadsheets/d/1xmPlrr1QbdSIKvl1dWUl9K4PjAfSL9oeMr_37QVzcxc/edit?usp=sharing"",""สระบุรี!J783"")+IMPORTRANGE(""https://docs.google.com/spreadsheets/d/1j51vR6CYVGhABJpv6tkstgok82RLpXieLzW1yOY5rHw/edi"&amp;"t?usp=sharing"",""สิงห์บุรี!J783"")+IMPORTRANGE(""https://docs.google.com/spreadsheets/d/1H1EalTWKUSzO4Z1-1CwzoDUaVffgrThEBe2sl74kKG0/edit?usp=sharing"",""สุพรรณบุรี!J783"")+IMPORTRANGE(""https://docs.google.com/spreadsheets/d/1BmIruG_sIrJLYao_Pdr7zVArWsf"&amp;"oBt2692TMi6x_854/edit?usp=sharing"",""อ่างทอง!J783"")"),1393)</f>
        <v>1393</v>
      </c>
      <c r="K783" s="72">
        <f t="shared" ca="1" si="527"/>
        <v>12.898148148148149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529"/>
      <c r="B784" s="567" t="s">
        <v>299</v>
      </c>
      <c r="C784" s="267"/>
      <c r="D784" s="267"/>
      <c r="E784" s="256"/>
      <c r="F784" s="256"/>
      <c r="G784" s="259"/>
      <c r="H784" s="266" t="s">
        <v>14</v>
      </c>
      <c r="I784" s="291">
        <f ca="1">IFERROR(__xludf.DUMMYFUNCTION("IMPORTRANGE(""https://docs.google.com/spreadsheets/d/13wPX838HrBrQMCywv1BsuMkt4PEKTChp52zj44s2izQ/edit?usp=sharing"",""กาญจนบุรี!I784"")+IMPORTRANGE(""https://docs.google.com/spreadsheets/d/1ddFKvqj1W1NEiWytbGlB1zMx_ykJDVtmfEQ-6-lIUBA/edit?usp=sharing"","&amp;"""จันทบุรี!I784"")+IMPORTRANGE(""https://docs.google.com/spreadsheets/d/1T1PQvRODqOBZk8BRht_U031fIS1beLA0Ub2CEytj2q0/edit?usp=sharing"",""ฉะเชิงเทรา!I784"")+IMPORTRANGE(""https://docs.google.com/spreadsheets/d/11tr1B-Bhyr79v2bkwVh5h_fR-PStkgjlZtkrZpYurG0/"&amp;"edit?usp=sharing"",""ชลบุรี!I784"")+IMPORTRANGE(""https://docs.google.com/spreadsheets/d/1hh-FVnSX0vozXhGluamEcS54Dw9_zqW0N7qJUWgJ0Sw/edit?usp=sharing"",""ชัยนาท!I784"")+IMPORTRANGE(""https://docs.google.com/spreadsheets/d/1jkqa6GXxSacMcY1eN8AHjMNJ_7dDXMJ"&amp;"VRLDlaFSOdPM/edit?usp=sharing"",""ตราด!I784"")+IMPORTRANGE(""https://docs.google.com/spreadsheets/d/18hSgUJ3VwClqi_qtULmmW3cLr0oe3OKaSYoKzdpTsYQ/edit?usp=sharing"",""นครนายก!I784"")+IMPORTRANGE(""https://docs.google.com/spreadsheets/d/1YTZo6WM2dQ6Ix6FSdnL"&amp;"5P7uVnVKu40sxZu975tgG10E/edit?usp=sharing"",""นครปฐม!I784"")+IMPORTRANGE(""https://docs.google.com/spreadsheets/d/1OYoGg4WDg5RIzwGeB10padOxJF9E_Vljuvvct_M7RDo/edit?usp=sharing"",""ปทุมธานี!I784"")+IMPORTRANGE(""https://docs.google.com/spreadsheets/d/1GbCI"&amp;"E4D4wk9FUozzqk7SxfDMxDVBwVmI5zcaVUSzKAc/edit?usp=sharing"",""ประจวบคีรีขันธ์!I784"")+IMPORTRANGE(""https://docs.google.com/spreadsheets/d/1vVf6wykvW_lAyu7Yo9L4hUTqHqIeP_qcVuxCtosJEbg/edit?usp=sharing"",""ปราจีนบุรี!I784"")+IMPORTRANGE(""https://docs.googl"&amp;"e.com/spreadsheets/d/1BIDqLLg5jk3v59G8NlR8rk5xfQDKne0sAvZHSj7TI6I/edit?usp=sharing"",""พระนครศรีอยุธยา!I784"")+IMPORTRANGE(""https://docs.google.com/spreadsheets/d/1YXvxf8Yu6_rV4hTBrwMqAcAnv6DfhUxh5emyM3CJp_w/edit?usp=sharing"",""เพชรบุรี!I784"")+IMPORTRA"&amp;"NGE(""https://docs.google.com/spreadsheets/d/19KBlQQs7uwvsao6t2n-KvW3Ax8J8uRRfZPq1zPbXgKc/edit?usp=sharing"",""ระยอง!I784"")+IMPORTRANGE(""https://docs.google.com/spreadsheets/d/1jQ6P4QcrGM89YfqcC_PxOHGCMq5ezhucwJd8ci-NHng/edit?usp=sharing"",""ราชบุรี!I78"&amp;"4"")+IMPORTRANGE(""https://docs.google.com/spreadsheets/d/1lufeA2cfFqM-elVq2hznhDzC6Pr7wkJ9ZG_sYNGCMCU/edit?usp=sharing"",""ลพบุรี!I784"")+IMPORTRANGE(""https://docs.google.com/spreadsheets/d/10oOiF7loTyfsTkbd4MpaIm0HQ9SwB7IYHdIUvt-U1Uc/edit?usp=sharing"""&amp;",""สระแก้ว!I784"")+IMPORTRANGE(""https://docs.google.com/spreadsheets/d/1xmPlrr1QbdSIKvl1dWUl9K4PjAfSL9oeMr_37QVzcxc/edit?usp=sharing"",""สระบุรี!I784"")+IMPORTRANGE(""https://docs.google.com/spreadsheets/d/1j51vR6CYVGhABJpv6tkstgok82RLpXieLzW1yOY5rHw/edi"&amp;"t?usp=sharing"",""สิงห์บุรี!I784"")+IMPORTRANGE(""https://docs.google.com/spreadsheets/d/1H1EalTWKUSzO4Z1-1CwzoDUaVffgrThEBe2sl74kKG0/edit?usp=sharing"",""สุพรรณบุรี!I784"")+IMPORTRANGE(""https://docs.google.com/spreadsheets/d/1BmIruG_sIrJLYao_Pdr7zVArWsf"&amp;"oBt2692TMi6x_854/edit?usp=sharing"",""อ่างทอง!I784"")"),88312000)</f>
        <v>88312000</v>
      </c>
      <c r="J784" s="291">
        <f ca="1">IFERROR(__xludf.DUMMYFUNCTION("IMPORTRANGE(""https://docs.google.com/spreadsheets/d/13wPX838HrBrQMCywv1BsuMkt4PEKTChp52zj44s2izQ/edit?usp=sharing"",""กาญจนบุรี!J784"")+IMPORTRANGE(""https://docs.google.com/spreadsheets/d/1ddFKvqj1W1NEiWytbGlB1zMx_ykJDVtmfEQ-6-lIUBA/edit?usp=sharing"","&amp;"""จันทบุรี!J784"")+IMPORTRANGE(""https://docs.google.com/spreadsheets/d/1T1PQvRODqOBZk8BRht_U031fIS1beLA0Ub2CEytj2q0/edit?usp=sharing"",""ฉะเชิงเทรา!J784"")+IMPORTRANGE(""https://docs.google.com/spreadsheets/d/11tr1B-Bhyr79v2bkwVh5h_fR-PStkgjlZtkrZpYurG0/"&amp;"edit?usp=sharing"",""ชลบุรี!J784"")+IMPORTRANGE(""https://docs.google.com/spreadsheets/d/1hh-FVnSX0vozXhGluamEcS54Dw9_zqW0N7qJUWgJ0Sw/edit?usp=sharing"",""ชัยนาท!J784"")+IMPORTRANGE(""https://docs.google.com/spreadsheets/d/1jkqa6GXxSacMcY1eN8AHjMNJ_7dDXMJ"&amp;"VRLDlaFSOdPM/edit?usp=sharing"",""ตราด!J784"")+IMPORTRANGE(""https://docs.google.com/spreadsheets/d/18hSgUJ3VwClqi_qtULmmW3cLr0oe3OKaSYoKzdpTsYQ/edit?usp=sharing"",""นครนายก!J784"")+IMPORTRANGE(""https://docs.google.com/spreadsheets/d/1YTZo6WM2dQ6Ix6FSdnL"&amp;"5P7uVnVKu40sxZu975tgG10E/edit?usp=sharing"",""นครปฐม!J784"")+IMPORTRANGE(""https://docs.google.com/spreadsheets/d/1OYoGg4WDg5RIzwGeB10padOxJF9E_Vljuvvct_M7RDo/edit?usp=sharing"",""ปทุมธานี!J784"")+IMPORTRANGE(""https://docs.google.com/spreadsheets/d/1GbCI"&amp;"E4D4wk9FUozzqk7SxfDMxDVBwVmI5zcaVUSzKAc/edit?usp=sharing"",""ประจวบคีรีขันธ์!J784"")+IMPORTRANGE(""https://docs.google.com/spreadsheets/d/1vVf6wykvW_lAyu7Yo9L4hUTqHqIeP_qcVuxCtosJEbg/edit?usp=sharing"",""ปราจีนบุรี!J784"")+IMPORTRANGE(""https://docs.googl"&amp;"e.com/spreadsheets/d/1BIDqLLg5jk3v59G8NlR8rk5xfQDKne0sAvZHSj7TI6I/edit?usp=sharing"",""พระนครศรีอยุธยา!J784"")+IMPORTRANGE(""https://docs.google.com/spreadsheets/d/1YXvxf8Yu6_rV4hTBrwMqAcAnv6DfhUxh5emyM3CJp_w/edit?usp=sharing"",""เพชรบุรี!J784"")+IMPORTRA"&amp;"NGE(""https://docs.google.com/spreadsheets/d/19KBlQQs7uwvsao6t2n-KvW3Ax8J8uRRfZPq1zPbXgKc/edit?usp=sharing"",""ระยอง!J784"")+IMPORTRANGE(""https://docs.google.com/spreadsheets/d/1jQ6P4QcrGM89YfqcC_PxOHGCMq5ezhucwJd8ci-NHng/edit?usp=sharing"",""ราชบุรี!J78"&amp;"4"")+IMPORTRANGE(""https://docs.google.com/spreadsheets/d/1lufeA2cfFqM-elVq2hznhDzC6Pr7wkJ9ZG_sYNGCMCU/edit?usp=sharing"",""ลพบุรี!J784"")+IMPORTRANGE(""https://docs.google.com/spreadsheets/d/10oOiF7loTyfsTkbd4MpaIm0HQ9SwB7IYHdIUvt-U1Uc/edit?usp=sharing"""&amp;",""สระแก้ว!J784"")+IMPORTRANGE(""https://docs.google.com/spreadsheets/d/1xmPlrr1QbdSIKvl1dWUl9K4PjAfSL9oeMr_37QVzcxc/edit?usp=sharing"",""สระบุรี!J784"")+IMPORTRANGE(""https://docs.google.com/spreadsheets/d/1j51vR6CYVGhABJpv6tkstgok82RLpXieLzW1yOY5rHw/edi"&amp;"t?usp=sharing"",""สิงห์บุรี!J784"")+IMPORTRANGE(""https://docs.google.com/spreadsheets/d/1H1EalTWKUSzO4Z1-1CwzoDUaVffgrThEBe2sl74kKG0/edit?usp=sharing"",""สุพรรณบุรี!J784"")+IMPORTRANGE(""https://docs.google.com/spreadsheets/d/1BmIruG_sIrJLYao_Pdr7zVArWsf"&amp;"oBt2692TMi6x_854/edit?usp=sharing"",""อ่างทอง!J784"")"),57375000)</f>
        <v>57375000</v>
      </c>
      <c r="K784" s="72">
        <f t="shared" ca="1" si="527"/>
        <v>64.968520699338711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606"/>
      <c r="B785" s="607"/>
      <c r="C785" s="607"/>
      <c r="D785" s="607"/>
      <c r="E785" s="615"/>
      <c r="F785" s="615"/>
      <c r="G785" s="616"/>
      <c r="H785" s="609" t="s">
        <v>35</v>
      </c>
      <c r="I785" s="773">
        <f ca="1">IFERROR(__xludf.DUMMYFUNCTION("IMPORTRANGE(""https://docs.google.com/spreadsheets/d/13wPX838HrBrQMCywv1BsuMkt4PEKTChp52zj44s2izQ/edit?usp=sharing"",""กาญจนบุรี!I785"")+IMPORTRANGE(""https://docs.google.com/spreadsheets/d/1ddFKvqj1W1NEiWytbGlB1zMx_ykJDVtmfEQ-6-lIUBA/edit?usp=sharing"","&amp;"""จันทบุรี!I785"")+IMPORTRANGE(""https://docs.google.com/spreadsheets/d/1T1PQvRODqOBZk8BRht_U031fIS1beLA0Ub2CEytj2q0/edit?usp=sharing"",""ฉะเชิงเทรา!I785"")+IMPORTRANGE(""https://docs.google.com/spreadsheets/d/11tr1B-Bhyr79v2bkwVh5h_fR-PStkgjlZtkrZpYurG0/"&amp;"edit?usp=sharing"",""ชลบุรี!I785"")+IMPORTRANGE(""https://docs.google.com/spreadsheets/d/1hh-FVnSX0vozXhGluamEcS54Dw9_zqW0N7qJUWgJ0Sw/edit?usp=sharing"",""ชัยนาท!I785"")+IMPORTRANGE(""https://docs.google.com/spreadsheets/d/1jkqa6GXxSacMcY1eN8AHjMNJ_7dDXMJ"&amp;"VRLDlaFSOdPM/edit?usp=sharing"",""ตราด!I785"")+IMPORTRANGE(""https://docs.google.com/spreadsheets/d/18hSgUJ3VwClqi_qtULmmW3cLr0oe3OKaSYoKzdpTsYQ/edit?usp=sharing"",""นครนายก!I785"")+IMPORTRANGE(""https://docs.google.com/spreadsheets/d/1YTZo6WM2dQ6Ix6FSdnL"&amp;"5P7uVnVKu40sxZu975tgG10E/edit?usp=sharing"",""นครปฐม!I785"")+IMPORTRANGE(""https://docs.google.com/spreadsheets/d/1OYoGg4WDg5RIzwGeB10padOxJF9E_Vljuvvct_M7RDo/edit?usp=sharing"",""ปทุมธานี!I785"")+IMPORTRANGE(""https://docs.google.com/spreadsheets/d/1GbCI"&amp;"E4D4wk9FUozzqk7SxfDMxDVBwVmI5zcaVUSzKAc/edit?usp=sharing"",""ประจวบคีรีขันธ์!I785"")+IMPORTRANGE(""https://docs.google.com/spreadsheets/d/1vVf6wykvW_lAyu7Yo9L4hUTqHqIeP_qcVuxCtosJEbg/edit?usp=sharing"",""ปราจีนบุรี!I785"")+IMPORTRANGE(""https://docs.googl"&amp;"e.com/spreadsheets/d/1BIDqLLg5jk3v59G8NlR8rk5xfQDKne0sAvZHSj7TI6I/edit?usp=sharing"",""พระนครศรีอยุธยา!I785"")+IMPORTRANGE(""https://docs.google.com/spreadsheets/d/1YXvxf8Yu6_rV4hTBrwMqAcAnv6DfhUxh5emyM3CJp_w/edit?usp=sharing"",""เพชรบุรี!I785"")+IMPORTRA"&amp;"NGE(""https://docs.google.com/spreadsheets/d/19KBlQQs7uwvsao6t2n-KvW3Ax8J8uRRfZPq1zPbXgKc/edit?usp=sharing"",""ระยอง!I785"")+IMPORTRANGE(""https://docs.google.com/spreadsheets/d/1jQ6P4QcrGM89YfqcC_PxOHGCMq5ezhucwJd8ci-NHng/edit?usp=sharing"",""ราชบุรี!I78"&amp;"5"")+IMPORTRANGE(""https://docs.google.com/spreadsheets/d/1lufeA2cfFqM-elVq2hznhDzC6Pr7wkJ9ZG_sYNGCMCU/edit?usp=sharing"",""ลพบุรี!I785"")+IMPORTRANGE(""https://docs.google.com/spreadsheets/d/10oOiF7loTyfsTkbd4MpaIm0HQ9SwB7IYHdIUvt-U1Uc/edit?usp=sharing"""&amp;",""สระแก้ว!I785"")+IMPORTRANGE(""https://docs.google.com/spreadsheets/d/1xmPlrr1QbdSIKvl1dWUl9K4PjAfSL9oeMr_37QVzcxc/edit?usp=sharing"",""สระบุรี!I785"")+IMPORTRANGE(""https://docs.google.com/spreadsheets/d/1j51vR6CYVGhABJpv6tkstgok82RLpXieLzW1yOY5rHw/edi"&amp;"t?usp=sharing"",""สิงห์บุรี!I785"")+IMPORTRANGE(""https://docs.google.com/spreadsheets/d/1H1EalTWKUSzO4Z1-1CwzoDUaVffgrThEBe2sl74kKG0/edit?usp=sharing"",""สุพรรณบุรี!I785"")+IMPORTRANGE(""https://docs.google.com/spreadsheets/d/1BmIruG_sIrJLYao_Pdr7zVArWsf"&amp;"oBt2692TMi6x_854/edit?usp=sharing"",""อ่างทอง!I785"")"),3154)</f>
        <v>3154</v>
      </c>
      <c r="J785" s="773">
        <f ca="1">IFERROR(__xludf.DUMMYFUNCTION("IMPORTRANGE(""https://docs.google.com/spreadsheets/d/13wPX838HrBrQMCywv1BsuMkt4PEKTChp52zj44s2izQ/edit?usp=sharing"",""กาญจนบุรี!J785"")+IMPORTRANGE(""https://docs.google.com/spreadsheets/d/1ddFKvqj1W1NEiWytbGlB1zMx_ykJDVtmfEQ-6-lIUBA/edit?usp=sharing"","&amp;"""จันทบุรี!J785"")+IMPORTRANGE(""https://docs.google.com/spreadsheets/d/1T1PQvRODqOBZk8BRht_U031fIS1beLA0Ub2CEytj2q0/edit?usp=sharing"",""ฉะเชิงเทรา!J785"")+IMPORTRANGE(""https://docs.google.com/spreadsheets/d/11tr1B-Bhyr79v2bkwVh5h_fR-PStkgjlZtkrZpYurG0/"&amp;"edit?usp=sharing"",""ชลบุรี!J785"")+IMPORTRANGE(""https://docs.google.com/spreadsheets/d/1hh-FVnSX0vozXhGluamEcS54Dw9_zqW0N7qJUWgJ0Sw/edit?usp=sharing"",""ชัยนาท!J785"")+IMPORTRANGE(""https://docs.google.com/spreadsheets/d/1jkqa6GXxSacMcY1eN8AHjMNJ_7dDXMJ"&amp;"VRLDlaFSOdPM/edit?usp=sharing"",""ตราด!J785"")+IMPORTRANGE(""https://docs.google.com/spreadsheets/d/18hSgUJ3VwClqi_qtULmmW3cLr0oe3OKaSYoKzdpTsYQ/edit?usp=sharing"",""นครนายก!J785"")+IMPORTRANGE(""https://docs.google.com/spreadsheets/d/1YTZo6WM2dQ6Ix6FSdnL"&amp;"5P7uVnVKu40sxZu975tgG10E/edit?usp=sharing"",""นครปฐม!J785"")+IMPORTRANGE(""https://docs.google.com/spreadsheets/d/1OYoGg4WDg5RIzwGeB10padOxJF9E_Vljuvvct_M7RDo/edit?usp=sharing"",""ปทุมธานี!J785"")+IMPORTRANGE(""https://docs.google.com/spreadsheets/d/1GbCI"&amp;"E4D4wk9FUozzqk7SxfDMxDVBwVmI5zcaVUSzKAc/edit?usp=sharing"",""ประจวบคีรีขันธ์!J785"")+IMPORTRANGE(""https://docs.google.com/spreadsheets/d/1vVf6wykvW_lAyu7Yo9L4hUTqHqIeP_qcVuxCtosJEbg/edit?usp=sharing"",""ปราจีนบุรี!J785"")+IMPORTRANGE(""https://docs.googl"&amp;"e.com/spreadsheets/d/1BIDqLLg5jk3v59G8NlR8rk5xfQDKne0sAvZHSj7TI6I/edit?usp=sharing"",""พระนครศรีอยุธยา!J785"")+IMPORTRANGE(""https://docs.google.com/spreadsheets/d/1YXvxf8Yu6_rV4hTBrwMqAcAnv6DfhUxh5emyM3CJp_w/edit?usp=sharing"",""เพชรบุรี!J785"")+IMPORTRA"&amp;"NGE(""https://docs.google.com/spreadsheets/d/19KBlQQs7uwvsao6t2n-KvW3Ax8J8uRRfZPq1zPbXgKc/edit?usp=sharing"",""ระยอง!J785"")+IMPORTRANGE(""https://docs.google.com/spreadsheets/d/1jQ6P4QcrGM89YfqcC_PxOHGCMq5ezhucwJd8ci-NHng/edit?usp=sharing"",""ราชบุรี!J78"&amp;"5"")+IMPORTRANGE(""https://docs.google.com/spreadsheets/d/1lufeA2cfFqM-elVq2hznhDzC6Pr7wkJ9ZG_sYNGCMCU/edit?usp=sharing"",""ลพบุรี!J785"")+IMPORTRANGE(""https://docs.google.com/spreadsheets/d/10oOiF7loTyfsTkbd4MpaIm0HQ9SwB7IYHdIUvt-U1Uc/edit?usp=sharing"""&amp;",""สระแก้ว!J785"")+IMPORTRANGE(""https://docs.google.com/spreadsheets/d/1xmPlrr1QbdSIKvl1dWUl9K4PjAfSL9oeMr_37QVzcxc/edit?usp=sharing"",""สระบุรี!J785"")+IMPORTRANGE(""https://docs.google.com/spreadsheets/d/1j51vR6CYVGhABJpv6tkstgok82RLpXieLzW1yOY5rHw/edi"&amp;"t?usp=sharing"",""สิงห์บุรี!J785"")+IMPORTRANGE(""https://docs.google.com/spreadsheets/d/1H1EalTWKUSzO4Z1-1CwzoDUaVffgrThEBe2sl74kKG0/edit?usp=sharing"",""สุพรรณบุรี!J785"")+IMPORTRANGE(""https://docs.google.com/spreadsheets/d/1BmIruG_sIrJLYao_Pdr7zVArWsf"&amp;"oBt2692TMi6x_854/edit?usp=sharing"",""อ่างทอง!J785"")"),1451)</f>
        <v>1451</v>
      </c>
      <c r="K785" s="181">
        <f t="shared" ca="1" si="527"/>
        <v>46.005072923272039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782"/>
      <c r="B786" s="782"/>
      <c r="C786" s="782"/>
      <c r="D786" s="782"/>
      <c r="E786" s="287"/>
      <c r="F786" s="287"/>
      <c r="G786" s="287"/>
      <c r="H786" s="782"/>
      <c r="I786" s="783"/>
      <c r="J786" s="783"/>
      <c r="K786" s="784"/>
      <c r="L786" s="784"/>
      <c r="M786" s="784"/>
      <c r="N786" s="784"/>
      <c r="O786" s="784"/>
      <c r="P786" s="784"/>
      <c r="Q786" s="784"/>
      <c r="R786" s="784"/>
      <c r="S786" s="784"/>
      <c r="T786" s="784"/>
      <c r="U786" s="784"/>
    </row>
    <row r="787" spans="1:21" ht="16.5" x14ac:dyDescent="0.25">
      <c r="A787" s="785" t="s">
        <v>300</v>
      </c>
      <c r="B787" s="782"/>
      <c r="C787" s="782"/>
      <c r="D787" s="782"/>
      <c r="E787" s="287"/>
      <c r="F787" s="287"/>
      <c r="G787" s="287"/>
      <c r="H787" s="782"/>
      <c r="I787" s="783"/>
      <c r="J787" s="783"/>
      <c r="K787" s="784"/>
      <c r="L787" s="784"/>
      <c r="M787" s="784"/>
      <c r="N787" s="784"/>
      <c r="O787" s="784"/>
      <c r="P787" s="784"/>
      <c r="Q787" s="784"/>
      <c r="R787" s="784"/>
      <c r="S787" s="784"/>
      <c r="T787" s="784"/>
      <c r="U787" s="784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782"/>
      <c r="C788" s="782"/>
      <c r="D788" s="782"/>
      <c r="E788" s="287"/>
      <c r="F788" s="287"/>
      <c r="G788" s="287"/>
      <c r="H788" s="782"/>
      <c r="I788" s="783"/>
      <c r="J788" s="783"/>
      <c r="K788" s="784"/>
      <c r="L788" s="784"/>
      <c r="M788" s="784"/>
      <c r="N788" s="784"/>
      <c r="O788" s="784"/>
      <c r="P788" s="784"/>
      <c r="Q788" s="784"/>
      <c r="R788" s="784"/>
      <c r="S788" s="784"/>
      <c r="T788" s="784"/>
      <c r="U788" s="784"/>
    </row>
    <row r="789" spans="1:21" ht="16.5" x14ac:dyDescent="0.25">
      <c r="A789" s="78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782"/>
      <c r="C789" s="782"/>
      <c r="D789" s="782"/>
      <c r="E789" s="287"/>
      <c r="F789" s="287"/>
      <c r="G789" s="287"/>
      <c r="H789" s="782"/>
      <c r="I789" s="783"/>
      <c r="J789" s="783"/>
      <c r="K789" s="784"/>
      <c r="L789" s="784"/>
      <c r="M789" s="784"/>
      <c r="N789" s="784"/>
      <c r="O789" s="784"/>
      <c r="P789" s="784"/>
      <c r="Q789" s="784"/>
      <c r="R789" s="784"/>
      <c r="S789" s="784"/>
      <c r="T789" s="784"/>
      <c r="U789" s="784"/>
    </row>
  </sheetData>
  <mergeCells count="26">
    <mergeCell ref="I4:K5"/>
    <mergeCell ref="L5:M5"/>
    <mergeCell ref="N5:P5"/>
    <mergeCell ref="Q5:R5"/>
    <mergeCell ref="H4:H6"/>
    <mergeCell ref="L4:P4"/>
    <mergeCell ref="Q4:U4"/>
    <mergeCell ref="S5:U5"/>
    <mergeCell ref="A1:U1"/>
    <mergeCell ref="A2:U2"/>
    <mergeCell ref="A3:U3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G493"/>
    <mergeCell ref="D599:G599"/>
    <mergeCell ref="D616:G616"/>
    <mergeCell ref="D642:G642"/>
    <mergeCell ref="D690:G690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7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08B27-E2E7-4635-A708-5DEA95ED1DDF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352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3368628</v>
      </c>
      <c r="M18" s="57">
        <f ca="1">M19+M20</f>
        <v>3257005.87</v>
      </c>
      <c r="N18" s="57">
        <f ca="1">N19+N20</f>
        <v>2570638.4300000002</v>
      </c>
      <c r="O18" s="57">
        <f t="shared" ref="O18:O26" ca="1" si="0">IF(L18&gt;0,N18*100/L18,0)</f>
        <v>76.311140024959727</v>
      </c>
      <c r="P18" s="57">
        <f t="shared" ref="P18:P26" ca="1" si="1">IF(M18&gt;0,N18*100/M18,0)</f>
        <v>78.926429137814239</v>
      </c>
      <c r="Q18" s="57">
        <f ca="1">Q19+Q20</f>
        <v>817417.39</v>
      </c>
      <c r="R18" s="57">
        <f ca="1">R19+R20</f>
        <v>817417</v>
      </c>
      <c r="S18" s="57">
        <f ca="1">S19+S20</f>
        <v>246600.01</v>
      </c>
      <c r="T18" s="57">
        <f t="shared" ref="T18:T26" ca="1" si="2">IF(Q18&gt;0,S18*100/Q18,0)</f>
        <v>30.168187393223921</v>
      </c>
      <c r="U18" s="57">
        <f t="shared" ref="U18:U26" ca="1" si="3">IF(R18&gt;0,S18*100/R18,0)</f>
        <v>30.168201786848083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3368628</v>
      </c>
      <c r="M20" s="63">
        <f t="shared" ca="1" si="4"/>
        <v>3257005.87</v>
      </c>
      <c r="N20" s="63">
        <f t="shared" ca="1" si="4"/>
        <v>2570638.4300000002</v>
      </c>
      <c r="O20" s="63">
        <f t="shared" ca="1" si="0"/>
        <v>76.311140024959727</v>
      </c>
      <c r="P20" s="63">
        <f t="shared" ca="1" si="1"/>
        <v>78.926429137814239</v>
      </c>
      <c r="Q20" s="63">
        <f t="shared" ca="1" si="5"/>
        <v>817417.39</v>
      </c>
      <c r="R20" s="63">
        <f t="shared" ca="1" si="5"/>
        <v>817417</v>
      </c>
      <c r="S20" s="63">
        <f t="shared" ca="1" si="5"/>
        <v>246600.01</v>
      </c>
      <c r="T20" s="63">
        <f t="shared" ca="1" si="2"/>
        <v>30.168187393223921</v>
      </c>
      <c r="U20" s="63">
        <f t="shared" ca="1" si="3"/>
        <v>30.168201786848083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2589628</v>
      </c>
      <c r="M21" s="72">
        <f ca="1">M22+M23</f>
        <v>2677005.87</v>
      </c>
      <c r="N21" s="72">
        <f ca="1">N22+N23</f>
        <v>1990638.4300000002</v>
      </c>
      <c r="O21" s="72">
        <f t="shared" ca="1" si="0"/>
        <v>76.869667380797566</v>
      </c>
      <c r="P21" s="72">
        <f t="shared" ca="1" si="1"/>
        <v>74.360629997423217</v>
      </c>
      <c r="Q21" s="72">
        <f ca="1">Q22+Q23</f>
        <v>817417.39</v>
      </c>
      <c r="R21" s="72">
        <f ca="1">R22+R23</f>
        <v>817417</v>
      </c>
      <c r="S21" s="72">
        <f ca="1">S22+S23</f>
        <v>246600.01</v>
      </c>
      <c r="T21" s="72">
        <f t="shared" ca="1" si="2"/>
        <v>30.168187393223921</v>
      </c>
      <c r="U21" s="72">
        <f t="shared" ca="1" si="3"/>
        <v>30.168201786848083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2589628</v>
      </c>
      <c r="M23" s="72">
        <f ca="1">M49+M64+M77+M99+M122+M144+M162+M191+M178+M271+M287+M308+M325+M338+M361+M380+M418+M498+M518+M539+M560+M581+M604+M621+M647+M695+M719+M733+M765</f>
        <v>2677005.87</v>
      </c>
      <c r="N23" s="72">
        <f ca="1">N49+N64+N77+N99+N122+N144+N162+N191+N178+N271+N287+N308+N325+N338+N361+N380+N418+N498+N518+N539+N560+N581+N604+N621+N647+N695+N719+N733+N765</f>
        <v>1990638.4300000002</v>
      </c>
      <c r="O23" s="72">
        <f t="shared" ca="1" si="0"/>
        <v>76.869667380797566</v>
      </c>
      <c r="P23" s="72">
        <f t="shared" ca="1" si="1"/>
        <v>74.360629997423217</v>
      </c>
      <c r="Q23" s="72">
        <f t="shared" ca="1" si="6"/>
        <v>817417.39</v>
      </c>
      <c r="R23" s="72">
        <f t="shared" ca="1" si="6"/>
        <v>817417</v>
      </c>
      <c r="S23" s="72">
        <f t="shared" ca="1" si="6"/>
        <v>246600.01</v>
      </c>
      <c r="T23" s="72">
        <f t="shared" ca="1" si="2"/>
        <v>30.168187393223921</v>
      </c>
      <c r="U23" s="72">
        <f t="shared" ca="1" si="3"/>
        <v>30.168201786848083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779000</v>
      </c>
      <c r="M24" s="72">
        <f ca="1">M25+M26</f>
        <v>580000</v>
      </c>
      <c r="N24" s="72">
        <f ca="1">N25+N26</f>
        <v>580000</v>
      </c>
      <c r="O24" s="72">
        <f t="shared" ca="1" si="0"/>
        <v>74.454428754813861</v>
      </c>
      <c r="P24" s="72">
        <f t="shared" ca="1" si="1"/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779000</v>
      </c>
      <c r="M26" s="72">
        <f ca="1">M52+M67+M80+M102+M125+M147+M165+M194+M181+M274+M290+M311+M328+M341+M364+M383+M421+M501+M521+M542+M563+M584+M607+M624+M650+M698+M722+M736+M768</f>
        <v>580000</v>
      </c>
      <c r="N26" s="72">
        <f ca="1">N52+N67+N80+N102+N125+N147+N165+N194+N181+N274+N290+N311+N328+N341+N364+N383+N421+N501+N521+N542+N563+N584+N607+N624+N650+N698+N722+N736+N768</f>
        <v>580000</v>
      </c>
      <c r="O26" s="72">
        <f t="shared" ca="1" si="0"/>
        <v>74.454428754813861</v>
      </c>
      <c r="P26" s="72">
        <f t="shared" ca="1" si="1"/>
        <v>100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3298570</v>
      </c>
      <c r="M40" s="1050">
        <f ca="1">M44+M59+M72+M94+M125+M139+M157+M173+M186+M266+M282+M303+M320+M333+M356</f>
        <v>3186947.87</v>
      </c>
      <c r="N40" s="1050">
        <f ca="1">N44+N59+N72+N94+N125+N139+N157+N173+N186+N266+N282+N303+N320+N333+N356</f>
        <v>2511570.14</v>
      </c>
      <c r="O40" s="1050">
        <f ca="1">IF(L40&gt;0,N40*100/L40,0)</f>
        <v>76.141180572187338</v>
      </c>
      <c r="P40" s="1050">
        <f ca="1">IF(M40&gt;0,N40*100/M40,0)</f>
        <v>78.808008240184989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467100</v>
      </c>
      <c r="M44" s="1031">
        <f ca="1">M45+M46</f>
        <v>539263.87</v>
      </c>
      <c r="N44" s="1031">
        <f ca="1">N45+N46</f>
        <v>427047.74</v>
      </c>
      <c r="O44" s="1031">
        <f t="shared" ref="O44:O52" ca="1" si="8">IF(L44&gt;0,N44*100/L44,0)</f>
        <v>91.425335046028692</v>
      </c>
      <c r="P44" s="1031">
        <f t="shared" ref="P44:P52" ca="1" si="9">IF(M44&gt;0,N44*100/M44,0)</f>
        <v>79.190868099507583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467100</v>
      </c>
      <c r="M46" s="1018">
        <f t="shared" ca="1" si="12"/>
        <v>539263.87</v>
      </c>
      <c r="N46" s="1018">
        <f t="shared" ca="1" si="12"/>
        <v>427047.74</v>
      </c>
      <c r="O46" s="1018">
        <f t="shared" ca="1" si="8"/>
        <v>91.425335046028692</v>
      </c>
      <c r="P46" s="1018">
        <f t="shared" ca="1" si="9"/>
        <v>79.190868099507583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467100</v>
      </c>
      <c r="M47" s="72">
        <f ca="1">M48+M49</f>
        <v>539263.87</v>
      </c>
      <c r="N47" s="72">
        <f ca="1">N48+N49</f>
        <v>427047.74</v>
      </c>
      <c r="O47" s="72">
        <f t="shared" ca="1" si="8"/>
        <v>91.425335046028692</v>
      </c>
      <c r="P47" s="72">
        <f t="shared" ca="1" si="9"/>
        <v>79.190868099507583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IFERROR(__xludf.DUMMYFUNCTION("IMPORTRANGE(""https://docs.google.com/spreadsheets/d/1-uDff_7J0KD5mKrp0Vvzr7lt3OU09vwQwhkpOPPYv2Y/edit?usp=sharing"",""งบพรบ!P61"")"),467100)</f>
        <v>467100</v>
      </c>
      <c r="M49" s="72">
        <f ca="1">IFERROR(__xludf.DUMMYFUNCTION("IMPORTRANGE(""https://docs.google.com/spreadsheets/d/1-uDff_7J0KD5mKrp0Vvzr7lt3OU09vwQwhkpOPPYv2Y/edit?usp=sharing"",""งบพรบ!V61"")"),539263.87)</f>
        <v>539263.87</v>
      </c>
      <c r="N49" s="72">
        <f ca="1">IFERROR(__xludf.DUMMYFUNCTION("IMPORTRANGE(""https://docs.google.com/spreadsheets/d/1-uDff_7J0KD5mKrp0Vvzr7lt3OU09vwQwhkpOPPYv2Y/edit?usp=sharing"",""งบพรบ!Y61"")"),427047.74)</f>
        <v>427047.74</v>
      </c>
      <c r="O49" s="72">
        <f t="shared" ca="1" si="8"/>
        <v>91.425335046028692</v>
      </c>
      <c r="P49" s="72">
        <f t="shared" ca="1" si="9"/>
        <v>79.190868099507583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IFERROR(__xludf.DUMMYFUNCTION("IMPORTRANGE(""https://docs.google.com/spreadsheets/d/1-uDff_7J0KD5mKrp0Vvzr7lt3OU09vwQwhkpOPPYv2Y/edit?usp=sharing"",""งบพรบ!S61"")"),0)</f>
        <v>0</v>
      </c>
      <c r="M52" s="72">
        <f ca="1">IFERROR(__xludf.DUMMYFUNCTION("IMPORTRANGE(""https://docs.google.com/spreadsheets/d/1-uDff_7J0KD5mKrp0Vvzr7lt3OU09vwQwhkpOPPYv2Y/edit?usp=sharing"",""งบพรบ!W61"")"),0)</f>
        <v>0</v>
      </c>
      <c r="N52" s="72">
        <f ca="1">IFERROR(__xludf.DUMMYFUNCTION("IMPORTRANGE(""https://docs.google.com/spreadsheets/d/1-uDff_7J0KD5mKrp0Vvzr7lt3OU09vwQwhkpOPPYv2Y/edit?usp=sharing"",""งบพรบ!Z61"")"),0)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1450700</v>
      </c>
      <c r="M59" s="1001">
        <f ca="1">M60+M61</f>
        <v>1251700</v>
      </c>
      <c r="N59" s="1001">
        <f ca="1">N60+N61</f>
        <v>1164168.6200000001</v>
      </c>
      <c r="O59" s="1001">
        <f t="shared" ref="O59:O67" ca="1" si="14">IF(L59&gt;0,N59*100/L59,0)</f>
        <v>80.248750258495903</v>
      </c>
      <c r="P59" s="1001">
        <f t="shared" ref="P59:P67" ca="1" si="15">IF(M59&gt;0,N59*100/M59,0)</f>
        <v>93.007000079891355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1450700</v>
      </c>
      <c r="M61" s="988">
        <f t="shared" ca="1" si="18"/>
        <v>1251700</v>
      </c>
      <c r="N61" s="988">
        <f t="shared" ca="1" si="18"/>
        <v>1164168.6200000001</v>
      </c>
      <c r="O61" s="988">
        <f t="shared" ca="1" si="14"/>
        <v>80.248750258495903</v>
      </c>
      <c r="P61" s="988">
        <f t="shared" ca="1" si="15"/>
        <v>93.007000079891355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671700</v>
      </c>
      <c r="M62" s="72">
        <f ca="1">M63+M64</f>
        <v>671700</v>
      </c>
      <c r="N62" s="72">
        <f ca="1">N63+N64</f>
        <v>584168.62</v>
      </c>
      <c r="O62" s="72">
        <f t="shared" ca="1" si="14"/>
        <v>86.96867947000149</v>
      </c>
      <c r="P62" s="72">
        <f t="shared" ca="1" si="15"/>
        <v>86.96867947000149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IFERROR(__xludf.DUMMYFUNCTION("IMPORTRANGE(""https://docs.google.com/spreadsheets/d/1-uDff_7J0KD5mKrp0Vvzr7lt3OU09vwQwhkpOPPYv2Y/edit?usp=sharing"",""งบพรบ!AC61"")"),671700)</f>
        <v>671700</v>
      </c>
      <c r="M64" s="72">
        <f ca="1">IFERROR(__xludf.DUMMYFUNCTION("IMPORTRANGE(""https://docs.google.com/spreadsheets/d/1-uDff_7J0KD5mKrp0Vvzr7lt3OU09vwQwhkpOPPYv2Y/edit?usp=sharing"",""งบพรบ!AH61"")"),671700)</f>
        <v>671700</v>
      </c>
      <c r="N64" s="72">
        <f ca="1">IFERROR(__xludf.DUMMYFUNCTION("IMPORTRANGE(""https://docs.google.com/spreadsheets/d/1-uDff_7J0KD5mKrp0Vvzr7lt3OU09vwQwhkpOPPYv2Y/edit?usp=sharing"",""งบพรบ!AJ61"")"),584168.62)</f>
        <v>584168.62</v>
      </c>
      <c r="O64" s="72">
        <f t="shared" ca="1" si="14"/>
        <v>86.96867947000149</v>
      </c>
      <c r="P64" s="72">
        <f t="shared" ca="1" si="15"/>
        <v>86.96867947000149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779000</v>
      </c>
      <c r="M65" s="72">
        <f ca="1">M66+M67</f>
        <v>580000</v>
      </c>
      <c r="N65" s="72">
        <f ca="1">N66+N67</f>
        <v>580000</v>
      </c>
      <c r="O65" s="72">
        <f t="shared" ca="1" si="14"/>
        <v>74.454428754813861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IFERROR(__xludf.DUMMYFUNCTION("IMPORTRANGE(""https://docs.google.com/spreadsheets/d/1-uDff_7J0KD5mKrp0Vvzr7lt3OU09vwQwhkpOPPYv2Y/edit?usp=sharing"",""งบพรบ!AF61"")"),779000)</f>
        <v>779000</v>
      </c>
      <c r="M67" s="181">
        <f ca="1">IFERROR(__xludf.DUMMYFUNCTION("IMPORTRANGE(""https://docs.google.com/spreadsheets/d/1-uDff_7J0KD5mKrp0Vvzr7lt3OU09vwQwhkpOPPYv2Y/edit?usp=sharing"",""งบพรบ!AI61"")"),580000)</f>
        <v>580000</v>
      </c>
      <c r="N67" s="181">
        <f ca="1">IFERROR(__xludf.DUMMYFUNCTION("IMPORTRANGE(""https://docs.google.com/spreadsheets/d/1-uDff_7J0KD5mKrp0Vvzr7lt3OU09vwQwhkpOPPYv2Y/edit?usp=sharing"",""งบพรบ!AK61"")"),580000)</f>
        <v>580000</v>
      </c>
      <c r="O67" s="181">
        <f t="shared" ca="1" si="14"/>
        <v>74.454428754813861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IFERROR(__xludf.DUMMYFUNCTION("IMPORTRANGE(""https://docs.google.com/spreadsheets/d/1-uDff_7J0KD5mKrp0Vvzr7lt3OU09vwQwhkpOPPYv2Y/edit?usp=sharing"",""งบพรบ!AM61"")"),0)</f>
        <v>0</v>
      </c>
      <c r="M77" s="72">
        <f ca="1">IFERROR(__xludf.DUMMYFUNCTION("IMPORTRANGE(""https://docs.google.com/spreadsheets/d/1-uDff_7J0KD5mKrp0Vvzr7lt3OU09vwQwhkpOPPYv2Y/edit?usp=sharing"",""งบพรบ!AR61"")"),0)</f>
        <v>0</v>
      </c>
      <c r="N77" s="72">
        <f ca="1">IFERROR(__xludf.DUMMYFUNCTION("IMPORTRANGE(""https://docs.google.com/spreadsheets/d/1-uDff_7J0KD5mKrp0Vvzr7lt3OU09vwQwhkpOPPYv2Y/edit?usp=sharing"",""งบพรบ!AT61"")"),0)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IFERROR(__xludf.DUMMYFUNCTION("IMPORTRANGE(""https://docs.google.com/spreadsheets/d/1ItG2mGa2ceCfYo0BwxsXqNm01IGEUdYcSSLTEv9YCik/edit?usp=sharing"",""เบิกจ่ายกองทุน!BH61"")"),0)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IFERROR(__xludf.DUMMYFUNCTION("IMPORTRANGE(""https://docs.google.com/spreadsheets/d/1ItG2mGa2ceCfYo0BwxsXqNm01IGEUdYcSSLTEv9YCik/edit?usp=sharing"",""เบิกจ่ายกองทุน!BI61"")"),0)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IFERROR(__xludf.DUMMYFUNCTION("IMPORTRANGE(""https://docs.google.com/spreadsheets/d/1ItG2mGa2ceCfYo0BwxsXqNm01IGEUdYcSSLTEv9YCik/edit?usp=sharing"",""เบิกจ่ายกองทุน!BJ61"")"),0)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IFERROR(__xludf.DUMMYFUNCTION("IMPORTRANGE(""https://docs.google.com/spreadsheets/d/1-uDff_7J0KD5mKrp0Vvzr7lt3OU09vwQwhkpOPPYv2Y/edit?usp=sharing"",""งบพรบ!AP61"")"),0)</f>
        <v>0</v>
      </c>
      <c r="M80" s="72">
        <f ca="1">IFERROR(__xludf.DUMMYFUNCTION("IMPORTRANGE(""https://docs.google.com/spreadsheets/d/1-uDff_7J0KD5mKrp0Vvzr7lt3OU09vwQwhkpOPPYv2Y/edit?usp=sharing"",""งบพรบ!AS61"")"),0)</f>
        <v>0</v>
      </c>
      <c r="N80" s="72">
        <f ca="1">IFERROR(__xludf.DUMMYFUNCTION("IMPORTRANGE(""https://docs.google.com/spreadsheets/d/1-uDff_7J0KD5mKrp0Vvzr7lt3OU09vwQwhkpOPPYv2Y/edit?usp=sharing"",""งบพรบ!AU61"")"),0)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IFERROR(__xludf.DUMMYFUNCTION("IMPORTRANGE(""https://docs.google.com/spreadsheets/d/1ItG2mGa2ceCfYo0BwxsXqNm01IGEUdYcSSLTEv9YCik/edit?usp=sharing"",""เบิกจ่ายกองทุน!BK61"")"),0)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IFERROR(__xludf.DUMMYFUNCTION("IMPORTRANGE(""https://docs.google.com/spreadsheets/d/1ItG2mGa2ceCfYo0BwxsXqNm01IGEUdYcSSLTEv9YCik/edit?usp=sharing"",""เบิกจ่ายกองทุน!BL61"")"),0)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IFERROR(__xludf.DUMMYFUNCTION("IMPORTRANGE(""https://docs.google.com/spreadsheets/d/1ItG2mGa2ceCfYo0BwxsXqNm01IGEUdYcSSLTEv9YCik/edit?usp=sharing"",""เบิกจ่ายกองทุน!BM61"")"),0)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IFERROR(__xludf.DUMMYFUNCTION("IMPORTRANGE(""https://docs.google.com/spreadsheets/d/1eHaY18a8A9IcSdp1K8H6x8fbOy06t2VsZHhMHf-1x7Y/edit?usp=sharing"",""แผน!H61"")"),0)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IFERROR(__xludf.DUMMYFUNCTION("IMPORTRANGE(""https://docs.google.com/spreadsheets/d/1eHaY18a8A9IcSdp1K8H6x8fbOy06t2VsZHhMHf-1x7Y/edit?usp=sharing"",""แผน!I61"")"),0)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IFERROR(__xludf.DUMMYFUNCTION("IMPORTRANGE(""https://docs.google.com/spreadsheets/d/1eHaY18a8A9IcSdp1K8H6x8fbOy06t2VsZHhMHf-1x7Y/edit?usp=sharing"",""แผน!F61"")"),0)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IFERROR(__xludf.DUMMYFUNCTION("IMPORTRANGE(""https://docs.google.com/spreadsheets/d/1eHaY18a8A9IcSdp1K8H6x8fbOy06t2VsZHhMHf-1x7Y/edit?usp=sharing"",""แผน!G61"")"),0)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IFERROR(__xludf.DUMMYFUNCTION("IMPORTRANGE(""https://docs.google.com/spreadsheets/d/1eHaY18a8A9IcSdp1K8H6x8fbOy06t2VsZHhMHf-1x7Y/edit?usp=sharing"",""แผน!D61"")"),0)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IFERROR(__xludf.DUMMYFUNCTION("IMPORTRANGE(""https://docs.google.com/spreadsheets/d/1eHaY18a8A9IcSdp1K8H6x8fbOy06t2VsZHhMHf-1x7Y/edit?usp=sharing"",""แผน!E61"")"),0)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IFERROR(__xludf.DUMMYFUNCTION("IMPORTRANGE(""https://docs.google.com/spreadsheets/d/1eHaY18a8A9IcSdp1K8H6x8fbOy06t2VsZHhMHf-1x7Y/edit?usp=sharing"",""แผน!J61"")"),0)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7200</v>
      </c>
      <c r="M94" s="262">
        <f ca="1">M95+M96</f>
        <v>7200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101304</v>
      </c>
      <c r="R94" s="262">
        <f ca="1">R95+R96</f>
        <v>101304</v>
      </c>
      <c r="S94" s="262">
        <f ca="1">S95+S96</f>
        <v>34705</v>
      </c>
      <c r="T94" s="262">
        <f t="shared" ref="T94:T102" ca="1" si="29">IF(Q94&gt;0,S94*100/Q94,0)</f>
        <v>34.258272131406457</v>
      </c>
      <c r="U94" s="262">
        <f t="shared" ref="U94:U102" ca="1" si="30">IF(R94&gt;0,S94*100/R94,0)</f>
        <v>34.258272131406457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7200</v>
      </c>
      <c r="M96" s="72">
        <f t="shared" ca="1" si="31"/>
        <v>7200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101304</v>
      </c>
      <c r="R96" s="72">
        <f t="shared" ca="1" si="32"/>
        <v>101304</v>
      </c>
      <c r="S96" s="72">
        <f t="shared" ca="1" si="32"/>
        <v>34705</v>
      </c>
      <c r="T96" s="72">
        <f t="shared" ca="1" si="29"/>
        <v>34.258272131406457</v>
      </c>
      <c r="U96" s="72">
        <f t="shared" ca="1" si="30"/>
        <v>34.258272131406457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7200</v>
      </c>
      <c r="M97" s="72">
        <f ca="1">M98+M99</f>
        <v>7200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101304</v>
      </c>
      <c r="R97" s="72">
        <f ca="1">R98+R99</f>
        <v>101304</v>
      </c>
      <c r="S97" s="72">
        <f ca="1">S98+S99</f>
        <v>34705</v>
      </c>
      <c r="T97" s="72">
        <f t="shared" ca="1" si="29"/>
        <v>34.258272131406457</v>
      </c>
      <c r="U97" s="72">
        <f t="shared" ca="1" si="30"/>
        <v>34.258272131406457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IFERROR(__xludf.DUMMYFUNCTION("IMPORTRANGE(""https://docs.google.com/spreadsheets/d/1-uDff_7J0KD5mKrp0Vvzr7lt3OU09vwQwhkpOPPYv2Y/edit?usp=sharing"",""งบพรบ!AW61"")"),7200)</f>
        <v>7200</v>
      </c>
      <c r="M99" s="72">
        <f ca="1">IFERROR(__xludf.DUMMYFUNCTION("IMPORTRANGE(""https://docs.google.com/spreadsheets/d/1-uDff_7J0KD5mKrp0Vvzr7lt3OU09vwQwhkpOPPYv2Y/edit?usp=sharing"",""งบพรบ!BB61"")"),7200)</f>
        <v>7200</v>
      </c>
      <c r="N99" s="72">
        <f ca="1">IFERROR(__xludf.DUMMYFUNCTION("IMPORTRANGE(""https://docs.google.com/spreadsheets/d/1-uDff_7J0KD5mKrp0Vvzr7lt3OU09vwQwhkpOPPYv2Y/edit?usp=sharing"",""งบพรบ!BD61"")"),0)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IFERROR(__xludf.DUMMYFUNCTION("IMPORTRANGE(""https://docs.google.com/spreadsheets/d/1ItG2mGa2ceCfYo0BwxsXqNm01IGEUdYcSSLTEv9YCik/edit?usp=sharing"",""เบิกจ่ายกองทุน!AJ61"")"),101304)</f>
        <v>101304</v>
      </c>
      <c r="R99" s="72">
        <f ca="1">IFERROR(__xludf.DUMMYFUNCTION("IMPORTRANGE(""https://docs.google.com/spreadsheets/d/1ItG2mGa2ceCfYo0BwxsXqNm01IGEUdYcSSLTEv9YCik/edit?usp=sharing"",""เบิกจ่ายกองทุน!AK61"")"),101304)</f>
        <v>101304</v>
      </c>
      <c r="S99" s="72">
        <f ca="1">IFERROR(__xludf.DUMMYFUNCTION("IMPORTRANGE(""https://docs.google.com/spreadsheets/d/1ItG2mGa2ceCfYo0BwxsXqNm01IGEUdYcSSLTEv9YCik/edit?usp=sharing"",""เบิกจ่ายกองทุน!AL61"")"),34705)</f>
        <v>34705</v>
      </c>
      <c r="T99" s="72">
        <f t="shared" ca="1" si="29"/>
        <v>34.258272131406457</v>
      </c>
      <c r="U99" s="72">
        <f t="shared" ca="1" si="30"/>
        <v>34.258272131406457</v>
      </c>
    </row>
    <row r="100" spans="1:21" ht="18.75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IFERROR(__xludf.DUMMYFUNCTION("IMPORTRANGE(""https://docs.google.com/spreadsheets/d/1-uDff_7J0KD5mKrp0Vvzr7lt3OU09vwQwhkpOPPYv2Y/edit?usp=sharing"",""งบพรบ!AZ61"")"),0)</f>
        <v>0</v>
      </c>
      <c r="M102" s="72">
        <f ca="1">IFERROR(__xludf.DUMMYFUNCTION("IMPORTRANGE(""https://docs.google.com/spreadsheets/d/1-uDff_7J0KD5mKrp0Vvzr7lt3OU09vwQwhkpOPPYv2Y/edit?usp=sharing"",""งบพรบ!BC61"")"),0)</f>
        <v>0</v>
      </c>
      <c r="N102" s="72">
        <f ca="1">IFERROR(__xludf.DUMMYFUNCTION("IMPORTRANGE(""https://docs.google.com/spreadsheets/d/1-uDff_7J0KD5mKrp0Vvzr7lt3OU09vwQwhkpOPPYv2Y/edit?usp=sharing"",""งบพรบ!BE61"")"),0)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IFERROR(__xludf.DUMMYFUNCTION("IMPORTRANGE(""https://docs.google.com/spreadsheets/d/1eHaY18a8A9IcSdp1K8H6x8fbOy06t2VsZHhMHf-1x7Y/edit?usp=sharing"",""แผน!N61"")"),36)</f>
        <v>36</v>
      </c>
      <c r="J108" s="292">
        <v>36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IFERROR(__xludf.DUMMYFUNCTION("IMPORTRANGE(""https://docs.google.com/spreadsheets/d/1eHaY18a8A9IcSdp1K8H6x8fbOy06t2VsZHhMHf-1x7Y/edit?usp=sharing"",""แผน!O61"")"),12)</f>
        <v>12</v>
      </c>
      <c r="J109" s="292">
        <v>12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766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IFERROR(__xludf.DUMMYFUNCTION("IMPORTRANGE(""https://docs.google.com/spreadsheets/d/1eHaY18a8A9IcSdp1K8H6x8fbOy06t2VsZHhMHf-1x7Y/edit?usp=sharing"",""แผน!N61"")"),36)</f>
        <v>36</v>
      </c>
      <c r="J113" s="672">
        <v>36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IFERROR(__xludf.DUMMYFUNCTION("IMPORTRANGE(""https://docs.google.com/spreadsheets/d/1eHaY18a8A9IcSdp1K8H6x8fbOy06t2VsZHhMHf-1x7Y/edit?usp=sharing"",""แผน!O61"")"),12)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1203">
        <f ca="1">I127</f>
        <v>10</v>
      </c>
      <c r="J116" s="1202">
        <f>J127</f>
        <v>10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101675.01</v>
      </c>
      <c r="T117" s="262">
        <f t="shared" ref="T117:T125" ca="1" si="35">IF(Q117&gt;0,S117*100/Q117,0)</f>
        <v>58.548318553495335</v>
      </c>
      <c r="U117" s="262">
        <f t="shared" ref="U117:U125" ca="1" si="36">IF(R117&gt;0,S117*100/R117,0)</f>
        <v>58.548318553495335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173660</v>
      </c>
      <c r="S119" s="72">
        <f t="shared" ca="1" si="38"/>
        <v>101675.01</v>
      </c>
      <c r="T119" s="72">
        <f t="shared" ca="1" si="35"/>
        <v>58.548318553495335</v>
      </c>
      <c r="U119" s="72">
        <f t="shared" ca="1" si="36"/>
        <v>58.548318553495335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101675.01</v>
      </c>
      <c r="T120" s="72">
        <f t="shared" ca="1" si="35"/>
        <v>58.548318553495335</v>
      </c>
      <c r="U120" s="72">
        <f t="shared" ca="1" si="36"/>
        <v>58.548318553495335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IFERROR(__xludf.DUMMYFUNCTION("IMPORTRANGE(""https://docs.google.com/spreadsheets/d/1-uDff_7J0KD5mKrp0Vvzr7lt3OU09vwQwhkpOPPYv2Y/edit?usp=sharing"",""งบพรบ!BG61"")"),0)</f>
        <v>0</v>
      </c>
      <c r="M122" s="72">
        <f ca="1">IFERROR(__xludf.DUMMYFUNCTION("IMPORTRANGE(""https://docs.google.com/spreadsheets/d/1-uDff_7J0KD5mKrp0Vvzr7lt3OU09vwQwhkpOPPYv2Y/edit?usp=sharing"",""งบพรบ!BL61"")"),0)</f>
        <v>0</v>
      </c>
      <c r="N122" s="72">
        <f ca="1">IFERROR(__xludf.DUMMYFUNCTION("IMPORTRANGE(""https://docs.google.com/spreadsheets/d/1-uDff_7J0KD5mKrp0Vvzr7lt3OU09vwQwhkpOPPYv2Y/edit?usp=sharing"",""งบพรบ!BN61"")"),0)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IFERROR(__xludf.DUMMYFUNCTION("IMPORTRANGE(""https://docs.google.com/spreadsheets/d/1ItG2mGa2ceCfYo0BwxsXqNm01IGEUdYcSSLTEv9YCik/edit?usp=sharing"",""เบิกจ่ายกองทุน!U61"")"),173660)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IFERROR(__xludf.DUMMYFUNCTION("IMPORTRANGE(""https://docs.google.com/spreadsheets/d/1ItG2mGa2ceCfYo0BwxsXqNm01IGEUdYcSSLTEv9YCik/edit?usp=sharing"",""เบิกจ่ายกองทุน!V61"")"),173660)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IFERROR(__xludf.DUMMYFUNCTION("IMPORTRANGE(""https://docs.google.com/spreadsheets/d/1ItG2mGa2ceCfYo0BwxsXqNm01IGEUdYcSSLTEv9YCik/edit?usp=sharing"",""เบิกจ่ายกองทุน!W61"")"),101675.01)</f>
        <v>101675.01</v>
      </c>
      <c r="T122" s="72">
        <f t="shared" ca="1" si="35"/>
        <v>58.548318553495335</v>
      </c>
      <c r="U122" s="72">
        <f t="shared" ca="1" si="36"/>
        <v>58.548318553495335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IFERROR(__xludf.DUMMYFUNCTION("IMPORTRANGE(""https://docs.google.com/spreadsheets/d/1-uDff_7J0KD5mKrp0Vvzr7lt3OU09vwQwhkpOPPYv2Y/edit?usp=sharing"",""งบพรบ!BJ61"")"),0)</f>
        <v>0</v>
      </c>
      <c r="M125" s="72">
        <f ca="1">IFERROR(__xludf.DUMMYFUNCTION("IMPORTRANGE(""https://docs.google.com/spreadsheets/d/1-uDff_7J0KD5mKrp0Vvzr7lt3OU09vwQwhkpOPPYv2Y/edit?usp=sharing"",""งบพรบ!BM61"")"),0)</f>
        <v>0</v>
      </c>
      <c r="N125" s="72">
        <f ca="1">IFERROR(__xludf.DUMMYFUNCTION("IMPORTRANGE(""https://docs.google.com/spreadsheets/d/1-uDff_7J0KD5mKrp0Vvzr7lt3OU09vwQwhkpOPPYv2Y/edit?usp=sharing"",""งบพรบ!BO61"")"),0)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IFERROR(__xludf.DUMMYFUNCTION("IMPORTRANGE(""https://docs.google.com/spreadsheets/d/1ItG2mGa2ceCfYo0BwxsXqNm01IGEUdYcSSLTEv9YCik/edit?usp=sharing"",""เบิกจ่ายกองทุน!X61"")"),0)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IFERROR(__xludf.DUMMYFUNCTION("IMPORTRANGE(""https://docs.google.com/spreadsheets/d/1ItG2mGa2ceCfYo0BwxsXqNm01IGEUdYcSSLTEv9YCik/edit?usp=sharing"",""เบิกจ่ายกองทุน!Y61"")"),0)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IFERROR(__xludf.DUMMYFUNCTION("IMPORTRANGE(""https://docs.google.com/spreadsheets/d/1ItG2mGa2ceCfYo0BwxsXqNm01IGEUdYcSSLTEv9YCik/edit?usp=sharing"",""เบิกจ่ายกองทุน!Z61"")"),0)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IFERROR(__xludf.DUMMYFUNCTION("IMPORTRANGE(""https://docs.google.com/spreadsheets/d/1eHaY18a8A9IcSdp1K8H6x8fbOy06t2VsZHhMHf-1x7Y/edit?usp=sharing"",""แผน!FF61"")"),10)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IFERROR(__xludf.DUMMYFUNCTION("IMPORTRANGE(""https://docs.google.com/spreadsheets/d/1eHaY18a8A9IcSdp1K8H6x8fbOy06t2VsZHhMHf-1x7Y/edit?usp=sharing"",""แผน!FG61"")"),0)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IFERROR(__xludf.DUMMYFUNCTION("IMPORTRANGE(""https://docs.google.com/spreadsheets/d/1eHaY18a8A9IcSdp1K8H6x8fbOy06t2VsZHhMHf-1x7Y/edit?usp=sharing"",""แผน!FH61"")"),10)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IFERROR(__xludf.DUMMYFUNCTION("IMPORTRANGE(""https://docs.google.com/spreadsheets/d/1eHaY18a8A9IcSdp1K8H6x8fbOy06t2VsZHhMHf-1x7Y/edit?usp=sharing"",""แผน!FI61"")"),0)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IFERROR(__xludf.DUMMYFUNCTION("IMPORTRANGE(""https://docs.google.com/spreadsheets/d/1-uDff_7J0KD5mKrp0Vvzr7lt3OU09vwQwhkpOPPYv2Y/edit?usp=sharing"",""งบพรบ!BQ61"")"),0)</f>
        <v>0</v>
      </c>
      <c r="M144" s="72">
        <f ca="1">IFERROR(__xludf.DUMMYFUNCTION("IMPORTRANGE(""https://docs.google.com/spreadsheets/d/1-uDff_7J0KD5mKrp0Vvzr7lt3OU09vwQwhkpOPPYv2Y/edit?usp=sharing"",""งบพรบ!BV61"")"),0)</f>
        <v>0</v>
      </c>
      <c r="N144" s="72">
        <f ca="1">IFERROR(__xludf.DUMMYFUNCTION("IMPORTRANGE(""https://docs.google.com/spreadsheets/d/1-uDff_7J0KD5mKrp0Vvzr7lt3OU09vwQwhkpOPPYv2Y/edit?usp=sharing"",""งบพรบ!BX61"")"),0)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IFERROR(__xludf.DUMMYFUNCTION("IMPORTRANGE(""https://docs.google.com/spreadsheets/d/1ItG2mGa2ceCfYo0BwxsXqNm01IGEUdYcSSLTEv9YCik/edit?usp=sharing"",""เบิกจ่ายกองทุน!CF61"")"),0)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IFERROR(__xludf.DUMMYFUNCTION("IMPORTRANGE(""https://docs.google.com/spreadsheets/d/1ItG2mGa2ceCfYo0BwxsXqNm01IGEUdYcSSLTEv9YCik/edit?usp=sharing"",""เบิกจ่ายกองทุน!CG61"")"),0)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IFERROR(__xludf.DUMMYFUNCTION("IMPORTRANGE(""https://docs.google.com/spreadsheets/d/1ItG2mGa2ceCfYo0BwxsXqNm01IGEUdYcSSLTEv9YCik/edit?usp=sharing"",""เบิกจ่ายกองทุน!CH61"")"),0)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IFERROR(__xludf.DUMMYFUNCTION("IMPORTRANGE(""https://docs.google.com/spreadsheets/d/1-uDff_7J0KD5mKrp0Vvzr7lt3OU09vwQwhkpOPPYv2Y/edit?usp=sharing"",""งบพรบ!BT61"")"),0)</f>
        <v>0</v>
      </c>
      <c r="M147" s="72">
        <f ca="1">IFERROR(__xludf.DUMMYFUNCTION("IMPORTRANGE(""https://docs.google.com/spreadsheets/d/1-uDff_7J0KD5mKrp0Vvzr7lt3OU09vwQwhkpOPPYv2Y/edit?usp=sharing"",""งบพรบ!BW61"")"),0)</f>
        <v>0</v>
      </c>
      <c r="N147" s="72">
        <f ca="1">IFERROR(__xludf.DUMMYFUNCTION("IMPORTRANGE(""https://docs.google.com/spreadsheets/d/1-uDff_7J0KD5mKrp0Vvzr7lt3OU09vwQwhkpOPPYv2Y/edit?usp=sharing"",""งบพรบ!BY61"")"),0)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IFERROR(__xludf.DUMMYFUNCTION("IMPORTRANGE(""https://docs.google.com/spreadsheets/d/1ItG2mGa2ceCfYo0BwxsXqNm01IGEUdYcSSLTEv9YCik/edit?usp=sharing"",""เบิกจ่ายกองทุน!CI61"")"),0)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IFERROR(__xludf.DUMMYFUNCTION("IMPORTRANGE(""https://docs.google.com/spreadsheets/d/1ItG2mGa2ceCfYo0BwxsXqNm01IGEUdYcSSLTEv9YCik/edit?usp=sharing"",""เบิกจ่ายกองทุน!CJ61"")"),0)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IFERROR(__xludf.DUMMYFUNCTION("IMPORTRANGE(""https://docs.google.com/spreadsheets/d/1ItG2mGa2ceCfYo0BwxsXqNm01IGEUdYcSSLTEv9YCik/edit?usp=sharing"",""เบิกจ่ายกองทุน!CK61"")"),0)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IFERROR(__xludf.DUMMYFUNCTION("IMPORTRANGE(""https://docs.google.com/spreadsheets/d/1eHaY18a8A9IcSdp1K8H6x8fbOy06t2VsZHhMHf-1x7Y/edit?usp=sharing"",""แผน!U61"")"),0)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IFERROR(__xludf.DUMMYFUNCTION("IMPORTRANGE(""https://docs.google.com/spreadsheets/d/1eHaY18a8A9IcSdp1K8H6x8fbOy06t2VsZHhMHf-1x7Y/edit?usp=sharing"",""แผน!V61"")"),0)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IFERROR(__xludf.DUMMYFUNCTION("IMPORTRANGE(""https://docs.google.com/spreadsheets/d/1eHaY18a8A9IcSdp1K8H6x8fbOy06t2VsZHhMHf-1x7Y/edit?usp=sharing"",""แผน!W61"")"),0)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IFERROR(__xludf.DUMMYFUNCTION("IMPORTRANGE(""https://docs.google.com/spreadsheets/d/1eHaY18a8A9IcSdp1K8H6x8fbOy06t2VsZHhMHf-1x7Y/edit?usp=sharing"",""แผน!X61"")"),0)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IFERROR(__xludf.DUMMYFUNCTION("IMPORTRANGE(""https://docs.google.com/spreadsheets/d/1eHaY18a8A9IcSdp1K8H6x8fbOy06t2VsZHhMHf-1x7Y/edit?usp=sharing"",""แผน!Y61"")"),0)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2442</v>
      </c>
      <c r="N157" s="262">
        <f ca="1">N158+N159</f>
        <v>2442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2442</v>
      </c>
      <c r="N159" s="72">
        <f t="shared" ca="1" si="49"/>
        <v>2442</v>
      </c>
      <c r="O159" s="72">
        <f t="shared" ca="1" si="45"/>
        <v>0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2442</v>
      </c>
      <c r="N160" s="72">
        <f ca="1">N161+N162</f>
        <v>2442</v>
      </c>
      <c r="O160" s="72">
        <f t="shared" ca="1" si="45"/>
        <v>0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IFERROR(__xludf.DUMMYFUNCTION("IMPORTRANGE(""https://docs.google.com/spreadsheets/d/1-uDff_7J0KD5mKrp0Vvzr7lt3OU09vwQwhkpOPPYv2Y/edit?usp=sharing"",""งบพรบ!CA61"")"),0)</f>
        <v>0</v>
      </c>
      <c r="M162" s="72">
        <f ca="1">IFERROR(__xludf.DUMMYFUNCTION("IMPORTRANGE(""https://docs.google.com/spreadsheets/d/1-uDff_7J0KD5mKrp0Vvzr7lt3OU09vwQwhkpOPPYv2Y/edit?usp=sharing"",""งบพรบ!CF61"")"),2442)</f>
        <v>2442</v>
      </c>
      <c r="N162" s="72">
        <f ca="1">IFERROR(__xludf.DUMMYFUNCTION("IMPORTRANGE(""https://docs.google.com/spreadsheets/d/1-uDff_7J0KD5mKrp0Vvzr7lt3OU09vwQwhkpOPPYv2Y/edit?usp=sharing"",""งบพรบ!CH61"")"),2442)</f>
        <v>2442</v>
      </c>
      <c r="O162" s="72">
        <f t="shared" ca="1" si="45"/>
        <v>0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IFERROR(__xludf.DUMMYFUNCTION("IMPORTRANGE(""https://docs.google.com/spreadsheets/d/1ItG2mGa2ceCfYo0BwxsXqNm01IGEUdYcSSLTEv9YCik/edit?usp=sharing"",""เบิกจ่ายกองทุน!AM61"")"),0)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IFERROR(__xludf.DUMMYFUNCTION("IMPORTRANGE(""https://docs.google.com/spreadsheets/d/1ItG2mGa2ceCfYo0BwxsXqNm01IGEUdYcSSLTEv9YCik/edit?usp=sharing"",""เบิกจ่ายกองทุน!AN61"")"),0)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IFERROR(__xludf.DUMMYFUNCTION("IMPORTRANGE(""https://docs.google.com/spreadsheets/d/1ItG2mGa2ceCfYo0BwxsXqNm01IGEUdYcSSLTEv9YCik/edit?usp=sharing"",""เบิกจ่ายกองทุน!AO61"")"),0)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IFERROR(__xludf.DUMMYFUNCTION("IMPORTRANGE(""https://docs.google.com/spreadsheets/d/1-uDff_7J0KD5mKrp0Vvzr7lt3OU09vwQwhkpOPPYv2Y/edit?usp=sharing"",""งบพรบ!CD61"")"),0)</f>
        <v>0</v>
      </c>
      <c r="M165" s="72">
        <f ca="1">IFERROR(__xludf.DUMMYFUNCTION("IMPORTRANGE(""https://docs.google.com/spreadsheets/d/1-uDff_7J0KD5mKrp0Vvzr7lt3OU09vwQwhkpOPPYv2Y/edit?usp=sharing"",""งบพรบ!CG61"")"),0)</f>
        <v>0</v>
      </c>
      <c r="N165" s="72">
        <f ca="1">IFERROR(__xludf.DUMMYFUNCTION("IMPORTRANGE(""https://docs.google.com/spreadsheets/d/1-uDff_7J0KD5mKrp0Vvzr7lt3OU09vwQwhkpOPPYv2Y/edit?usp=sharing"",""งบพรบ!CI61"")"),0)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IFERROR(__xludf.DUMMYFUNCTION("IMPORTRANGE(""https://docs.google.com/spreadsheets/d/1eHaY18a8A9IcSdp1K8H6x8fbOy06t2VsZHhMHf-1x7Y/edit?usp=sharing"",""แผน!Z61"")"),0)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IFERROR(__xludf.DUMMYFUNCTION("IMPORTRANGE(""https://docs.google.com/spreadsheets/d/1eHaY18a8A9IcSdp1K8H6x8fbOy06t2VsZHhMHf-1x7Y/edit?usp=sharing"",""แผน!Z61"")"),0)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IFERROR(__xludf.DUMMYFUNCTION("IMPORTRANGE(""https://docs.google.com/spreadsheets/d/1eHaY18a8A9IcSdp1K8H6x8fbOy06t2VsZHhMHf-1x7Y/edit?usp=sharing"",""แผน!Z61"")"),0)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28842</v>
      </c>
      <c r="N173" s="262">
        <f ca="1">N174+N175</f>
        <v>28842</v>
      </c>
      <c r="O173" s="262">
        <f t="shared" ref="O173:O181" ca="1" si="51">IF(L173&gt;0,N173*100/L173,0)</f>
        <v>147.2281776416539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28842</v>
      </c>
      <c r="N175" s="72">
        <f t="shared" ca="1" si="55"/>
        <v>28842</v>
      </c>
      <c r="O175" s="72">
        <f t="shared" ca="1" si="51"/>
        <v>147.2281776416539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28842</v>
      </c>
      <c r="N176" s="72">
        <f ca="1">N177+N178</f>
        <v>28842</v>
      </c>
      <c r="O176" s="72">
        <f t="shared" ca="1" si="51"/>
        <v>147.2281776416539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IFERROR(__xludf.DUMMYFUNCTION("IMPORTRANGE(""https://docs.google.com/spreadsheets/d/1-uDff_7J0KD5mKrp0Vvzr7lt3OU09vwQwhkpOPPYv2Y/edit?usp=sharing"",""งบพรบ!CK61"")"),19590)</f>
        <v>19590</v>
      </c>
      <c r="M178" s="72">
        <f ca="1">IFERROR(__xludf.DUMMYFUNCTION("IMPORTRANGE(""https://docs.google.com/spreadsheets/d/1-uDff_7J0KD5mKrp0Vvzr7lt3OU09vwQwhkpOPPYv2Y/edit?usp=sharing"",""งบพรบ!CP61"")"),28842)</f>
        <v>28842</v>
      </c>
      <c r="N178" s="72">
        <f ca="1">IFERROR(__xludf.DUMMYFUNCTION("IMPORTRANGE(""https://docs.google.com/spreadsheets/d/1-uDff_7J0KD5mKrp0Vvzr7lt3OU09vwQwhkpOPPYv2Y/edit?usp=sharing"",""งบพรบ!CR61"")"),28842)</f>
        <v>28842</v>
      </c>
      <c r="O178" s="72">
        <f t="shared" ca="1" si="51"/>
        <v>147.2281776416539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IFERROR(__xludf.DUMMYFUNCTION("IMPORTRANGE(""https://docs.google.com/spreadsheets/d/1ItG2mGa2ceCfYo0BwxsXqNm01IGEUdYcSSLTEv9YCik/edit?usp=sharing"",""เบิกจ่ายกองทุน!DG61"")"),0)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IFERROR(__xludf.DUMMYFUNCTION("IMPORTRANGE(""https://docs.google.com/spreadsheets/d/1ItG2mGa2ceCfYo0BwxsXqNm01IGEUdYcSSLTEv9YCik/edit?usp=sharing"",""เบิกจ่ายกองทุน!DH61"")"),0)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IFERROR(__xludf.DUMMYFUNCTION("IMPORTRANGE(""https://docs.google.com/spreadsheets/d/1ItG2mGa2ceCfYo0BwxsXqNm01IGEUdYcSSLTEv9YCik/edit?usp=sharing"",""เบิกจ่ายกองทุน!DI61"")"),0)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IFERROR(__xludf.DUMMYFUNCTION("IMPORTRANGE(""https://docs.google.com/spreadsheets/d/1-uDff_7J0KD5mKrp0Vvzr7lt3OU09vwQwhkpOPPYv2Y/edit?usp=sharing"",""งบพรบ!CN61"")"),0)</f>
        <v>0</v>
      </c>
      <c r="M181" s="72">
        <f ca="1">IFERROR(__xludf.DUMMYFUNCTION("IMPORTRANGE(""https://docs.google.com/spreadsheets/d/1-uDff_7J0KD5mKrp0Vvzr7lt3OU09vwQwhkpOPPYv2Y/edit?usp=sharing"",""งบพรบ!CQ61"")"),0)</f>
        <v>0</v>
      </c>
      <c r="N181" s="72">
        <f ca="1">IFERROR(__xludf.DUMMYFUNCTION("IMPORTRANGE(""https://docs.google.com/spreadsheets/d/1-uDff_7J0KD5mKrp0Vvzr7lt3OU09vwQwhkpOPPYv2Y/edit?usp=sharing"",""งบพรบ!CS61"")"),0)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IFERROR(__xludf.DUMMYFUNCTION("IMPORTRANGE(""https://docs.google.com/spreadsheets/d/1eHaY18a8A9IcSdp1K8H6x8fbOy06t2VsZHhMHf-1x7Y/edit?usp=sharing"",""แผน!AA61"")"),7)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110</v>
      </c>
      <c r="J185" s="963">
        <f>J230+J231</f>
        <v>60</v>
      </c>
      <c r="K185" s="962">
        <f ca="1">IF(I185&gt;0,J185*100/I185,0)</f>
        <v>54.545454545454547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624200</v>
      </c>
      <c r="M186" s="262">
        <f ca="1">M187+M188</f>
        <v>627720</v>
      </c>
      <c r="N186" s="262">
        <f ca="1">N187+N188</f>
        <v>404866.53</v>
      </c>
      <c r="O186" s="262">
        <f t="shared" ref="O186:O194" ca="1" si="57">IF(L186&gt;0,N186*100/L186,0)</f>
        <v>64.861667734700418</v>
      </c>
      <c r="P186" s="262">
        <f t="shared" ref="P186:P194" ca="1" si="58">IF(M186&gt;0,N186*100/M186,0)</f>
        <v>64.497949722806354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624200</v>
      </c>
      <c r="M188" s="72">
        <f t="shared" ca="1" si="61"/>
        <v>627720</v>
      </c>
      <c r="N188" s="72">
        <f t="shared" ca="1" si="61"/>
        <v>404866.53</v>
      </c>
      <c r="O188" s="72">
        <f t="shared" ca="1" si="57"/>
        <v>64.861667734700418</v>
      </c>
      <c r="P188" s="72">
        <f t="shared" ca="1" si="58"/>
        <v>64.497949722806354</v>
      </c>
      <c r="Q188" s="72">
        <f t="shared" ca="1" si="62"/>
        <v>0</v>
      </c>
      <c r="R188" s="72">
        <f t="shared" ca="1" si="62"/>
        <v>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624200</v>
      </c>
      <c r="M189" s="72">
        <f ca="1">M190+M191</f>
        <v>627720</v>
      </c>
      <c r="N189" s="72">
        <f ca="1">N190+N191</f>
        <v>404866.53</v>
      </c>
      <c r="O189" s="72">
        <f t="shared" ca="1" si="57"/>
        <v>64.861667734700418</v>
      </c>
      <c r="P189" s="72">
        <f t="shared" ca="1" si="58"/>
        <v>64.497949722806354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IFERROR(__xludf.DUMMYFUNCTION("IMPORTRANGE(""https://docs.google.com/spreadsheets/d/1-uDff_7J0KD5mKrp0Vvzr7lt3OU09vwQwhkpOPPYv2Y/edit?usp=sharing"",""งบพรบ!CU61"")"),624200)</f>
        <v>624200</v>
      </c>
      <c r="M191" s="72">
        <f ca="1">IFERROR(__xludf.DUMMYFUNCTION("IMPORTRANGE(""https://docs.google.com/spreadsheets/d/1-uDff_7J0KD5mKrp0Vvzr7lt3OU09vwQwhkpOPPYv2Y/edit?usp=sharing"",""งบพรบ!CZ61"")"),627720)</f>
        <v>627720</v>
      </c>
      <c r="N191" s="72">
        <f ca="1">IFERROR(__xludf.DUMMYFUNCTION("IMPORTRANGE(""https://docs.google.com/spreadsheets/d/1-uDff_7J0KD5mKrp0Vvzr7lt3OU09vwQwhkpOPPYv2Y/edit?usp=sharing"",""งบพรบ!DB61"")"),404866.53)</f>
        <v>404866.53</v>
      </c>
      <c r="O191" s="72">
        <f t="shared" ca="1" si="57"/>
        <v>64.861667734700418</v>
      </c>
      <c r="P191" s="72">
        <f t="shared" ca="1" si="58"/>
        <v>64.497949722806354</v>
      </c>
      <c r="Q191" s="72">
        <f ca="1">IFERROR(__xludf.DUMMYFUNCTION("IMPORTRANGE(""https://docs.google.com/spreadsheets/d/1ItG2mGa2ceCfYo0BwxsXqNm01IGEUdYcSSLTEv9YCik/edit?usp=sharing"",""เบิกจ่ายกองทุน!BQ61"")"),0)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IFERROR(__xludf.DUMMYFUNCTION("IMPORTRANGE(""https://docs.google.com/spreadsheets/d/1ItG2mGa2ceCfYo0BwxsXqNm01IGEUdYcSSLTEv9YCik/edit?usp=sharing"",""เบิกจ่ายกองทุน!BR61"")"),0)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IFERROR(__xludf.DUMMYFUNCTION("IMPORTRANGE(""https://docs.google.com/spreadsheets/d/1ItG2mGa2ceCfYo0BwxsXqNm01IGEUdYcSSLTEv9YCik/edit?usp=sharing"",""เบิกจ่ายกองทุน!BS61"")"),0)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IFERROR(__xludf.DUMMYFUNCTION("IMPORTRANGE(""https://docs.google.com/spreadsheets/d/1-uDff_7J0KD5mKrp0Vvzr7lt3OU09vwQwhkpOPPYv2Y/edit?usp=sharing"",""งบพรบ!CX61"")"),0)</f>
        <v>0</v>
      </c>
      <c r="M194" s="72">
        <f ca="1">IFERROR(__xludf.DUMMYFUNCTION("IMPORTRANGE(""https://docs.google.com/spreadsheets/d/1-uDff_7J0KD5mKrp0Vvzr7lt3OU09vwQwhkpOPPYv2Y/edit?usp=sharing"",""งบพรบ!DA61"")"),0)</f>
        <v>0</v>
      </c>
      <c r="N194" s="72">
        <f ca="1">IFERROR(__xludf.DUMMYFUNCTION("IMPORTRANGE(""https://docs.google.com/spreadsheets/d/1-uDff_7J0KD5mKrp0Vvzr7lt3OU09vwQwhkpOPPYv2Y/edit?usp=sharing"",""งบพรบ!DC61"")"),0)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IFERROR(__xludf.DUMMYFUNCTION("IMPORTRANGE(""https://docs.google.com/spreadsheets/d/1ItG2mGa2ceCfYo0BwxsXqNm01IGEUdYcSSLTEv9YCik/edit?usp=sharing"",""เบิกจ่ายกองทุน!BT61"")"),0)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IFERROR(__xludf.DUMMYFUNCTION("IMPORTRANGE(""https://docs.google.com/spreadsheets/d/1ItG2mGa2ceCfYo0BwxsXqNm01IGEUdYcSSLTEv9YCik/edit?usp=sharing"",""เบิกจ่ายกองทุน!BU61"")"),0)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IFERROR(__xludf.DUMMYFUNCTION("IMPORTRANGE(""https://docs.google.com/spreadsheets/d/1ItG2mGa2ceCfYo0BwxsXqNm01IGEUdYcSSLTEv9YCik/edit?usp=sharing"",""เบิกจ่ายกองทุน!BV61"")"),0)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IFERROR(__xludf.DUMMYFUNCTION("IMPORTRANGE(""https://docs.google.com/spreadsheets/d/1eHaY18a8A9IcSdp1K8H6x8fbOy06t2VsZHhMHf-1x7Y/edit?usp=sharing"",""แผน!AB61"")"),6000)</f>
        <v>6000</v>
      </c>
      <c r="M196" s="85"/>
      <c r="N196" s="961">
        <v>5555</v>
      </c>
      <c r="O196" s="262">
        <f ca="1">IF(L196&gt;0,N196*100/L196,0)</f>
        <v>92.583333333333329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IFERROR(__xludf.DUMMYFUNCTION("IMPORTRANGE(""https://docs.google.com/spreadsheets/d/1eHaY18a8A9IcSdp1K8H6x8fbOy06t2VsZHhMHf-1x7Y/edit?usp=sharing"",""แผน!AE61"")"),4)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65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65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13000</v>
      </c>
      <c r="M203" s="85"/>
      <c r="N203" s="262">
        <f>N204+N205+N206+N207</f>
        <v>13000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IFERROR(__xludf.DUMMYFUNCTION("IMPORTRANGE(""https://docs.google.com/spreadsheets/d/1eHaY18a8A9IcSdp1K8H6x8fbOy06t2VsZHhMHf-1x7Y/edit?usp=sharing"",""แผน!AG61"")"),1000)</f>
        <v>1000</v>
      </c>
      <c r="M204" s="85"/>
      <c r="N204" s="387">
        <v>415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IFERROR(__xludf.DUMMYFUNCTION("IMPORTRANGE(""https://docs.google.com/spreadsheets/d/1eHaY18a8A9IcSdp1K8H6x8fbOy06t2VsZHhMHf-1x7Y/edit?usp=sharing"",""แผน!AH61"")"),0)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IFERROR(__xludf.DUMMYFUNCTION("IMPORTRANGE(""https://docs.google.com/spreadsheets/d/1eHaY18a8A9IcSdp1K8H6x8fbOy06t2VsZHhMHf-1x7Y/edit?usp=sharing"",""แผน!AI61"")"),8000)</f>
        <v>8000</v>
      </c>
      <c r="M206" s="85"/>
      <c r="N206" s="387">
        <v>8585</v>
      </c>
      <c r="O206" s="227"/>
      <c r="P206" s="85"/>
      <c r="Q206" s="71">
        <f ca="1">IFERROR(__xludf.DUMMYFUNCTION("IMPORTRANGE(""https://docs.google.com/spreadsheets/d/1eHaY18a8A9IcSdp1K8H6x8fbOy06t2VsZHhMHf-1x7Y/edit?usp=sharing"",""แผน!LV61"")"),0)</f>
        <v>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IFERROR(__xludf.DUMMYFUNCTION("IMPORTRANGE(""https://docs.google.com/spreadsheets/d/1eHaY18a8A9IcSdp1K8H6x8fbOy06t2VsZHhMHf-1x7Y/edit?usp=sharing"",""แผน!AJ61"")"),4000)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IFERROR(__xludf.DUMMYFUNCTION("IMPORTRANGE(""https://docs.google.com/spreadsheets/d/1eHaY18a8A9IcSdp1K8H6x8fbOy06t2VsZHhMHf-1x7Y/edit?usp=sharing"",""แผน!AK61"")"),1)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IFERROR(__xludf.DUMMYFUNCTION("IMPORTRANGE(""https://docs.google.com/spreadsheets/d/1eHaY18a8A9IcSdp1K8H6x8fbOy06t2VsZHhMHf-1x7Y/edit?usp=sharing"",""แผน!JX61"")"),1)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IFERROR(__xludf.DUMMYFUNCTION("IMPORTRANGE(""https://docs.google.com/spreadsheets/d/1eHaY18a8A9IcSdp1K8H6x8fbOy06t2VsZHhMHf-1x7Y/edit?usp=sharing"",""แผน!JY61"")"),0)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IFERROR(__xludf.DUMMYFUNCTION("IMPORTRANGE(""https://docs.google.com/spreadsheets/d/1eHaY18a8A9IcSdp1K8H6x8fbOy06t2VsZHhMHf-1x7Y/edit?usp=sharing"",""แผน!AM61"")"),0)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IFERROR(__xludf.DUMMYFUNCTION("IMPORTRANGE(""https://docs.google.com/spreadsheets/d/1eHaY18a8A9IcSdp1K8H6x8fbOy06t2VsZHhMHf-1x7Y/edit?usp=sharing"",""แผน!AN61"")"),0)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IFERROR(__xludf.DUMMYFUNCTION("IMPORTRANGE(""https://docs.google.com/spreadsheets/d/1eHaY18a8A9IcSdp1K8H6x8fbOy06t2VsZHhMHf-1x7Y/edit?usp=sharing"",""แผน!AO61"")"),0)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IFERROR(__xludf.DUMMYFUNCTION("IMPORTRANGE(""https://docs.google.com/spreadsheets/d/1eHaY18a8A9IcSdp1K8H6x8fbOy06t2VsZHhMHf-1x7Y/edit?usp=sharing"",""แผน!LY61"")"),0)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IFERROR(__xludf.DUMMYFUNCTION("IMPORTRANGE(""https://docs.google.com/spreadsheets/d/1eHaY18a8A9IcSdp1K8H6x8fbOy06t2VsZHhMHf-1x7Y/edit?usp=sharing"",""แผน!AP61"")"),0)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IFERROR(__xludf.DUMMYFUNCTION("IMPORTRANGE(""https://docs.google.com/spreadsheets/d/1eHaY18a8A9IcSdp1K8H6x8fbOy06t2VsZHhMHf-1x7Y/edit?usp=sharing"",""แผน!AP61"")"),0)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IFERROR(__xludf.DUMMYFUNCTION("IMPORTRANGE(""https://docs.google.com/spreadsheets/d/1eHaY18a8A9IcSdp1K8H6x8fbOy06t2VsZHhMHf-1x7Y/edit?usp=sharing"",""แผน!AR61"")"),2500)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IFERROR(__xludf.DUMMYFUNCTION("IMPORTRANGE(""https://docs.google.com/spreadsheets/d/1eHaY18a8A9IcSdp1K8H6x8fbOy06t2VsZHhMHf-1x7Y/edit?usp=sharing"",""แผน!AS61"")"),2000)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IFERROR(__xludf.DUMMYFUNCTION("IMPORTRANGE(""https://docs.google.com/spreadsheets/d/1eHaY18a8A9IcSdp1K8H6x8fbOy06t2VsZHhMHf-1x7Y/edit?usp=sharing"",""แผน!AT61"")"),0)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IFERROR(__xludf.DUMMYFUNCTION("IMPORTRANGE(""https://docs.google.com/spreadsheets/d/1eHaY18a8A9IcSdp1K8H6x8fbOy06t2VsZHhMHf-1x7Y/edit?usp=sharing"",""แผน!AV61"")"),20000)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IFERROR(__xludf.DUMMYFUNCTION("IMPORTRANGE(""https://docs.google.com/spreadsheets/d/1eHaY18a8A9IcSdp1K8H6x8fbOy06t2VsZHhMHf-1x7Y/edit?usp=sharing"",""แผน!AV61"")"),20000)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IFERROR(__xludf.DUMMYFUNCTION("IMPORTRANGE(""https://docs.google.com/spreadsheets/d/1eHaY18a8A9IcSdp1K8H6x8fbOy06t2VsZHhMHf-1x7Y/edit?usp=sharing"",""แผน!AU61"")"),0)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110</v>
      </c>
      <c r="J231" s="951">
        <f>J242+J253</f>
        <v>60</v>
      </c>
      <c r="K231" s="950">
        <f ca="1">IF(I231&gt;0,J231*100/I231,0)</f>
        <v>54.545454545454547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7">
        <f ca="1">L243+L254</f>
        <v>233500</v>
      </c>
      <c r="M232" s="85"/>
      <c r="N232" s="956">
        <f>N243+N254</f>
        <v>99620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936"/>
      <c r="B233" s="1082"/>
      <c r="C233" s="1082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74">
        <f ca="1">L244+L255</f>
        <v>19000</v>
      </c>
      <c r="M233" s="85"/>
      <c r="N233" s="75">
        <f>N244+N255</f>
        <v>5000</v>
      </c>
      <c r="O233" s="85"/>
      <c r="P233" s="85"/>
      <c r="Q233" s="1302">
        <v>0</v>
      </c>
      <c r="R233" s="671"/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74">
        <f ca="1">L245+L256</f>
        <v>6000</v>
      </c>
      <c r="M234" s="85"/>
      <c r="N234" s="75">
        <f>N245+N256</f>
        <v>720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74">
        <f ca="1">L246+L257</f>
        <v>93500</v>
      </c>
      <c r="M235" s="85"/>
      <c r="N235" s="75">
        <f>N246+N257</f>
        <v>46900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74">
        <f ca="1">L247+L258</f>
        <v>115000</v>
      </c>
      <c r="M236" s="85"/>
      <c r="N236" s="75">
        <f>N247+N258</f>
        <v>47000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110</v>
      </c>
      <c r="J238" s="570">
        <f>J249+J260</f>
        <v>60</v>
      </c>
      <c r="K238" s="75">
        <f ca="1">IF(I238&gt;0,J238*100/I238,0)</f>
        <v>54.545454545454547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 ca="1">I251+I262</f>
        <v>60</v>
      </c>
      <c r="J240" s="570">
        <f>J251+J262</f>
        <v>60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305" t="s">
        <v>344</v>
      </c>
      <c r="D242" s="371"/>
      <c r="E242" s="371"/>
      <c r="F242" s="371"/>
      <c r="G242" s="372"/>
      <c r="H242" s="373" t="s">
        <v>35</v>
      </c>
      <c r="I242" s="374">
        <f ca="1">I249</f>
        <v>110</v>
      </c>
      <c r="J242" s="374">
        <f>J249</f>
        <v>60</v>
      </c>
      <c r="K242" s="375">
        <f ca="1">IF(I242&gt;0,J242*100/I242,0)</f>
        <v>54.545454545454547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233500</v>
      </c>
      <c r="M243" s="85"/>
      <c r="N243" s="262">
        <f>N244+N245+N246+N247</f>
        <v>99620</v>
      </c>
      <c r="O243" s="262">
        <f ca="1">IF(L243&gt;0,N243*100/L243,0)</f>
        <v>42.663811563169162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IFERROR(__xludf.DUMMYFUNCTION("IMPORTRANGE(""https://docs.google.com/spreadsheets/d/1eHaY18a8A9IcSdp1K8H6x8fbOy06t2VsZHhMHf-1x7Y/edit?usp=sharing"",""แผน!AX61"")"),19000)</f>
        <v>19000</v>
      </c>
      <c r="M244" s="85"/>
      <c r="N244" s="387">
        <v>5000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317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IFERROR(__xludf.DUMMYFUNCTION("IMPORTRANGE(""https://docs.google.com/spreadsheets/d/1eHaY18a8A9IcSdp1K8H6x8fbOy06t2VsZHhMHf-1x7Y/edit?usp=sharing"",""แผน!AY61"")"),6000)</f>
        <v>6000</v>
      </c>
      <c r="M245" s="85"/>
      <c r="N245" s="387">
        <v>720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IFERROR(__xludf.DUMMYFUNCTION("IMPORTRANGE(""https://docs.google.com/spreadsheets/d/1eHaY18a8A9IcSdp1K8H6x8fbOy06t2VsZHhMHf-1x7Y/edit?usp=sharing"",""แผน!AZ61"")"),93500)</f>
        <v>93500</v>
      </c>
      <c r="M246" s="85"/>
      <c r="N246" s="387">
        <v>46900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IFERROR(__xludf.DUMMYFUNCTION("IMPORTRANGE(""https://docs.google.com/spreadsheets/d/1eHaY18a8A9IcSdp1K8H6x8fbOy06t2VsZHhMHf-1x7Y/edit?usp=sharing"",""แผน!BA61"")"),115000)</f>
        <v>115000</v>
      </c>
      <c r="M247" s="85"/>
      <c r="N247" s="387">
        <v>47000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IFERROR(__xludf.DUMMYFUNCTION("IMPORTRANGE(""https://docs.google.com/spreadsheets/d/1eHaY18a8A9IcSdp1K8H6x8fbOy06t2VsZHhMHf-1x7Y/edit?usp=sharing"",""แผน!BG61"")"),110)</f>
        <v>110</v>
      </c>
      <c r="J249" s="794">
        <v>60</v>
      </c>
      <c r="K249" s="86">
        <f ca="1">IF(I249&gt;0,J249*100/I249,0)</f>
        <v>54.545454545454547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24" t="s">
        <v>343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IFERROR(__xludf.DUMMYFUNCTION("IMPORTRANGE(""https://docs.google.com/spreadsheets/d/1eHaY18a8A9IcSdp1K8H6x8fbOy06t2VsZHhMHf-1x7Y/edit?usp=sharing"",""แผน!KB61"")"),60)</f>
        <v>60</v>
      </c>
      <c r="J251" s="794">
        <v>60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342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IFERROR(__xludf.DUMMYFUNCTION("IMPORTRANGE(""https://docs.google.com/spreadsheets/d/1eHaY18a8A9IcSdp1K8H6x8fbOy06t2VsZHhMHf-1x7Y/edit?usp=sharing"",""แผน!KC61"")"),1)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304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48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IFERROR(__xludf.DUMMYFUNCTION("IMPORTRANGE(""https://docs.google.com/spreadsheets/d/1eHaY18a8A9IcSdp1K8H6x8fbOy06t2VsZHhMHf-1x7Y/edit?usp=sharing"",""แผน!BB61"")"),0)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IFERROR(__xludf.DUMMYFUNCTION("IMPORTRANGE(""https://docs.google.com/spreadsheets/d/1eHaY18a8A9IcSdp1K8H6x8fbOy06t2VsZHhMHf-1x7Y/edit?usp=sharing"",""แผน!BC61"")"),0)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IFERROR(__xludf.DUMMYFUNCTION("IMPORTRANGE(""https://docs.google.com/spreadsheets/d/1eHaY18a8A9IcSdp1K8H6x8fbOy06t2VsZHhMHf-1x7Y/edit?usp=sharing"",""แผน!BD61"")"),0)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IFERROR(__xludf.DUMMYFUNCTION("IMPORTRANGE(""https://docs.google.com/spreadsheets/d/1eHaY18a8A9IcSdp1K8H6x8fbOy06t2VsZHhMHf-1x7Y/edit?usp=sharing"",""แผน!BE61"")"),0)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IFERROR(__xludf.DUMMYFUNCTION("IMPORTRANGE(""https://docs.google.com/spreadsheets/d/1eHaY18a8A9IcSdp1K8H6x8fbOy06t2VsZHhMHf-1x7Y/edit?usp=sharing"",""แผน!BH61"")"),0)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756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756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1000</v>
      </c>
      <c r="T266" s="211">
        <f t="shared" ref="T266:T274" ca="1" si="65">IF(Q266&gt;0,S266*100/Q266,0)</f>
        <v>1.9739439399921042</v>
      </c>
      <c r="U266" s="211">
        <f t="shared" ref="U266:U274" ca="1" si="66">IF(R266&gt;0,S266*100/R266,0)</f>
        <v>1.9739439399921042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1000</v>
      </c>
      <c r="T268" s="86">
        <f t="shared" ca="1" si="65"/>
        <v>1.9739439399921042</v>
      </c>
      <c r="U268" s="86">
        <f t="shared" ca="1" si="66"/>
        <v>1.9739439399921042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1000</v>
      </c>
      <c r="T269" s="86">
        <f t="shared" ca="1" si="65"/>
        <v>1.9739439399921042</v>
      </c>
      <c r="U269" s="86">
        <f t="shared" ca="1" si="66"/>
        <v>1.9739439399921042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IFERROR(__xludf.DUMMYFUNCTION("IMPORTRANGE(""https://docs.google.com/spreadsheets/d/1-uDff_7J0KD5mKrp0Vvzr7lt3OU09vwQwhkpOPPYv2Y/edit?usp=sharing"",""งบพรบ!DE61"")"),5000)</f>
        <v>5000</v>
      </c>
      <c r="M271" s="86">
        <f ca="1">IFERROR(__xludf.DUMMYFUNCTION("IMPORTRANGE(""https://docs.google.com/spreadsheets/d/1-uDff_7J0KD5mKrp0Vvzr7lt3OU09vwQwhkpOPPYv2Y/edit?usp=sharing"",""งบพรบ!DJ61"")"),5000)</f>
        <v>5000</v>
      </c>
      <c r="N271" s="86">
        <f ca="1">IFERROR(__xludf.DUMMYFUNCTION("IMPORTRANGE(""https://docs.google.com/spreadsheets/d/1-uDff_7J0KD5mKrp0Vvzr7lt3OU09vwQwhkpOPPYv2Y/edit?usp=sharing"",""งบพรบ!DL61"")"),5000)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IFERROR(__xludf.DUMMYFUNCTION("IMPORTRANGE(""https://docs.google.com/spreadsheets/d/1ItG2mGa2ceCfYo0BwxsXqNm01IGEUdYcSSLTEv9YCik/edit?usp=sharing"",""เบิกจ่ายกองทุน!AP61"")"),50660)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IFERROR(__xludf.DUMMYFUNCTION("IMPORTRANGE(""https://docs.google.com/spreadsheets/d/1ItG2mGa2ceCfYo0BwxsXqNm01IGEUdYcSSLTEv9YCik/edit?usp=sharing"",""เบิกจ่ายกองทุน!AQ61"")"),50660)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IFERROR(__xludf.DUMMYFUNCTION("IMPORTRANGE(""https://docs.google.com/spreadsheets/d/1ItG2mGa2ceCfYo0BwxsXqNm01IGEUdYcSSLTEv9YCik/edit?usp=sharing"",""เบิกจ่ายกองทุน!AR61"")"),1000)</f>
        <v>1000</v>
      </c>
      <c r="T271" s="86">
        <f t="shared" ca="1" si="65"/>
        <v>1.9739439399921042</v>
      </c>
      <c r="U271" s="86">
        <f t="shared" ca="1" si="66"/>
        <v>1.9739439399921042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IFERROR(__xludf.DUMMYFUNCTION("IMPORTRANGE(""https://docs.google.com/spreadsheets/d/1-uDff_7J0KD5mKrp0Vvzr7lt3OU09vwQwhkpOPPYv2Y/edit?usp=sharing"",""งบพรบ!DH61"")"),0)</f>
        <v>0</v>
      </c>
      <c r="M274" s="86">
        <f ca="1">IFERROR(__xludf.DUMMYFUNCTION("IMPORTRANGE(""https://docs.google.com/spreadsheets/d/1-uDff_7J0KD5mKrp0Vvzr7lt3OU09vwQwhkpOPPYv2Y/edit?usp=sharing"",""งบพรบ!DK61"")"),0)</f>
        <v>0</v>
      </c>
      <c r="N274" s="86">
        <f ca="1">IFERROR(__xludf.DUMMYFUNCTION("IMPORTRANGE(""https://docs.google.com/spreadsheets/d/1-uDff_7J0KD5mKrp0Vvzr7lt3OU09vwQwhkpOPPYv2Y/edit?usp=sharing"",""งบพรบ!DM61"")"),0)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73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IFERROR(__xludf.DUMMYFUNCTION("IMPORTRANGE(""https://docs.google.com/spreadsheets/d/1eHaY18a8A9IcSdp1K8H6x8fbOy06t2VsZHhMHf-1x7Y/edit?usp=sharing"",""แผน!EC61"")"),22)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1297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IFERROR(__xludf.DUMMYFUNCTION("IMPORTRANGE(""https://docs.google.com/spreadsheets/d/1-uDff_7J0KD5mKrp0Vvzr7lt3OU09vwQwhkpOPPYv2Y/edit?usp=sharing"",""งบพรบ!DO61"")"),0)</f>
        <v>0</v>
      </c>
      <c r="M287" s="72">
        <f ca="1">IFERROR(__xludf.DUMMYFUNCTION("IMPORTRANGE(""https://docs.google.com/spreadsheets/d/1-uDff_7J0KD5mKrp0Vvzr7lt3OU09vwQwhkpOPPYv2Y/edit?usp=sharing"",""งบพรบ!DT61"")"),0)</f>
        <v>0</v>
      </c>
      <c r="N287" s="72">
        <f ca="1">IFERROR(__xludf.DUMMYFUNCTION("IMPORTRANGE(""https://docs.google.com/spreadsheets/d/1-uDff_7J0KD5mKrp0Vvzr7lt3OU09vwQwhkpOPPYv2Y/edit?usp=sharing"",""งบพรบ!DV61"")"),0)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IFERROR(__xludf.DUMMYFUNCTION("IMPORTRANGE(""https://docs.google.com/spreadsheets/d/1-uDff_7J0KD5mKrp0Vvzr7lt3OU09vwQwhkpOPPYv2Y/edit?usp=sharing"",""งบพรบ!DR61"")"),0)</f>
        <v>0</v>
      </c>
      <c r="M290" s="72">
        <f ca="1">IFERROR(__xludf.DUMMYFUNCTION("IMPORTRANGE(""https://docs.google.com/spreadsheets/d/1-uDff_7J0KD5mKrp0Vvzr7lt3OU09vwQwhkpOPPYv2Y/edit?usp=sharing"",""งบพรบ!DU61"")"),0)</f>
        <v>0</v>
      </c>
      <c r="N290" s="72">
        <f ca="1">IFERROR(__xludf.DUMMYFUNCTION("IMPORTRANGE(""https://docs.google.com/spreadsheets/d/1-uDff_7J0KD5mKrp0Vvzr7lt3OU09vwQwhkpOPPYv2Y/edit?usp=sharing"",""งบพรบ!DW61"")"),0)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IFERROR(__xludf.DUMMYFUNCTION("IMPORTRANGE(""https://docs.google.com/spreadsheets/d/1eHaY18a8A9IcSdp1K8H6x8fbOy06t2VsZHhMHf-1x7Y/edit?usp=sharing"",""แผน!EE61"")"),0)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IFERROR(__xludf.DUMMYFUNCTION("IMPORTRANGE(""https://docs.google.com/spreadsheets/d/1eHaY18a8A9IcSdp1K8H6x8fbOy06t2VsZHhMHf-1x7Y/edit?usp=sharing"",""แผน!ED61"")"),0)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IFERROR(__xludf.DUMMYFUNCTION("IMPORTRANGE(""https://docs.google.com/spreadsheets/d/1eHaY18a8A9IcSdp1K8H6x8fbOy06t2VsZHhMHf-1x7Y/edit?usp=sharing"",""แผน!ED61"")"),0)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IFERROR(__xludf.DUMMYFUNCTION("IMPORTRANGE(""https://docs.google.com/spreadsheets/d/1eHaY18a8A9IcSdp1K8H6x8fbOy06t2VsZHhMHf-1x7Y/edit?usp=sharing"",""แผน!ED61"")"),0)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30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260958.39</v>
      </c>
      <c r="R303" s="262">
        <f ca="1">R304+R305</f>
        <v>260958</v>
      </c>
      <c r="S303" s="262">
        <f ca="1">S304+S305</f>
        <v>1000</v>
      </c>
      <c r="T303" s="262">
        <f t="shared" ref="T303:T311" ca="1" si="77">IF(Q303&gt;0,S303*100/Q303,0)</f>
        <v>0.38320285467732995</v>
      </c>
      <c r="U303" s="262">
        <f t="shared" ref="U303:U311" ca="1" si="78">IF(R303&gt;0,S303*100/R303,0)</f>
        <v>0.38320342737145441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260958.39</v>
      </c>
      <c r="R305" s="72">
        <f t="shared" ca="1" si="80"/>
        <v>260958</v>
      </c>
      <c r="S305" s="72">
        <f t="shared" ca="1" si="80"/>
        <v>1000</v>
      </c>
      <c r="T305" s="72">
        <f t="shared" ca="1" si="77"/>
        <v>0.38320285467732995</v>
      </c>
      <c r="U305" s="72">
        <f t="shared" ca="1" si="78"/>
        <v>0.38320342737145441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260958.39</v>
      </c>
      <c r="R306" s="72">
        <f ca="1">R307+R308</f>
        <v>260958</v>
      </c>
      <c r="S306" s="72">
        <f ca="1">S307+S308</f>
        <v>1000</v>
      </c>
      <c r="T306" s="72">
        <f t="shared" ca="1" si="77"/>
        <v>0.38320285467732995</v>
      </c>
      <c r="U306" s="72">
        <f t="shared" ca="1" si="78"/>
        <v>0.38320342737145441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IFERROR(__xludf.DUMMYFUNCTION("IMPORTRANGE(""https://docs.google.com/spreadsheets/d/1-uDff_7J0KD5mKrp0Vvzr7lt3OU09vwQwhkpOPPYv2Y/edit?usp=sharing"",""งบพรบ!DY61"")"),0)</f>
        <v>0</v>
      </c>
      <c r="M308" s="72">
        <f ca="1">IFERROR(__xludf.DUMMYFUNCTION("IMPORTRANGE(""https://docs.google.com/spreadsheets/d/1-uDff_7J0KD5mKrp0Vvzr7lt3OU09vwQwhkpOPPYv2Y/edit?usp=sharing"",""งบพรบ!ED61"")"),0)</f>
        <v>0</v>
      </c>
      <c r="N308" s="72">
        <f ca="1">IFERROR(__xludf.DUMMYFUNCTION("IMPORTRANGE(""https://docs.google.com/spreadsheets/d/1-uDff_7J0KD5mKrp0Vvzr7lt3OU09vwQwhkpOPPYv2Y/edit?usp=sharing"",""งบพรบ!EF61"")"),0)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IFERROR(__xludf.DUMMYFUNCTION("IMPORTRANGE(""https://docs.google.com/spreadsheets/d/1ItG2mGa2ceCfYo0BwxsXqNm01IGEUdYcSSLTEv9YCik/edit?usp=sharing"",""เบิกจ่ายกองทุน!BB61"")"),260958.39)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IFERROR(__xludf.DUMMYFUNCTION("IMPORTRANGE(""https://docs.google.com/spreadsheets/d/1ItG2mGa2ceCfYo0BwxsXqNm01IGEUdYcSSLTEv9YCik/edit?usp=sharing"",""เบิกจ่ายกองทุน!BC61"")"),260958)</f>
        <v>260958</v>
      </c>
      <c r="S308" s="72">
        <f ca="1">IFERROR(__xludf.DUMMYFUNCTION("IMPORTRANGE(""https://docs.google.com/spreadsheets/d/1ItG2mGa2ceCfYo0BwxsXqNm01IGEUdYcSSLTEv9YCik/edit?usp=sharing"",""เบิกจ่ายกองทุน!BD61"")"),1000)</f>
        <v>1000</v>
      </c>
      <c r="T308" s="72">
        <f t="shared" ca="1" si="77"/>
        <v>0.38320285467732995</v>
      </c>
      <c r="U308" s="72">
        <f t="shared" ca="1" si="78"/>
        <v>0.38320342737145441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IFERROR(__xludf.DUMMYFUNCTION("IMPORTRANGE(""https://docs.google.com/spreadsheets/d/1-uDff_7J0KD5mKrp0Vvzr7lt3OU09vwQwhkpOPPYv2Y/edit?usp=sharing"",""งบพรบ!EB61"")"),0)</f>
        <v>0</v>
      </c>
      <c r="M311" s="72">
        <f ca="1">IFERROR(__xludf.DUMMYFUNCTION("IMPORTRANGE(""https://docs.google.com/spreadsheets/d/1-uDff_7J0KD5mKrp0Vvzr7lt3OU09vwQwhkpOPPYv2Y/edit?usp=sharing"",""งบพรบ!EE61"")"),0)</f>
        <v>0</v>
      </c>
      <c r="N311" s="72">
        <f ca="1">IFERROR(__xludf.DUMMYFUNCTION("IMPORTRANGE(""https://docs.google.com/spreadsheets/d/1-uDff_7J0KD5mKrp0Vvzr7lt3OU09vwQwhkpOPPYv2Y/edit?usp=sharing"",""งบพรบ!EG61"")"),0)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30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IFERROR(__xludf.DUMMYFUNCTION("IMPORTRANGE(""https://docs.google.com/spreadsheets/d/1eHaY18a8A9IcSdp1K8H6x8fbOy06t2VsZHhMHf-1x7Y/edit?usp=sharing"",""แผน!EF61"")"),30)</f>
        <v>30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1329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1329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1328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IFERROR(__xludf.DUMMYFUNCTION("IMPORTRANGE(""https://docs.google.com/spreadsheets/d/1-uDff_7J0KD5mKrp0Vvzr7lt3OU09vwQwhkpOPPYv2Y/edit?usp=sharing"",""งบพรบ!EI61"")"),0)</f>
        <v>0</v>
      </c>
      <c r="M325" s="72">
        <f ca="1">IFERROR(__xludf.DUMMYFUNCTION("IMPORTRANGE(""https://docs.google.com/spreadsheets/d/1-uDff_7J0KD5mKrp0Vvzr7lt3OU09vwQwhkpOPPYv2Y/edit?usp=sharing"",""งบพรบ!EN61"")"),0)</f>
        <v>0</v>
      </c>
      <c r="N325" s="72">
        <f ca="1">IFERROR(__xludf.DUMMYFUNCTION("IMPORTRANGE(""https://docs.google.com/spreadsheets/d/1-uDff_7J0KD5mKrp0Vvzr7lt3OU09vwQwhkpOPPYv2Y/edit?usp=sharing"",""งบพรบ!EP61"")"),0)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IFERROR(__xludf.DUMMYFUNCTION("IMPORTRANGE(""https://docs.google.com/spreadsheets/d/1-uDff_7J0KD5mKrp0Vvzr7lt3OU09vwQwhkpOPPYv2Y/edit?usp=sharing"",""งบพรบ!EL61"")"),0)</f>
        <v>0</v>
      </c>
      <c r="M328" s="72">
        <f ca="1">IFERROR(__xludf.DUMMYFUNCTION("IMPORTRANGE(""https://docs.google.com/spreadsheets/d/1-uDff_7J0KD5mKrp0Vvzr7lt3OU09vwQwhkpOPPYv2Y/edit?usp=sharing"",""งบพรบ!EO61"")"),0)</f>
        <v>0</v>
      </c>
      <c r="N328" s="72">
        <f ca="1">IFERROR(__xludf.DUMMYFUNCTION("IMPORTRANGE(""https://docs.google.com/spreadsheets/d/1-uDff_7J0KD5mKrp0Vvzr7lt3OU09vwQwhkpOPPYv2Y/edit?usp=sharing"",""งบพรบ!EQ61"")"),0)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IFERROR(__xludf.DUMMYFUNCTION("IMPORTRANGE(""https://docs.google.com/spreadsheets/d/1eHaY18a8A9IcSdp1K8H6x8fbOy06t2VsZHhMHf-1x7Y/edit?usp=sharing"",""แผน!EJ61"")"),0)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940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531600</v>
      </c>
      <c r="M333" s="262">
        <f ca="1">M334+M335</f>
        <v>531600</v>
      </c>
      <c r="N333" s="262">
        <f ca="1">N334+N335</f>
        <v>365136.59</v>
      </c>
      <c r="O333" s="262">
        <f t="shared" ref="O333:O341" ca="1" si="87">IF(L333&gt;0,N333*100/L333,0)</f>
        <v>68.686341234010541</v>
      </c>
      <c r="P333" s="262">
        <f t="shared" ref="P333:P341" ca="1" si="88">IF(M333&gt;0,N333*100/M333,0)</f>
        <v>68.686341234010541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531600</v>
      </c>
      <c r="M335" s="72">
        <f t="shared" ca="1" si="91"/>
        <v>531600</v>
      </c>
      <c r="N335" s="72">
        <f t="shared" ca="1" si="91"/>
        <v>365136.59</v>
      </c>
      <c r="O335" s="72">
        <f t="shared" ca="1" si="87"/>
        <v>68.686341234010541</v>
      </c>
      <c r="P335" s="72">
        <f t="shared" ca="1" si="88"/>
        <v>68.686341234010541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531600</v>
      </c>
      <c r="M336" s="72">
        <f ca="1">M337+M338</f>
        <v>531600</v>
      </c>
      <c r="N336" s="72">
        <f ca="1">N337+N338</f>
        <v>365136.59</v>
      </c>
      <c r="O336" s="72">
        <f t="shared" ca="1" si="87"/>
        <v>68.686341234010541</v>
      </c>
      <c r="P336" s="72">
        <f t="shared" ca="1" si="88"/>
        <v>68.686341234010541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IFERROR(__xludf.DUMMYFUNCTION("IMPORTRANGE(""https://docs.google.com/spreadsheets/d/1-uDff_7J0KD5mKrp0Vvzr7lt3OU09vwQwhkpOPPYv2Y/edit?usp=sharing"",""งบพรบ!ES61"")"),531600)</f>
        <v>531600</v>
      </c>
      <c r="M338" s="72">
        <f ca="1">IFERROR(__xludf.DUMMYFUNCTION("IMPORTRANGE(""https://docs.google.com/spreadsheets/d/1-uDff_7J0KD5mKrp0Vvzr7lt3OU09vwQwhkpOPPYv2Y/edit?usp=sharing"",""งบพรบ!EX61"")"),531600)</f>
        <v>531600</v>
      </c>
      <c r="N338" s="72">
        <f ca="1">IFERROR(__xludf.DUMMYFUNCTION("IMPORTRANGE(""https://docs.google.com/spreadsheets/d/1-uDff_7J0KD5mKrp0Vvzr7lt3OU09vwQwhkpOPPYv2Y/edit?usp=sharing"",""งบพรบ!EZ61"")"),365136.59)</f>
        <v>365136.59</v>
      </c>
      <c r="O338" s="72">
        <f t="shared" ca="1" si="87"/>
        <v>68.686341234010541</v>
      </c>
      <c r="P338" s="72">
        <f t="shared" ca="1" si="88"/>
        <v>68.686341234010541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IFERROR(__xludf.DUMMYFUNCTION("IMPORTRANGE(""https://docs.google.com/spreadsheets/d/1-uDff_7J0KD5mKrp0Vvzr7lt3OU09vwQwhkpOPPYv2Y/edit?usp=sharing"",""งบพรบ!EV61"")"),0)</f>
        <v>0</v>
      </c>
      <c r="M341" s="72">
        <f ca="1">IFERROR(__xludf.DUMMYFUNCTION("IMPORTRANGE(""https://docs.google.com/spreadsheets/d/1-uDff_7J0KD5mKrp0Vvzr7lt3OU09vwQwhkpOPPYv2Y/edit?usp=sharing"",""งบพรบ!EY61"")"),0)</f>
        <v>0</v>
      </c>
      <c r="N341" s="72">
        <f ca="1">IFERROR(__xludf.DUMMYFUNCTION("IMPORTRANGE(""https://docs.google.com/spreadsheets/d/1-uDff_7J0KD5mKrp0Vvzr7lt3OU09vwQwhkpOPPYv2Y/edit?usp=sharing"",""งบพรบ!FA61"")"),0)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1025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IFERROR(__xludf.DUMMYFUNCTION("IMPORTRANGE(""https://docs.google.com/spreadsheets/d/1eHaY18a8A9IcSdp1K8H6x8fbOy06t2VsZHhMHf-1x7Y/edit?usp=sharing"",""แผน!EK61"")"),940)</f>
        <v>940</v>
      </c>
      <c r="J344" s="291">
        <f ca="1">IFERROR(__xludf.DUMMYFUNCTION("IMPORTRANGE(""https://docs.google.com/spreadsheets/d/1awYsYK3VOup2i3Pq_Yjnu8DRu_mYwSBnCR2QPthd0rU/edit?usp=sharing"",""ศูนย์ยกเว้นโฉนด!D61"")"),379)</f>
        <v>379</v>
      </c>
      <c r="K344" s="72">
        <f ca="1">IF(I344&gt;0,J344*100/I344,0)</f>
        <v>40.319148936170215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IFERROR(__xludf.DUMMYFUNCTION("IMPORTRANGE(""https://docs.google.com/spreadsheets/d/1eHaY18a8A9IcSdp1K8H6x8fbOy06t2VsZHhMHf-1x7Y/edit?usp=sharing"",""แผน!EL61"")"),1)</f>
        <v>1</v>
      </c>
      <c r="J346" s="291">
        <f ca="1">IFERROR(__xludf.DUMMYFUNCTION("IMPORTRANGE(""https://docs.google.com/spreadsheets/d/1awYsYK3VOup2i3Pq_Yjnu8DRu_mYwSBnCR2QPthd0rU/edit?usp=sharing"",""ศูนย์รวม!E61"")"),8)</f>
        <v>8</v>
      </c>
      <c r="K346" s="72">
        <f ca="1">IF(I346&gt;0,J346*100/I346,0)</f>
        <v>800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IFERROR(__xludf.DUMMYFUNCTION("IMPORTRANGE(""https://docs.google.com/spreadsheets/d/1awYsYK3VOup2i3Pq_Yjnu8DRu_mYwSBnCR2QPthd0rU/edit?usp=sharing"",""ศูนย์ยกเว้นโฉนด!F61"")"),593)</f>
        <v>593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IFERROR(__xludf.DUMMYFUNCTION("IMPORTRANGE(""https://docs.google.com/spreadsheets/d/1awYsYK3VOup2i3Pq_Yjnu8DRu_mYwSBnCR2QPthd0rU/edit?usp=sharing"",""ศูนย์ยกเว้นโฉนด!G61"")"),53)</f>
        <v>53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IFERROR(__xludf.DUMMYFUNCTION("IMPORTRANGE(""https://docs.google.com/spreadsheets/d/1awYsYK3VOup2i3Pq_Yjnu8DRu_mYwSBnCR2QPthd0rU/edit?usp=sharing"",""ศูนย์ยกเว้นโฉนด!H61"")"),0)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IFERROR(__xludf.DUMMYFUNCTION("IMPORTRANGE(""https://docs.google.com/spreadsheets/d/1awYsYK3VOup2i3Pq_Yjnu8DRu_mYwSBnCR2QPthd0rU/edit?usp=sharing"",""โฉนดM3!G61"")"),"")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IFERROR(__xludf.DUMMYFUNCTION("IMPORTRANGE(""https://docs.google.com/spreadsheets/d/1awYsYK3VOup2i3Pq_Yjnu8DRu_mYwSBnCR2QPthd0rU/edit?usp=sharing"",""โฉนดM3!H61"")"),"")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IFERROR(__xludf.DUMMYFUNCTION("IMPORTRANGE(""https://docs.google.com/spreadsheets/d/1awYsYK3VOup2i3Pq_Yjnu8DRu_mYwSBnCR2QPthd0rU/edit?usp=sharing"",""โฉนดM3!I61"")"),"")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193180</v>
      </c>
      <c r="M356" s="262">
        <f ca="1">M357+M358</f>
        <v>193180</v>
      </c>
      <c r="N356" s="262">
        <f ca="1">N357+N358</f>
        <v>114066.66</v>
      </c>
      <c r="O356" s="262">
        <f t="shared" ref="O356:O364" ca="1" si="93">IF(L356&gt;0,N356*100/L356,0)</f>
        <v>59.046826793663939</v>
      </c>
      <c r="P356" s="262">
        <f t="shared" ref="P356:P364" ca="1" si="94">IF(M356&gt;0,N356*100/M356,0)</f>
        <v>59.046826793663939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193180</v>
      </c>
      <c r="M358" s="72">
        <f t="shared" ca="1" si="97"/>
        <v>193180</v>
      </c>
      <c r="N358" s="72">
        <f t="shared" ca="1" si="97"/>
        <v>114066.66</v>
      </c>
      <c r="O358" s="72">
        <f t="shared" ca="1" si="93"/>
        <v>59.046826793663939</v>
      </c>
      <c r="P358" s="72">
        <f t="shared" ca="1" si="94"/>
        <v>59.046826793663939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193180</v>
      </c>
      <c r="M359" s="72">
        <f ca="1">M360+M361</f>
        <v>193180</v>
      </c>
      <c r="N359" s="72">
        <f ca="1">N360+N361</f>
        <v>114066.66</v>
      </c>
      <c r="O359" s="72">
        <f t="shared" ca="1" si="93"/>
        <v>59.046826793663939</v>
      </c>
      <c r="P359" s="72">
        <f t="shared" ca="1" si="94"/>
        <v>59.046826793663939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IFERROR(__xludf.DUMMYFUNCTION("IMPORTRANGE(""https://docs.google.com/spreadsheets/d/1-uDff_7J0KD5mKrp0Vvzr7lt3OU09vwQwhkpOPPYv2Y/edit?usp=sharing"",""งบพรบ!FC61"")"),193180)</f>
        <v>193180</v>
      </c>
      <c r="M361" s="72">
        <f ca="1">IFERROR(__xludf.DUMMYFUNCTION("IMPORTRANGE(""https://docs.google.com/spreadsheets/d/1-uDff_7J0KD5mKrp0Vvzr7lt3OU09vwQwhkpOPPYv2Y/edit?usp=sharing"",""งบพรบ!FH61"")"),193180)</f>
        <v>193180</v>
      </c>
      <c r="N361" s="72">
        <f ca="1">IFERROR(__xludf.DUMMYFUNCTION("IMPORTRANGE(""https://docs.google.com/spreadsheets/d/1-uDff_7J0KD5mKrp0Vvzr7lt3OU09vwQwhkpOPPYv2Y/edit?usp=sharing"",""งบพรบ!FJ61"")"),114066.66)</f>
        <v>114066.66</v>
      </c>
      <c r="O361" s="72">
        <f t="shared" ca="1" si="93"/>
        <v>59.046826793663939</v>
      </c>
      <c r="P361" s="72">
        <f t="shared" ca="1" si="94"/>
        <v>59.046826793663939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IFERROR(__xludf.DUMMYFUNCTION("IMPORTRANGE(""https://docs.google.com/spreadsheets/d/1-uDff_7J0KD5mKrp0Vvzr7lt3OU09vwQwhkpOPPYv2Y/edit?usp=sharing"",""งบพรบ!FF61"")"),0)</f>
        <v>0</v>
      </c>
      <c r="M364" s="72">
        <f ca="1">IFERROR(__xludf.DUMMYFUNCTION("IMPORTRANGE(""https://docs.google.com/spreadsheets/d/1-uDff_7J0KD5mKrp0Vvzr7lt3OU09vwQwhkpOPPYv2Y/edit?usp=sharing"",""งบพรบ!FI61"")"),0)</f>
        <v>0</v>
      </c>
      <c r="N364" s="72">
        <f ca="1">IFERROR(__xludf.DUMMYFUNCTION("IMPORTRANGE(""https://docs.google.com/spreadsheets/d/1-uDff_7J0KD5mKrp0Vvzr7lt3OU09vwQwhkpOPPYv2Y/edit?usp=sharing"",""งบพรบ!FK61"")"),0)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IFERROR(__xludf.DUMMYFUNCTION("IMPORTRANGE(""https://docs.google.com/spreadsheets/d/1tdoBKaGub7dwA3U6UFTqxio9LNnvDCQjHKmttSEBsFQ/edit?usp=sharing"",""จัดที่ดิน!AB61"")"),0)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IFERROR(__xludf.DUMMYFUNCTION("IMPORTRANGE(""https://docs.google.com/spreadsheets/d/1eHaY18a8A9IcSdp1K8H6x8fbOy06t2VsZHhMHf-1x7Y/edit?usp=sharing"",""แผน!EW61"")"),0)</f>
        <v>0</v>
      </c>
      <c r="J368" s="879">
        <f ca="1">IFERROR(__xludf.DUMMYFUNCTION("IMPORTRANGE(""https://docs.google.com/spreadsheets/d/1tdoBKaGub7dwA3U6UFTqxio9LNnvDCQjHKmttSEBsFQ/edit?usp=sharing"",""จัดที่ดิน!AC61"")"),0)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IFERROR(__xludf.DUMMYFUNCTION("IMPORTRANGE(""https://docs.google.com/spreadsheets/d/1eHaY18a8A9IcSdp1K8H6x8fbOy06t2VsZHhMHf-1x7Y/edit?usp=sharing"",""แผน!EX61"")"),0)</f>
        <v>0</v>
      </c>
      <c r="J369" s="291">
        <f ca="1">IFERROR(__xludf.DUMMYFUNCTION("IMPORTRANGE(""https://docs.google.com/spreadsheets/d/1tdoBKaGub7dwA3U6UFTqxio9LNnvDCQjHKmttSEBsFQ/edit?usp=sharing"",""จัดที่ดิน!AD61"")"),0)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IFERROR(__xludf.DUMMYFUNCTION("IMPORTRANGE(""https://docs.google.com/spreadsheets/d/1tdoBKaGub7dwA3U6UFTqxio9LNnvDCQjHKmttSEBsFQ/edit?usp=sharing"",""จัดที่ดิน!AE61"")"),0)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IFERROR(__xludf.DUMMYFUNCTION("IMPORTRANGE(""https://docs.google.com/spreadsheets/d/1eHaY18a8A9IcSdp1K8H6x8fbOy06t2VsZHhMHf-1x7Y/edit?usp=sharing"",""แผน!EY61"")"),0)</f>
        <v>0</v>
      </c>
      <c r="J371" s="291">
        <f ca="1">IFERROR(__xludf.DUMMYFUNCTION("IMPORTRANGE(""https://docs.google.com/spreadsheets/d/1tdoBKaGub7dwA3U6UFTqxio9LNnvDCQjHKmttSEBsFQ/edit?usp=sharing"",""จัดที่ดิน!AF61"")"),0)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IFERROR(__xludf.DUMMYFUNCTION("IMPORTRANGE(""https://docs.google.com/spreadsheets/d/1tdoBKaGub7dwA3U6UFTqxio9LNnvDCQjHKmttSEBsFQ/edit?usp=sharing"",""จัดที่ดิน!AG61"")"),0)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IFERROR(__xludf.DUMMYFUNCTION("IMPORTRANGE(""https://docs.google.com/spreadsheets/d/1-uDff_7J0KD5mKrp0Vvzr7lt3OU09vwQwhkpOPPYv2Y/edit?usp=sharing"",""งบพรบ!IE61"")"),0)</f>
        <v>0</v>
      </c>
      <c r="M380" s="72">
        <f ca="1">IFERROR(__xludf.DUMMYFUNCTION("IMPORTRANGE(""https://docs.google.com/spreadsheets/d/1-uDff_7J0KD5mKrp0Vvzr7lt3OU09vwQwhkpOPPYv2Y/edit?usp=sharing"",""งบพรบ!IJ61"")"),0)</f>
        <v>0</v>
      </c>
      <c r="N380" s="72">
        <f ca="1">IFERROR(__xludf.DUMMYFUNCTION("IMPORTRANGE(""https://docs.google.com/spreadsheets/d/1-uDff_7J0KD5mKrp0Vvzr7lt3OU09vwQwhkpOPPYv2Y/edit?usp=sharing"",""งบพรบ!IL61"")"),0)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IFERROR(__xludf.DUMMYFUNCTION("IMPORTRANGE(""https://docs.google.com/spreadsheets/d/1ItG2mGa2ceCfYo0BwxsXqNm01IGEUdYcSSLTEv9YCik/edit?usp=sharing"",""เบิกจ่ายกองทุน!BW61"")"),0)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IFERROR(__xludf.DUMMYFUNCTION("IMPORTRANGE(""https://docs.google.com/spreadsheets/d/1ItG2mGa2ceCfYo0BwxsXqNm01IGEUdYcSSLTEv9YCik/edit?usp=sharing"",""เบิกจ่ายกองทุน!BX61"")"),0)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IFERROR(__xludf.DUMMYFUNCTION("IMPORTRANGE(""https://docs.google.com/spreadsheets/d/1ItG2mGa2ceCfYo0BwxsXqNm01IGEUdYcSSLTEv9YCik/edit?usp=sharing"",""เบิกจ่ายกองทุน!BY61"")"),0)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IFERROR(__xludf.DUMMYFUNCTION("IMPORTRANGE(""https://docs.google.com/spreadsheets/d/1-uDff_7J0KD5mKrp0Vvzr7lt3OU09vwQwhkpOPPYv2Y/edit?usp=sharing"",""งบพรบ!IH61"")"),0)</f>
        <v>0</v>
      </c>
      <c r="M383" s="72">
        <f ca="1">IFERROR(__xludf.DUMMYFUNCTION("IMPORTRANGE(""https://docs.google.com/spreadsheets/d/1-uDff_7J0KD5mKrp0Vvzr7lt3OU09vwQwhkpOPPYv2Y/edit?usp=sharing"",""งบพรบ!IK61"")"),0)</f>
        <v>0</v>
      </c>
      <c r="N383" s="72">
        <f ca="1">IFERROR(__xludf.DUMMYFUNCTION("IMPORTRANGE(""https://docs.google.com/spreadsheets/d/1-uDff_7J0KD5mKrp0Vvzr7lt3OU09vwQwhkpOPPYv2Y/edit?usp=sharing"",""งบพรบ!IM61"")"),0)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IFERROR(__xludf.DUMMYFUNCTION("IMPORTRANGE(""https://docs.google.com/spreadsheets/d/1eHaY18a8A9IcSdp1K8H6x8fbOy06t2VsZHhMHf-1x7Y/edit?usp=sharing"",""แผน!JQ61"")"),0)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IFERROR(__xludf.DUMMYFUNCTION("IMPORTRANGE(""https://docs.google.com/spreadsheets/d/1eHaY18a8A9IcSdp1K8H6x8fbOy06t2VsZHhMHf-1x7Y/edit?usp=sharing"",""แผน!JQ61"")"),0)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IFERROR(__xludf.DUMMYFUNCTION("IMPORTRANGE(""https://docs.google.com/spreadsheets/d/1ItG2mGa2ceCfYo0BwxsXqNm01IGEUdYcSSLTEv9YCik/edit?usp=sharing"",""เบิกจ่ายกองทุน!CL61"")"),0)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IFERROR(__xludf.DUMMYFUNCTION("IMPORTRANGE(""https://docs.google.com/spreadsheets/d/1ItG2mGa2ceCfYo0BwxsXqNm01IGEUdYcSSLTEv9YCik/edit?usp=sharing"",""เบิกจ่ายกองทุน!CM61"")"),0)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IFERROR(__xludf.DUMMYFUNCTION("IMPORTRANGE(""https://docs.google.com/spreadsheets/d/1ItG2mGa2ceCfYo0BwxsXqNm01IGEUdYcSSLTEv9YCik/edit?usp=sharing"",""เบิกจ่ายกองทุน!CN61"")"),0)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19870</v>
      </c>
      <c r="M413" s="262">
        <f ca="1">M414+M415</f>
        <v>19870</v>
      </c>
      <c r="N413" s="262">
        <f ca="1">N414+N415</f>
        <v>17114</v>
      </c>
      <c r="O413" s="262">
        <f t="shared" ref="O413:O421" ca="1" si="112">IF(L413&gt;0,N413*100/L413,0)</f>
        <v>86.129843985908408</v>
      </c>
      <c r="P413" s="262">
        <f t="shared" ref="P413:P421" ca="1" si="113">IF(M413&gt;0,N413*100/M413,0)</f>
        <v>86.129843985908408</v>
      </c>
      <c r="Q413" s="262">
        <f ca="1">Q414+Q415</f>
        <v>15410</v>
      </c>
      <c r="R413" s="262">
        <f ca="1">R414+R415</f>
        <v>15410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19870</v>
      </c>
      <c r="M415" s="72">
        <f t="shared" ca="1" si="116"/>
        <v>19870</v>
      </c>
      <c r="N415" s="72">
        <f t="shared" ca="1" si="116"/>
        <v>17114</v>
      </c>
      <c r="O415" s="72">
        <f t="shared" ca="1" si="112"/>
        <v>86.129843985908408</v>
      </c>
      <c r="P415" s="72">
        <f t="shared" ca="1" si="113"/>
        <v>86.129843985908408</v>
      </c>
      <c r="Q415" s="72">
        <f t="shared" ca="1" si="117"/>
        <v>15410</v>
      </c>
      <c r="R415" s="72">
        <f t="shared" ca="1" si="117"/>
        <v>15410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8.75" x14ac:dyDescent="0.25">
      <c r="A416" s="255"/>
      <c r="B416" s="267"/>
      <c r="C416" s="267"/>
      <c r="D416" s="852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19870</v>
      </c>
      <c r="M416" s="72">
        <f ca="1">M417+M418</f>
        <v>19870</v>
      </c>
      <c r="N416" s="72">
        <f ca="1">N417+N418</f>
        <v>17114</v>
      </c>
      <c r="O416" s="72">
        <f t="shared" ca="1" si="112"/>
        <v>86.129843985908408</v>
      </c>
      <c r="P416" s="72">
        <f t="shared" ca="1" si="113"/>
        <v>86.129843985908408</v>
      </c>
      <c r="Q416" s="72">
        <f ca="1">Q417+Q418</f>
        <v>15410</v>
      </c>
      <c r="R416" s="72">
        <f ca="1">R417+R418</f>
        <v>15410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IFERROR(__xludf.DUMMYFUNCTION("IMPORTRANGE(""https://docs.google.com/spreadsheets/d/1-uDff_7J0KD5mKrp0Vvzr7lt3OU09vwQwhkpOPPYv2Y/edit?usp=sharing"",""งบพรบ!IO61"")"),19870)</f>
        <v>19870</v>
      </c>
      <c r="M418" s="72">
        <f ca="1">IFERROR(__xludf.DUMMYFUNCTION("IMPORTRANGE(""https://docs.google.com/spreadsheets/d/1-uDff_7J0KD5mKrp0Vvzr7lt3OU09vwQwhkpOPPYv2Y/edit?usp=sharing"",""งบพรบ!IT61"")"),19870)</f>
        <v>19870</v>
      </c>
      <c r="N418" s="72">
        <f ca="1">IFERROR(__xludf.DUMMYFUNCTION("IMPORTRANGE(""https://docs.google.com/spreadsheets/d/1-uDff_7J0KD5mKrp0Vvzr7lt3OU09vwQwhkpOPPYv2Y/edit?usp=sharing"",""งบพรบ!IV61"")"),17114)</f>
        <v>17114</v>
      </c>
      <c r="O418" s="72">
        <f t="shared" ca="1" si="112"/>
        <v>86.129843985908408</v>
      </c>
      <c r="P418" s="72">
        <f t="shared" ca="1" si="113"/>
        <v>86.129843985908408</v>
      </c>
      <c r="Q418" s="72">
        <f ca="1">IFERROR(__xludf.DUMMYFUNCTION("IMPORTRANGE(""https://docs.google.com/spreadsheets/d/1ItG2mGa2ceCfYo0BwxsXqNm01IGEUdYcSSLTEv9YCik/edit?usp=sharing"",""เบิกจ่ายกองทุน!BZ61"")"),15410)</f>
        <v>15410</v>
      </c>
      <c r="R418" s="72">
        <f ca="1">IFERROR(__xludf.DUMMYFUNCTION("IMPORTRANGE(""https://docs.google.com/spreadsheets/d/1ItG2mGa2ceCfYo0BwxsXqNm01IGEUdYcSSLTEv9YCik/edit?usp=sharing"",""เบิกจ่ายกองทุน!CA61"")"),15410)</f>
        <v>15410</v>
      </c>
      <c r="S418" s="72">
        <f ca="1">IFERROR(__xludf.DUMMYFUNCTION("IMPORTRANGE(""https://docs.google.com/spreadsheets/d/1ItG2mGa2ceCfYo0BwxsXqNm01IGEUdYcSSLTEv9YCik/edit?usp=sharing"",""เบิกจ่ายกองทุน!CB61"")"),0)</f>
        <v>0</v>
      </c>
      <c r="T418" s="72">
        <f t="shared" ca="1" si="114"/>
        <v>0</v>
      </c>
      <c r="U418" s="72">
        <f t="shared" ca="1" si="115"/>
        <v>0</v>
      </c>
    </row>
    <row r="419" spans="1:21" ht="18.75" x14ac:dyDescent="0.25">
      <c r="A419" s="255"/>
      <c r="B419" s="267"/>
      <c r="C419" s="267"/>
      <c r="D419" s="852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IFERROR(__xludf.DUMMYFUNCTION("IMPORTRANGE(""https://docs.google.com/spreadsheets/d/1-uDff_7J0KD5mKrp0Vvzr7lt3OU09vwQwhkpOPPYv2Y/edit?usp=sharing"",""งบพรบ!IR61"")"),0)</f>
        <v>0</v>
      </c>
      <c r="M421" s="72">
        <f ca="1">IFERROR(__xludf.DUMMYFUNCTION("IMPORTRANGE(""https://docs.google.com/spreadsheets/d/1-uDff_7J0KD5mKrp0Vvzr7lt3OU09vwQwhkpOPPYv2Y/edit?usp=sharing"",""งบพรบ!IU61"")"),0)</f>
        <v>0</v>
      </c>
      <c r="N421" s="72">
        <f ca="1">IFERROR(__xludf.DUMMYFUNCTION("IMPORTRANGE(""https://docs.google.com/spreadsheets/d/1-uDff_7J0KD5mKrp0Vvzr7lt3OU09vwQwhkpOPPYv2Y/edit?usp=sharing"",""งบพรบ!IW61"")"),0)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IFERROR(__xludf.DUMMYFUNCTION("IMPORTRANGE(""https://docs.google.com/spreadsheets/d/1eHaY18a8A9IcSdp1K8H6x8fbOy06t2VsZHhMHf-1x7Y/edit?usp=sharing"",""แผน!HJ61"")"),0)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IFERROR(__xludf.DUMMYFUNCTION("IMPORTRANGE(""https://docs.google.com/spreadsheets/d/1eHaY18a8A9IcSdp1K8H6x8fbOy06t2VsZHhMHf-1x7Y/edit?usp=sharing"",""แผน!HK61"")"),0)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IFERROR(__xludf.DUMMYFUNCTION("IMPORTRANGE(""https://docs.google.com/spreadsheets/d/1eHaY18a8A9IcSdp1K8H6x8fbOy06t2VsZHhMHf-1x7Y/edit?usp=sharing"",""แผน!HJ61"")"),0)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IFERROR(__xludf.DUMMYFUNCTION("IMPORTRANGE(""https://docs.google.com/spreadsheets/d/1eHaY18a8A9IcSdp1K8H6x8fbOy06t2VsZHhMHf-1x7Y/edit?usp=sharing"",""แผน!HK61"")"),0)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IFERROR(__xludf.DUMMYFUNCTION("IMPORTRANGE(""https://docs.google.com/spreadsheets/d/1eHaY18a8A9IcSdp1K8H6x8fbOy06t2VsZHhMHf-1x7Y/edit?usp=sharing"",""แผน!HJ61"")"),0)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IFERROR(__xludf.DUMMYFUNCTION("IMPORTRANGE(""https://docs.google.com/spreadsheets/d/1eHaY18a8A9IcSdp1K8H6x8fbOy06t2VsZHhMHf-1x7Y/edit?usp=sharing"",""แผน!HK61"")"),0)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17</v>
      </c>
      <c r="J456" s="868">
        <f>J457</f>
        <v>160.57999999999998</v>
      </c>
      <c r="K456" s="720">
        <f ca="1">IF(I456&gt;0,J456*100/I456,0)</f>
        <v>944.58823529411757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IFERROR(__xludf.DUMMYFUNCTION("IMPORTRANGE(""https://docs.google.com/spreadsheets/d/1eHaY18a8A9IcSdp1K8H6x8fbOy06t2VsZHhMHf-1x7Y/edit?usp=sharing"",""แผน!HL61"")"),17)</f>
        <v>17</v>
      </c>
      <c r="J457" s="870">
        <f>J459+J467+J473</f>
        <v>160.57999999999998</v>
      </c>
      <c r="K457" s="262">
        <f ca="1">IF(I457&gt;0,J457*100/I457,0)</f>
        <v>944.58823529411757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IFERROR(__xludf.DUMMYFUNCTION("IMPORTRANGE(""https://docs.google.com/spreadsheets/d/1eHaY18a8A9IcSdp1K8H6x8fbOy06t2VsZHhMHf-1x7Y/edit?usp=sharing"",""แผน!HM61"")"),0)</f>
        <v>0</v>
      </c>
      <c r="J458" s="870">
        <f>J460+J468+J474</f>
        <v>17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134.79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13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134.79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13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25.79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4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8.9499999999999993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2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16.84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2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IFERROR(__xludf.DUMMYFUNCTION("IMPORTRANGE(""https://docs.google.com/spreadsheets/d/1-uDff_7J0KD5mKrp0Vvzr7lt3OU09vwQwhkpOPPYv2Y/edit?usp=sharing"",""งบพรบ!HU61"")"),0)</f>
        <v>0</v>
      </c>
      <c r="M498" s="72">
        <f ca="1">IFERROR(__xludf.DUMMYFUNCTION("IMPORTRANGE(""https://docs.google.com/spreadsheets/d/1-uDff_7J0KD5mKrp0Vvzr7lt3OU09vwQwhkpOPPYv2Y/edit?usp=sharing"",""งบพรบ!HZ61"")"),0)</f>
        <v>0</v>
      </c>
      <c r="N498" s="72">
        <f ca="1">IFERROR(__xludf.DUMMYFUNCTION("IMPORTRANGE(""https://docs.google.com/spreadsheets/d/1-uDff_7J0KD5mKrp0Vvzr7lt3OU09vwQwhkpOPPYv2Y/edit?usp=sharing"",""งบพรบ!IB61"")"),0)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IFERROR(__xludf.DUMMYFUNCTION("IMPORTRANGE(""https://docs.google.com/spreadsheets/d/1ItG2mGa2ceCfYo0BwxsXqNm01IGEUdYcSSLTEv9YCik/edit?usp=sharing"",""เบิกจ่ายกองทุน!AD61"")"),0)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IFERROR(__xludf.DUMMYFUNCTION("IMPORTRANGE(""https://docs.google.com/spreadsheets/d/1ItG2mGa2ceCfYo0BwxsXqNm01IGEUdYcSSLTEv9YCik/edit?usp=sharing"",""เบิกจ่ายกองทุน!AE61"")"),0)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IFERROR(__xludf.DUMMYFUNCTION("IMPORTRANGE(""https://docs.google.com/spreadsheets/d/1ItG2mGa2ceCfYo0BwxsXqNm01IGEUdYcSSLTEv9YCik/edit?usp=sharing"",""เบิกจ่ายกองทุน!AF61"")"),0)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IFERROR(__xludf.DUMMYFUNCTION("IMPORTRANGE(""https://docs.google.com/spreadsheets/d/1-uDff_7J0KD5mKrp0Vvzr7lt3OU09vwQwhkpOPPYv2Y/edit?usp=sharing"",""งบพรบ!HX61"")"),0)</f>
        <v>0</v>
      </c>
      <c r="M501" s="72">
        <f ca="1">IFERROR(__xludf.DUMMYFUNCTION("IMPORTRANGE(""https://docs.google.com/spreadsheets/d/1-uDff_7J0KD5mKrp0Vvzr7lt3OU09vwQwhkpOPPYv2Y/edit?usp=sharing"",""งบพรบ!IA61"")"),0)</f>
        <v>0</v>
      </c>
      <c r="N501" s="72">
        <f ca="1">IFERROR(__xludf.DUMMYFUNCTION("IMPORTRANGE(""https://docs.google.com/spreadsheets/d/1-uDff_7J0KD5mKrp0Vvzr7lt3OU09vwQwhkpOPPYv2Y/edit?usp=sharing"",""งบพรบ!IC61"")"),0)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IFERROR(__xludf.DUMMYFUNCTION("IMPORTRANGE(""https://docs.google.com/spreadsheets/d/1eHaY18a8A9IcSdp1K8H6x8fbOy06t2VsZHhMHf-1x7Y/edit?usp=sharing"",""แผน!GX61"")"),0)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IFERROR(__xludf.DUMMYFUNCTION("IMPORTRANGE(""https://docs.google.com/spreadsheets/d/1eHaY18a8A9IcSdp1K8H6x8fbOy06t2VsZHhMHf-1x7Y/edit?usp=sharing"",""แผน!GY61"")"),0)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IFERROR(__xludf.DUMMYFUNCTION("IMPORTRANGE(""https://docs.google.com/spreadsheets/d/1eHaY18a8A9IcSdp1K8H6x8fbOy06t2VsZHhMHf-1x7Y/edit?usp=sharing"",""แผน!GZ61"")"),0)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IFERROR(__xludf.DUMMYFUNCTION("IMPORTRANGE(""https://docs.google.com/spreadsheets/d/1eHaY18a8A9IcSdp1K8H6x8fbOy06t2VsZHhMHf-1x7Y/edit?usp=sharing"",""แผน!HA61"")"),0)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IFERROR(__xludf.DUMMYFUNCTION("IMPORTRANGE(""https://docs.google.com/spreadsheets/d/1eHaY18a8A9IcSdp1K8H6x8fbOy06t2VsZHhMHf-1x7Y/edit?usp=sharing"",""แผน!HB61"")"),0)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IFERROR(__xludf.DUMMYFUNCTION("IMPORTRANGE(""https://docs.google.com/spreadsheets/d/1eHaY18a8A9IcSdp1K8H6x8fbOy06t2VsZHhMHf-1x7Y/edit?usp=sharing"",""แผน!HC61"")"),0)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50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IFERROR(__xludf.DUMMYFUNCTION("IMPORTRANGE(""https://docs.google.com/spreadsheets/d/1-uDff_7J0KD5mKrp0Vvzr7lt3OU09vwQwhkpOPPYv2Y/edit?usp=sharing"",""งบพรบ!FM61"")"),0)</f>
        <v>0</v>
      </c>
      <c r="M518" s="72">
        <f ca="1">IFERROR(__xludf.DUMMYFUNCTION("IMPORTRANGE(""https://docs.google.com/spreadsheets/d/1-uDff_7J0KD5mKrp0Vvzr7lt3OU09vwQwhkpOPPYv2Y/edit?usp=sharing"",""งบพรบ!FR61"")"),0)</f>
        <v>0</v>
      </c>
      <c r="N518" s="72">
        <f ca="1">IFERROR(__xludf.DUMMYFUNCTION("IMPORTRANGE(""https://docs.google.com/spreadsheets/d/1-uDff_7J0KD5mKrp0Vvzr7lt3OU09vwQwhkpOPPYv2Y/edit?usp=sharing"",""งบพรบ!FT61"")"),0)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IFERROR(__xludf.DUMMYFUNCTION("IMPORTRANGE(""https://docs.google.com/spreadsheets/d/1-uDff_7J0KD5mKrp0Vvzr7lt3OU09vwQwhkpOPPYv2Y/edit?usp=sharing"",""งบพรบ!FP61"")"),0)</f>
        <v>0</v>
      </c>
      <c r="M521" s="72">
        <f ca="1">IFERROR(__xludf.DUMMYFUNCTION("IMPORTRANGE(""https://docs.google.com/spreadsheets/d/1-uDff_7J0KD5mKrp0Vvzr7lt3OU09vwQwhkpOPPYv2Y/edit?usp=sharing"",""งบพรบ!FS61"")"),0)</f>
        <v>0</v>
      </c>
      <c r="N521" s="72">
        <f ca="1">IFERROR(__xludf.DUMMYFUNCTION("IMPORTRANGE(""https://docs.google.com/spreadsheets/d/1-uDff_7J0KD5mKrp0Vvzr7lt3OU09vwQwhkpOPPYv2Y/edit?usp=sharing"",""งบพรบ!FU61"")"),0)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IFERROR(__xludf.DUMMYFUNCTION("IMPORTRANGE(""https://docs.google.com/spreadsheets/d/1-uDff_7J0KD5mKrp0Vvzr7lt3OU09vwQwhkpOPPYv2Y/edit?usp=sharing"",""งบพรบ!FW61"")"),0)</f>
        <v>0</v>
      </c>
      <c r="M539" s="72">
        <f ca="1">IFERROR(__xludf.DUMMYFUNCTION("IMPORTRANGE(""https://docs.google.com/spreadsheets/d/1-uDff_7J0KD5mKrp0Vvzr7lt3OU09vwQwhkpOPPYv2Y/edit?usp=sharing"",""งบพรบ!GB61"")"),0)</f>
        <v>0</v>
      </c>
      <c r="N539" s="72">
        <f ca="1">IFERROR(__xludf.DUMMYFUNCTION("IMPORTRANGE(""https://docs.google.com/spreadsheets/d/1-uDff_7J0KD5mKrp0Vvzr7lt3OU09vwQwhkpOPPYv2Y/edit?usp=sharing"",""งบพรบ!GD61"")"),0)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IFERROR(__xludf.DUMMYFUNCTION("IMPORTRANGE(""https://docs.google.com/spreadsheets/d/1-uDff_7J0KD5mKrp0Vvzr7lt3OU09vwQwhkpOPPYv2Y/edit?usp=sharing"",""งบพรบ!FZ61"")"),0)</f>
        <v>0</v>
      </c>
      <c r="M542" s="72">
        <f ca="1">IFERROR(__xludf.DUMMYFUNCTION("IMPORTRANGE(""https://docs.google.com/spreadsheets/d/1-uDff_7J0KD5mKrp0Vvzr7lt3OU09vwQwhkpOPPYv2Y/edit?usp=sharing"",""งบพรบ!GC61"")"),0)</f>
        <v>0</v>
      </c>
      <c r="N542" s="72">
        <f ca="1">IFERROR(__xludf.DUMMYFUNCTION("IMPORTRANGE(""https://docs.google.com/spreadsheets/d/1-uDff_7J0KD5mKrp0Vvzr7lt3OU09vwQwhkpOPPYv2Y/edit?usp=sharing"",""งบพรบ!GE61"")"),0)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IFERROR(__xludf.DUMMYFUNCTION("IMPORTRANGE(""https://docs.google.com/spreadsheets/d/1-uDff_7J0KD5mKrp0Vvzr7lt3OU09vwQwhkpOPPYv2Y/edit?usp=sharing"",""งบพรบ!GG61"")"),0)</f>
        <v>0</v>
      </c>
      <c r="M560" s="72">
        <f ca="1">IFERROR(__xludf.DUMMYFUNCTION("IMPORTRANGE(""https://docs.google.com/spreadsheets/d/1-uDff_7J0KD5mKrp0Vvzr7lt3OU09vwQwhkpOPPYv2Y/edit?usp=sharing"",""งบพรบ!GL61"")"),0)</f>
        <v>0</v>
      </c>
      <c r="N560" s="72">
        <f ca="1">IFERROR(__xludf.DUMMYFUNCTION("IMPORTRANGE(""https://docs.google.com/spreadsheets/d/1-uDff_7J0KD5mKrp0Vvzr7lt3OU09vwQwhkpOPPYv2Y/edit?usp=sharing"",""งบพรบ!GN61"")"),0)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IFERROR(__xludf.DUMMYFUNCTION("IMPORTRANGE(""https://docs.google.com/spreadsheets/d/1-uDff_7J0KD5mKrp0Vvzr7lt3OU09vwQwhkpOPPYv2Y/edit?usp=sharing"",""งบพรบ!GJ61"")"),0)</f>
        <v>0</v>
      </c>
      <c r="M563" s="72">
        <f ca="1">IFERROR(__xludf.DUMMYFUNCTION("IMPORTRANGE(""https://docs.google.com/spreadsheets/d/1-uDff_7J0KD5mKrp0Vvzr7lt3OU09vwQwhkpOPPYv2Y/edit?usp=sharing"",""งบพรบ!GM61"")"),0)</f>
        <v>0</v>
      </c>
      <c r="N563" s="72">
        <f ca="1">IFERROR(__xludf.DUMMYFUNCTION("IMPORTRANGE(""https://docs.google.com/spreadsheets/d/1-uDff_7J0KD5mKrp0Vvzr7lt3OU09vwQwhkpOPPYv2Y/edit?usp=sharing"",""งบพรบ!GO61"")"),0)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IFERROR(__xludf.DUMMYFUNCTION("IMPORTRANGE(""https://docs.google.com/spreadsheets/d/1-uDff_7J0KD5mKrp0Vvzr7lt3OU09vwQwhkpOPPYv2Y/edit?usp=sharing"",""งบพรบ!GQ61"")"),0)</f>
        <v>0</v>
      </c>
      <c r="M581" s="72">
        <f ca="1">IFERROR(__xludf.DUMMYFUNCTION("IMPORTRANGE(""https://docs.google.com/spreadsheets/d/1-uDff_7J0KD5mKrp0Vvzr7lt3OU09vwQwhkpOPPYv2Y/edit?usp=sharing"",""งบพรบ!GV61"")"),0)</f>
        <v>0</v>
      </c>
      <c r="N581" s="72">
        <f ca="1">IFERROR(__xludf.DUMMYFUNCTION("IMPORTRANGE(""https://docs.google.com/spreadsheets/d/1-uDff_7J0KD5mKrp0Vvzr7lt3OU09vwQwhkpOPPYv2Y/edit?usp=sharing"",""งบพรบ!GX61"")"),0)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IFERROR(__xludf.DUMMYFUNCTION("IMPORTRANGE(""https://docs.google.com/spreadsheets/d/1-uDff_7J0KD5mKrp0Vvzr7lt3OU09vwQwhkpOPPYv2Y/edit?usp=sharing"",""งบพรบ!GT61"")"),0)</f>
        <v>0</v>
      </c>
      <c r="M584" s="72">
        <f ca="1">IFERROR(__xludf.DUMMYFUNCTION("IMPORTRANGE(""https://docs.google.com/spreadsheets/d/1-uDff_7J0KD5mKrp0Vvzr7lt3OU09vwQwhkpOPPYv2Y/edit?usp=sharing"",""งบพรบ!GW61"")"),0)</f>
        <v>0</v>
      </c>
      <c r="N584" s="72">
        <f ca="1">IFERROR(__xludf.DUMMYFUNCTION("IMPORTRANGE(""https://docs.google.com/spreadsheets/d/1-uDff_7J0KD5mKrp0Vvzr7lt3OU09vwQwhkpOPPYv2Y/edit?usp=sharing"",""งบพรบ!GY61"")"),0)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50188</v>
      </c>
      <c r="M599" s="211">
        <f ca="1">M600+M601</f>
        <v>50188</v>
      </c>
      <c r="N599" s="211">
        <f ca="1">N600+N601</f>
        <v>41954.29</v>
      </c>
      <c r="O599" s="211">
        <f t="shared" ref="O599:O607" ca="1" si="149">IF(L599&gt;0,N599*100/L599,0)</f>
        <v>83.594265561488797</v>
      </c>
      <c r="P599" s="211">
        <f t="shared" ref="P599:P607" ca="1" si="150">IF(M599&gt;0,N599*100/M599,0)</f>
        <v>83.594265561488797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50188</v>
      </c>
      <c r="M601" s="86">
        <f t="shared" ca="1" si="153"/>
        <v>50188</v>
      </c>
      <c r="N601" s="86">
        <f t="shared" ca="1" si="153"/>
        <v>41954.29</v>
      </c>
      <c r="O601" s="86">
        <f t="shared" ca="1" si="149"/>
        <v>83.594265561488797</v>
      </c>
      <c r="P601" s="86">
        <f t="shared" ca="1" si="150"/>
        <v>83.594265561488797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50188</v>
      </c>
      <c r="M602" s="86">
        <f ca="1">M603+M604</f>
        <v>50188</v>
      </c>
      <c r="N602" s="86">
        <f ca="1">N603+N604</f>
        <v>41954.29</v>
      </c>
      <c r="O602" s="86">
        <f t="shared" ca="1" si="149"/>
        <v>83.594265561488797</v>
      </c>
      <c r="P602" s="86">
        <f t="shared" ca="1" si="150"/>
        <v>83.594265561488797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IFERROR(__xludf.DUMMYFUNCTION("IMPORTRANGE(""https://docs.google.com/spreadsheets/d/1-uDff_7J0KD5mKrp0Vvzr7lt3OU09vwQwhkpOPPYv2Y/edit?usp=sharing"",""งบพรบ!HK61"")"),50188)</f>
        <v>50188</v>
      </c>
      <c r="M604" s="86">
        <f ca="1">IFERROR(__xludf.DUMMYFUNCTION("IMPORTRANGE(""https://docs.google.com/spreadsheets/d/1-uDff_7J0KD5mKrp0Vvzr7lt3OU09vwQwhkpOPPYv2Y/edit?usp=sharing"",""งบพรบ!HP61"")"),50188)</f>
        <v>50188</v>
      </c>
      <c r="N604" s="86">
        <f ca="1">IFERROR(__xludf.DUMMYFUNCTION("IMPORTRANGE(""https://docs.google.com/spreadsheets/d/1-uDff_7J0KD5mKrp0Vvzr7lt3OU09vwQwhkpOPPYv2Y/edit?usp=sharing"",""งบพรบ!HR61"")"),41954.29)</f>
        <v>41954.29</v>
      </c>
      <c r="O604" s="86">
        <f t="shared" ca="1" si="149"/>
        <v>83.594265561488797</v>
      </c>
      <c r="P604" s="86">
        <f t="shared" ca="1" si="150"/>
        <v>83.594265561488797</v>
      </c>
      <c r="Q604" s="86">
        <f ca="1">IFERROR(__xludf.DUMMYFUNCTION("IMPORTRANGE(""https://docs.google.com/spreadsheets/d/1ItG2mGa2ceCfYo0BwxsXqNm01IGEUdYcSSLTEv9YCik/edit?usp=sharing"",""เบิกจ่ายกองทุน!AV61"")"),0)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IFERROR(__xludf.DUMMYFUNCTION("IMPORTRANGE(""https://docs.google.com/spreadsheets/d/1ItG2mGa2ceCfYo0BwxsXqNm01IGEUdYcSSLTEv9YCik/edit?usp=sharing"",""เบิกจ่ายกองทุน!AW61"")"),0)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IFERROR(__xludf.DUMMYFUNCTION("IMPORTRANGE(""https://docs.google.com/spreadsheets/d/1ItG2mGa2ceCfYo0BwxsXqNm01IGEUdYcSSLTEv9YCik/edit?usp=sharing"",""เบิกจ่ายกองทุน!AX61"")"),0)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IFERROR(__xludf.DUMMYFUNCTION("IMPORTRANGE(""https://docs.google.com/spreadsheets/d/1-uDff_7J0KD5mKrp0Vvzr7lt3OU09vwQwhkpOPPYv2Y/edit?usp=sharing"",""งบพรบ!HN61"")"),0)</f>
        <v>0</v>
      </c>
      <c r="M607" s="86">
        <f ca="1">IFERROR(__xludf.DUMMYFUNCTION("IMPORTRANGE(""https://docs.google.com/spreadsheets/d/1-uDff_7J0KD5mKrp0Vvzr7lt3OU09vwQwhkpOPPYv2Y/edit?usp=sharing"",""งบพรบ!HQ61"")"),0)</f>
        <v>0</v>
      </c>
      <c r="N607" s="86">
        <f ca="1">IFERROR(__xludf.DUMMYFUNCTION("IMPORTRANGE(""https://docs.google.com/spreadsheets/d/1-uDff_7J0KD5mKrp0Vvzr7lt3OU09vwQwhkpOPPYv2Y/edit?usp=sharing"",""งบพรบ!HS61"")"),0)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IFERROR(__xludf.DUMMYFUNCTION("IMPORTRANGE(""https://docs.google.com/spreadsheets/d/1ItG2mGa2ceCfYo0BwxsXqNm01IGEUdYcSSLTEv9YCik/edit?usp=sharing"",""เบิกจ่ายกองทุน!AY61"")"),0)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IFERROR(__xludf.DUMMYFUNCTION("IMPORTRANGE(""https://docs.google.com/spreadsheets/d/1ItG2mGa2ceCfYo0BwxsXqNm01IGEUdYcSSLTEv9YCik/edit?usp=sharing"",""เบิกจ่ายกองทุน!AZ61"")"),0)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IFERROR(__xludf.DUMMYFUNCTION("IMPORTRANGE(""https://docs.google.com/spreadsheets/d/1ItG2mGa2ceCfYo0BwxsXqNm01IGEUdYcSSLTEv9YCik/edit?usp=sharing"",""เบิกจ่ายกองทุน!BA61"")"),0)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100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12275</v>
      </c>
      <c r="R616" s="262">
        <f ca="1">R617+R618</f>
        <v>12275</v>
      </c>
      <c r="S616" s="262">
        <f ca="1">S617+S618</f>
        <v>2940</v>
      </c>
      <c r="T616" s="262">
        <f t="shared" ref="T616:T624" ca="1" si="157">IF(Q616&gt;0,S616*100/Q616,0)</f>
        <v>23.951120162932789</v>
      </c>
      <c r="U616" s="262">
        <f t="shared" ref="U616:U624" ca="1" si="158">IF(R616&gt;0,S616*100/R616,0)</f>
        <v>23.951120162932789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12275</v>
      </c>
      <c r="R618" s="72">
        <f t="shared" ca="1" si="160"/>
        <v>12275</v>
      </c>
      <c r="S618" s="72">
        <f t="shared" ca="1" si="160"/>
        <v>2940</v>
      </c>
      <c r="T618" s="72">
        <f t="shared" ca="1" si="157"/>
        <v>23.951120162932789</v>
      </c>
      <c r="U618" s="72">
        <f t="shared" ca="1" si="158"/>
        <v>23.951120162932789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12275</v>
      </c>
      <c r="R619" s="72">
        <f ca="1">R620+R621</f>
        <v>12275</v>
      </c>
      <c r="S619" s="72">
        <f ca="1">S620+S621</f>
        <v>2940</v>
      </c>
      <c r="T619" s="72">
        <f t="shared" ca="1" si="157"/>
        <v>23.951120162932789</v>
      </c>
      <c r="U619" s="72">
        <f t="shared" ca="1" si="158"/>
        <v>23.951120162932789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IFERROR(__xludf.DUMMYFUNCTION("IMPORTRANGE(""https://docs.google.com/spreadsheets/d/1ItG2mGa2ceCfYo0BwxsXqNm01IGEUdYcSSLTEv9YCik/edit?usp=sharing"",""เบิกจ่ายกองทุน!F61"")"),12275)</f>
        <v>12275</v>
      </c>
      <c r="R621" s="72">
        <f ca="1">IFERROR(__xludf.DUMMYFUNCTION("IMPORTRANGE(""https://docs.google.com/spreadsheets/d/1ItG2mGa2ceCfYo0BwxsXqNm01IGEUdYcSSLTEv9YCik/edit?usp=sharing"",""เบิกจ่ายกองทุน!G61"")"),12275)</f>
        <v>12275</v>
      </c>
      <c r="S621" s="72">
        <f ca="1">IFERROR(__xludf.DUMMYFUNCTION("IMPORTRANGE(""https://docs.google.com/spreadsheets/d/1ItG2mGa2ceCfYo0BwxsXqNm01IGEUdYcSSLTEv9YCik/edit?usp=sharing"",""เบิกจ่ายกองทุน!H61"")"),2940)</f>
        <v>2940</v>
      </c>
      <c r="T621" s="72">
        <f t="shared" ca="1" si="157"/>
        <v>23.951120162932789</v>
      </c>
      <c r="U621" s="72">
        <f t="shared" ca="1" si="158"/>
        <v>23.951120162932789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IFERROR(__xludf.DUMMYFUNCTION("IMPORTRANGE(""https://docs.google.com/spreadsheets/d/1eHaY18a8A9IcSdp1K8H6x8fbOy06t2VsZHhMHf-1x7Y/edit?usp=sharing"",""แผน!ID61"")"),100)</f>
        <v>100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IFERROR(__xludf.DUMMYFUNCTION("IMPORTRANGE(""https://docs.google.com/spreadsheets/d/1eHaY18a8A9IcSdp1K8H6x8fbOy06t2VsZHhMHf-1x7Y/edit?usp=sharing"",""แผน!IC61"")"),1)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IFERROR(__xludf.DUMMYFUNCTION("IMPORTRANGE(""https://docs.google.com/spreadsheets/d/1eHaY18a8A9IcSdp1K8H6x8fbOy06t2VsZHhMHf-1x7Y/edit?usp=sharing"",""แผน!IC61"")"),1)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230</v>
      </c>
      <c r="K629" s="72">
        <f ca="1">IF(I$626&gt;0,J629*100/I$626,0)</f>
        <v>230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230</v>
      </c>
      <c r="K630" s="72">
        <f ca="1">IF(I$626&gt;0,J630*100/I$626,0)</f>
        <v>230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IFERROR(__xludf.DUMMYFUNCTION("IMPORTRANGE(""https://docs.google.com/spreadsheets/d/1eHaY18a8A9IcSdp1K8H6x8fbOy06t2VsZHhMHf-1x7Y/edit?usp=sharing"",""แผน!IE61"")"),0)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52200</v>
      </c>
      <c r="R642" s="262">
        <f ca="1">R643+R644</f>
        <v>52200</v>
      </c>
      <c r="S642" s="262">
        <f ca="1">S643+S644</f>
        <v>24890</v>
      </c>
      <c r="T642" s="262">
        <f t="shared" ref="T642:T650" ca="1" si="163">IF(Q642&gt;0,S642*100/Q642,0)</f>
        <v>47.68199233716475</v>
      </c>
      <c r="U642" s="262">
        <f t="shared" ref="U642:U650" ca="1" si="164">IF(R642&gt;0,S642*100/R642,0)</f>
        <v>47.68199233716475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52200</v>
      </c>
      <c r="R644" s="72">
        <f t="shared" ca="1" si="166"/>
        <v>52200</v>
      </c>
      <c r="S644" s="72">
        <f t="shared" ca="1" si="166"/>
        <v>24890</v>
      </c>
      <c r="T644" s="72">
        <f t="shared" ca="1" si="163"/>
        <v>47.68199233716475</v>
      </c>
      <c r="U644" s="72">
        <f t="shared" ca="1" si="164"/>
        <v>47.68199233716475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52200</v>
      </c>
      <c r="R645" s="72">
        <f ca="1">R646+R647</f>
        <v>52200</v>
      </c>
      <c r="S645" s="72">
        <f ca="1">S646+S647</f>
        <v>24890</v>
      </c>
      <c r="T645" s="72">
        <f t="shared" ca="1" si="163"/>
        <v>47.68199233716475</v>
      </c>
      <c r="U645" s="72">
        <f t="shared" ca="1" si="164"/>
        <v>47.68199233716475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IFERROR(__xludf.DUMMYFUNCTION("IMPORTRANGE(""https://docs.google.com/spreadsheets/d/1ItG2mGa2ceCfYo0BwxsXqNm01IGEUdYcSSLTEv9YCik/edit?usp=sharing"",""เบิกจ่ายกองทุน!I61"")"),52200)</f>
        <v>52200</v>
      </c>
      <c r="R647" s="72">
        <f ca="1">IFERROR(__xludf.DUMMYFUNCTION("IMPORTRANGE(""https://docs.google.com/spreadsheets/d/1ItG2mGa2ceCfYo0BwxsXqNm01IGEUdYcSSLTEv9YCik/edit?usp=sharing"",""เบิกจ่ายกองทุน!J61"")"),52200)</f>
        <v>52200</v>
      </c>
      <c r="S647" s="72">
        <f ca="1">IFERROR(__xludf.DUMMYFUNCTION("IMPORTRANGE(""https://docs.google.com/spreadsheets/d/1ItG2mGa2ceCfYo0BwxsXqNm01IGEUdYcSSLTEv9YCik/edit?usp=sharing"",""เบิกจ่ายกองทุน!K61"")"),24890)</f>
        <v>24890</v>
      </c>
      <c r="T647" s="72">
        <f t="shared" ca="1" si="163"/>
        <v>47.68199233716475</v>
      </c>
      <c r="U647" s="72">
        <f t="shared" ca="1" si="164"/>
        <v>47.68199233716475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IFERROR(__xludf.DUMMYFUNCTION("IMPORTRANGE(""https://docs.google.com/spreadsheets/d/1eHaY18a8A9IcSdp1K8H6x8fbOy06t2VsZHhMHf-1x7Y/edit?usp=sharing"",""แผน!IF61"")"),0)</f>
        <v>0</v>
      </c>
      <c r="J652" s="291">
        <f ca="1">IFERROR(__xludf.DUMMYFUNCTION("IMPORTRANGE(""https://docs.google.com/spreadsheets/d/1tdoBKaGub7dwA3U6UFTqxio9LNnvDCQjHKmttSEBsFQ/edit?usp=sharing"",""จัดที่ดิน!AU61"")"),0)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IFERROR(__xludf.DUMMYFUNCTION("IMPORTRANGE(""https://docs.google.com/spreadsheets/d/1eHaY18a8A9IcSdp1K8H6x8fbOy06t2VsZHhMHf-1x7Y/edit?usp=sharing"",""แผน!IG61"")"),0)</f>
        <v>0</v>
      </c>
      <c r="J653" s="291">
        <f ca="1">IFERROR(__xludf.DUMMYFUNCTION("IMPORTRANGE(""https://docs.google.com/spreadsheets/d/1tdoBKaGub7dwA3U6UFTqxio9LNnvDCQjHKmttSEBsFQ/edit?usp=sharing"",""จัดที่ดิน!AW61"")"),1)</f>
        <v>1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IFERROR(__xludf.DUMMYFUNCTION("IMPORTRANGE(""https://docs.google.com/spreadsheets/d/1eHaY18a8A9IcSdp1K8H6x8fbOy06t2VsZHhMHf-1x7Y/edit?usp=sharing"",""แผน!IH61"")"),130)</f>
        <v>130</v>
      </c>
      <c r="J654" s="601">
        <f>J657+J660</f>
        <v>139.02000000000001</v>
      </c>
      <c r="K654" s="262">
        <f ca="1">IF(I654&gt;0,J654*100/I654,0)</f>
        <v>106.93846153846155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22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23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IFERROR(__xludf.DUMMYFUNCTION("IMPORTRANGE(""https://docs.google.com/spreadsheets/d/1eHaY18a8A9IcSdp1K8H6x8fbOy06t2VsZHhMHf-1x7Y/edit?usp=sharing"",""แผน!II61"")"),130)</f>
        <v>130</v>
      </c>
      <c r="J657" s="292">
        <v>139.02000000000001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/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/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IFERROR(__xludf.DUMMYFUNCTION("IMPORTRANGE(""https://docs.google.com/spreadsheets/d/1eHaY18a8A9IcSdp1K8H6x8fbOy06t2VsZHhMHf-1x7Y/edit?usp=sharing"",""แผน!IJ61"")"),0)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IFERROR(__xludf.DUMMYFUNCTION("IMPORTRANGE(""https://docs.google.com/spreadsheets/d/1eHaY18a8A9IcSdp1K8H6x8fbOy06t2VsZHhMHf-1x7Y/edit?usp=sharing"",""แผน!IK61"")"),100)</f>
        <v>100</v>
      </c>
      <c r="J661" s="601">
        <f>J667+J670</f>
        <v>74.88</v>
      </c>
      <c r="K661" s="262">
        <f ca="1">IF(I661&gt;0,J661*100/I661,0)</f>
        <v>74.88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11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12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74.88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IFERROR(__xludf.DUMMYFUNCTION("IMPORTRANGE(""https://docs.google.com/spreadsheets/d/1tdoBKaGub7dwA3U6UFTqxio9LNnvDCQjHKmttSEBsFQ/edit?usp=sharing"",""จัดที่ดิน!AY61"")"),4)</f>
        <v>4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IFERROR(__xludf.DUMMYFUNCTION("IMPORTRANGE(""https://docs.google.com/spreadsheets/d/1tdoBKaGub7dwA3U6UFTqxio9LNnvDCQjHKmttSEBsFQ/edit?usp=sharing"",""จัดที่ดิน!AZ61"")"),6)</f>
        <v>6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IFERROR(__xludf.DUMMYFUNCTION("IMPORTRANGE(""https://docs.google.com/spreadsheets/d/1eHaY18a8A9IcSdp1K8H6x8fbOy06t2VsZHhMHf-1x7Y/edit?usp=sharing"",""แผน!IL61"")"),400)</f>
        <v>400</v>
      </c>
      <c r="J673" s="291">
        <f ca="1">IFERROR(__xludf.DUMMYFUNCTION("IMPORTRANGE(""https://docs.google.com/spreadsheets/d/1tdoBKaGub7dwA3U6UFTqxio9LNnvDCQjHKmttSEBsFQ/edit?usp=sharing"",""จัดที่ดิน!BA61"")"),51.26)</f>
        <v>51.26</v>
      </c>
      <c r="K673" s="72">
        <f ca="1">IF(I673&gt;0,J673*100/I673,0)</f>
        <v>12.815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IFERROR(__xludf.DUMMYFUNCTION("IMPORTRANGE(""https://docs.google.com/spreadsheets/d/1eHaY18a8A9IcSdp1K8H6x8fbOy06t2VsZHhMHf-1x7Y/edit?usp=sharing"",""แผน!IM61"")"),30)</f>
        <v>30</v>
      </c>
      <c r="J674" s="601">
        <f ca="1">J676+J679</f>
        <v>112</v>
      </c>
      <c r="K674" s="262">
        <f ca="1">IF(I674&gt;0,J674*100/I674,0)</f>
        <v>373.33333333333331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IFERROR(__xludf.DUMMYFUNCTION("IMPORTRANGE(""https://docs.google.com/spreadsheets/d/1eHaY18a8A9IcSdp1K8H6x8fbOy06t2VsZHhMHf-1x7Y/edit?usp=sharing"",""แผน!IN61"")"),250)</f>
        <v>250</v>
      </c>
      <c r="J675" s="601">
        <f ca="1">J678+J681</f>
        <v>729.76</v>
      </c>
      <c r="K675" s="262">
        <f ca="1">IF(I675&gt;0,J675*100/I675,0)</f>
        <v>291.904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IFERROR(__xludf.DUMMYFUNCTION("IMPORTRANGE(""https://docs.google.com/spreadsheets/d/1eHaY18a8A9IcSdp1K8H6x8fbOy06t2VsZHhMHf-1x7Y/edit?usp=sharing"",""แผน!IO61"")"),15)</f>
        <v>15</v>
      </c>
      <c r="J676" s="291">
        <f ca="1">IFERROR(__xludf.DUMMYFUNCTION("IMPORTRANGE(""https://docs.google.com/spreadsheets/d/1tdoBKaGub7dwA3U6UFTqxio9LNnvDCQjHKmttSEBsFQ/edit?usp=sharing"",""จัดที่ดิน!BF61"")"),22)</f>
        <v>22</v>
      </c>
      <c r="K676" s="72">
        <f ca="1">IF(I676&gt;0,J676*100/I676,0)</f>
        <v>146.66666666666666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IFERROR(__xludf.DUMMYFUNCTION("IMPORTRANGE(""https://docs.google.com/spreadsheets/d/1tdoBKaGub7dwA3U6UFTqxio9LNnvDCQjHKmttSEBsFQ/edit?usp=sharing"",""จัดที่ดิน!BG61"")"),23)</f>
        <v>23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IFERROR(__xludf.DUMMYFUNCTION("IMPORTRANGE(""https://docs.google.com/spreadsheets/d/1eHaY18a8A9IcSdp1K8H6x8fbOy06t2VsZHhMHf-1x7Y/edit?usp=sharing"",""แผน!IP61"")"),150)</f>
        <v>150</v>
      </c>
      <c r="J678" s="291">
        <f ca="1">IFERROR(__xludf.DUMMYFUNCTION("IMPORTRANGE(""https://docs.google.com/spreadsheets/d/1tdoBKaGub7dwA3U6UFTqxio9LNnvDCQjHKmttSEBsFQ/edit?usp=sharing"",""จัดที่ดิน!BH61"")"),176.54)</f>
        <v>176.54</v>
      </c>
      <c r="K678" s="72">
        <f ca="1">IF(I678&gt;0,J678*100/I678,0)</f>
        <v>117.69333333333333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IFERROR(__xludf.DUMMYFUNCTION("IMPORTRANGE(""https://docs.google.com/spreadsheets/d/1eHaY18a8A9IcSdp1K8H6x8fbOy06t2VsZHhMHf-1x7Y/edit?usp=sharing"",""แผน!IQ61"")"),15)</f>
        <v>15</v>
      </c>
      <c r="J679" s="291">
        <f ca="1">IFERROR(__xludf.DUMMYFUNCTION("IMPORTRANGE(""https://docs.google.com/spreadsheets/d/1tdoBKaGub7dwA3U6UFTqxio9LNnvDCQjHKmttSEBsFQ/edit?usp=sharing"",""จัดที่ดิน!BK61"")"),90)</f>
        <v>90</v>
      </c>
      <c r="K679" s="72">
        <f ca="1">IF(I679&gt;0,J679*100/I679,0)</f>
        <v>600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IFERROR(__xludf.DUMMYFUNCTION("IMPORTRANGE(""https://docs.google.com/spreadsheets/d/1tdoBKaGub7dwA3U6UFTqxio9LNnvDCQjHKmttSEBsFQ/edit?usp=sharing"",""จัดที่ดิน!BL61"")"),108)</f>
        <v>108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IFERROR(__xludf.DUMMYFUNCTION("IMPORTRANGE(""https://docs.google.com/spreadsheets/d/1eHaY18a8A9IcSdp1K8H6x8fbOy06t2VsZHhMHf-1x7Y/edit?usp=sharing"",""แผน!IR61"")"),100)</f>
        <v>100</v>
      </c>
      <c r="J681" s="291">
        <f ca="1">IFERROR(__xludf.DUMMYFUNCTION("IMPORTRANGE(""https://docs.google.com/spreadsheets/d/1tdoBKaGub7dwA3U6UFTqxio9LNnvDCQjHKmttSEBsFQ/edit?usp=sharing"",""จัดที่ดิน!BM61"")"),553.22)</f>
        <v>553.22</v>
      </c>
      <c r="K681" s="72">
        <f ca="1">IF(I681&gt;0,J681*100/I681,0)</f>
        <v>553.22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IFERROR(__xludf.DUMMYFUNCTION("IMPORTRANGE(""https://docs.google.com/spreadsheets/d/1eHaY18a8A9IcSdp1K8H6x8fbOy06t2VsZHhMHf-1x7Y/edit?usp=sharing"",""แผน!IS61"")"),70)</f>
        <v>70</v>
      </c>
      <c r="J682" s="601">
        <f>J685+J688</f>
        <v>124.10000000000001</v>
      </c>
      <c r="K682" s="262">
        <f ca="1">IF(I682&gt;0,J682*100/I682,0)</f>
        <v>177.28571428571428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4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4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23.95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8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8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100.15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59590</v>
      </c>
      <c r="R690" s="262">
        <f ca="1">R691+R692</f>
        <v>59590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59590</v>
      </c>
      <c r="R692" s="72">
        <f t="shared" ca="1" si="172"/>
        <v>59590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59590</v>
      </c>
      <c r="R693" s="72">
        <f ca="1">R694+R695</f>
        <v>59590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IFERROR(__xludf.DUMMYFUNCTION("IMPORTRANGE(""https://docs.google.com/spreadsheets/d/1ItG2mGa2ceCfYo0BwxsXqNm01IGEUdYcSSLTEv9YCik/edit?usp=sharing"",""เบิกจ่ายกองทุน!L61"")"),59590)</f>
        <v>59590</v>
      </c>
      <c r="R695" s="72">
        <f ca="1">IFERROR(__xludf.DUMMYFUNCTION("IMPORTRANGE(""https://docs.google.com/spreadsheets/d/1ItG2mGa2ceCfYo0BwxsXqNm01IGEUdYcSSLTEv9YCik/edit?usp=sharing"",""เบิกจ่ายกองทุน!M61"")"),59590)</f>
        <v>59590</v>
      </c>
      <c r="S695" s="72">
        <f ca="1">IFERROR(__xludf.DUMMYFUNCTION("IMPORTRANGE(""https://docs.google.com/spreadsheets/d/1ItG2mGa2ceCfYo0BwxsXqNm01IGEUdYcSSLTEv9YCik/edit?usp=sharing"",""เบิกจ่ายกองทุน!N61"")"),0)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IFERROR(__xludf.DUMMYFUNCTION("IMPORTRANGE(""https://docs.google.com/spreadsheets/d/1eHaY18a8A9IcSdp1K8H6x8fbOy06t2VsZHhMHf-1x7Y/edit?usp=sharing"",""แผน!LC61"")"),0)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3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IFERROR(__xludf.DUMMYFUNCTION("IMPORTRANGE(""https://docs.google.com/spreadsheets/d/1eHaY18a8A9IcSdp1K8H6x8fbOy06t2VsZHhMHf-1x7Y/edit?usp=sharing"",""แผน!LJ61"")"),0)</f>
        <v>0</v>
      </c>
      <c r="J703" s="291">
        <f ca="1">IFERROR(__xludf.DUMMYFUNCTION("IMPORTRANGE(""https://docs.google.com/spreadsheets/d/1tdoBKaGub7dwA3U6UFTqxio9LNnvDCQjHKmttSEBsFQ/edit?usp=sharing"",""จัดที่ดิน!AP61"")"),0)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IFERROR(__xludf.DUMMYFUNCTION("IMPORTRANGE(""https://docs.google.com/spreadsheets/d/1tdoBKaGub7dwA3U6UFTqxio9LNnvDCQjHKmttSEBsFQ/edit?usp=sharing"",""จัดที่ดิน!AQ61"")"),0)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IFERROR(__xludf.DUMMYFUNCTION("IMPORTRANGE(""https://docs.google.com/spreadsheets/d/1eHaY18a8A9IcSdp1K8H6x8fbOy06t2VsZHhMHf-1x7Y/edit?usp=sharing"",""แผน!LK61"")"),3)</f>
        <v>3</v>
      </c>
      <c r="J705" s="291">
        <f ca="1">IFERROR(__xludf.DUMMYFUNCTION("IMPORTRANGE(""https://docs.google.com/spreadsheets/d/1tdoBKaGub7dwA3U6UFTqxio9LNnvDCQjHKmttSEBsFQ/edit?usp=sharing"",""จัดที่ดิน!AR61"")"),0)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IFERROR(__xludf.DUMMYFUNCTION("IMPORTRANGE(""https://docs.google.com/spreadsheets/d/1tdoBKaGub7dwA3U6UFTqxio9LNnvDCQjHKmttSEBsFQ/edit?usp=sharing"",""จัดที่ดิน!AS61"")"),0)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IFERROR(__xludf.DUMMYFUNCTION("IMPORTRANGE(""https://docs.google.com/spreadsheets/d/1eHaY18a8A9IcSdp1K8H6x8fbOy06t2VsZHhMHf-1x7Y/edit?usp=sharing"",""แผน!LJ61"")"),0)</f>
        <v>0</v>
      </c>
      <c r="J707" s="291">
        <f ca="1">IFERROR(__xludf.DUMMYFUNCTION("IMPORTRANGE(""https://docs.google.com/spreadsheets/d/1tdoBKaGub7dwA3U6UFTqxio9LNnvDCQjHKmttSEBsFQ/edit?usp=sharing"",""จัดที่ดิน!BN61"")"),0)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IFERROR(__xludf.DUMMYFUNCTION("IMPORTRANGE(""https://docs.google.com/spreadsheets/d/1tdoBKaGub7dwA3U6UFTqxio9LNnvDCQjHKmttSEBsFQ/edit?usp=sharing"",""จัดที่ดิน!BO61"")"),0)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IFERROR(__xludf.DUMMYFUNCTION("IMPORTRANGE(""https://docs.google.com/spreadsheets/d/1eHaY18a8A9IcSdp1K8H6x8fbOy06t2VsZHhMHf-1x7Y/edit?usp=sharing"",""แผน!LK61"")"),3)</f>
        <v>3</v>
      </c>
      <c r="J709" s="291">
        <f ca="1">IFERROR(__xludf.DUMMYFUNCTION("IMPORTRANGE(""https://docs.google.com/spreadsheets/d/1tdoBKaGub7dwA3U6UFTqxio9LNnvDCQjHKmttSEBsFQ/edit?usp=sharing"",""จัดที่ดิน!BP61"")"),4)</f>
        <v>4</v>
      </c>
      <c r="K709" s="72">
        <f t="shared" ca="1" si="173"/>
        <v>133.33333333333334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IFERROR(__xludf.DUMMYFUNCTION("IMPORTRANGE(""https://docs.google.com/spreadsheets/d/1tdoBKaGub7dwA3U6UFTqxio9LNnvDCQjHKmttSEBsFQ/edit?usp=sharing"",""จัดที่ดิน!BQ61"")"),0)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IFERROR(__xludf.DUMMYFUNCTION("IMPORTRANGE(""https://docs.google.com/spreadsheets/d/1eHaY18a8A9IcSdp1K8H6x8fbOy06t2VsZHhMHf-1x7Y/edit?usp=sharing"",""แผน!FZ61"")"),0)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IFERROR(__xludf.DUMMYFUNCTION("IMPORTRANGE(""https://docs.google.com/spreadsheets/d/1eHaY18a8A9IcSdp1K8H6x8fbOy06t2VsZHhMHf-1x7Y/edit?usp=sharing"",""แผน!GA61"")"),0)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IFERROR(__xludf.DUMMYFUNCTION("IMPORTRANGE(""https://docs.google.com/spreadsheets/d/1ItG2mGa2ceCfYo0BwxsXqNm01IGEUdYcSSLTEv9YCik/edit?usp=sharing"",""เบิกจ่ายกองทุน!O61"")"),0)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IFERROR(__xludf.DUMMYFUNCTION("IMPORTRANGE(""https://docs.google.com/spreadsheets/d/1ItG2mGa2ceCfYo0BwxsXqNm01IGEUdYcSSLTEv9YCik/edit?usp=sharing"",""เบิกจ่ายกองทุน!P61"")"),0)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IFERROR(__xludf.DUMMYFUNCTION("IMPORTRANGE(""https://docs.google.com/spreadsheets/d/1ItG2mGa2ceCfYo0BwxsXqNm01IGEUdYcSSLTEv9YCik/edit?usp=sharing"",""เบิกจ่ายกองทุน!Q61"")"),0)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IFERROR(__xludf.DUMMYFUNCTION("IMPORTRANGE(""https://docs.google.com/spreadsheets/d/1eHaY18a8A9IcSdp1K8H6x8fbOy06t2VsZHhMHf-1x7Y/edit?usp=sharing"",""แผน!GB61"")"),0)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IFERROR(__xludf.DUMMYFUNCTION("IMPORTRANGE(""https://docs.google.com/spreadsheets/d/1eHaY18a8A9IcSdp1K8H6x8fbOy06t2VsZHhMHf-1x7Y/edit?usp=sharing"",""แผน!GC61"")"),0)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IFERROR(__xludf.DUMMYFUNCTION("IMPORTRANGE(""https://docs.google.com/spreadsheets/d/1eHaY18a8A9IcSdp1K8H6x8fbOy06t2VsZHhMHf-1x7Y/edit?usp=sharing"",""แผน!GD61"")"),0)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IFERROR(__xludf.DUMMYFUNCTION("IMPORTRANGE(""https://docs.google.com/spreadsheets/d/1eHaY18a8A9IcSdp1K8H6x8fbOy06t2VsZHhMHf-1x7Y/edit?usp=sharing"",""แผน!GE61"")"),0)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IFERROR(__xludf.DUMMYFUNCTION("IMPORTRANGE(""https://docs.google.com/spreadsheets/d/1eHaY18a8A9IcSdp1K8H6x8fbOy06t2VsZHhMHf-1x7Y/edit?usp=sharing"",""แผน!GF61"")"),0)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IFERROR(__xludf.DUMMYFUNCTION("IMPORTRANGE(""https://docs.google.com/spreadsheets/d/1eHaY18a8A9IcSdp1K8H6x8fbOy06t2VsZHhMHf-1x7Y/edit?usp=sharing"",""แผน!GC61"")"),0)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IFERROR(__xludf.DUMMYFUNCTION("IMPORTRANGE(""https://docs.google.com/spreadsheets/d/1eHaY18a8A9IcSdp1K8H6x8fbOy06t2VsZHhMHf-1x7Y/edit?usp=sharing"",""แผน!GE61"")"),0)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10</v>
      </c>
      <c r="J758" s="743">
        <f>J772</f>
        <v>10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20</v>
      </c>
      <c r="J759" s="743">
        <f>J774</f>
        <v>20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91360</v>
      </c>
      <c r="R760" s="262">
        <f ca="1">R761+R762</f>
        <v>91360</v>
      </c>
      <c r="S760" s="262">
        <f ca="1">S761+S762</f>
        <v>80390</v>
      </c>
      <c r="T760" s="262">
        <f t="shared" ref="T760:T768" ca="1" si="188">IF(Q760&gt;0,S760*100/Q760,0)</f>
        <v>87.992556917688262</v>
      </c>
      <c r="U760" s="262">
        <f t="shared" ref="U760:U768" ca="1" si="189">IF(R760&gt;0,S760*100/R760,0)</f>
        <v>87.992556917688262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91360</v>
      </c>
      <c r="R762" s="72">
        <f t="shared" ca="1" si="191"/>
        <v>91360</v>
      </c>
      <c r="S762" s="72">
        <f t="shared" ca="1" si="191"/>
        <v>80390</v>
      </c>
      <c r="T762" s="72">
        <f t="shared" ca="1" si="188"/>
        <v>87.992556917688262</v>
      </c>
      <c r="U762" s="72">
        <f t="shared" ca="1" si="189"/>
        <v>87.992556917688262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91360</v>
      </c>
      <c r="R763" s="72">
        <f ca="1">R764+R765</f>
        <v>91360</v>
      </c>
      <c r="S763" s="72">
        <f ca="1">S764+S765</f>
        <v>80390</v>
      </c>
      <c r="T763" s="72">
        <f t="shared" ca="1" si="188"/>
        <v>87.992556917688262</v>
      </c>
      <c r="U763" s="72">
        <f t="shared" ca="1" si="189"/>
        <v>87.992556917688262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IFERROR(__xludf.DUMMYFUNCTION("IMPORTRANGE(""https://docs.google.com/spreadsheets/d/1ItG2mGa2ceCfYo0BwxsXqNm01IGEUdYcSSLTEv9YCik/edit?usp=sharing"",""เบิกจ่ายกองทุน!AA61"")"),91360)</f>
        <v>91360</v>
      </c>
      <c r="R765" s="72">
        <f ca="1">IFERROR(__xludf.DUMMYFUNCTION("IMPORTRANGE(""https://docs.google.com/spreadsheets/d/1ItG2mGa2ceCfYo0BwxsXqNm01IGEUdYcSSLTEv9YCik/edit?usp=sharing"",""เบิกจ่ายกองทุน!AB61"")"),91360)</f>
        <v>91360</v>
      </c>
      <c r="S765" s="72">
        <f ca="1">IFERROR(__xludf.DUMMYFUNCTION("IMPORTRANGE(""https://docs.google.com/spreadsheets/d/1ItG2mGa2ceCfYo0BwxsXqNm01IGEUdYcSSLTEv9YCik/edit?usp=sharing"",""เบิกจ่ายกองทุน!AC61"")"),80390)</f>
        <v>80390</v>
      </c>
      <c r="T765" s="72">
        <f t="shared" ca="1" si="188"/>
        <v>87.992556917688262</v>
      </c>
      <c r="U765" s="72">
        <f t="shared" ca="1" si="189"/>
        <v>87.992556917688262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IFERROR(__xludf.DUMMYFUNCTION("IMPORTRANGE(""https://docs.google.com/spreadsheets/d/1eHaY18a8A9IcSdp1K8H6x8fbOy06t2VsZHhMHf-1x7Y/edit?usp=sharing"",""แผน!FI61"")"),0)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IFERROR(__xludf.DUMMYFUNCTION("IMPORTRANGE(""https://docs.google.com/spreadsheets/d/1eHaY18a8A9IcSdp1K8H6x8fbOy06t2VsZHhMHf-1x7Y/edit?usp=sharing"",""แผน!FQ61"")"),10)</f>
        <v>10</v>
      </c>
      <c r="J772" s="292">
        <v>10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IFERROR(__xludf.DUMMYFUNCTION("IMPORTRANGE(""https://docs.google.com/spreadsheets/d/1eHaY18a8A9IcSdp1K8H6x8fbOy06t2VsZHhMHf-1x7Y/edit?usp=sharing"",""แผน!FR61"")"),20)</f>
        <v>20</v>
      </c>
      <c r="J774" s="292">
        <v>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IFERROR(__xludf.DUMMYFUNCTION("IMPORTRANGE(""https://docs.google.com/spreadsheets/d/1eHaY18a8A9IcSdp1K8H6x8fbOy06t2VsZHhMHf-1x7Y/edit?usp=sharing"",""แผน!FS61"")"),20)</f>
        <v>20</v>
      </c>
      <c r="J775" s="292">
        <v>20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IFERROR(__xludf.DUMMYFUNCTION("IMPORTRANGE(""https://docs.google.com/spreadsheets/d/1eHaY18a8A9IcSdp1K8H6x8fbOy06t2VsZHhMHf-1x7Y/edit?usp=sharing"",""แผน!FT61"")"),10)</f>
        <v>10</v>
      </c>
      <c r="J776" s="739">
        <v>10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IFERROR(__xludf.DUMMYFUNCTION("IMPORTRANGE(""https://docs.google.com/spreadsheets/d/10OvvATaaLtwErnr3qtWFcTmtbfpFEt5Bsqel9sXx0uE/edit?usp=sharing"",""งานกองทุน!D61"")"),1318000)</f>
        <v>1318000</v>
      </c>
      <c r="J778" s="291">
        <f ca="1">IFERROR(__xludf.DUMMYFUNCTION("IMPORTRANGE(""https://docs.google.com/spreadsheets/d/10OvvATaaLtwErnr3qtWFcTmtbfpFEt5Bsqel9sXx0uE/edit?usp=sharing"",""งานกองทุน!F61"")"),992000)</f>
        <v>992000</v>
      </c>
      <c r="K778" s="72">
        <f t="shared" ref="K778:K785" ca="1" si="192">IF(I778&gt;0,J778*100/I778,0)</f>
        <v>75.265553869499243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IFERROR(__xludf.DUMMYFUNCTION("IMPORTRANGE(""https://docs.google.com/spreadsheets/d/10OvvATaaLtwErnr3qtWFcTmtbfpFEt5Bsqel9sXx0uE/edit?usp=sharing"",""งานกองทุน!C61"")"),45)</f>
        <v>45</v>
      </c>
      <c r="J779" s="291">
        <f ca="1">IFERROR(__xludf.DUMMYFUNCTION("IMPORTRANGE(""https://docs.google.com/spreadsheets/d/10OvvATaaLtwErnr3qtWFcTmtbfpFEt5Bsqel9sXx0uE/edit?usp=sharing"",""งานกองทุน!E61"")"),35)</f>
        <v>35</v>
      </c>
      <c r="K779" s="72">
        <f t="shared" ca="1" si="192"/>
        <v>77.777777777777771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IFERROR(__xludf.DUMMYFUNCTION("IMPORTRANGE(""https://docs.google.com/spreadsheets/d/10OvvATaaLtwErnr3qtWFcTmtbfpFEt5Bsqel9sXx0uE/edit?usp=sharing"",""งานกองทุน!I61"")"),88462.27)</f>
        <v>88462.27</v>
      </c>
      <c r="J780" s="291">
        <f ca="1">IFERROR(__xludf.DUMMYFUNCTION("IMPORTRANGE(""https://docs.google.com/spreadsheets/d/10OvvATaaLtwErnr3qtWFcTmtbfpFEt5Bsqel9sXx0uE/edit?usp=sharing"",""งานกองทุน!K61"")"),35186.33)</f>
        <v>35186.33</v>
      </c>
      <c r="K780" s="72">
        <f t="shared" ca="1" si="192"/>
        <v>39.775522378071464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IFERROR(__xludf.DUMMYFUNCTION("IMPORTRANGE(""https://docs.google.com/spreadsheets/d/10OvvATaaLtwErnr3qtWFcTmtbfpFEt5Bsqel9sXx0uE/edit?usp=sharing"",""งานกองทุน!H61"")"),6)</f>
        <v>6</v>
      </c>
      <c r="J781" s="291">
        <f ca="1">IFERROR(__xludf.DUMMYFUNCTION("IMPORTRANGE(""https://docs.google.com/spreadsheets/d/10OvvATaaLtwErnr3qtWFcTmtbfpFEt5Bsqel9sXx0uE/edit?usp=sharing"",""งานกองทุน!J61"")"),4)</f>
        <v>4</v>
      </c>
      <c r="K781" s="72">
        <f t="shared" ca="1" si="192"/>
        <v>66.666666666666671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IFERROR(__xludf.DUMMYFUNCTION("IMPORTRANGE(""https://docs.google.com/spreadsheets/d/10OvvATaaLtwErnr3qtWFcTmtbfpFEt5Bsqel9sXx0uE/edit?usp=sharing"",""งานกองทุน!N61"")"),2513736.39)</f>
        <v>2513736.39</v>
      </c>
      <c r="J782" s="291">
        <f ca="1">IFERROR(__xludf.DUMMYFUNCTION("IMPORTRANGE(""https://docs.google.com/spreadsheets/d/10OvvATaaLtwErnr3qtWFcTmtbfpFEt5Bsqel9sXx0uE/edit?usp=sharing"",""งานกองทุน!P61"")"),1041760.92)</f>
        <v>1041760.92</v>
      </c>
      <c r="K782" s="72">
        <f t="shared" ca="1" si="192"/>
        <v>41.442727413434149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IFERROR(__xludf.DUMMYFUNCTION("IMPORTRANGE(""https://docs.google.com/spreadsheets/d/10OvvATaaLtwErnr3qtWFcTmtbfpFEt5Bsqel9sXx0uE/edit?usp=sharing"",""งานกองทุน!M61"")"),1855)</f>
        <v>1855</v>
      </c>
      <c r="J783" s="291">
        <f ca="1">IFERROR(__xludf.DUMMYFUNCTION("IMPORTRANGE(""https://docs.google.com/spreadsheets/d/10OvvATaaLtwErnr3qtWFcTmtbfpFEt5Bsqel9sXx0uE/edit?usp=sharing"",""งานกองทุน!O61"")"),41)</f>
        <v>41</v>
      </c>
      <c r="K783" s="72">
        <f t="shared" ca="1" si="192"/>
        <v>2.2102425876010781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IFERROR(__xludf.DUMMYFUNCTION("IMPORTRANGE(""https://docs.google.com/spreadsheets/d/10OvvATaaLtwErnr3qtWFcTmtbfpFEt5Bsqel9sXx0uE/edit?usp=sharing"",""งานกองทุน!S61"")"),1092000)</f>
        <v>1092000</v>
      </c>
      <c r="J784" s="291">
        <f ca="1">IFERROR(__xludf.DUMMYFUNCTION("IMPORTRANGE(""https://docs.google.com/spreadsheets/d/10OvvATaaLtwErnr3qtWFcTmtbfpFEt5Bsqel9sXx0uE/edit?usp=sharing"",""งานกองทุน!U61"")"),740000)</f>
        <v>740000</v>
      </c>
      <c r="K784" s="72">
        <f t="shared" ca="1" si="192"/>
        <v>67.765567765567766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IFERROR(__xludf.DUMMYFUNCTION("IMPORTRANGE(""https://docs.google.com/spreadsheets/d/10OvvATaaLtwErnr3qtWFcTmtbfpFEt5Bsqel9sXx0uE/edit?usp=sharing"",""งานกองทุน!R61"")"),39)</f>
        <v>39</v>
      </c>
      <c r="J785" s="773">
        <f ca="1">IFERROR(__xludf.DUMMYFUNCTION("IMPORTRANGE(""https://docs.google.com/spreadsheets/d/10OvvATaaLtwErnr3qtWFcTmtbfpFEt5Bsqel9sXx0uE/edit?usp=sharing"",""งานกองทุน!T61"")"),22)</f>
        <v>22</v>
      </c>
      <c r="K785" s="181">
        <f t="shared" ca="1" si="192"/>
        <v>56.410256410256409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D577-D176-4394-82C0-C43727CE4BB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354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2091326</v>
      </c>
      <c r="M18" s="57">
        <f ca="1">M19+M20</f>
        <v>2247079</v>
      </c>
      <c r="N18" s="57">
        <f ca="1">N19+N20</f>
        <v>1332658.81</v>
      </c>
      <c r="O18" s="57">
        <f t="shared" ref="O18:O26" ca="1" si="0">IF(L18&gt;0,N18*100/L18,0)</f>
        <v>63.723150288381632</v>
      </c>
      <c r="P18" s="57">
        <f t="shared" ref="P18:P26" ca="1" si="1">IF(M18&gt;0,N18*100/M18,0)</f>
        <v>59.306273166185967</v>
      </c>
      <c r="Q18" s="57">
        <f ca="1">Q19+Q20</f>
        <v>1158555.3900000001</v>
      </c>
      <c r="R18" s="57">
        <f ca="1">R19+R20</f>
        <v>1158555</v>
      </c>
      <c r="S18" s="57">
        <f ca="1">S19+S20</f>
        <v>215174</v>
      </c>
      <c r="T18" s="57">
        <f t="shared" ref="T18:T26" ca="1" si="2">IF(Q18&gt;0,S18*100/Q18,0)</f>
        <v>18.572612225298954</v>
      </c>
      <c r="U18" s="57">
        <f t="shared" ref="U18:U26" ca="1" si="3">IF(R18&gt;0,S18*100/R18,0)</f>
        <v>18.57261847732736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2091326</v>
      </c>
      <c r="M20" s="63">
        <f t="shared" ca="1" si="4"/>
        <v>2247079</v>
      </c>
      <c r="N20" s="63">
        <f t="shared" ca="1" si="4"/>
        <v>1332658.81</v>
      </c>
      <c r="O20" s="63">
        <f t="shared" ca="1" si="0"/>
        <v>63.723150288381632</v>
      </c>
      <c r="P20" s="63">
        <f t="shared" ca="1" si="1"/>
        <v>59.306273166185967</v>
      </c>
      <c r="Q20" s="63">
        <f t="shared" ca="1" si="5"/>
        <v>1158555.3900000001</v>
      </c>
      <c r="R20" s="63">
        <f t="shared" ca="1" si="5"/>
        <v>1158555</v>
      </c>
      <c r="S20" s="63">
        <f t="shared" ca="1" si="5"/>
        <v>215174</v>
      </c>
      <c r="T20" s="63">
        <f t="shared" ca="1" si="2"/>
        <v>18.572612225298954</v>
      </c>
      <c r="U20" s="63">
        <f t="shared" ca="1" si="3"/>
        <v>18.57261847732736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2091326</v>
      </c>
      <c r="M21" s="72">
        <f ca="1">M22+M23</f>
        <v>2247079</v>
      </c>
      <c r="N21" s="72">
        <f ca="1">N22+N23</f>
        <v>1332658.81</v>
      </c>
      <c r="O21" s="72">
        <f t="shared" ca="1" si="0"/>
        <v>63.723150288381632</v>
      </c>
      <c r="P21" s="72">
        <f t="shared" ca="1" si="1"/>
        <v>59.306273166185967</v>
      </c>
      <c r="Q21" s="72">
        <f ca="1">Q22+Q23</f>
        <v>1158555.3900000001</v>
      </c>
      <c r="R21" s="72">
        <f ca="1">R22+R23</f>
        <v>1158555</v>
      </c>
      <c r="S21" s="72">
        <f ca="1">S22+S23</f>
        <v>215174</v>
      </c>
      <c r="T21" s="72">
        <f t="shared" ca="1" si="2"/>
        <v>18.572612225298954</v>
      </c>
      <c r="U21" s="72">
        <f t="shared" ca="1" si="3"/>
        <v>18.57261847732736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2091326</v>
      </c>
      <c r="M23" s="72">
        <f ca="1">M49+M64+M77+M99+M122+M144+M162+M191+M178+M271+M287+M308+M325+M338+M361+M380+M418+M498+M518+M539+M560+M581+M604+M621+M647+M695+M719+M733+M765</f>
        <v>2247079</v>
      </c>
      <c r="N23" s="72">
        <f ca="1">N49+N64+N77+N99+N122+N144+N162+N191+N178+N271+N287+N308+N325+N338+N361+N380+N418+N498+N518+N539+N560+N581+N604+N621+N647+N695+N719+N733+N765</f>
        <v>1332658.81</v>
      </c>
      <c r="O23" s="72">
        <f t="shared" ca="1" si="0"/>
        <v>63.723150288381632</v>
      </c>
      <c r="P23" s="72">
        <f t="shared" ca="1" si="1"/>
        <v>59.306273166185967</v>
      </c>
      <c r="Q23" s="72">
        <f t="shared" ca="1" si="6"/>
        <v>1158555.3900000001</v>
      </c>
      <c r="R23" s="72">
        <f t="shared" ca="1" si="6"/>
        <v>1158555</v>
      </c>
      <c r="S23" s="72">
        <f t="shared" ca="1" si="6"/>
        <v>215174</v>
      </c>
      <c r="T23" s="72">
        <f t="shared" ca="1" si="2"/>
        <v>18.572612225298954</v>
      </c>
      <c r="U23" s="72">
        <f t="shared" ca="1" si="3"/>
        <v>18.57261847732736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1782310</v>
      </c>
      <c r="M40" s="1050">
        <f ca="1">M44+M59+M72+M94+M125+M139+M157+M173+M186+M266+M282+M303+M320+M333+M356</f>
        <v>1938063</v>
      </c>
      <c r="N40" s="1050">
        <f ca="1">N44+N59+N72+N94+N125+N139+N157+N173+N186+N266+N282+N303+N320+N333+N356</f>
        <v>1319838.81</v>
      </c>
      <c r="O40" s="1050">
        <f ca="1">IF(L40&gt;0,N40*100/L40,0)</f>
        <v>74.052146371843278</v>
      </c>
      <c r="P40" s="1050">
        <f ca="1">IF(M40&gt;0,N40*100/M40,0)</f>
        <v>68.100923963772075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294200</v>
      </c>
      <c r="M44" s="1031">
        <f ca="1">M45+M46</f>
        <v>370033</v>
      </c>
      <c r="N44" s="1031">
        <f ca="1">N45+N46</f>
        <v>292566</v>
      </c>
      <c r="O44" s="1031">
        <f t="shared" ref="O44:O52" ca="1" si="8">IF(L44&gt;0,N44*100/L44,0)</f>
        <v>99.444595513256289</v>
      </c>
      <c r="P44" s="1031">
        <f t="shared" ref="P44:P52" ca="1" si="9">IF(M44&gt;0,N44*100/M44,0)</f>
        <v>79.064840162904389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294200</v>
      </c>
      <c r="M46" s="1018">
        <f t="shared" ca="1" si="12"/>
        <v>370033</v>
      </c>
      <c r="N46" s="1018">
        <f t="shared" ca="1" si="12"/>
        <v>292566</v>
      </c>
      <c r="O46" s="1018">
        <f t="shared" ca="1" si="8"/>
        <v>99.444595513256289</v>
      </c>
      <c r="P46" s="1018">
        <f t="shared" ca="1" si="9"/>
        <v>79.064840162904389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294200</v>
      </c>
      <c r="M47" s="72">
        <f ca="1">M48+M49</f>
        <v>370033</v>
      </c>
      <c r="N47" s="72">
        <f ca="1">N48+N49</f>
        <v>292566</v>
      </c>
      <c r="O47" s="72">
        <f t="shared" ca="1" si="8"/>
        <v>99.444595513256289</v>
      </c>
      <c r="P47" s="72">
        <f t="shared" ca="1" si="9"/>
        <v>79.064840162904389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IFERROR(__xludf.DUMMYFUNCTION("IMPORTRANGE(""https://docs.google.com/spreadsheets/d/1-uDff_7J0KD5mKrp0Vvzr7lt3OU09vwQwhkpOPPYv2Y/edit?usp=sharing"",""งบพรบ!P62"")"),294200)</f>
        <v>294200</v>
      </c>
      <c r="M49" s="72">
        <f ca="1">IFERROR(__xludf.DUMMYFUNCTION("IMPORTRANGE(""https://docs.google.com/spreadsheets/d/1-uDff_7J0KD5mKrp0Vvzr7lt3OU09vwQwhkpOPPYv2Y/edit?usp=sharing"",""งบพรบ!V62"")"),370033)</f>
        <v>370033</v>
      </c>
      <c r="N49" s="72">
        <f ca="1">IFERROR(__xludf.DUMMYFUNCTION("IMPORTRANGE(""https://docs.google.com/spreadsheets/d/1-uDff_7J0KD5mKrp0Vvzr7lt3OU09vwQwhkpOPPYv2Y/edit?usp=sharing"",""งบพรบ!Y62"")"),292566)</f>
        <v>292566</v>
      </c>
      <c r="O49" s="72">
        <f t="shared" ca="1" si="8"/>
        <v>99.444595513256289</v>
      </c>
      <c r="P49" s="72">
        <f t="shared" ca="1" si="9"/>
        <v>79.064840162904389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IFERROR(__xludf.DUMMYFUNCTION("IMPORTRANGE(""https://docs.google.com/spreadsheets/d/1-uDff_7J0KD5mKrp0Vvzr7lt3OU09vwQwhkpOPPYv2Y/edit?usp=sharing"",""งบพรบ!S62"")"),0)</f>
        <v>0</v>
      </c>
      <c r="M52" s="72">
        <f ca="1">IFERROR(__xludf.DUMMYFUNCTION("IMPORTRANGE(""https://docs.google.com/spreadsheets/d/1-uDff_7J0KD5mKrp0Vvzr7lt3OU09vwQwhkpOPPYv2Y/edit?usp=sharing"",""งบพรบ!W62"")"),0)</f>
        <v>0</v>
      </c>
      <c r="N52" s="72">
        <f ca="1">IFERROR(__xludf.DUMMYFUNCTION("IMPORTRANGE(""https://docs.google.com/spreadsheets/d/1-uDff_7J0KD5mKrp0Vvzr7lt3OU09vwQwhkpOPPYv2Y/edit?usp=sharing"",""งบพรบ!Z62"")"),0)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585900</v>
      </c>
      <c r="M59" s="1001">
        <f ca="1">M60+M61</f>
        <v>585900</v>
      </c>
      <c r="N59" s="1001">
        <f ca="1">N60+N61</f>
        <v>447428.39</v>
      </c>
      <c r="O59" s="1001">
        <f t="shared" ref="O59:O67" ca="1" si="14">IF(L59&gt;0,N59*100/L59,0)</f>
        <v>76.365999317289635</v>
      </c>
      <c r="P59" s="1001">
        <f t="shared" ref="P59:P67" ca="1" si="15">IF(M59&gt;0,N59*100/M59,0)</f>
        <v>76.365999317289635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585900</v>
      </c>
      <c r="M61" s="988">
        <f t="shared" ca="1" si="18"/>
        <v>585900</v>
      </c>
      <c r="N61" s="988">
        <f t="shared" ca="1" si="18"/>
        <v>447428.39</v>
      </c>
      <c r="O61" s="988">
        <f t="shared" ca="1" si="14"/>
        <v>76.365999317289635</v>
      </c>
      <c r="P61" s="988">
        <f t="shared" ca="1" si="15"/>
        <v>76.365999317289635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585900</v>
      </c>
      <c r="M62" s="72">
        <f ca="1">M63+M64</f>
        <v>585900</v>
      </c>
      <c r="N62" s="72">
        <f ca="1">N63+N64</f>
        <v>447428.39</v>
      </c>
      <c r="O62" s="72">
        <f t="shared" ca="1" si="14"/>
        <v>76.365999317289635</v>
      </c>
      <c r="P62" s="72">
        <f t="shared" ca="1" si="15"/>
        <v>76.365999317289635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IFERROR(__xludf.DUMMYFUNCTION("IMPORTRANGE(""https://docs.google.com/spreadsheets/d/1-uDff_7J0KD5mKrp0Vvzr7lt3OU09vwQwhkpOPPYv2Y/edit?usp=sharing"",""งบพรบ!AC62"")"),585900)</f>
        <v>585900</v>
      </c>
      <c r="M64" s="72">
        <f ca="1">IFERROR(__xludf.DUMMYFUNCTION("IMPORTRANGE(""https://docs.google.com/spreadsheets/d/1-uDff_7J0KD5mKrp0Vvzr7lt3OU09vwQwhkpOPPYv2Y/edit?usp=sharing"",""งบพรบ!AH62"")"),585900)</f>
        <v>585900</v>
      </c>
      <c r="N64" s="72">
        <f ca="1">IFERROR(__xludf.DUMMYFUNCTION("IMPORTRANGE(""https://docs.google.com/spreadsheets/d/1-uDff_7J0KD5mKrp0Vvzr7lt3OU09vwQwhkpOPPYv2Y/edit?usp=sharing"",""งบพรบ!AJ62"")"),447428.39)</f>
        <v>447428.39</v>
      </c>
      <c r="O64" s="72">
        <f t="shared" ca="1" si="14"/>
        <v>76.365999317289635</v>
      </c>
      <c r="P64" s="72">
        <f t="shared" ca="1" si="15"/>
        <v>76.365999317289635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IFERROR(__xludf.DUMMYFUNCTION("IMPORTRANGE(""https://docs.google.com/spreadsheets/d/1-uDff_7J0KD5mKrp0Vvzr7lt3OU09vwQwhkpOPPYv2Y/edit?usp=sharing"",""งบพรบ!AF62"")"),0)</f>
        <v>0</v>
      </c>
      <c r="M67" s="181">
        <f ca="1">IFERROR(__xludf.DUMMYFUNCTION("IMPORTRANGE(""https://docs.google.com/spreadsheets/d/1-uDff_7J0KD5mKrp0Vvzr7lt3OU09vwQwhkpOPPYv2Y/edit?usp=sharing"",""งบพรบ!AI62"")"),0)</f>
        <v>0</v>
      </c>
      <c r="N67" s="181">
        <f ca="1">IFERROR(__xludf.DUMMYFUNCTION("IMPORTRANGE(""https://docs.google.com/spreadsheets/d/1-uDff_7J0KD5mKrp0Vvzr7lt3OU09vwQwhkpOPPYv2Y/edit?usp=sharing"",""งบพรบ!AK62"")"),0)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IFERROR(__xludf.DUMMYFUNCTION("IMPORTRANGE(""https://docs.google.com/spreadsheets/d/1-uDff_7J0KD5mKrp0Vvzr7lt3OU09vwQwhkpOPPYv2Y/edit?usp=sharing"",""งบพรบ!AM62"")"),0)</f>
        <v>0</v>
      </c>
      <c r="M77" s="72">
        <f ca="1">IFERROR(__xludf.DUMMYFUNCTION("IMPORTRANGE(""https://docs.google.com/spreadsheets/d/1-uDff_7J0KD5mKrp0Vvzr7lt3OU09vwQwhkpOPPYv2Y/edit?usp=sharing"",""งบพรบ!AR62"")"),0)</f>
        <v>0</v>
      </c>
      <c r="N77" s="72">
        <f ca="1">IFERROR(__xludf.DUMMYFUNCTION("IMPORTRANGE(""https://docs.google.com/spreadsheets/d/1-uDff_7J0KD5mKrp0Vvzr7lt3OU09vwQwhkpOPPYv2Y/edit?usp=sharing"",""งบพรบ!AT62"")"),0)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IFERROR(__xludf.DUMMYFUNCTION("IMPORTRANGE(""https://docs.google.com/spreadsheets/d/1ItG2mGa2ceCfYo0BwxsXqNm01IGEUdYcSSLTEv9YCik/edit?usp=sharing"",""เบิกจ่ายกองทุน!BH62"")"),0)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IFERROR(__xludf.DUMMYFUNCTION("IMPORTRANGE(""https://docs.google.com/spreadsheets/d/1ItG2mGa2ceCfYo0BwxsXqNm01IGEUdYcSSLTEv9YCik/edit?usp=sharing"",""เบิกจ่ายกองทุน!BI62"")"),0)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IFERROR(__xludf.DUMMYFUNCTION("IMPORTRANGE(""https://docs.google.com/spreadsheets/d/1ItG2mGa2ceCfYo0BwxsXqNm01IGEUdYcSSLTEv9YCik/edit?usp=sharing"",""เบิกจ่ายกองทุน!BJ62"")"),0)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IFERROR(__xludf.DUMMYFUNCTION("IMPORTRANGE(""https://docs.google.com/spreadsheets/d/1-uDff_7J0KD5mKrp0Vvzr7lt3OU09vwQwhkpOPPYv2Y/edit?usp=sharing"",""งบพรบ!AP62"")"),0)</f>
        <v>0</v>
      </c>
      <c r="M80" s="72">
        <f ca="1">IFERROR(__xludf.DUMMYFUNCTION("IMPORTRANGE(""https://docs.google.com/spreadsheets/d/1-uDff_7J0KD5mKrp0Vvzr7lt3OU09vwQwhkpOPPYv2Y/edit?usp=sharing"",""งบพรบ!AS62"")"),0)</f>
        <v>0</v>
      </c>
      <c r="N80" s="72">
        <f ca="1">IFERROR(__xludf.DUMMYFUNCTION("IMPORTRANGE(""https://docs.google.com/spreadsheets/d/1-uDff_7J0KD5mKrp0Vvzr7lt3OU09vwQwhkpOPPYv2Y/edit?usp=sharing"",""งบพรบ!AU62"")"),0)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IFERROR(__xludf.DUMMYFUNCTION("IMPORTRANGE(""https://docs.google.com/spreadsheets/d/1ItG2mGa2ceCfYo0BwxsXqNm01IGEUdYcSSLTEv9YCik/edit?usp=sharing"",""เบิกจ่ายกองทุน!BK62"")"),0)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IFERROR(__xludf.DUMMYFUNCTION("IMPORTRANGE(""https://docs.google.com/spreadsheets/d/1ItG2mGa2ceCfYo0BwxsXqNm01IGEUdYcSSLTEv9YCik/edit?usp=sharing"",""เบิกจ่ายกองทุน!BL62"")"),0)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IFERROR(__xludf.DUMMYFUNCTION("IMPORTRANGE(""https://docs.google.com/spreadsheets/d/1ItG2mGa2ceCfYo0BwxsXqNm01IGEUdYcSSLTEv9YCik/edit?usp=sharing"",""เบิกจ่ายกองทุน!BM62"")"),0)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IFERROR(__xludf.DUMMYFUNCTION("IMPORTRANGE(""https://docs.google.com/spreadsheets/d/1eHaY18a8A9IcSdp1K8H6x8fbOy06t2VsZHhMHf-1x7Y/edit?usp=sharing"",""แผน!H62"")"),0)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IFERROR(__xludf.DUMMYFUNCTION("IMPORTRANGE(""https://docs.google.com/spreadsheets/d/1eHaY18a8A9IcSdp1K8H6x8fbOy06t2VsZHhMHf-1x7Y/edit?usp=sharing"",""แผน!I62"")"),0)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IFERROR(__xludf.DUMMYFUNCTION("IMPORTRANGE(""https://docs.google.com/spreadsheets/d/1eHaY18a8A9IcSdp1K8H6x8fbOy06t2VsZHhMHf-1x7Y/edit?usp=sharing"",""แผน!F62"")"),0)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IFERROR(__xludf.DUMMYFUNCTION("IMPORTRANGE(""https://docs.google.com/spreadsheets/d/1eHaY18a8A9IcSdp1K8H6x8fbOy06t2VsZHhMHf-1x7Y/edit?usp=sharing"",""แผน!G62"")"),0)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IFERROR(__xludf.DUMMYFUNCTION("IMPORTRANGE(""https://docs.google.com/spreadsheets/d/1eHaY18a8A9IcSdp1K8H6x8fbOy06t2VsZHhMHf-1x7Y/edit?usp=sharing"",""แผน!D62"")"),0)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IFERROR(__xludf.DUMMYFUNCTION("IMPORTRANGE(""https://docs.google.com/spreadsheets/d/1eHaY18a8A9IcSdp1K8H6x8fbOy06t2VsZHhMHf-1x7Y/edit?usp=sharing"",""แผน!E62"")"),0)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IFERROR(__xludf.DUMMYFUNCTION("IMPORTRANGE(""https://docs.google.com/spreadsheets/d/1eHaY18a8A9IcSdp1K8H6x8fbOy06t2VsZHhMHf-1x7Y/edit?usp=sharing"",""แผน!J62"")"),0)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45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15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9000</v>
      </c>
      <c r="M94" s="262">
        <f ca="1">M95+M96</f>
        <v>9000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126630</v>
      </c>
      <c r="R94" s="262">
        <f ca="1">R95+R96</f>
        <v>126630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9000</v>
      </c>
      <c r="M96" s="72">
        <f t="shared" ca="1" si="31"/>
        <v>9000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126630</v>
      </c>
      <c r="R96" s="72">
        <f t="shared" ca="1" si="32"/>
        <v>126630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9000</v>
      </c>
      <c r="M97" s="72">
        <f ca="1">M98+M99</f>
        <v>9000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126630</v>
      </c>
      <c r="R97" s="72">
        <f ca="1">R98+R99</f>
        <v>126630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IFERROR(__xludf.DUMMYFUNCTION("IMPORTRANGE(""https://docs.google.com/spreadsheets/d/1-uDff_7J0KD5mKrp0Vvzr7lt3OU09vwQwhkpOPPYv2Y/edit?usp=sharing"",""งบพรบ!AW62"")"),9000)</f>
        <v>9000</v>
      </c>
      <c r="M99" s="72">
        <f ca="1">IFERROR(__xludf.DUMMYFUNCTION("IMPORTRANGE(""https://docs.google.com/spreadsheets/d/1-uDff_7J0KD5mKrp0Vvzr7lt3OU09vwQwhkpOPPYv2Y/edit?usp=sharing"",""งบพรบ!BB62"")"),9000)</f>
        <v>9000</v>
      </c>
      <c r="N99" s="72">
        <f ca="1">IFERROR(__xludf.DUMMYFUNCTION("IMPORTRANGE(""https://docs.google.com/spreadsheets/d/1-uDff_7J0KD5mKrp0Vvzr7lt3OU09vwQwhkpOPPYv2Y/edit?usp=sharing"",""งบพรบ!BD62"")"),0)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IFERROR(__xludf.DUMMYFUNCTION("IMPORTRANGE(""https://docs.google.com/spreadsheets/d/1ItG2mGa2ceCfYo0BwxsXqNm01IGEUdYcSSLTEv9YCik/edit?usp=sharing"",""เบิกจ่ายกองทุน!AJ62"")"),126630)</f>
        <v>126630</v>
      </c>
      <c r="R99" s="72">
        <f ca="1">IFERROR(__xludf.DUMMYFUNCTION("IMPORTRANGE(""https://docs.google.com/spreadsheets/d/1ItG2mGa2ceCfYo0BwxsXqNm01IGEUdYcSSLTEv9YCik/edit?usp=sharing"",""เบิกจ่ายกองทุน!AK62"")"),126630)</f>
        <v>126630</v>
      </c>
      <c r="S99" s="72">
        <f ca="1">IFERROR(__xludf.DUMMYFUNCTION("IMPORTRANGE(""https://docs.google.com/spreadsheets/d/1ItG2mGa2ceCfYo0BwxsXqNm01IGEUdYcSSLTEv9YCik/edit?usp=sharing"",""เบิกจ่ายกองทุน!AL62"")"),0)</f>
        <v>0</v>
      </c>
      <c r="T99" s="72">
        <f t="shared" ca="1" si="29"/>
        <v>0</v>
      </c>
      <c r="U99" s="72">
        <f t="shared" ca="1" si="30"/>
        <v>0</v>
      </c>
    </row>
    <row r="100" spans="1:21" ht="18.75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IFERROR(__xludf.DUMMYFUNCTION("IMPORTRANGE(""https://docs.google.com/spreadsheets/d/1-uDff_7J0KD5mKrp0Vvzr7lt3OU09vwQwhkpOPPYv2Y/edit?usp=sharing"",""งบพรบ!AZ62"")"),0)</f>
        <v>0</v>
      </c>
      <c r="M102" s="72">
        <f ca="1">IFERROR(__xludf.DUMMYFUNCTION("IMPORTRANGE(""https://docs.google.com/spreadsheets/d/1-uDff_7J0KD5mKrp0Vvzr7lt3OU09vwQwhkpOPPYv2Y/edit?usp=sharing"",""งบพรบ!BC62"")"),0)</f>
        <v>0</v>
      </c>
      <c r="N102" s="72">
        <f ca="1">IFERROR(__xludf.DUMMYFUNCTION("IMPORTRANGE(""https://docs.google.com/spreadsheets/d/1-uDff_7J0KD5mKrp0Vvzr7lt3OU09vwQwhkpOPPYv2Y/edit?usp=sharing"",""งบพรบ!BE62"")"),0)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IFERROR(__xludf.DUMMYFUNCTION("IMPORTRANGE(""https://docs.google.com/spreadsheets/d/1eHaY18a8A9IcSdp1K8H6x8fbOy06t2VsZHhMHf-1x7Y/edit?usp=sharing"",""แผน!N62"")"),45)</f>
        <v>45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IFERROR(__xludf.DUMMYFUNCTION("IMPORTRANGE(""https://docs.google.com/spreadsheets/d/1eHaY18a8A9IcSdp1K8H6x8fbOy06t2VsZHhMHf-1x7Y/edit?usp=sharing"",""แผน!O62"")"),15)</f>
        <v>15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766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IFERROR(__xludf.DUMMYFUNCTION("IMPORTRANGE(""https://docs.google.com/spreadsheets/d/1eHaY18a8A9IcSdp1K8H6x8fbOy06t2VsZHhMHf-1x7Y/edit?usp=sharing"",""แผน!N62"")"),45)</f>
        <v>45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IFERROR(__xludf.DUMMYFUNCTION("IMPORTRANGE(""https://docs.google.com/spreadsheets/d/1eHaY18a8A9IcSdp1K8H6x8fbOy06t2VsZHhMHf-1x7Y/edit?usp=sharing"",""แผน!O62"")"),15)</f>
        <v>15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1203">
        <f ca="1">I127</f>
        <v>11</v>
      </c>
      <c r="J116" s="1202">
        <f>J127</f>
        <v>11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177330</v>
      </c>
      <c r="R117" s="262">
        <f ca="1">R118+R119</f>
        <v>177330</v>
      </c>
      <c r="S117" s="262">
        <f ca="1">S118+S119</f>
        <v>113735</v>
      </c>
      <c r="T117" s="262">
        <f t="shared" ref="T117:T125" ca="1" si="35">IF(Q117&gt;0,S117*100/Q117,0)</f>
        <v>64.137483787289241</v>
      </c>
      <c r="U117" s="262">
        <f t="shared" ref="U117:U125" ca="1" si="36">IF(R117&gt;0,S117*100/R117,0)</f>
        <v>64.137483787289241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177330</v>
      </c>
      <c r="R119" s="72">
        <f t="shared" ca="1" si="38"/>
        <v>177330</v>
      </c>
      <c r="S119" s="72">
        <f t="shared" ca="1" si="38"/>
        <v>113735</v>
      </c>
      <c r="T119" s="72">
        <f t="shared" ca="1" si="35"/>
        <v>64.137483787289241</v>
      </c>
      <c r="U119" s="72">
        <f t="shared" ca="1" si="36"/>
        <v>64.137483787289241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177330</v>
      </c>
      <c r="R120" s="72">
        <f ca="1">R121+R122</f>
        <v>177330</v>
      </c>
      <c r="S120" s="72">
        <f ca="1">S121+S122</f>
        <v>113735</v>
      </c>
      <c r="T120" s="72">
        <f t="shared" ca="1" si="35"/>
        <v>64.137483787289241</v>
      </c>
      <c r="U120" s="72">
        <f t="shared" ca="1" si="36"/>
        <v>64.137483787289241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IFERROR(__xludf.DUMMYFUNCTION("IMPORTRANGE(""https://docs.google.com/spreadsheets/d/1-uDff_7J0KD5mKrp0Vvzr7lt3OU09vwQwhkpOPPYv2Y/edit?usp=sharing"",""งบพรบ!BG62"")"),0)</f>
        <v>0</v>
      </c>
      <c r="M122" s="72">
        <f ca="1">IFERROR(__xludf.DUMMYFUNCTION("IMPORTRANGE(""https://docs.google.com/spreadsheets/d/1-uDff_7J0KD5mKrp0Vvzr7lt3OU09vwQwhkpOPPYv2Y/edit?usp=sharing"",""งบพรบ!BL62"")"),0)</f>
        <v>0</v>
      </c>
      <c r="N122" s="72">
        <f ca="1">IFERROR(__xludf.DUMMYFUNCTION("IMPORTRANGE(""https://docs.google.com/spreadsheets/d/1-uDff_7J0KD5mKrp0Vvzr7lt3OU09vwQwhkpOPPYv2Y/edit?usp=sharing"",""งบพรบ!BN62"")"),0)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IFERROR(__xludf.DUMMYFUNCTION("IMPORTRANGE(""https://docs.google.com/spreadsheets/d/1ItG2mGa2ceCfYo0BwxsXqNm01IGEUdYcSSLTEv9YCik/edit?usp=sharing"",""เบิกจ่ายกองทุน!U62"")"),177330)</f>
        <v>177330</v>
      </c>
      <c r="R122" s="72">
        <f ca="1">IFERROR(__xludf.DUMMYFUNCTION("IMPORTRANGE(""https://docs.google.com/spreadsheets/d/1ItG2mGa2ceCfYo0BwxsXqNm01IGEUdYcSSLTEv9YCik/edit?usp=sharing"",""เบิกจ่ายกองทุน!V62"")"),177330)</f>
        <v>177330</v>
      </c>
      <c r="S122" s="72">
        <f ca="1">IFERROR(__xludf.DUMMYFUNCTION("IMPORTRANGE(""https://docs.google.com/spreadsheets/d/1ItG2mGa2ceCfYo0BwxsXqNm01IGEUdYcSSLTEv9YCik/edit?usp=sharing"",""เบิกจ่ายกองทุน!W62"")"),113735)</f>
        <v>113735</v>
      </c>
      <c r="T122" s="72">
        <f t="shared" ca="1" si="35"/>
        <v>64.137483787289241</v>
      </c>
      <c r="U122" s="72">
        <f t="shared" ca="1" si="36"/>
        <v>64.137483787289241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IFERROR(__xludf.DUMMYFUNCTION("IMPORTRANGE(""https://docs.google.com/spreadsheets/d/1-uDff_7J0KD5mKrp0Vvzr7lt3OU09vwQwhkpOPPYv2Y/edit?usp=sharing"",""งบพรบ!BJ62"")"),0)</f>
        <v>0</v>
      </c>
      <c r="M125" s="72">
        <f ca="1">IFERROR(__xludf.DUMMYFUNCTION("IMPORTRANGE(""https://docs.google.com/spreadsheets/d/1-uDff_7J0KD5mKrp0Vvzr7lt3OU09vwQwhkpOPPYv2Y/edit?usp=sharing"",""งบพรบ!BM62"")"),0)</f>
        <v>0</v>
      </c>
      <c r="N125" s="72">
        <f ca="1">IFERROR(__xludf.DUMMYFUNCTION("IMPORTRANGE(""https://docs.google.com/spreadsheets/d/1-uDff_7J0KD5mKrp0Vvzr7lt3OU09vwQwhkpOPPYv2Y/edit?usp=sharing"",""งบพรบ!BO62"")"),0)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IFERROR(__xludf.DUMMYFUNCTION("IMPORTRANGE(""https://docs.google.com/spreadsheets/d/1ItG2mGa2ceCfYo0BwxsXqNm01IGEUdYcSSLTEv9YCik/edit?usp=sharing"",""เบิกจ่ายกองทุน!X62"")"),0)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IFERROR(__xludf.DUMMYFUNCTION("IMPORTRANGE(""https://docs.google.com/spreadsheets/d/1ItG2mGa2ceCfYo0BwxsXqNm01IGEUdYcSSLTEv9YCik/edit?usp=sharing"",""เบิกจ่ายกองทุน!Y62"")"),0)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IFERROR(__xludf.DUMMYFUNCTION("IMPORTRANGE(""https://docs.google.com/spreadsheets/d/1ItG2mGa2ceCfYo0BwxsXqNm01IGEUdYcSSLTEv9YCik/edit?usp=sharing"",""เบิกจ่ายกองทุน!Z62"")"),0)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IFERROR(__xludf.DUMMYFUNCTION("IMPORTRANGE(""https://docs.google.com/spreadsheets/d/1eHaY18a8A9IcSdp1K8H6x8fbOy06t2VsZHhMHf-1x7Y/edit?usp=sharing"",""แผน!FF62"")"),11)</f>
        <v>11</v>
      </c>
      <c r="J127" s="292">
        <v>11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IFERROR(__xludf.DUMMYFUNCTION("IMPORTRANGE(""https://docs.google.com/spreadsheets/d/1eHaY18a8A9IcSdp1K8H6x8fbOy06t2VsZHhMHf-1x7Y/edit?usp=sharing"",""แผน!FG62"")"),0)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IFERROR(__xludf.DUMMYFUNCTION("IMPORTRANGE(""https://docs.google.com/spreadsheets/d/1eHaY18a8A9IcSdp1K8H6x8fbOy06t2VsZHhMHf-1x7Y/edit?usp=sharing"",""แผน!FH62"")"),11)</f>
        <v>11</v>
      </c>
      <c r="J129" s="292">
        <v>11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IFERROR(__xludf.DUMMYFUNCTION("IMPORTRANGE(""https://docs.google.com/spreadsheets/d/1eHaY18a8A9IcSdp1K8H6x8fbOy06t2VsZHhMHf-1x7Y/edit?usp=sharing"",""แผน!FI62"")"),0)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IFERROR(__xludf.DUMMYFUNCTION("IMPORTRANGE(""https://docs.google.com/spreadsheets/d/1-uDff_7J0KD5mKrp0Vvzr7lt3OU09vwQwhkpOPPYv2Y/edit?usp=sharing"",""งบพรบ!BQ62"")"),0)</f>
        <v>0</v>
      </c>
      <c r="M144" s="72">
        <f ca="1">IFERROR(__xludf.DUMMYFUNCTION("IMPORTRANGE(""https://docs.google.com/spreadsheets/d/1-uDff_7J0KD5mKrp0Vvzr7lt3OU09vwQwhkpOPPYv2Y/edit?usp=sharing"",""งบพรบ!BV62"")"),0)</f>
        <v>0</v>
      </c>
      <c r="N144" s="72">
        <f ca="1">IFERROR(__xludf.DUMMYFUNCTION("IMPORTRANGE(""https://docs.google.com/spreadsheets/d/1-uDff_7J0KD5mKrp0Vvzr7lt3OU09vwQwhkpOPPYv2Y/edit?usp=sharing"",""งบพรบ!BX62"")"),0)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IFERROR(__xludf.DUMMYFUNCTION("IMPORTRANGE(""https://docs.google.com/spreadsheets/d/1ItG2mGa2ceCfYo0BwxsXqNm01IGEUdYcSSLTEv9YCik/edit?usp=sharing"",""เบิกจ่ายกองทุน!CF62"")"),0)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IFERROR(__xludf.DUMMYFUNCTION("IMPORTRANGE(""https://docs.google.com/spreadsheets/d/1ItG2mGa2ceCfYo0BwxsXqNm01IGEUdYcSSLTEv9YCik/edit?usp=sharing"",""เบิกจ่ายกองทุน!CG62"")"),0)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IFERROR(__xludf.DUMMYFUNCTION("IMPORTRANGE(""https://docs.google.com/spreadsheets/d/1ItG2mGa2ceCfYo0BwxsXqNm01IGEUdYcSSLTEv9YCik/edit?usp=sharing"",""เบิกจ่ายกองทุน!CH62"")"),0)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IFERROR(__xludf.DUMMYFUNCTION("IMPORTRANGE(""https://docs.google.com/spreadsheets/d/1-uDff_7J0KD5mKrp0Vvzr7lt3OU09vwQwhkpOPPYv2Y/edit?usp=sharing"",""งบพรบ!BT62"")"),0)</f>
        <v>0</v>
      </c>
      <c r="M147" s="72">
        <f ca="1">IFERROR(__xludf.DUMMYFUNCTION("IMPORTRANGE(""https://docs.google.com/spreadsheets/d/1-uDff_7J0KD5mKrp0Vvzr7lt3OU09vwQwhkpOPPYv2Y/edit?usp=sharing"",""งบพรบ!BW62"")"),0)</f>
        <v>0</v>
      </c>
      <c r="N147" s="72">
        <f ca="1">IFERROR(__xludf.DUMMYFUNCTION("IMPORTRANGE(""https://docs.google.com/spreadsheets/d/1-uDff_7J0KD5mKrp0Vvzr7lt3OU09vwQwhkpOPPYv2Y/edit?usp=sharing"",""งบพรบ!BY62"")"),0)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IFERROR(__xludf.DUMMYFUNCTION("IMPORTRANGE(""https://docs.google.com/spreadsheets/d/1ItG2mGa2ceCfYo0BwxsXqNm01IGEUdYcSSLTEv9YCik/edit?usp=sharing"",""เบิกจ่ายกองทุน!CI62"")"),0)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IFERROR(__xludf.DUMMYFUNCTION("IMPORTRANGE(""https://docs.google.com/spreadsheets/d/1ItG2mGa2ceCfYo0BwxsXqNm01IGEUdYcSSLTEv9YCik/edit?usp=sharing"",""เบิกจ่ายกองทุน!CJ62"")"),0)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IFERROR(__xludf.DUMMYFUNCTION("IMPORTRANGE(""https://docs.google.com/spreadsheets/d/1ItG2mGa2ceCfYo0BwxsXqNm01IGEUdYcSSLTEv9YCik/edit?usp=sharing"",""เบิกจ่ายกองทุน!CK62"")"),0)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IFERROR(__xludf.DUMMYFUNCTION("IMPORTRANGE(""https://docs.google.com/spreadsheets/d/1eHaY18a8A9IcSdp1K8H6x8fbOy06t2VsZHhMHf-1x7Y/edit?usp=sharing"",""แผน!U62"")"),0)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IFERROR(__xludf.DUMMYFUNCTION("IMPORTRANGE(""https://docs.google.com/spreadsheets/d/1eHaY18a8A9IcSdp1K8H6x8fbOy06t2VsZHhMHf-1x7Y/edit?usp=sharing"",""แผน!V62"")"),0)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IFERROR(__xludf.DUMMYFUNCTION("IMPORTRANGE(""https://docs.google.com/spreadsheets/d/1eHaY18a8A9IcSdp1K8H6x8fbOy06t2VsZHhMHf-1x7Y/edit?usp=sharing"",""แผน!W62"")"),0)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IFERROR(__xludf.DUMMYFUNCTION("IMPORTRANGE(""https://docs.google.com/spreadsheets/d/1eHaY18a8A9IcSdp1K8H6x8fbOy06t2VsZHhMHf-1x7Y/edit?usp=sharing"",""แผน!X62"")"),0)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IFERROR(__xludf.DUMMYFUNCTION("IMPORTRANGE(""https://docs.google.com/spreadsheets/d/1eHaY18a8A9IcSdp1K8H6x8fbOy06t2VsZHhMHf-1x7Y/edit?usp=sharing"",""แผน!Y62"")"),0)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353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6500</v>
      </c>
      <c r="M157" s="262">
        <f ca="1">M158+M159</f>
        <v>10250</v>
      </c>
      <c r="N157" s="262">
        <f ca="1">N158+N159</f>
        <v>2340</v>
      </c>
      <c r="O157" s="262">
        <f t="shared" ref="O157:O165" ca="1" si="45">IF(L157&gt;0,N157*100/L157,0)</f>
        <v>36</v>
      </c>
      <c r="P157" s="262">
        <f t="shared" ref="P157:P165" ca="1" si="46">IF(M157&gt;0,N157*100/M157,0)</f>
        <v>22.829268292682926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 t="s">
        <v>353</v>
      </c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6500</v>
      </c>
      <c r="M159" s="72">
        <f t="shared" ca="1" si="49"/>
        <v>10250</v>
      </c>
      <c r="N159" s="72">
        <f t="shared" ca="1" si="49"/>
        <v>2340</v>
      </c>
      <c r="O159" s="72">
        <f t="shared" ca="1" si="45"/>
        <v>36</v>
      </c>
      <c r="P159" s="72">
        <f t="shared" ca="1" si="46"/>
        <v>22.829268292682926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6500</v>
      </c>
      <c r="M160" s="72">
        <f ca="1">M161+M162</f>
        <v>10250</v>
      </c>
      <c r="N160" s="72">
        <f ca="1">N161+N162</f>
        <v>2340</v>
      </c>
      <c r="O160" s="72">
        <f t="shared" ca="1" si="45"/>
        <v>36</v>
      </c>
      <c r="P160" s="72">
        <f t="shared" ca="1" si="46"/>
        <v>22.829268292682926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IFERROR(__xludf.DUMMYFUNCTION("IMPORTRANGE(""https://docs.google.com/spreadsheets/d/1-uDff_7J0KD5mKrp0Vvzr7lt3OU09vwQwhkpOPPYv2Y/edit?usp=sharing"",""งบพรบ!CA62"")"),6500)</f>
        <v>6500</v>
      </c>
      <c r="M162" s="72">
        <f ca="1">IFERROR(__xludf.DUMMYFUNCTION("IMPORTRANGE(""https://docs.google.com/spreadsheets/d/1-uDff_7J0KD5mKrp0Vvzr7lt3OU09vwQwhkpOPPYv2Y/edit?usp=sharing"",""งบพรบ!CF62"")"),10250)</f>
        <v>10250</v>
      </c>
      <c r="N162" s="72">
        <f ca="1">IFERROR(__xludf.DUMMYFUNCTION("IMPORTRANGE(""https://docs.google.com/spreadsheets/d/1-uDff_7J0KD5mKrp0Vvzr7lt3OU09vwQwhkpOPPYv2Y/edit?usp=sharing"",""งบพรบ!CH62"")"),2340)</f>
        <v>2340</v>
      </c>
      <c r="O162" s="72">
        <f t="shared" ca="1" si="45"/>
        <v>36</v>
      </c>
      <c r="P162" s="72">
        <f t="shared" ca="1" si="46"/>
        <v>22.829268292682926</v>
      </c>
      <c r="Q162" s="72">
        <f ca="1">IFERROR(__xludf.DUMMYFUNCTION("IMPORTRANGE(""https://docs.google.com/spreadsheets/d/1ItG2mGa2ceCfYo0BwxsXqNm01IGEUdYcSSLTEv9YCik/edit?usp=sharing"",""เบิกจ่ายกองทุน!AM62"")"),0)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IFERROR(__xludf.DUMMYFUNCTION("IMPORTRANGE(""https://docs.google.com/spreadsheets/d/1ItG2mGa2ceCfYo0BwxsXqNm01IGEUdYcSSLTEv9YCik/edit?usp=sharing"",""เบิกจ่ายกองทุน!AN62"")"),0)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IFERROR(__xludf.DUMMYFUNCTION("IMPORTRANGE(""https://docs.google.com/spreadsheets/d/1ItG2mGa2ceCfYo0BwxsXqNm01IGEUdYcSSLTEv9YCik/edit?usp=sharing"",""เบิกจ่ายกองทุน!AO62"")"),0)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IFERROR(__xludf.DUMMYFUNCTION("IMPORTRANGE(""https://docs.google.com/spreadsheets/d/1-uDff_7J0KD5mKrp0Vvzr7lt3OU09vwQwhkpOPPYv2Y/edit?usp=sharing"",""งบพรบ!CD62"")"),0)</f>
        <v>0</v>
      </c>
      <c r="M165" s="72">
        <f ca="1">IFERROR(__xludf.DUMMYFUNCTION("IMPORTRANGE(""https://docs.google.com/spreadsheets/d/1-uDff_7J0KD5mKrp0Vvzr7lt3OU09vwQwhkpOPPYv2Y/edit?usp=sharing"",""งบพรบ!CG62"")"),0)</f>
        <v>0</v>
      </c>
      <c r="N165" s="72">
        <f ca="1">IFERROR(__xludf.DUMMYFUNCTION("IMPORTRANGE(""https://docs.google.com/spreadsheets/d/1-uDff_7J0KD5mKrp0Vvzr7lt3OU09vwQwhkpOPPYv2Y/edit?usp=sharing"",""งบพรบ!CI62"")"),0)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IFERROR(__xludf.DUMMYFUNCTION("IMPORTRANGE(""https://docs.google.com/spreadsheets/d/1eHaY18a8A9IcSdp1K8H6x8fbOy06t2VsZHhMHf-1x7Y/edit?usp=sharing"",""แผน!Z62"")"),15)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30760</v>
      </c>
      <c r="N173" s="262">
        <f ca="1">N174+N175</f>
        <v>30270</v>
      </c>
      <c r="O173" s="262">
        <f t="shared" ref="O173:O181" ca="1" si="51">IF(L173&gt;0,N173*100/L173,0)</f>
        <v>154.51761102603368</v>
      </c>
      <c r="P173" s="262">
        <f t="shared" ref="P173:P181" ca="1" si="52">IF(M173&gt;0,N173*100/M173,0)</f>
        <v>98.407022106631985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30760</v>
      </c>
      <c r="N175" s="72">
        <f t="shared" ca="1" si="55"/>
        <v>30270</v>
      </c>
      <c r="O175" s="72">
        <f t="shared" ca="1" si="51"/>
        <v>154.51761102603368</v>
      </c>
      <c r="P175" s="72">
        <f t="shared" ca="1" si="52"/>
        <v>98.407022106631985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30760</v>
      </c>
      <c r="N176" s="72">
        <f ca="1">N177+N178</f>
        <v>30270</v>
      </c>
      <c r="O176" s="72">
        <f t="shared" ca="1" si="51"/>
        <v>154.51761102603368</v>
      </c>
      <c r="P176" s="72">
        <f t="shared" ca="1" si="52"/>
        <v>98.407022106631985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IFERROR(__xludf.DUMMYFUNCTION("IMPORTRANGE(""https://docs.google.com/spreadsheets/d/1-uDff_7J0KD5mKrp0Vvzr7lt3OU09vwQwhkpOPPYv2Y/edit?usp=sharing"",""งบพรบ!CK62"")"),19590)</f>
        <v>19590</v>
      </c>
      <c r="M178" s="72">
        <f ca="1">IFERROR(__xludf.DUMMYFUNCTION("IMPORTRANGE(""https://docs.google.com/spreadsheets/d/1-uDff_7J0KD5mKrp0Vvzr7lt3OU09vwQwhkpOPPYv2Y/edit?usp=sharing"",""งบพรบ!CP62"")"),30760)</f>
        <v>30760</v>
      </c>
      <c r="N178" s="72">
        <f ca="1">IFERROR(__xludf.DUMMYFUNCTION("IMPORTRANGE(""https://docs.google.com/spreadsheets/d/1-uDff_7J0KD5mKrp0Vvzr7lt3OU09vwQwhkpOPPYv2Y/edit?usp=sharing"",""งบพรบ!CR62"")"),30270)</f>
        <v>30270</v>
      </c>
      <c r="O178" s="72">
        <f t="shared" ca="1" si="51"/>
        <v>154.51761102603368</v>
      </c>
      <c r="P178" s="72">
        <f t="shared" ca="1" si="52"/>
        <v>98.407022106631985</v>
      </c>
      <c r="Q178" s="72">
        <f ca="1">IFERROR(__xludf.DUMMYFUNCTION("IMPORTRANGE(""https://docs.google.com/spreadsheets/d/1ItG2mGa2ceCfYo0BwxsXqNm01IGEUdYcSSLTEv9YCik/edit?usp=sharing"",""เบิกจ่ายกองทุน!DG62"")"),0)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IFERROR(__xludf.DUMMYFUNCTION("IMPORTRANGE(""https://docs.google.com/spreadsheets/d/1ItG2mGa2ceCfYo0BwxsXqNm01IGEUdYcSSLTEv9YCik/edit?usp=sharing"",""เบิกจ่ายกองทุน!DH62"")"),0)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IFERROR(__xludf.DUMMYFUNCTION("IMPORTRANGE(""https://docs.google.com/spreadsheets/d/1ItG2mGa2ceCfYo0BwxsXqNm01IGEUdYcSSLTEv9YCik/edit?usp=sharing"",""เบิกจ่ายกองทุน!DI62"")"),0)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IFERROR(__xludf.DUMMYFUNCTION("IMPORTRANGE(""https://docs.google.com/spreadsheets/d/1-uDff_7J0KD5mKrp0Vvzr7lt3OU09vwQwhkpOPPYv2Y/edit?usp=sharing"",""งบพรบ!CN62"")"),0)</f>
        <v>0</v>
      </c>
      <c r="M181" s="72">
        <f ca="1">IFERROR(__xludf.DUMMYFUNCTION("IMPORTRANGE(""https://docs.google.com/spreadsheets/d/1-uDff_7J0KD5mKrp0Vvzr7lt3OU09vwQwhkpOPPYv2Y/edit?usp=sharing"",""งบพรบ!CQ62"")"),0)</f>
        <v>0</v>
      </c>
      <c r="N181" s="72">
        <f ca="1">IFERROR(__xludf.DUMMYFUNCTION("IMPORTRANGE(""https://docs.google.com/spreadsheets/d/1-uDff_7J0KD5mKrp0Vvzr7lt3OU09vwQwhkpOPPYv2Y/edit?usp=sharing"",""งบพรบ!CS62"")"),0)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IFERROR(__xludf.DUMMYFUNCTION("IMPORTRANGE(""https://docs.google.com/spreadsheets/d/1eHaY18a8A9IcSdp1K8H6x8fbOy06t2VsZHhMHf-1x7Y/edit?usp=sharing"",""แผน!AA62"")"),7)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99200</v>
      </c>
      <c r="M186" s="262">
        <f ca="1">M187+M188</f>
        <v>101200</v>
      </c>
      <c r="N186" s="262">
        <f ca="1">N187+N188</f>
        <v>76230</v>
      </c>
      <c r="O186" s="262">
        <f t="shared" ref="O186:O194" ca="1" si="57">IF(L186&gt;0,N186*100/L186,0)</f>
        <v>76.844758064516128</v>
      </c>
      <c r="P186" s="262">
        <f t="shared" ref="P186:P194" ca="1" si="58">IF(M186&gt;0,N186*100/M186,0)</f>
        <v>75.326086956521735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99200</v>
      </c>
      <c r="M188" s="72">
        <f t="shared" ca="1" si="61"/>
        <v>101200</v>
      </c>
      <c r="N188" s="72">
        <f t="shared" ca="1" si="61"/>
        <v>76230</v>
      </c>
      <c r="O188" s="72">
        <f t="shared" ca="1" si="57"/>
        <v>76.844758064516128</v>
      </c>
      <c r="P188" s="72">
        <f t="shared" ca="1" si="58"/>
        <v>75.326086956521735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99200</v>
      </c>
      <c r="M189" s="72">
        <f ca="1">M190+M191</f>
        <v>101200</v>
      </c>
      <c r="N189" s="72">
        <f ca="1">N190+N191</f>
        <v>76230</v>
      </c>
      <c r="O189" s="72">
        <f t="shared" ca="1" si="57"/>
        <v>76.844758064516128</v>
      </c>
      <c r="P189" s="72">
        <f t="shared" ca="1" si="58"/>
        <v>75.326086956521735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IFERROR(__xludf.DUMMYFUNCTION("IMPORTRANGE(""https://docs.google.com/spreadsheets/d/1-uDff_7J0KD5mKrp0Vvzr7lt3OU09vwQwhkpOPPYv2Y/edit?usp=sharing"",""งบพรบ!CU62"")"),99200)</f>
        <v>99200</v>
      </c>
      <c r="M191" s="72">
        <f ca="1">IFERROR(__xludf.DUMMYFUNCTION("IMPORTRANGE(""https://docs.google.com/spreadsheets/d/1-uDff_7J0KD5mKrp0Vvzr7lt3OU09vwQwhkpOPPYv2Y/edit?usp=sharing"",""งบพรบ!CZ62"")"),101200)</f>
        <v>101200</v>
      </c>
      <c r="N191" s="72">
        <f ca="1">IFERROR(__xludf.DUMMYFUNCTION("IMPORTRANGE(""https://docs.google.com/spreadsheets/d/1-uDff_7J0KD5mKrp0Vvzr7lt3OU09vwQwhkpOPPYv2Y/edit?usp=sharing"",""งบพรบ!DB62"")"),76230)</f>
        <v>76230</v>
      </c>
      <c r="O191" s="72">
        <f t="shared" ca="1" si="57"/>
        <v>76.844758064516128</v>
      </c>
      <c r="P191" s="72">
        <f t="shared" ca="1" si="58"/>
        <v>75.326086956521735</v>
      </c>
      <c r="Q191" s="72">
        <f ca="1">IFERROR(__xludf.DUMMYFUNCTION("IMPORTRANGE(""https://docs.google.com/spreadsheets/d/1ItG2mGa2ceCfYo0BwxsXqNm01IGEUdYcSSLTEv9YCik/edit?usp=sharing"",""เบิกจ่ายกองทุน!BQ62"")"),28000)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IFERROR(__xludf.DUMMYFUNCTION("IMPORTRANGE(""https://docs.google.com/spreadsheets/d/1ItG2mGa2ceCfYo0BwxsXqNm01IGEUdYcSSLTEv9YCik/edit?usp=sharing"",""เบิกจ่ายกองทุน!BR62"")"),28000)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IFERROR(__xludf.DUMMYFUNCTION("IMPORTRANGE(""https://docs.google.com/spreadsheets/d/1ItG2mGa2ceCfYo0BwxsXqNm01IGEUdYcSSLTEv9YCik/edit?usp=sharing"",""เบิกจ่ายกองทุน!BS62"")"),0)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IFERROR(__xludf.DUMMYFUNCTION("IMPORTRANGE(""https://docs.google.com/spreadsheets/d/1-uDff_7J0KD5mKrp0Vvzr7lt3OU09vwQwhkpOPPYv2Y/edit?usp=sharing"",""งบพรบ!CX62"")"),0)</f>
        <v>0</v>
      </c>
      <c r="M194" s="72">
        <f ca="1">IFERROR(__xludf.DUMMYFUNCTION("IMPORTRANGE(""https://docs.google.com/spreadsheets/d/1-uDff_7J0KD5mKrp0Vvzr7lt3OU09vwQwhkpOPPYv2Y/edit?usp=sharing"",""งบพรบ!DA62"")"),0)</f>
        <v>0</v>
      </c>
      <c r="N194" s="72">
        <f ca="1">IFERROR(__xludf.DUMMYFUNCTION("IMPORTRANGE(""https://docs.google.com/spreadsheets/d/1-uDff_7J0KD5mKrp0Vvzr7lt3OU09vwQwhkpOPPYv2Y/edit?usp=sharing"",""งบพรบ!DC62"")"),0)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IFERROR(__xludf.DUMMYFUNCTION("IMPORTRANGE(""https://docs.google.com/spreadsheets/d/1ItG2mGa2ceCfYo0BwxsXqNm01IGEUdYcSSLTEv9YCik/edit?usp=sharing"",""เบิกจ่ายกองทุน!BT62"")"),0)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IFERROR(__xludf.DUMMYFUNCTION("IMPORTRANGE(""https://docs.google.com/spreadsheets/d/1ItG2mGa2ceCfYo0BwxsXqNm01IGEUdYcSSLTEv9YCik/edit?usp=sharing"",""เบิกจ่ายกองทุน!BU62"")"),0)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IFERROR(__xludf.DUMMYFUNCTION("IMPORTRANGE(""https://docs.google.com/spreadsheets/d/1ItG2mGa2ceCfYo0BwxsXqNm01IGEUdYcSSLTEv9YCik/edit?usp=sharing"",""เบิกจ่ายกองทุน!BV62"")"),0)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IFERROR(__xludf.DUMMYFUNCTION("IMPORTRANGE(""https://docs.google.com/spreadsheets/d/1eHaY18a8A9IcSdp1K8H6x8fbOy06t2VsZHhMHf-1x7Y/edit?usp=sharing"",""แผน!AB62"")"),6000)</f>
        <v>6000</v>
      </c>
      <c r="M196" s="85"/>
      <c r="N196" s="961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IFERROR(__xludf.DUMMYFUNCTION("IMPORTRANGE(""https://docs.google.com/spreadsheets/d/1eHaY18a8A9IcSdp1K8H6x8fbOy06t2VsZHhMHf-1x7Y/edit?usp=sharing"",""แผน!AE62"")"),4)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104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104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2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IFERROR(__xludf.DUMMYFUNCTION("IMPORTRANGE(""https://docs.google.com/spreadsheets/d/1eHaY18a8A9IcSdp1K8H6x8fbOy06t2VsZHhMHf-1x7Y/edit?usp=sharing"",""แผน!AG62"")"),2000)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IFERROR(__xludf.DUMMYFUNCTION("IMPORTRANGE(""https://docs.google.com/spreadsheets/d/1eHaY18a8A9IcSdp1K8H6x8fbOy06t2VsZHhMHf-1x7Y/edit?usp=sharing"",""แผน!AH62"")"),0)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IFERROR(__xludf.DUMMYFUNCTION("IMPORTRANGE(""https://docs.google.com/spreadsheets/d/1eHaY18a8A9IcSdp1K8H6x8fbOy06t2VsZHhMHf-1x7Y/edit?usp=sharing"",""แผน!AI62"")"),0)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IFERROR(__xludf.DUMMYFUNCTION("IMPORTRANGE(""https://docs.google.com/spreadsheets/d/1eHaY18a8A9IcSdp1K8H6x8fbOy06t2VsZHhMHf-1x7Y/edit?usp=sharing"",""แผน!LV62"")"),28000)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IFERROR(__xludf.DUMMYFUNCTION("IMPORTRANGE(""https://docs.google.com/spreadsheets/d/1eHaY18a8A9IcSdp1K8H6x8fbOy06t2VsZHhMHf-1x7Y/edit?usp=sharing"",""แผน!AJ62"")"),8000)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IFERROR(__xludf.DUMMYFUNCTION("IMPORTRANGE(""https://docs.google.com/spreadsheets/d/1eHaY18a8A9IcSdp1K8H6x8fbOy06t2VsZHhMHf-1x7Y/edit?usp=sharing"",""แผน!AK62"")"),2)</f>
        <v>2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IFERROR(__xludf.DUMMYFUNCTION("IMPORTRANGE(""https://docs.google.com/spreadsheets/d/1eHaY18a8A9IcSdp1K8H6x8fbOy06t2VsZHhMHf-1x7Y/edit?usp=sharing"",""แผน!JX62"")"),2)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IFERROR(__xludf.DUMMYFUNCTION("IMPORTRANGE(""https://docs.google.com/spreadsheets/d/1eHaY18a8A9IcSdp1K8H6x8fbOy06t2VsZHhMHf-1x7Y/edit?usp=sharing"",""แผน!JY62"")"),0)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IFERROR(__xludf.DUMMYFUNCTION("IMPORTRANGE(""https://docs.google.com/spreadsheets/d/1eHaY18a8A9IcSdp1K8H6x8fbOy06t2VsZHhMHf-1x7Y/edit?usp=sharing"",""แผน!AM62"")"),0)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IFERROR(__xludf.DUMMYFUNCTION("IMPORTRANGE(""https://docs.google.com/spreadsheets/d/1eHaY18a8A9IcSdp1K8H6x8fbOy06t2VsZHhMHf-1x7Y/edit?usp=sharing"",""แผน!AN62"")"),0)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IFERROR(__xludf.DUMMYFUNCTION("IMPORTRANGE(""https://docs.google.com/spreadsheets/d/1eHaY18a8A9IcSdp1K8H6x8fbOy06t2VsZHhMHf-1x7Y/edit?usp=sharing"",""แผน!AO62"")"),0)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IFERROR(__xludf.DUMMYFUNCTION("IMPORTRANGE(""https://docs.google.com/spreadsheets/d/1eHaY18a8A9IcSdp1K8H6x8fbOy06t2VsZHhMHf-1x7Y/edit?usp=sharing"",""แผน!LY62"")"),0)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IFERROR(__xludf.DUMMYFUNCTION("IMPORTRANGE(""https://docs.google.com/spreadsheets/d/1eHaY18a8A9IcSdp1K8H6x8fbOy06t2VsZHhMHf-1x7Y/edit?usp=sharing"",""แผน!AP62"")"),0)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IFERROR(__xludf.DUMMYFUNCTION("IMPORTRANGE(""https://docs.google.com/spreadsheets/d/1eHaY18a8A9IcSdp1K8H6x8fbOy06t2VsZHhMHf-1x7Y/edit?usp=sharing"",""แผน!AP62"")"),0)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20000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IFERROR(__xludf.DUMMYFUNCTION("IMPORTRANGE(""https://docs.google.com/spreadsheets/d/1eHaY18a8A9IcSdp1K8H6x8fbOy06t2VsZHhMHf-1x7Y/edit?usp=sharing"",""แผน!AR62"")"),2500)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IFERROR(__xludf.DUMMYFUNCTION("IMPORTRANGE(""https://docs.google.com/spreadsheets/d/1eHaY18a8A9IcSdp1K8H6x8fbOy06t2VsZHhMHf-1x7Y/edit?usp=sharing"",""แผน!AS62"")"),2000)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IFERROR(__xludf.DUMMYFUNCTION("IMPORTRANGE(""https://docs.google.com/spreadsheets/d/1eHaY18a8A9IcSdp1K8H6x8fbOy06t2VsZHhMHf-1x7Y/edit?usp=sharing"",""แผน!AT62"")"),0)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IFERROR(__xludf.DUMMYFUNCTION("IMPORTRANGE(""https://docs.google.com/spreadsheets/d/1eHaY18a8A9IcSdp1K8H6x8fbOy06t2VsZHhMHf-1x7Y/edit?usp=sharing"",""แผน!AV62"")"),20000)</f>
        <v>20000</v>
      </c>
      <c r="J228" s="292">
        <v>20000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IFERROR(__xludf.DUMMYFUNCTION("IMPORTRANGE(""https://docs.google.com/spreadsheets/d/1eHaY18a8A9IcSdp1K8H6x8fbOy06t2VsZHhMHf-1x7Y/edit?usp=sharing"",""แผน!AV62"")"),20000)</f>
        <v>20000</v>
      </c>
      <c r="J229" s="292">
        <v>20000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IFERROR(__xludf.DUMMYFUNCTION("IMPORTRANGE(""https://docs.google.com/spreadsheets/d/1eHaY18a8A9IcSdp1K8H6x8fbOy06t2VsZHhMHf-1x7Y/edit?usp=sharing"",""แผน!AU62"")"),0)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1307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67"/>
      <c r="C232" s="276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67"/>
      <c r="D233" s="567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567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567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305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7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305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7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7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1304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67"/>
      <c r="C243" s="948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67"/>
      <c r="D244" s="569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IFERROR(__xludf.DUMMYFUNCTION("IMPORTRANGE(""https://docs.google.com/spreadsheets/d/1eHaY18a8A9IcSdp1K8H6x8fbOy06t2VsZHhMHf-1x7Y/edit?usp=sharing"",""แผน!AX62"")"),0)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569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IFERROR(__xludf.DUMMYFUNCTION("IMPORTRANGE(""https://docs.google.com/spreadsheets/d/1eHaY18a8A9IcSdp1K8H6x8fbOy06t2VsZHhMHf-1x7Y/edit?usp=sharing"",""แผน!AY62"")"),0)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569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IFERROR(__xludf.DUMMYFUNCTION("IMPORTRANGE(""https://docs.google.com/spreadsheets/d/1eHaY18a8A9IcSdp1K8H6x8fbOy06t2VsZHhMHf-1x7Y/edit?usp=sharing"",""แผน!AZ62"")"),0)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IFERROR(__xludf.DUMMYFUNCTION("IMPORTRANGE(""https://docs.google.com/spreadsheets/d/1eHaY18a8A9IcSdp1K8H6x8fbOy06t2VsZHhMHf-1x7Y/edit?usp=sharing"",""แผน!BA62"")"),0)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305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756" t="s">
        <v>35</v>
      </c>
      <c r="I249" s="570">
        <f ca="1">IFERROR(__xludf.DUMMYFUNCTION("IMPORTRANGE(""https://docs.google.com/spreadsheets/d/1eHaY18a8A9IcSdp1K8H6x8fbOy06t2VsZHhMHf-1x7Y/edit?usp=sharing"",""แผน!BG62"")"),0)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305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756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756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304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48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569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IFERROR(__xludf.DUMMYFUNCTION("IMPORTRANGE(""https://docs.google.com/spreadsheets/d/1eHaY18a8A9IcSdp1K8H6x8fbOy06t2VsZHhMHf-1x7Y/edit?usp=sharing"",""แผน!BB62"")"),0)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9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IFERROR(__xludf.DUMMYFUNCTION("IMPORTRANGE(""https://docs.google.com/spreadsheets/d/1eHaY18a8A9IcSdp1K8H6x8fbOy06t2VsZHhMHf-1x7Y/edit?usp=sharing"",""แผน!BC62"")"),0)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9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IFERROR(__xludf.DUMMYFUNCTION("IMPORTRANGE(""https://docs.google.com/spreadsheets/d/1eHaY18a8A9IcSdp1K8H6x8fbOy06t2VsZHhMHf-1x7Y/edit?usp=sharing"",""แผน!BD62"")"),0)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IFERROR(__xludf.DUMMYFUNCTION("IMPORTRANGE(""https://docs.google.com/spreadsheets/d/1eHaY18a8A9IcSdp1K8H6x8fbOy06t2VsZHhMHf-1x7Y/edit?usp=sharing"",""แผน!BE62"")"),0)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IFERROR(__xludf.DUMMYFUNCTION("IMPORTRANGE(""https://docs.google.com/spreadsheets/d/1eHaY18a8A9IcSdp1K8H6x8fbOy06t2VsZHhMHf-1x7Y/edit?usp=sharing"",""แผน!BH62"")"),0)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756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756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1358"/>
      <c r="B265" s="356" t="s">
        <v>114</v>
      </c>
      <c r="C265" s="1357"/>
      <c r="D265" s="356"/>
      <c r="E265" s="356"/>
      <c r="F265" s="356"/>
      <c r="G265" s="1356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389">
        <f ca="1">L267+L268</f>
        <v>5000</v>
      </c>
      <c r="M266" s="262">
        <f ca="1">M267+M268</f>
        <v>5000</v>
      </c>
      <c r="N266" s="262">
        <f ca="1">N267+N268</f>
        <v>0</v>
      </c>
      <c r="O266" s="262">
        <f t="shared" ref="O266:O274" ca="1" si="63">IF(L266&gt;0,N266*100/L266,0)</f>
        <v>0</v>
      </c>
      <c r="P266" s="262">
        <f t="shared" ref="P266:P274" ca="1" si="64">IF(M266&gt;0,N266*100/M266,0)</f>
        <v>0</v>
      </c>
      <c r="Q266" s="262">
        <f ca="1">Q267+Q268</f>
        <v>50660</v>
      </c>
      <c r="R266" s="262">
        <f ca="1">R267+R268</f>
        <v>50660</v>
      </c>
      <c r="S266" s="262">
        <f ca="1">S267+S268</f>
        <v>25910</v>
      </c>
      <c r="T266" s="262">
        <f t="shared" ref="T266:T274" ca="1" si="65">IF(Q266&gt;0,S266*100/Q266,0)</f>
        <v>51.144887485195419</v>
      </c>
      <c r="U266" s="262">
        <f t="shared" ref="U266:U274" ca="1" si="66">IF(R266&gt;0,S266*100/R266,0)</f>
        <v>51.144887485195419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71">
        <f t="shared" ca="1" si="67"/>
        <v>5000</v>
      </c>
      <c r="M268" s="72">
        <f t="shared" ca="1" si="67"/>
        <v>5000</v>
      </c>
      <c r="N268" s="72">
        <f t="shared" ca="1" si="67"/>
        <v>0</v>
      </c>
      <c r="O268" s="72">
        <f t="shared" ca="1" si="63"/>
        <v>0</v>
      </c>
      <c r="P268" s="72">
        <f t="shared" ca="1" si="64"/>
        <v>0</v>
      </c>
      <c r="Q268" s="72">
        <f t="shared" ca="1" si="68"/>
        <v>50660</v>
      </c>
      <c r="R268" s="72">
        <f t="shared" ca="1" si="68"/>
        <v>50660</v>
      </c>
      <c r="S268" s="72">
        <f t="shared" ca="1" si="68"/>
        <v>25910</v>
      </c>
      <c r="T268" s="72">
        <f t="shared" ca="1" si="65"/>
        <v>51.144887485195419</v>
      </c>
      <c r="U268" s="72">
        <f t="shared" ca="1" si="66"/>
        <v>51.144887485195419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71">
        <f ca="1">L270+L271</f>
        <v>5000</v>
      </c>
      <c r="M269" s="72">
        <f ca="1">M270+M271</f>
        <v>5000</v>
      </c>
      <c r="N269" s="72">
        <f ca="1">N270+N271</f>
        <v>0</v>
      </c>
      <c r="O269" s="72">
        <f t="shared" ca="1" si="63"/>
        <v>0</v>
      </c>
      <c r="P269" s="72">
        <f t="shared" ca="1" si="64"/>
        <v>0</v>
      </c>
      <c r="Q269" s="72">
        <f ca="1">Q270+Q271</f>
        <v>50660</v>
      </c>
      <c r="R269" s="72">
        <f ca="1">R270+R271</f>
        <v>50660</v>
      </c>
      <c r="S269" s="72">
        <f ca="1">S270+S271</f>
        <v>25910</v>
      </c>
      <c r="T269" s="72">
        <f t="shared" ca="1" si="65"/>
        <v>51.144887485195419</v>
      </c>
      <c r="U269" s="72">
        <f t="shared" ca="1" si="66"/>
        <v>51.144887485195419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71">
        <f ca="1">IFERROR(__xludf.DUMMYFUNCTION("IMPORTRANGE(""https://docs.google.com/spreadsheets/d/1-uDff_7J0KD5mKrp0Vvzr7lt3OU09vwQwhkpOPPYv2Y/edit?usp=sharing"",""งบพรบ!DE62"")"),5000)</f>
        <v>5000</v>
      </c>
      <c r="M271" s="72">
        <f ca="1">IFERROR(__xludf.DUMMYFUNCTION("IMPORTRANGE(""https://docs.google.com/spreadsheets/d/1-uDff_7J0KD5mKrp0Vvzr7lt3OU09vwQwhkpOPPYv2Y/edit?usp=sharing"",""งบพรบ!DJ62"")"),5000)</f>
        <v>5000</v>
      </c>
      <c r="N271" s="72">
        <f ca="1">IFERROR(__xludf.DUMMYFUNCTION("IMPORTRANGE(""https://docs.google.com/spreadsheets/d/1-uDff_7J0KD5mKrp0Vvzr7lt3OU09vwQwhkpOPPYv2Y/edit?usp=sharing"",""งบพรบ!DL62"")"),0)</f>
        <v>0</v>
      </c>
      <c r="O271" s="72">
        <f t="shared" ca="1" si="63"/>
        <v>0</v>
      </c>
      <c r="P271" s="72">
        <f t="shared" ca="1" si="64"/>
        <v>0</v>
      </c>
      <c r="Q271" s="72">
        <f ca="1">IFERROR(__xludf.DUMMYFUNCTION("IMPORTRANGE(""https://docs.google.com/spreadsheets/d/1ItG2mGa2ceCfYo0BwxsXqNm01IGEUdYcSSLTEv9YCik/edit?usp=sharing"",""เบิกจ่ายกองทุน!AP62"")"),50660)</f>
        <v>50660</v>
      </c>
      <c r="R271" s="72">
        <f ca="1">IFERROR(__xludf.DUMMYFUNCTION("IMPORTRANGE(""https://docs.google.com/spreadsheets/d/1ItG2mGa2ceCfYo0BwxsXqNm01IGEUdYcSSLTEv9YCik/edit?usp=sharing"",""เบิกจ่ายกองทุน!AQ62"")"),50660)</f>
        <v>50660</v>
      </c>
      <c r="S271" s="72">
        <f ca="1">IFERROR(__xludf.DUMMYFUNCTION("IMPORTRANGE(""https://docs.google.com/spreadsheets/d/1ItG2mGa2ceCfYo0BwxsXqNm01IGEUdYcSSLTEv9YCik/edit?usp=sharing"",""เบิกจ่ายกองทุน!AR62"")"),25910)</f>
        <v>25910</v>
      </c>
      <c r="T271" s="72">
        <f t="shared" ca="1" si="65"/>
        <v>51.144887485195419</v>
      </c>
      <c r="U271" s="72">
        <f t="shared" ca="1" si="66"/>
        <v>51.144887485195419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71">
        <f ca="1">L273+L274</f>
        <v>0</v>
      </c>
      <c r="M272" s="72">
        <f ca="1">M273+M274</f>
        <v>0</v>
      </c>
      <c r="N272" s="72">
        <f ca="1">N273+N274</f>
        <v>0</v>
      </c>
      <c r="O272" s="72">
        <f t="shared" ca="1" si="63"/>
        <v>0</v>
      </c>
      <c r="P272" s="72">
        <f t="shared" ca="1" si="64"/>
        <v>0</v>
      </c>
      <c r="Q272" s="72">
        <f>Q273+Q274</f>
        <v>0</v>
      </c>
      <c r="R272" s="72">
        <f>R273+R274</f>
        <v>0</v>
      </c>
      <c r="S272" s="72">
        <f>S273+S274</f>
        <v>0</v>
      </c>
      <c r="T272" s="72">
        <f t="shared" si="65"/>
        <v>0</v>
      </c>
      <c r="U272" s="72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71">
        <f ca="1">IFERROR(__xludf.DUMMYFUNCTION("IMPORTRANGE(""https://docs.google.com/spreadsheets/d/1-uDff_7J0KD5mKrp0Vvzr7lt3OU09vwQwhkpOPPYv2Y/edit?usp=sharing"",""งบพรบ!DH62"")"),0)</f>
        <v>0</v>
      </c>
      <c r="M274" s="72">
        <f ca="1">IFERROR(__xludf.DUMMYFUNCTION("IMPORTRANGE(""https://docs.google.com/spreadsheets/d/1-uDff_7J0KD5mKrp0Vvzr7lt3OU09vwQwhkpOPPYv2Y/edit?usp=sharing"",""งบพรบ!DK62"")"),0)</f>
        <v>0</v>
      </c>
      <c r="N274" s="72">
        <f ca="1">IFERROR(__xludf.DUMMYFUNCTION("IMPORTRANGE(""https://docs.google.com/spreadsheets/d/1-uDff_7J0KD5mKrp0Vvzr7lt3OU09vwQwhkpOPPYv2Y/edit?usp=sharing"",""งบพรบ!DM62"")"),0)</f>
        <v>0</v>
      </c>
      <c r="O274" s="72">
        <f t="shared" ca="1" si="63"/>
        <v>0</v>
      </c>
      <c r="P274" s="72">
        <f t="shared" ca="1" si="64"/>
        <v>0</v>
      </c>
      <c r="Q274" s="72">
        <v>0</v>
      </c>
      <c r="R274" s="72">
        <v>0</v>
      </c>
      <c r="S274" s="72">
        <v>0</v>
      </c>
      <c r="T274" s="72">
        <f t="shared" si="65"/>
        <v>0</v>
      </c>
      <c r="U274" s="72">
        <f t="shared" si="66"/>
        <v>0</v>
      </c>
    </row>
    <row r="275" spans="1:21" ht="19.5" x14ac:dyDescent="0.3">
      <c r="A275" s="220"/>
      <c r="B275" s="221"/>
      <c r="C275" s="668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IFERROR(__xludf.DUMMYFUNCTION("IMPORTRANGE(""https://docs.google.com/spreadsheets/d/1eHaY18a8A9IcSdp1K8H6x8fbOy06t2VsZHhMHf-1x7Y/edit?usp=sharing"",""แผน!EC62"")"),22)</f>
        <v>22</v>
      </c>
      <c r="J276" s="1117">
        <v>22</v>
      </c>
      <c r="K276" s="83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929" t="s">
        <v>116</v>
      </c>
      <c r="E277" s="736"/>
      <c r="F277" s="736"/>
      <c r="G277" s="737"/>
      <c r="H277" s="1297" t="s">
        <v>35</v>
      </c>
      <c r="I277" s="760">
        <v>0</v>
      </c>
      <c r="J277" s="760">
        <v>0</v>
      </c>
      <c r="K277" s="927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IFERROR(__xludf.DUMMYFUNCTION("IMPORTRANGE(""https://docs.google.com/spreadsheets/d/1-uDff_7J0KD5mKrp0Vvzr7lt3OU09vwQwhkpOPPYv2Y/edit?usp=sharing"",""งบพรบ!DO62"")"),0)</f>
        <v>0</v>
      </c>
      <c r="M287" s="72">
        <f ca="1">IFERROR(__xludf.DUMMYFUNCTION("IMPORTRANGE(""https://docs.google.com/spreadsheets/d/1-uDff_7J0KD5mKrp0Vvzr7lt3OU09vwQwhkpOPPYv2Y/edit?usp=sharing"",""งบพรบ!DT62"")"),0)</f>
        <v>0</v>
      </c>
      <c r="N287" s="72">
        <f ca="1">IFERROR(__xludf.DUMMYFUNCTION("IMPORTRANGE(""https://docs.google.com/spreadsheets/d/1-uDff_7J0KD5mKrp0Vvzr7lt3OU09vwQwhkpOPPYv2Y/edit?usp=sharing"",""งบพรบ!DV62"")"),0)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IFERROR(__xludf.DUMMYFUNCTION("IMPORTRANGE(""https://docs.google.com/spreadsheets/d/1-uDff_7J0KD5mKrp0Vvzr7lt3OU09vwQwhkpOPPYv2Y/edit?usp=sharing"",""งบพรบ!DR62"")"),0)</f>
        <v>0</v>
      </c>
      <c r="M290" s="72">
        <f ca="1">IFERROR(__xludf.DUMMYFUNCTION("IMPORTRANGE(""https://docs.google.com/spreadsheets/d/1-uDff_7J0KD5mKrp0Vvzr7lt3OU09vwQwhkpOPPYv2Y/edit?usp=sharing"",""งบพรบ!DU62"")"),0)</f>
        <v>0</v>
      </c>
      <c r="N290" s="72">
        <f ca="1">IFERROR(__xludf.DUMMYFUNCTION("IMPORTRANGE(""https://docs.google.com/spreadsheets/d/1-uDff_7J0KD5mKrp0Vvzr7lt3OU09vwQwhkpOPPYv2Y/edit?usp=sharing"",""งบพรบ!DW62"")"),0)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IFERROR(__xludf.DUMMYFUNCTION("IMPORTRANGE(""https://docs.google.com/spreadsheets/d/1eHaY18a8A9IcSdp1K8H6x8fbOy06t2VsZHhMHf-1x7Y/edit?usp=sharing"",""แผน!EE62"")"),0)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IFERROR(__xludf.DUMMYFUNCTION("IMPORTRANGE(""https://docs.google.com/spreadsheets/d/1eHaY18a8A9IcSdp1K8H6x8fbOy06t2VsZHhMHf-1x7Y/edit?usp=sharing"",""แผน!ED62"")"),0)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IFERROR(__xludf.DUMMYFUNCTION("IMPORTRANGE(""https://docs.google.com/spreadsheets/d/1eHaY18a8A9IcSdp1K8H6x8fbOy06t2VsZHhMHf-1x7Y/edit?usp=sharing"",""แผน!ED62"")"),0)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IFERROR(__xludf.DUMMYFUNCTION("IMPORTRANGE(""https://docs.google.com/spreadsheets/d/1eHaY18a8A9IcSdp1K8H6x8fbOy06t2VsZHhMHf-1x7Y/edit?usp=sharing"",""แผน!ED62"")"),0)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228095.39</v>
      </c>
      <c r="R303" s="262">
        <f ca="1">R304+R305</f>
        <v>228095</v>
      </c>
      <c r="S303" s="262">
        <f ca="1">S304+S305</f>
        <v>980</v>
      </c>
      <c r="T303" s="262">
        <f t="shared" ref="T303:T311" ca="1" si="77">IF(Q303&gt;0,S303*100/Q303,0)</f>
        <v>0.42964480781483566</v>
      </c>
      <c r="U303" s="262">
        <f t="shared" ref="U303:U311" ca="1" si="78">IF(R303&gt;0,S303*100/R303,0)</f>
        <v>0.42964554242749731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228095.39</v>
      </c>
      <c r="R305" s="72">
        <f t="shared" ca="1" si="80"/>
        <v>228095</v>
      </c>
      <c r="S305" s="72">
        <f t="shared" ca="1" si="80"/>
        <v>980</v>
      </c>
      <c r="T305" s="72">
        <f t="shared" ca="1" si="77"/>
        <v>0.42964480781483566</v>
      </c>
      <c r="U305" s="72">
        <f t="shared" ca="1" si="78"/>
        <v>0.42964554242749731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228095.39</v>
      </c>
      <c r="R306" s="72">
        <f ca="1">R307+R308</f>
        <v>228095</v>
      </c>
      <c r="S306" s="72">
        <f ca="1">S307+S308</f>
        <v>980</v>
      </c>
      <c r="T306" s="72">
        <f t="shared" ca="1" si="77"/>
        <v>0.42964480781483566</v>
      </c>
      <c r="U306" s="72">
        <f t="shared" ca="1" si="78"/>
        <v>0.42964554242749731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IFERROR(__xludf.DUMMYFUNCTION("IMPORTRANGE(""https://docs.google.com/spreadsheets/d/1-uDff_7J0KD5mKrp0Vvzr7lt3OU09vwQwhkpOPPYv2Y/edit?usp=sharing"",""งบพรบ!DY62"")"),0)</f>
        <v>0</v>
      </c>
      <c r="M308" s="72">
        <f ca="1">IFERROR(__xludf.DUMMYFUNCTION("IMPORTRANGE(""https://docs.google.com/spreadsheets/d/1-uDff_7J0KD5mKrp0Vvzr7lt3OU09vwQwhkpOPPYv2Y/edit?usp=sharing"",""งบพรบ!ED62"")"),0)</f>
        <v>0</v>
      </c>
      <c r="N308" s="72">
        <f ca="1">IFERROR(__xludf.DUMMYFUNCTION("IMPORTRANGE(""https://docs.google.com/spreadsheets/d/1-uDff_7J0KD5mKrp0Vvzr7lt3OU09vwQwhkpOPPYv2Y/edit?usp=sharing"",""งบพรบ!EF62"")"),0)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IFERROR(__xludf.DUMMYFUNCTION("IMPORTRANGE(""https://docs.google.com/spreadsheets/d/1ItG2mGa2ceCfYo0BwxsXqNm01IGEUdYcSSLTEv9YCik/edit?usp=sharing"",""เบิกจ่ายกองทุน!BB62"")"),228095.39)</f>
        <v>228095.39</v>
      </c>
      <c r="R308" s="72">
        <f ca="1">IFERROR(__xludf.DUMMYFUNCTION("IMPORTRANGE(""https://docs.google.com/spreadsheets/d/1ItG2mGa2ceCfYo0BwxsXqNm01IGEUdYcSSLTEv9YCik/edit?usp=sharing"",""เบิกจ่ายกองทุน!BC62"")"),228095)</f>
        <v>228095</v>
      </c>
      <c r="S308" s="72">
        <f ca="1">IFERROR(__xludf.DUMMYFUNCTION("IMPORTRANGE(""https://docs.google.com/spreadsheets/d/1ItG2mGa2ceCfYo0BwxsXqNm01IGEUdYcSSLTEv9YCik/edit?usp=sharing"",""เบิกจ่ายกองทุน!BD62"")"),980)</f>
        <v>980</v>
      </c>
      <c r="T308" s="72">
        <f t="shared" ca="1" si="77"/>
        <v>0.42964480781483566</v>
      </c>
      <c r="U308" s="72">
        <f t="shared" ca="1" si="78"/>
        <v>0.42964554242749731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IFERROR(__xludf.DUMMYFUNCTION("IMPORTRANGE(""https://docs.google.com/spreadsheets/d/1-uDff_7J0KD5mKrp0Vvzr7lt3OU09vwQwhkpOPPYv2Y/edit?usp=sharing"",""งบพรบ!EB62"")"),0)</f>
        <v>0</v>
      </c>
      <c r="M311" s="72">
        <f ca="1">IFERROR(__xludf.DUMMYFUNCTION("IMPORTRANGE(""https://docs.google.com/spreadsheets/d/1-uDff_7J0KD5mKrp0Vvzr7lt3OU09vwQwhkpOPPYv2Y/edit?usp=sharing"",""งบพรบ!EE62"")"),0)</f>
        <v>0</v>
      </c>
      <c r="N311" s="72">
        <f ca="1">IFERROR(__xludf.DUMMYFUNCTION("IMPORTRANGE(""https://docs.google.com/spreadsheets/d/1-uDff_7J0KD5mKrp0Vvzr7lt3OU09vwQwhkpOPPYv2Y/edit?usp=sharing"",""งบพรบ!EG62"")"),0)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9.5" hidden="1" x14ac:dyDescent="0.3">
      <c r="A313" s="1355"/>
      <c r="B313" s="1354"/>
      <c r="C313" s="1354"/>
      <c r="D313" s="1353"/>
      <c r="E313" s="1352"/>
      <c r="F313" s="1352"/>
      <c r="G313" s="1351"/>
      <c r="H313" s="1351"/>
      <c r="I313" s="1350"/>
      <c r="J313" s="1349"/>
      <c r="K313" s="134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IFERROR(__xludf.DUMMYFUNCTION("IMPORTRANGE(""https://docs.google.com/spreadsheets/d/1eHaY18a8A9IcSdp1K8H6x8fbOy06t2VsZHhMHf-1x7Y/edit?usp=sharing"",""แผน!EF62"")"),25)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1329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1329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1328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IFERROR(__xludf.DUMMYFUNCTION("IMPORTRANGE(""https://docs.google.com/spreadsheets/d/1-uDff_7J0KD5mKrp0Vvzr7lt3OU09vwQwhkpOPPYv2Y/edit?usp=sharing"",""งบพรบ!EI62"")"),0)</f>
        <v>0</v>
      </c>
      <c r="M325" s="72">
        <f ca="1">IFERROR(__xludf.DUMMYFUNCTION("IMPORTRANGE(""https://docs.google.com/spreadsheets/d/1-uDff_7J0KD5mKrp0Vvzr7lt3OU09vwQwhkpOPPYv2Y/edit?usp=sharing"",""งบพรบ!EN62"")"),0)</f>
        <v>0</v>
      </c>
      <c r="N325" s="72">
        <f ca="1">IFERROR(__xludf.DUMMYFUNCTION("IMPORTRANGE(""https://docs.google.com/spreadsheets/d/1-uDff_7J0KD5mKrp0Vvzr7lt3OU09vwQwhkpOPPYv2Y/edit?usp=sharing"",""งบพรบ!EP62"")"),0)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IFERROR(__xludf.DUMMYFUNCTION("IMPORTRANGE(""https://docs.google.com/spreadsheets/d/1-uDff_7J0KD5mKrp0Vvzr7lt3OU09vwQwhkpOPPYv2Y/edit?usp=sharing"",""งบพรบ!EL62"")"),0)</f>
        <v>0</v>
      </c>
      <c r="M328" s="72">
        <f ca="1">IFERROR(__xludf.DUMMYFUNCTION("IMPORTRANGE(""https://docs.google.com/spreadsheets/d/1-uDff_7J0KD5mKrp0Vvzr7lt3OU09vwQwhkpOPPYv2Y/edit?usp=sharing"",""งบพรบ!EO62"")"),0)</f>
        <v>0</v>
      </c>
      <c r="N328" s="72">
        <f ca="1">IFERROR(__xludf.DUMMYFUNCTION("IMPORTRANGE(""https://docs.google.com/spreadsheets/d/1-uDff_7J0KD5mKrp0Vvzr7lt3OU09vwQwhkpOPPYv2Y/edit?usp=sharing"",""งบพรบ!EQ62"")"),0)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IFERROR(__xludf.DUMMYFUNCTION("IMPORTRANGE(""https://docs.google.com/spreadsheets/d/1eHaY18a8A9IcSdp1K8H6x8fbOy06t2VsZHhMHf-1x7Y/edit?usp=sharing"",""แผน!EJ62"")"),0)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540</v>
      </c>
      <c r="J332" s="515">
        <f ca="1">J344+J347+J348+J349+J353+J354</f>
        <v>1531</v>
      </c>
      <c r="K332" s="516">
        <f ca="1">IF(I332&gt;0,J332*100/I332,0)</f>
        <v>283.51851851851853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358800</v>
      </c>
      <c r="M333" s="262">
        <f ca="1">M334+M335</f>
        <v>358800</v>
      </c>
      <c r="N333" s="262">
        <f ca="1">N334+N335</f>
        <v>223061.08</v>
      </c>
      <c r="O333" s="262">
        <f t="shared" ref="O333:O341" ca="1" si="87">IF(L333&gt;0,N333*100/L333,0)</f>
        <v>62.168639910813823</v>
      </c>
      <c r="P333" s="262">
        <f t="shared" ref="P333:P341" ca="1" si="88">IF(M333&gt;0,N333*100/M333,0)</f>
        <v>62.168639910813823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358800</v>
      </c>
      <c r="M335" s="72">
        <f t="shared" ca="1" si="91"/>
        <v>358800</v>
      </c>
      <c r="N335" s="72">
        <f t="shared" ca="1" si="91"/>
        <v>223061.08</v>
      </c>
      <c r="O335" s="72">
        <f t="shared" ca="1" si="87"/>
        <v>62.168639910813823</v>
      </c>
      <c r="P335" s="72">
        <f t="shared" ca="1" si="88"/>
        <v>62.168639910813823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358800</v>
      </c>
      <c r="M336" s="72">
        <f ca="1">M337+M338</f>
        <v>358800</v>
      </c>
      <c r="N336" s="72">
        <f ca="1">N337+N338</f>
        <v>223061.08</v>
      </c>
      <c r="O336" s="72">
        <f t="shared" ca="1" si="87"/>
        <v>62.168639910813823</v>
      </c>
      <c r="P336" s="72">
        <f t="shared" ca="1" si="88"/>
        <v>62.168639910813823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IFERROR(__xludf.DUMMYFUNCTION("IMPORTRANGE(""https://docs.google.com/spreadsheets/d/1-uDff_7J0KD5mKrp0Vvzr7lt3OU09vwQwhkpOPPYv2Y/edit?usp=sharing"",""งบพรบ!ES62"")"),358800)</f>
        <v>358800</v>
      </c>
      <c r="M338" s="72">
        <f ca="1">IFERROR(__xludf.DUMMYFUNCTION("IMPORTRANGE(""https://docs.google.com/spreadsheets/d/1-uDff_7J0KD5mKrp0Vvzr7lt3OU09vwQwhkpOPPYv2Y/edit?usp=sharing"",""งบพรบ!EX62"")"),358800)</f>
        <v>358800</v>
      </c>
      <c r="N338" s="72">
        <f ca="1">IFERROR(__xludf.DUMMYFUNCTION("IMPORTRANGE(""https://docs.google.com/spreadsheets/d/1-uDff_7J0KD5mKrp0Vvzr7lt3OU09vwQwhkpOPPYv2Y/edit?usp=sharing"",""งบพรบ!EZ62"")"),223061.08)</f>
        <v>223061.08</v>
      </c>
      <c r="O338" s="72">
        <f t="shared" ca="1" si="87"/>
        <v>62.168639910813823</v>
      </c>
      <c r="P338" s="72">
        <f t="shared" ca="1" si="88"/>
        <v>62.168639910813823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IFERROR(__xludf.DUMMYFUNCTION("IMPORTRANGE(""https://docs.google.com/spreadsheets/d/1-uDff_7J0KD5mKrp0Vvzr7lt3OU09vwQwhkpOPPYv2Y/edit?usp=sharing"",""งบพรบ!EV62"")"),0)</f>
        <v>0</v>
      </c>
      <c r="M341" s="72">
        <f ca="1">IFERROR(__xludf.DUMMYFUNCTION("IMPORTRANGE(""https://docs.google.com/spreadsheets/d/1-uDff_7J0KD5mKrp0Vvzr7lt3OU09vwQwhkpOPPYv2Y/edit?usp=sharing"",""งบพรบ!EY62"")"),0)</f>
        <v>0</v>
      </c>
      <c r="N341" s="72">
        <f ca="1">IFERROR(__xludf.DUMMYFUNCTION("IMPORTRANGE(""https://docs.google.com/spreadsheets/d/1-uDff_7J0KD5mKrp0Vvzr7lt3OU09vwQwhkpOPPYv2Y/edit?usp=sharing"",""งบพรบ!FA62"")"),0)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174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IFERROR(__xludf.DUMMYFUNCTION("IMPORTRANGE(""https://docs.google.com/spreadsheets/d/1eHaY18a8A9IcSdp1K8H6x8fbOy06t2VsZHhMHf-1x7Y/edit?usp=sharing"",""แผน!EK62"")"),540)</f>
        <v>540</v>
      </c>
      <c r="J344" s="291">
        <f ca="1">IFERROR(__xludf.DUMMYFUNCTION("IMPORTRANGE(""https://docs.google.com/spreadsheets/d/1awYsYK3VOup2i3Pq_Yjnu8DRu_mYwSBnCR2QPthd0rU/edit?usp=sharing"",""ศูนย์ยกเว้นโฉนด!D62"")"),171)</f>
        <v>171</v>
      </c>
      <c r="K344" s="72">
        <f ca="1">IF(I344&gt;0,J344*100/I344,0)</f>
        <v>31.666666666666668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IFERROR(__xludf.DUMMYFUNCTION("IMPORTRANGE(""https://docs.google.com/spreadsheets/d/1eHaY18a8A9IcSdp1K8H6x8fbOy06t2VsZHhMHf-1x7Y/edit?usp=sharing"",""แผน!EL62"")"),2)</f>
        <v>2</v>
      </c>
      <c r="J346" s="291">
        <f ca="1">IFERROR(__xludf.DUMMYFUNCTION("IMPORTRANGE(""https://docs.google.com/spreadsheets/d/1awYsYK3VOup2i3Pq_Yjnu8DRu_mYwSBnCR2QPthd0rU/edit?usp=sharing"",""ศูนย์รวม!E62"")"),0)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IFERROR(__xludf.DUMMYFUNCTION("IMPORTRANGE(""https://docs.google.com/spreadsheets/d/1awYsYK3VOup2i3Pq_Yjnu8DRu_mYwSBnCR2QPthd0rU/edit?usp=sharing"",""ศูนย์ยกเว้นโฉนด!F62"")"),0)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IFERROR(__xludf.DUMMYFUNCTION("IMPORTRANGE(""https://docs.google.com/spreadsheets/d/1awYsYK3VOup2i3Pq_Yjnu8DRu_mYwSBnCR2QPthd0rU/edit?usp=sharing"",""ศูนย์ยกเว้นโฉนด!G62"")"),3)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IFERROR(__xludf.DUMMYFUNCTION("IMPORTRANGE(""https://docs.google.com/spreadsheets/d/1awYsYK3VOup2i3Pq_Yjnu8DRu_mYwSBnCR2QPthd0rU/edit?usp=sharing"",""ศูนย์ยกเว้นโฉนด!H62"")"),0)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>
        <f ca="1">J352+J353+J354</f>
        <v>4992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IFERROR(__xludf.DUMMYFUNCTION("IMPORTRANGE(""https://docs.google.com/spreadsheets/d/1awYsYK3VOup2i3Pq_Yjnu8DRu_mYwSBnCR2QPthd0rU/edit?usp=sharing"",""โฉนดM3!G62"")"),3635)</f>
        <v>3635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IFERROR(__xludf.DUMMYFUNCTION("IMPORTRANGE(""https://docs.google.com/spreadsheets/d/1awYsYK3VOup2i3Pq_Yjnu8DRu_mYwSBnCR2QPthd0rU/edit?usp=sharing"",""โฉนดM3!H62"")"),1175)</f>
        <v>1175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IFERROR(__xludf.DUMMYFUNCTION("IMPORTRANGE(""https://docs.google.com/spreadsheets/d/1awYsYK3VOup2i3Pq_Yjnu8DRu_mYwSBnCR2QPthd0rU/edit?usp=sharing"",""โฉนดM3!I62"")"),182)</f>
        <v>182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257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404120</v>
      </c>
      <c r="M356" s="262">
        <f ca="1">M357+M358</f>
        <v>467120</v>
      </c>
      <c r="N356" s="262">
        <f ca="1">N357+N358</f>
        <v>247943.34</v>
      </c>
      <c r="O356" s="262">
        <f t="shared" ref="O356:O364" ca="1" si="93">IF(L356&gt;0,N356*100/L356,0)</f>
        <v>61.353889933683064</v>
      </c>
      <c r="P356" s="262">
        <f t="shared" ref="P356:P364" ca="1" si="94">IF(M356&gt;0,N356*100/M356,0)</f>
        <v>53.079153108408974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404120</v>
      </c>
      <c r="M358" s="72">
        <f t="shared" ca="1" si="97"/>
        <v>467120</v>
      </c>
      <c r="N358" s="72">
        <f t="shared" ca="1" si="97"/>
        <v>247943.34</v>
      </c>
      <c r="O358" s="72">
        <f t="shared" ca="1" si="93"/>
        <v>61.353889933683064</v>
      </c>
      <c r="P358" s="72">
        <f t="shared" ca="1" si="94"/>
        <v>53.079153108408974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404120</v>
      </c>
      <c r="M359" s="72">
        <f ca="1">M360+M361</f>
        <v>467120</v>
      </c>
      <c r="N359" s="72">
        <f ca="1">N360+N361</f>
        <v>247943.34</v>
      </c>
      <c r="O359" s="72">
        <f t="shared" ca="1" si="93"/>
        <v>61.353889933683064</v>
      </c>
      <c r="P359" s="72">
        <f t="shared" ca="1" si="94"/>
        <v>53.079153108408974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IFERROR(__xludf.DUMMYFUNCTION("IMPORTRANGE(""https://docs.google.com/spreadsheets/d/1-uDff_7J0KD5mKrp0Vvzr7lt3OU09vwQwhkpOPPYv2Y/edit?usp=sharing"",""งบพรบ!FC62"")"),404120)</f>
        <v>404120</v>
      </c>
      <c r="M361" s="72">
        <f ca="1">IFERROR(__xludf.DUMMYFUNCTION("IMPORTRANGE(""https://docs.google.com/spreadsheets/d/1-uDff_7J0KD5mKrp0Vvzr7lt3OU09vwQwhkpOPPYv2Y/edit?usp=sharing"",""งบพรบ!FH62"")"),467120)</f>
        <v>467120</v>
      </c>
      <c r="N361" s="72">
        <f ca="1">IFERROR(__xludf.DUMMYFUNCTION("IMPORTRANGE(""https://docs.google.com/spreadsheets/d/1-uDff_7J0KD5mKrp0Vvzr7lt3OU09vwQwhkpOPPYv2Y/edit?usp=sharing"",""งบพรบ!FJ62"")"),247943.34)</f>
        <v>247943.34</v>
      </c>
      <c r="O361" s="72">
        <f t="shared" ca="1" si="93"/>
        <v>61.353889933683064</v>
      </c>
      <c r="P361" s="72">
        <f t="shared" ca="1" si="94"/>
        <v>53.079153108408974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IFERROR(__xludf.DUMMYFUNCTION("IMPORTRANGE(""https://docs.google.com/spreadsheets/d/1-uDff_7J0KD5mKrp0Vvzr7lt3OU09vwQwhkpOPPYv2Y/edit?usp=sharing"",""งบพรบ!FF62"")"),0)</f>
        <v>0</v>
      </c>
      <c r="M364" s="72">
        <f ca="1">IFERROR(__xludf.DUMMYFUNCTION("IMPORTRANGE(""https://docs.google.com/spreadsheets/d/1-uDff_7J0KD5mKrp0Vvzr7lt3OU09vwQwhkpOPPYv2Y/edit?usp=sharing"",""งบพรบ!FI62"")"),0)</f>
        <v>0</v>
      </c>
      <c r="N364" s="72">
        <f ca="1">IFERROR(__xludf.DUMMYFUNCTION("IMPORTRANGE(""https://docs.google.com/spreadsheets/d/1-uDff_7J0KD5mKrp0Vvzr7lt3OU09vwQwhkpOPPYv2Y/edit?usp=sharing"",""งบพรบ!FK62"")"),0)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168</v>
      </c>
      <c r="J365" s="538">
        <f ca="1">J371</f>
        <v>260</v>
      </c>
      <c r="K365" s="539">
        <f ca="1">IF(I365&gt;0,J365*100/I365,0)</f>
        <v>154.76190476190476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IFERROR(__xludf.DUMMYFUNCTION("IMPORTRANGE(""https://docs.google.com/spreadsheets/d/1tdoBKaGub7dwA3U6UFTqxio9LNnvDCQjHKmttSEBsFQ/edit?usp=sharing"",""จัดที่ดิน!AB62"")"),58)</f>
        <v>58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IFERROR(__xludf.DUMMYFUNCTION("IMPORTRANGE(""https://docs.google.com/spreadsheets/d/1eHaY18a8A9IcSdp1K8H6x8fbOy06t2VsZHhMHf-1x7Y/edit?usp=sharing"",""แผน!EW62"")"),315)</f>
        <v>315</v>
      </c>
      <c r="J368" s="879">
        <f ca="1">IFERROR(__xludf.DUMMYFUNCTION("IMPORTRANGE(""https://docs.google.com/spreadsheets/d/1tdoBKaGub7dwA3U6UFTqxio9LNnvDCQjHKmttSEBsFQ/edit?usp=sharing"",""จัดที่ดิน!AC62"")"),388.33)</f>
        <v>388.33</v>
      </c>
      <c r="K368" s="72">
        <f t="shared" ca="1" si="99"/>
        <v>123.27936507936508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IFERROR(__xludf.DUMMYFUNCTION("IMPORTRANGE(""https://docs.google.com/spreadsheets/d/1eHaY18a8A9IcSdp1K8H6x8fbOy06t2VsZHhMHf-1x7Y/edit?usp=sharing"",""แผน!EX62"")"),168)</f>
        <v>168</v>
      </c>
      <c r="J369" s="291">
        <f ca="1">IFERROR(__xludf.DUMMYFUNCTION("IMPORTRANGE(""https://docs.google.com/spreadsheets/d/1tdoBKaGub7dwA3U6UFTqxio9LNnvDCQjHKmttSEBsFQ/edit?usp=sharing"",""จัดที่ดิน!AD62"")"),272)</f>
        <v>272</v>
      </c>
      <c r="K369" s="72">
        <f t="shared" ca="1" si="99"/>
        <v>161.9047619047619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IFERROR(__xludf.DUMMYFUNCTION("IMPORTRANGE(""https://docs.google.com/spreadsheets/d/1tdoBKaGub7dwA3U6UFTqxio9LNnvDCQjHKmttSEBsFQ/edit?usp=sharing"",""จัดที่ดิน!AE62"")"),3063.92)</f>
        <v>3063.92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IFERROR(__xludf.DUMMYFUNCTION("IMPORTRANGE(""https://docs.google.com/spreadsheets/d/1eHaY18a8A9IcSdp1K8H6x8fbOy06t2VsZHhMHf-1x7Y/edit?usp=sharing"",""แผน!EY62"")"),168)</f>
        <v>168</v>
      </c>
      <c r="J371" s="291">
        <f ca="1">IFERROR(__xludf.DUMMYFUNCTION("IMPORTRANGE(""https://docs.google.com/spreadsheets/d/1tdoBKaGub7dwA3U6UFTqxio9LNnvDCQjHKmttSEBsFQ/edit?usp=sharing"",""จัดที่ดิน!AF62"")"),260)</f>
        <v>260</v>
      </c>
      <c r="K371" s="72">
        <f t="shared" ca="1" si="99"/>
        <v>154.76190476190476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IFERROR(__xludf.DUMMYFUNCTION("IMPORTRANGE(""https://docs.google.com/spreadsheets/d/1tdoBKaGub7dwA3U6UFTqxio9LNnvDCQjHKmttSEBsFQ/edit?usp=sharing"",""จัดที่ดิน!AG62"")"),3080.97)</f>
        <v>3080.97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300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43400</v>
      </c>
      <c r="M375" s="262">
        <f ca="1">M376+M377</f>
        <v>43400</v>
      </c>
      <c r="N375" s="262">
        <f ca="1">N376+N377</f>
        <v>12820</v>
      </c>
      <c r="O375" s="262">
        <f t="shared" ref="O375:O383" ca="1" si="100">IF(L375&gt;0,N375*100/L375,0)</f>
        <v>29.539170506912441</v>
      </c>
      <c r="P375" s="262">
        <f t="shared" ref="P375:P383" ca="1" si="101">IF(M375&gt;0,N375*100/M375,0)</f>
        <v>29.539170506912441</v>
      </c>
      <c r="Q375" s="262">
        <f ca="1">Q376+Q377</f>
        <v>18750</v>
      </c>
      <c r="R375" s="262">
        <f ca="1">R376+R377</f>
        <v>18750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43400</v>
      </c>
      <c r="M377" s="72">
        <f t="shared" ca="1" si="104"/>
        <v>43400</v>
      </c>
      <c r="N377" s="72">
        <f t="shared" ca="1" si="104"/>
        <v>12820</v>
      </c>
      <c r="O377" s="72">
        <f t="shared" ca="1" si="100"/>
        <v>29.539170506912441</v>
      </c>
      <c r="P377" s="72">
        <f t="shared" ca="1" si="101"/>
        <v>29.539170506912441</v>
      </c>
      <c r="Q377" s="72">
        <f t="shared" ca="1" si="105"/>
        <v>18750</v>
      </c>
      <c r="R377" s="72">
        <f t="shared" ca="1" si="105"/>
        <v>18750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43400</v>
      </c>
      <c r="M378" s="72">
        <f ca="1">M379+M380</f>
        <v>43400</v>
      </c>
      <c r="N378" s="72">
        <f ca="1">N379+N380</f>
        <v>12820</v>
      </c>
      <c r="O378" s="72">
        <f t="shared" ca="1" si="100"/>
        <v>29.539170506912441</v>
      </c>
      <c r="P378" s="72">
        <f t="shared" ca="1" si="101"/>
        <v>29.539170506912441</v>
      </c>
      <c r="Q378" s="72">
        <f ca="1">Q379+Q380</f>
        <v>18750</v>
      </c>
      <c r="R378" s="72">
        <f ca="1">R379+R380</f>
        <v>18750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IFERROR(__xludf.DUMMYFUNCTION("IMPORTRANGE(""https://docs.google.com/spreadsheets/d/1-uDff_7J0KD5mKrp0Vvzr7lt3OU09vwQwhkpOPPYv2Y/edit?usp=sharing"",""งบพรบ!IE62"")"),43400)</f>
        <v>43400</v>
      </c>
      <c r="M380" s="72">
        <f ca="1">IFERROR(__xludf.DUMMYFUNCTION("IMPORTRANGE(""https://docs.google.com/spreadsheets/d/1-uDff_7J0KD5mKrp0Vvzr7lt3OU09vwQwhkpOPPYv2Y/edit?usp=sharing"",""งบพรบ!IJ62"")"),43400)</f>
        <v>43400</v>
      </c>
      <c r="N380" s="72">
        <f ca="1">IFERROR(__xludf.DUMMYFUNCTION("IMPORTRANGE(""https://docs.google.com/spreadsheets/d/1-uDff_7J0KD5mKrp0Vvzr7lt3OU09vwQwhkpOPPYv2Y/edit?usp=sharing"",""งบพรบ!IL62"")"),12820)</f>
        <v>12820</v>
      </c>
      <c r="O380" s="72">
        <f t="shared" ca="1" si="100"/>
        <v>29.539170506912441</v>
      </c>
      <c r="P380" s="72">
        <f t="shared" ca="1" si="101"/>
        <v>29.539170506912441</v>
      </c>
      <c r="Q380" s="72">
        <f ca="1">IFERROR(__xludf.DUMMYFUNCTION("IMPORTRANGE(""https://docs.google.com/spreadsheets/d/1ItG2mGa2ceCfYo0BwxsXqNm01IGEUdYcSSLTEv9YCik/edit?usp=sharing"",""เบิกจ่ายกองทุน!BW62"")"),18750)</f>
        <v>18750</v>
      </c>
      <c r="R380" s="72">
        <f ca="1">IFERROR(__xludf.DUMMYFUNCTION("IMPORTRANGE(""https://docs.google.com/spreadsheets/d/1ItG2mGa2ceCfYo0BwxsXqNm01IGEUdYcSSLTEv9YCik/edit?usp=sharing"",""เบิกจ่ายกองทุน!BX62"")"),18750)</f>
        <v>18750</v>
      </c>
      <c r="S380" s="72">
        <f ca="1">IFERROR(__xludf.DUMMYFUNCTION("IMPORTRANGE(""https://docs.google.com/spreadsheets/d/1ItG2mGa2ceCfYo0BwxsXqNm01IGEUdYcSSLTEv9YCik/edit?usp=sharing"",""เบิกจ่ายกองทุน!BY62"")"),0)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IFERROR(__xludf.DUMMYFUNCTION("IMPORTRANGE(""https://docs.google.com/spreadsheets/d/1-uDff_7J0KD5mKrp0Vvzr7lt3OU09vwQwhkpOPPYv2Y/edit?usp=sharing"",""งบพรบ!IH62"")"),0)</f>
        <v>0</v>
      </c>
      <c r="M383" s="72">
        <f ca="1">IFERROR(__xludf.DUMMYFUNCTION("IMPORTRANGE(""https://docs.google.com/spreadsheets/d/1-uDff_7J0KD5mKrp0Vvzr7lt3OU09vwQwhkpOPPYv2Y/edit?usp=sharing"",""งบพรบ!IK62"")"),0)</f>
        <v>0</v>
      </c>
      <c r="N383" s="72">
        <f ca="1">IFERROR(__xludf.DUMMYFUNCTION("IMPORTRANGE(""https://docs.google.com/spreadsheets/d/1-uDff_7J0KD5mKrp0Vvzr7lt3OU09vwQwhkpOPPYv2Y/edit?usp=sharing"",""งบพรบ!IM62"")"),0)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IFERROR(__xludf.DUMMYFUNCTION("IMPORTRANGE(""https://docs.google.com/spreadsheets/d/1w5rwWK1o49a35cNtocGL0gxDwhFSTZUQu90BiH9_zqM/edit?usp=sharing"",""RTK!H62"")"),0)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IFERROR(__xludf.DUMMYFUNCTION("IMPORTRANGE(""https://docs.google.com/spreadsheets/d/1w5rwWK1o49a35cNtocGL0gxDwhFSTZUQu90BiH9_zqM/edit?usp=sharing"",""RTK!G62"")"),300)</f>
        <v>300</v>
      </c>
      <c r="J386" s="291">
        <f ca="1">IFERROR(__xludf.DUMMYFUNCTION("IMPORTRANGE(""https://docs.google.com/spreadsheets/d/1w5rwWK1o49a35cNtocGL0gxDwhFSTZUQu90BiH9_zqM/edit?usp=sharing"",""RTK!I62"")"),0)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IFERROR(__xludf.DUMMYFUNCTION("IMPORTRANGE(""https://docs.google.com/spreadsheets/d/1w5rwWK1o49a35cNtocGL0gxDwhFSTZUQu90BiH9_zqM/edit?usp=sharing"",""RTK!L62"")"),0)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IFERROR(__xludf.DUMMYFUNCTION("IMPORTRANGE(""https://docs.google.com/spreadsheets/d/1w5rwWK1o49a35cNtocGL0gxDwhFSTZUQu90BiH9_zqM/edit?usp=sharing"",""RTK!K62"")"),0)</f>
        <v>0</v>
      </c>
      <c r="J388" s="237">
        <f ca="1">IFERROR(__xludf.DUMMYFUNCTION("IMPORTRANGE(""https://docs.google.com/spreadsheets/d/1w5rwWK1o49a35cNtocGL0gxDwhFSTZUQu90BiH9_zqM/edit?usp=sharing"",""RTK!M62"")"),0)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IFERROR(__xludf.DUMMYFUNCTION("IMPORTRANGE(""https://docs.google.com/spreadsheets/d/1ItG2mGa2ceCfYo0BwxsXqNm01IGEUdYcSSLTEv9YCik/edit?usp=sharing"",""เบิกจ่ายกองทุน!CL62"")"),0)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IFERROR(__xludf.DUMMYFUNCTION("IMPORTRANGE(""https://docs.google.com/spreadsheets/d/1ItG2mGa2ceCfYo0BwxsXqNm01IGEUdYcSSLTEv9YCik/edit?usp=sharing"",""เบิกจ่ายกองทุน!CM62"")"),0)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IFERROR(__xludf.DUMMYFUNCTION("IMPORTRANGE(""https://docs.google.com/spreadsheets/d/1ItG2mGa2ceCfYo0BwxsXqNm01IGEUdYcSSLTEv9YCik/edit?usp=sharing"",""เบิกจ่ายกองทุน!CN62"")"),0)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46120</v>
      </c>
      <c r="M413" s="262">
        <f ca="1">M414+M415</f>
        <v>46120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16040</v>
      </c>
      <c r="R413" s="262">
        <f ca="1">R414+R415</f>
        <v>16040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46120</v>
      </c>
      <c r="M415" s="72">
        <f t="shared" ca="1" si="116"/>
        <v>46120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16040</v>
      </c>
      <c r="R415" s="72">
        <f t="shared" ca="1" si="117"/>
        <v>16040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46120</v>
      </c>
      <c r="M416" s="72">
        <f ca="1">M417+M418</f>
        <v>46120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16040</v>
      </c>
      <c r="R416" s="72">
        <f ca="1">R417+R418</f>
        <v>16040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IFERROR(__xludf.DUMMYFUNCTION("IMPORTRANGE(""https://docs.google.com/spreadsheets/d/1-uDff_7J0KD5mKrp0Vvzr7lt3OU09vwQwhkpOPPYv2Y/edit?usp=sharing"",""งบพรบ!IO62"")"),46120)</f>
        <v>46120</v>
      </c>
      <c r="M418" s="72">
        <f ca="1">IFERROR(__xludf.DUMMYFUNCTION("IMPORTRANGE(""https://docs.google.com/spreadsheets/d/1-uDff_7J0KD5mKrp0Vvzr7lt3OU09vwQwhkpOPPYv2Y/edit?usp=sharing"",""งบพรบ!IT62"")"),46120)</f>
        <v>46120</v>
      </c>
      <c r="N418" s="72">
        <f ca="1">IFERROR(__xludf.DUMMYFUNCTION("IMPORTRANGE(""https://docs.google.com/spreadsheets/d/1-uDff_7J0KD5mKrp0Vvzr7lt3OU09vwQwhkpOPPYv2Y/edit?usp=sharing"",""งบพรบ!IV62"")"),0)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IFERROR(__xludf.DUMMYFUNCTION("IMPORTRANGE(""https://docs.google.com/spreadsheets/d/1ItG2mGa2ceCfYo0BwxsXqNm01IGEUdYcSSLTEv9YCik/edit?usp=sharing"",""เบิกจ่ายกองทุน!BZ62"")"),16040)</f>
        <v>16040</v>
      </c>
      <c r="R418" s="72">
        <f ca="1">IFERROR(__xludf.DUMMYFUNCTION("IMPORTRANGE(""https://docs.google.com/spreadsheets/d/1ItG2mGa2ceCfYo0BwxsXqNm01IGEUdYcSSLTEv9YCik/edit?usp=sharing"",""เบิกจ่ายกองทุน!CA62"")"),16040)</f>
        <v>16040</v>
      </c>
      <c r="S418" s="72">
        <f ca="1">IFERROR(__xludf.DUMMYFUNCTION("IMPORTRANGE(""https://docs.google.com/spreadsheets/d/1ItG2mGa2ceCfYo0BwxsXqNm01IGEUdYcSSLTEv9YCik/edit?usp=sharing"",""เบิกจ่ายกองทุน!CB62"")"),0)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IFERROR(__xludf.DUMMYFUNCTION("IMPORTRANGE(""https://docs.google.com/spreadsheets/d/1-uDff_7J0KD5mKrp0Vvzr7lt3OU09vwQwhkpOPPYv2Y/edit?usp=sharing"",""งบพรบ!IR62"")"),0)</f>
        <v>0</v>
      </c>
      <c r="M421" s="72">
        <f ca="1">IFERROR(__xludf.DUMMYFUNCTION("IMPORTRANGE(""https://docs.google.com/spreadsheets/d/1-uDff_7J0KD5mKrp0Vvzr7lt3OU09vwQwhkpOPPYv2Y/edit?usp=sharing"",""งบพรบ!IU62"")"),0)</f>
        <v>0</v>
      </c>
      <c r="N421" s="72">
        <f ca="1">IFERROR(__xludf.DUMMYFUNCTION("IMPORTRANGE(""https://docs.google.com/spreadsheets/d/1-uDff_7J0KD5mKrp0Vvzr7lt3OU09vwQwhkpOPPYv2Y/edit?usp=sharing"",""งบพรบ!IW62"")"),0)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IFERROR(__xludf.DUMMYFUNCTION("IMPORTRANGE(""https://docs.google.com/spreadsheets/d/1eHaY18a8A9IcSdp1K8H6x8fbOy06t2VsZHhMHf-1x7Y/edit?usp=sharing"",""แผน!HJ62"")"),0)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IFERROR(__xludf.DUMMYFUNCTION("IMPORTRANGE(""https://docs.google.com/spreadsheets/d/1eHaY18a8A9IcSdp1K8H6x8fbOy06t2VsZHhMHf-1x7Y/edit?usp=sharing"",""แผน!HK62"")"),0)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IFERROR(__xludf.DUMMYFUNCTION("IMPORTRANGE(""https://docs.google.com/spreadsheets/d/1eHaY18a8A9IcSdp1K8H6x8fbOy06t2VsZHhMHf-1x7Y/edit?usp=sharing"",""แผน!HJ62"")"),0)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IFERROR(__xludf.DUMMYFUNCTION("IMPORTRANGE(""https://docs.google.com/spreadsheets/d/1eHaY18a8A9IcSdp1K8H6x8fbOy06t2VsZHhMHf-1x7Y/edit?usp=sharing"",""แผน!HK62"")"),0)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IFERROR(__xludf.DUMMYFUNCTION("IMPORTRANGE(""https://docs.google.com/spreadsheets/d/1eHaY18a8A9IcSdp1K8H6x8fbOy06t2VsZHhMHf-1x7Y/edit?usp=sharing"",""แผน!HJ62"")"),0)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IFERROR(__xludf.DUMMYFUNCTION("IMPORTRANGE(""https://docs.google.com/spreadsheets/d/1eHaY18a8A9IcSdp1K8H6x8fbOy06t2VsZHhMHf-1x7Y/edit?usp=sharing"",""แผน!HK62"")"),0)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142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IFERROR(__xludf.DUMMYFUNCTION("IMPORTRANGE(""https://docs.google.com/spreadsheets/d/1eHaY18a8A9IcSdp1K8H6x8fbOy06t2VsZHhMHf-1x7Y/edit?usp=sharing"",""แผน!HL62"")"),142)</f>
        <v>142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IFERROR(__xludf.DUMMYFUNCTION("IMPORTRANGE(""https://docs.google.com/spreadsheets/d/1eHaY18a8A9IcSdp1K8H6x8fbOy06t2VsZHhMHf-1x7Y/edit?usp=sharing"",""แผน!HM62"")"),0)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IFERROR(__xludf.DUMMYFUNCTION("IMPORTRANGE(""https://docs.google.com/spreadsheets/d/1-uDff_7J0KD5mKrp0Vvzr7lt3OU09vwQwhkpOPPYv2Y/edit?usp=sharing"",""งบพรบ!HU62"")"),0)</f>
        <v>0</v>
      </c>
      <c r="M498" s="72">
        <f ca="1">IFERROR(__xludf.DUMMYFUNCTION("IMPORTRANGE(""https://docs.google.com/spreadsheets/d/1-uDff_7J0KD5mKrp0Vvzr7lt3OU09vwQwhkpOPPYv2Y/edit?usp=sharing"",""งบพรบ!HZ62"")"),0)</f>
        <v>0</v>
      </c>
      <c r="N498" s="72">
        <f ca="1">IFERROR(__xludf.DUMMYFUNCTION("IMPORTRANGE(""https://docs.google.com/spreadsheets/d/1-uDff_7J0KD5mKrp0Vvzr7lt3OU09vwQwhkpOPPYv2Y/edit?usp=sharing"",""งบพรบ!IB62"")"),0)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IFERROR(__xludf.DUMMYFUNCTION("IMPORTRANGE(""https://docs.google.com/spreadsheets/d/1ItG2mGa2ceCfYo0BwxsXqNm01IGEUdYcSSLTEv9YCik/edit?usp=sharing"",""เบิกจ่ายกองทุน!AD62"")"),0)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IFERROR(__xludf.DUMMYFUNCTION("IMPORTRANGE(""https://docs.google.com/spreadsheets/d/1ItG2mGa2ceCfYo0BwxsXqNm01IGEUdYcSSLTEv9YCik/edit?usp=sharing"",""เบิกจ่ายกองทุน!AE62"")"),0)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IFERROR(__xludf.DUMMYFUNCTION("IMPORTRANGE(""https://docs.google.com/spreadsheets/d/1ItG2mGa2ceCfYo0BwxsXqNm01IGEUdYcSSLTEv9YCik/edit?usp=sharing"",""เบิกจ่ายกองทุน!AF62"")"),0)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IFERROR(__xludf.DUMMYFUNCTION("IMPORTRANGE(""https://docs.google.com/spreadsheets/d/1-uDff_7J0KD5mKrp0Vvzr7lt3OU09vwQwhkpOPPYv2Y/edit?usp=sharing"",""งบพรบ!HX62"")"),0)</f>
        <v>0</v>
      </c>
      <c r="M501" s="72">
        <f ca="1">IFERROR(__xludf.DUMMYFUNCTION("IMPORTRANGE(""https://docs.google.com/spreadsheets/d/1-uDff_7J0KD5mKrp0Vvzr7lt3OU09vwQwhkpOPPYv2Y/edit?usp=sharing"",""งบพรบ!IA62"")"),0)</f>
        <v>0</v>
      </c>
      <c r="N501" s="72">
        <f ca="1">IFERROR(__xludf.DUMMYFUNCTION("IMPORTRANGE(""https://docs.google.com/spreadsheets/d/1-uDff_7J0KD5mKrp0Vvzr7lt3OU09vwQwhkpOPPYv2Y/edit?usp=sharing"",""งบพรบ!IC62"")"),0)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IFERROR(__xludf.DUMMYFUNCTION("IMPORTRANGE(""https://docs.google.com/spreadsheets/d/1eHaY18a8A9IcSdp1K8H6x8fbOy06t2VsZHhMHf-1x7Y/edit?usp=sharing"",""แผน!GX62"")"),0)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IFERROR(__xludf.DUMMYFUNCTION("IMPORTRANGE(""https://docs.google.com/spreadsheets/d/1eHaY18a8A9IcSdp1K8H6x8fbOy06t2VsZHhMHf-1x7Y/edit?usp=sharing"",""แผน!GY62"")"),0)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IFERROR(__xludf.DUMMYFUNCTION("IMPORTRANGE(""https://docs.google.com/spreadsheets/d/1eHaY18a8A9IcSdp1K8H6x8fbOy06t2VsZHhMHf-1x7Y/edit?usp=sharing"",""แผน!GZ62"")"),0)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IFERROR(__xludf.DUMMYFUNCTION("IMPORTRANGE(""https://docs.google.com/spreadsheets/d/1eHaY18a8A9IcSdp1K8H6x8fbOy06t2VsZHhMHf-1x7Y/edit?usp=sharing"",""แผน!HA62"")"),0)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IFERROR(__xludf.DUMMYFUNCTION("IMPORTRANGE(""https://docs.google.com/spreadsheets/d/1eHaY18a8A9IcSdp1K8H6x8fbOy06t2VsZHhMHf-1x7Y/edit?usp=sharing"",""แผน!HB62"")"),0)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IFERROR(__xludf.DUMMYFUNCTION("IMPORTRANGE(""https://docs.google.com/spreadsheets/d/1eHaY18a8A9IcSdp1K8H6x8fbOy06t2VsZHhMHf-1x7Y/edit?usp=sharing"",""แผน!HC62"")"),0)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098" t="s">
        <v>206</v>
      </c>
      <c r="B510" s="1097"/>
      <c r="C510" s="1097"/>
      <c r="D510" s="1097"/>
      <c r="E510" s="1096"/>
      <c r="F510" s="1096"/>
      <c r="G510" s="1096"/>
      <c r="H510" s="1097"/>
      <c r="I510" s="1095"/>
      <c r="J510" s="1095"/>
      <c r="K510" s="1094"/>
      <c r="L510" s="1093"/>
      <c r="M510" s="1092"/>
      <c r="N510" s="1092"/>
      <c r="O510" s="1092"/>
      <c r="P510" s="1092"/>
      <c r="Q510" s="1092"/>
      <c r="R510" s="1092"/>
      <c r="S510" s="1092"/>
      <c r="T510" s="1092"/>
      <c r="U510" s="1092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IFERROR(__xludf.DUMMYFUNCTION("IMPORTRANGE(""https://docs.google.com/spreadsheets/d/1-uDff_7J0KD5mKrp0Vvzr7lt3OU09vwQwhkpOPPYv2Y/edit?usp=sharing"",""งบพรบ!FM62"")"),0)</f>
        <v>0</v>
      </c>
      <c r="M518" s="72">
        <f ca="1">IFERROR(__xludf.DUMMYFUNCTION("IMPORTRANGE(""https://docs.google.com/spreadsheets/d/1-uDff_7J0KD5mKrp0Vvzr7lt3OU09vwQwhkpOPPYv2Y/edit?usp=sharing"",""งบพรบ!FR62"")"),0)</f>
        <v>0</v>
      </c>
      <c r="N518" s="72">
        <f ca="1">IFERROR(__xludf.DUMMYFUNCTION("IMPORTRANGE(""https://docs.google.com/spreadsheets/d/1-uDff_7J0KD5mKrp0Vvzr7lt3OU09vwQwhkpOPPYv2Y/edit?usp=sharing"",""งบพรบ!FT62"")"),0)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IFERROR(__xludf.DUMMYFUNCTION("IMPORTRANGE(""https://docs.google.com/spreadsheets/d/1-uDff_7J0KD5mKrp0Vvzr7lt3OU09vwQwhkpOPPYv2Y/edit?usp=sharing"",""งบพรบ!FP62"")"),0)</f>
        <v>0</v>
      </c>
      <c r="M521" s="72">
        <f ca="1">IFERROR(__xludf.DUMMYFUNCTION("IMPORTRANGE(""https://docs.google.com/spreadsheets/d/1-uDff_7J0KD5mKrp0Vvzr7lt3OU09vwQwhkpOPPYv2Y/edit?usp=sharing"",""งบพรบ!FS62"")"),0)</f>
        <v>0</v>
      </c>
      <c r="N521" s="72">
        <f ca="1">IFERROR(__xludf.DUMMYFUNCTION("IMPORTRANGE(""https://docs.google.com/spreadsheets/d/1-uDff_7J0KD5mKrp0Vvzr7lt3OU09vwQwhkpOPPYv2Y/edit?usp=sharing"",""งบพรบ!FU62"")"),0)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IFERROR(__xludf.DUMMYFUNCTION("IMPORTRANGE(""https://docs.google.com/spreadsheets/d/1-uDff_7J0KD5mKrp0Vvzr7lt3OU09vwQwhkpOPPYv2Y/edit?usp=sharing"",""งบพรบ!FW62"")"),0)</f>
        <v>0</v>
      </c>
      <c r="M539" s="72">
        <f ca="1">IFERROR(__xludf.DUMMYFUNCTION("IMPORTRANGE(""https://docs.google.com/spreadsheets/d/1-uDff_7J0KD5mKrp0Vvzr7lt3OU09vwQwhkpOPPYv2Y/edit?usp=sharing"",""งบพรบ!GB62"")"),0)</f>
        <v>0</v>
      </c>
      <c r="N539" s="72">
        <f ca="1">IFERROR(__xludf.DUMMYFUNCTION("IMPORTRANGE(""https://docs.google.com/spreadsheets/d/1-uDff_7J0KD5mKrp0Vvzr7lt3OU09vwQwhkpOPPYv2Y/edit?usp=sharing"",""งบพรบ!GD62"")"),0)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IFERROR(__xludf.DUMMYFUNCTION("IMPORTRANGE(""https://docs.google.com/spreadsheets/d/1-uDff_7J0KD5mKrp0Vvzr7lt3OU09vwQwhkpOPPYv2Y/edit?usp=sharing"",""งบพรบ!FZ62"")"),0)</f>
        <v>0</v>
      </c>
      <c r="M542" s="72">
        <f ca="1">IFERROR(__xludf.DUMMYFUNCTION("IMPORTRANGE(""https://docs.google.com/spreadsheets/d/1-uDff_7J0KD5mKrp0Vvzr7lt3OU09vwQwhkpOPPYv2Y/edit?usp=sharing"",""งบพรบ!GC62"")"),0)</f>
        <v>0</v>
      </c>
      <c r="N542" s="72">
        <f ca="1">IFERROR(__xludf.DUMMYFUNCTION("IMPORTRANGE(""https://docs.google.com/spreadsheets/d/1-uDff_7J0KD5mKrp0Vvzr7lt3OU09vwQwhkpOPPYv2Y/edit?usp=sharing"",""งบพรบ!GE62"")"),0)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IFERROR(__xludf.DUMMYFUNCTION("IMPORTRANGE(""https://docs.google.com/spreadsheets/d/1-uDff_7J0KD5mKrp0Vvzr7lt3OU09vwQwhkpOPPYv2Y/edit?usp=sharing"",""งบพรบ!GG62"")"),0)</f>
        <v>0</v>
      </c>
      <c r="M560" s="72">
        <f ca="1">IFERROR(__xludf.DUMMYFUNCTION("IMPORTRANGE(""https://docs.google.com/spreadsheets/d/1-uDff_7J0KD5mKrp0Vvzr7lt3OU09vwQwhkpOPPYv2Y/edit?usp=sharing"",""งบพรบ!GL62"")"),0)</f>
        <v>0</v>
      </c>
      <c r="N560" s="72">
        <f ca="1">IFERROR(__xludf.DUMMYFUNCTION("IMPORTRANGE(""https://docs.google.com/spreadsheets/d/1-uDff_7J0KD5mKrp0Vvzr7lt3OU09vwQwhkpOPPYv2Y/edit?usp=sharing"",""งบพรบ!GN62"")"),0)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IFERROR(__xludf.DUMMYFUNCTION("IMPORTRANGE(""https://docs.google.com/spreadsheets/d/1-uDff_7J0KD5mKrp0Vvzr7lt3OU09vwQwhkpOPPYv2Y/edit?usp=sharing"",""งบพรบ!GJ62"")"),0)</f>
        <v>0</v>
      </c>
      <c r="M563" s="72">
        <f ca="1">IFERROR(__xludf.DUMMYFUNCTION("IMPORTRANGE(""https://docs.google.com/spreadsheets/d/1-uDff_7J0KD5mKrp0Vvzr7lt3OU09vwQwhkpOPPYv2Y/edit?usp=sharing"",""งบพรบ!GM62"")"),0)</f>
        <v>0</v>
      </c>
      <c r="N563" s="72">
        <f ca="1">IFERROR(__xludf.DUMMYFUNCTION("IMPORTRANGE(""https://docs.google.com/spreadsheets/d/1-uDff_7J0KD5mKrp0Vvzr7lt3OU09vwQwhkpOPPYv2Y/edit?usp=sharing"",""งบพรบ!GO62"")"),0)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4</v>
      </c>
      <c r="J575" s="666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219496</v>
      </c>
      <c r="M576" s="262">
        <f ca="1">M577+M578</f>
        <v>219496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219496</v>
      </c>
      <c r="M578" s="72">
        <f t="shared" ca="1" si="147"/>
        <v>219496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219496</v>
      </c>
      <c r="M579" s="72">
        <f ca="1">M580+M581</f>
        <v>219496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IFERROR(__xludf.DUMMYFUNCTION("IMPORTRANGE(""https://docs.google.com/spreadsheets/d/1-uDff_7J0KD5mKrp0Vvzr7lt3OU09vwQwhkpOPPYv2Y/edit?usp=sharing"",""งบพรบ!GQ62"")"),219496)</f>
        <v>219496</v>
      </c>
      <c r="M581" s="72">
        <f ca="1">IFERROR(__xludf.DUMMYFUNCTION("IMPORTRANGE(""https://docs.google.com/spreadsheets/d/1-uDff_7J0KD5mKrp0Vvzr7lt3OU09vwQwhkpOPPYv2Y/edit?usp=sharing"",""งบพรบ!GV62"")"),219496)</f>
        <v>219496</v>
      </c>
      <c r="N581" s="72">
        <f ca="1">IFERROR(__xludf.DUMMYFUNCTION("IMPORTRANGE(""https://docs.google.com/spreadsheets/d/1-uDff_7J0KD5mKrp0Vvzr7lt3OU09vwQwhkpOPPYv2Y/edit?usp=sharing"",""งบพรบ!GX62"")"),0)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IFERROR(__xludf.DUMMYFUNCTION("IMPORTRANGE(""https://docs.google.com/spreadsheets/d/1-uDff_7J0KD5mKrp0Vvzr7lt3OU09vwQwhkpOPPYv2Y/edit?usp=sharing"",""งบพรบ!GT62"")"),0)</f>
        <v>0</v>
      </c>
      <c r="M584" s="72">
        <f ca="1">IFERROR(__xludf.DUMMYFUNCTION("IMPORTRANGE(""https://docs.google.com/spreadsheets/d/1-uDff_7J0KD5mKrp0Vvzr7lt3OU09vwQwhkpOPPYv2Y/edit?usp=sharing"",""งบพรบ!GW62"")"),0)</f>
        <v>0</v>
      </c>
      <c r="N584" s="72">
        <f ca="1">IFERROR(__xludf.DUMMYFUNCTION("IMPORTRANGE(""https://docs.google.com/spreadsheets/d/1-uDff_7J0KD5mKrp0Vvzr7lt3OU09vwQwhkpOPPYv2Y/edit?usp=sharing"",""งบพรบ!GY62"")"),0)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2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4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826" t="s">
        <v>217</v>
      </c>
      <c r="B596" s="824"/>
      <c r="C596" s="825"/>
      <c r="D596" s="824"/>
      <c r="E596" s="824"/>
      <c r="F596" s="824"/>
      <c r="G596" s="824"/>
      <c r="H596" s="823"/>
      <c r="I596" s="822"/>
      <c r="J596" s="822"/>
      <c r="K596" s="821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820" t="s">
        <v>218</v>
      </c>
      <c r="C597" s="299"/>
      <c r="D597" s="251"/>
      <c r="E597" s="250"/>
      <c r="F597" s="250"/>
      <c r="G597" s="250"/>
      <c r="H597" s="819" t="s">
        <v>99</v>
      </c>
      <c r="I597" s="818"/>
      <c r="J597" s="814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817"/>
      <c r="B598" s="816" t="s">
        <v>219</v>
      </c>
      <c r="C598" s="251"/>
      <c r="D598" s="250"/>
      <c r="E598" s="250"/>
      <c r="F598" s="250"/>
      <c r="G598" s="252"/>
      <c r="H598" s="815" t="s">
        <v>35</v>
      </c>
      <c r="I598" s="814"/>
      <c r="J598" s="814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44" t="s">
        <v>19</v>
      </c>
      <c r="E599" s="1401"/>
      <c r="F599" s="1401"/>
      <c r="G599" s="1402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99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IFERROR(__xludf.DUMMYFUNCTION("IMPORTRANGE(""https://docs.google.com/spreadsheets/d/1-uDff_7J0KD5mKrp0Vvzr7lt3OU09vwQwhkpOPPYv2Y/edit?usp=sharing"",""งบพรบ!HK62"")"),0)</f>
        <v>0</v>
      </c>
      <c r="M604" s="72">
        <f ca="1">IFERROR(__xludf.DUMMYFUNCTION("IMPORTRANGE(""https://docs.google.com/spreadsheets/d/1-uDff_7J0KD5mKrp0Vvzr7lt3OU09vwQwhkpOPPYv2Y/edit?usp=sharing"",""งบพรบ!HP62"")"),0)</f>
        <v>0</v>
      </c>
      <c r="N604" s="72">
        <f ca="1">IFERROR(__xludf.DUMMYFUNCTION("IMPORTRANGE(""https://docs.google.com/spreadsheets/d/1-uDff_7J0KD5mKrp0Vvzr7lt3OU09vwQwhkpOPPYv2Y/edit?usp=sharing"",""งบพรบ!HR62"")"),0)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IFERROR(__xludf.DUMMYFUNCTION("IMPORTRANGE(""https://docs.google.com/spreadsheets/d/1ItG2mGa2ceCfYo0BwxsXqNm01IGEUdYcSSLTEv9YCik/edit?usp=sharing"",""เบิกจ่ายกองทุน!AV62"")"),0)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IFERROR(__xludf.DUMMYFUNCTION("IMPORTRANGE(""https://docs.google.com/spreadsheets/d/1ItG2mGa2ceCfYo0BwxsXqNm01IGEUdYcSSLTEv9YCik/edit?usp=sharing"",""เบิกจ่ายกองทุน!AW62"")"),0)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IFERROR(__xludf.DUMMYFUNCTION("IMPORTRANGE(""https://docs.google.com/spreadsheets/d/1ItG2mGa2ceCfYo0BwxsXqNm01IGEUdYcSSLTEv9YCik/edit?usp=sharing"",""เบิกจ่ายกองทุน!AX62"")"),0)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99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IFERROR(__xludf.DUMMYFUNCTION("IMPORTRANGE(""https://docs.google.com/spreadsheets/d/1-uDff_7J0KD5mKrp0Vvzr7lt3OU09vwQwhkpOPPYv2Y/edit?usp=sharing"",""งบพรบ!HN62"")"),0)</f>
        <v>0</v>
      </c>
      <c r="M607" s="72">
        <f ca="1">IFERROR(__xludf.DUMMYFUNCTION("IMPORTRANGE(""https://docs.google.com/spreadsheets/d/1-uDff_7J0KD5mKrp0Vvzr7lt3OU09vwQwhkpOPPYv2Y/edit?usp=sharing"",""งบพรบ!HQ62"")"),0)</f>
        <v>0</v>
      </c>
      <c r="N607" s="72">
        <f ca="1">IFERROR(__xludf.DUMMYFUNCTION("IMPORTRANGE(""https://docs.google.com/spreadsheets/d/1-uDff_7J0KD5mKrp0Vvzr7lt3OU09vwQwhkpOPPYv2Y/edit?usp=sharing"",""งบพรบ!HS62"")"),0)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IFERROR(__xludf.DUMMYFUNCTION("IMPORTRANGE(""https://docs.google.com/spreadsheets/d/1ItG2mGa2ceCfYo0BwxsXqNm01IGEUdYcSSLTEv9YCik/edit?usp=sharing"",""เบิกจ่ายกองทุน!AY62"")"),0)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IFERROR(__xludf.DUMMYFUNCTION("IMPORTRANGE(""https://docs.google.com/spreadsheets/d/1ItG2mGa2ceCfYo0BwxsXqNm01IGEUdYcSSLTEv9YCik/edit?usp=sharing"",""เบิกจ่ายกองทุน!AZ62"")"),0)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IFERROR(__xludf.DUMMYFUNCTION("IMPORTRANGE(""https://docs.google.com/spreadsheets/d/1ItG2mGa2ceCfYo0BwxsXqNm01IGEUdYcSSLTEv9YCik/edit?usp=sharing"",""เบิกจ่ายกองทุน!BA62"")"),0)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13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812"/>
      <c r="B612" s="811"/>
      <c r="C612" s="811"/>
      <c r="D612" s="811"/>
      <c r="E612" s="810" t="s">
        <v>223</v>
      </c>
      <c r="F612" s="809"/>
      <c r="G612" s="808"/>
      <c r="H612" s="807" t="s">
        <v>35</v>
      </c>
      <c r="I612" s="806"/>
      <c r="J612" s="806"/>
      <c r="K612" s="805"/>
      <c r="L612" s="804"/>
      <c r="M612" s="803"/>
      <c r="N612" s="803"/>
      <c r="O612" s="803"/>
      <c r="P612" s="803"/>
      <c r="Q612" s="803"/>
      <c r="R612" s="803"/>
      <c r="S612" s="803"/>
      <c r="T612" s="803"/>
      <c r="U612" s="803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17">
        <f ca="1">I626</f>
        <v>0</v>
      </c>
      <c r="J615" s="1317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1800</v>
      </c>
      <c r="R616" s="262">
        <f ca="1">R617+R618</f>
        <v>1800</v>
      </c>
      <c r="S616" s="262">
        <f ca="1">S617+S618</f>
        <v>1359</v>
      </c>
      <c r="T616" s="262">
        <f t="shared" ref="T616:T624" ca="1" si="157">IF(Q616&gt;0,S616*100/Q616,0)</f>
        <v>75.5</v>
      </c>
      <c r="U616" s="262">
        <f t="shared" ref="U616:U624" ca="1" si="158">IF(R616&gt;0,S616*100/R616,0)</f>
        <v>75.5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1800</v>
      </c>
      <c r="R618" s="72">
        <f t="shared" ca="1" si="160"/>
        <v>1800</v>
      </c>
      <c r="S618" s="72">
        <f t="shared" ca="1" si="160"/>
        <v>1359</v>
      </c>
      <c r="T618" s="72">
        <f t="shared" ca="1" si="157"/>
        <v>75.5</v>
      </c>
      <c r="U618" s="72">
        <f t="shared" ca="1" si="158"/>
        <v>75.5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1800</v>
      </c>
      <c r="R619" s="72">
        <f ca="1">R620+R621</f>
        <v>1800</v>
      </c>
      <c r="S619" s="72">
        <f ca="1">S620+S621</f>
        <v>1359</v>
      </c>
      <c r="T619" s="72">
        <f t="shared" ca="1" si="157"/>
        <v>75.5</v>
      </c>
      <c r="U619" s="72">
        <f t="shared" ca="1" si="158"/>
        <v>75.5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IFERROR(__xludf.DUMMYFUNCTION("IMPORTRANGE(""https://docs.google.com/spreadsheets/d/1ItG2mGa2ceCfYo0BwxsXqNm01IGEUdYcSSLTEv9YCik/edit?usp=sharing"",""เบิกจ่ายกองทุน!F62"")"),1800)</f>
        <v>1800</v>
      </c>
      <c r="R621" s="72">
        <f ca="1">IFERROR(__xludf.DUMMYFUNCTION("IMPORTRANGE(""https://docs.google.com/spreadsheets/d/1ItG2mGa2ceCfYo0BwxsXqNm01IGEUdYcSSLTEv9YCik/edit?usp=sharing"",""เบิกจ่ายกองทุน!G62"")"),1800)</f>
        <v>1800</v>
      </c>
      <c r="S621" s="72">
        <f ca="1">IFERROR(__xludf.DUMMYFUNCTION("IMPORTRANGE(""https://docs.google.com/spreadsheets/d/1ItG2mGa2ceCfYo0BwxsXqNm01IGEUdYcSSLTEv9YCik/edit?usp=sharing"",""เบิกจ่ายกองทุน!H62"")"),1359)</f>
        <v>1359</v>
      </c>
      <c r="T621" s="72">
        <f t="shared" ca="1" si="157"/>
        <v>75.5</v>
      </c>
      <c r="U621" s="72">
        <f t="shared" ca="1" si="158"/>
        <v>75.5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IFERROR(__xludf.DUMMYFUNCTION("IMPORTRANGE(""https://docs.google.com/spreadsheets/d/1eHaY18a8A9IcSdp1K8H6x8fbOy06t2VsZHhMHf-1x7Y/edit?usp=sharing"",""แผน!ID62"")"),0)</f>
        <v>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IFERROR(__xludf.DUMMYFUNCTION("IMPORTRANGE(""https://docs.google.com/spreadsheets/d/1eHaY18a8A9IcSdp1K8H6x8fbOy06t2VsZHhMHf-1x7Y/edit?usp=sharing"",""แผน!IC62"")"),1)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IFERROR(__xludf.DUMMYFUNCTION("IMPORTRANGE(""https://docs.google.com/spreadsheets/d/1eHaY18a8A9IcSdp1K8H6x8fbOy06t2VsZHhMHf-1x7Y/edit?usp=sharing"",""แผน!IC62"")"),1)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IFERROR(__xludf.DUMMYFUNCTION("IMPORTRANGE(""https://docs.google.com/spreadsheets/d/1eHaY18a8A9IcSdp1K8H6x8fbOy06t2VsZHhMHf-1x7Y/edit?usp=sharing"",""แผน!IE62"")"),0)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IFERROR(__xludf.DUMMYFUNCTION("IMPORTRANGE(""https://docs.google.com/spreadsheets/d/1ItG2mGa2ceCfYo0BwxsXqNm01IGEUdYcSSLTEv9YCik/edit?usp=sharing"",""เบิกจ่ายกองทุน!I62"")"),0)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IFERROR(__xludf.DUMMYFUNCTION("IMPORTRANGE(""https://docs.google.com/spreadsheets/d/1ItG2mGa2ceCfYo0BwxsXqNm01IGEUdYcSSLTEv9YCik/edit?usp=sharing"",""เบิกจ่ายกองทุน!J62"")"),0)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IFERROR(__xludf.DUMMYFUNCTION("IMPORTRANGE(""https://docs.google.com/spreadsheets/d/1ItG2mGa2ceCfYo0BwxsXqNm01IGEUdYcSSLTEv9YCik/edit?usp=sharing"",""เบิกจ่ายกองทุน!K62"")"),0)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67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IFERROR(__xludf.DUMMYFUNCTION("IMPORTRANGE(""https://docs.google.com/spreadsheets/d/1eHaY18a8A9IcSdp1K8H6x8fbOy06t2VsZHhMHf-1x7Y/edit?usp=sharing"",""แผน!IF62"")"),0)</f>
        <v>0</v>
      </c>
      <c r="J652" s="291">
        <f ca="1">IFERROR(__xludf.DUMMYFUNCTION("IMPORTRANGE(""https://docs.google.com/spreadsheets/d/1tdoBKaGub7dwA3U6UFTqxio9LNnvDCQjHKmttSEBsFQ/edit?usp=sharing"",""จัดที่ดิน!AU62"")"),0)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IFERROR(__xludf.DUMMYFUNCTION("IMPORTRANGE(""https://docs.google.com/spreadsheets/d/1eHaY18a8A9IcSdp1K8H6x8fbOy06t2VsZHhMHf-1x7Y/edit?usp=sharing"",""แผน!IG62"")"),0)</f>
        <v>0</v>
      </c>
      <c r="J653" s="291">
        <f ca="1">IFERROR(__xludf.DUMMYFUNCTION("IMPORTRANGE(""https://docs.google.com/spreadsheets/d/1tdoBKaGub7dwA3U6UFTqxio9LNnvDCQjHKmttSEBsFQ/edit?usp=sharing"",""จัดที่ดิน!AW62"")"),0)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IFERROR(__xludf.DUMMYFUNCTION("IMPORTRANGE(""https://docs.google.com/spreadsheets/d/1eHaY18a8A9IcSdp1K8H6x8fbOy06t2VsZHhMHf-1x7Y/edit?usp=sharing"",""แผน!IH62"")"),0)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IFERROR(__xludf.DUMMYFUNCTION("IMPORTRANGE(""https://docs.google.com/spreadsheets/d/1eHaY18a8A9IcSdp1K8H6x8fbOy06t2VsZHhMHf-1x7Y/edit?usp=sharing"",""แผน!II62"")"),0)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IFERROR(__xludf.DUMMYFUNCTION("IMPORTRANGE(""https://docs.google.com/spreadsheets/d/1eHaY18a8A9IcSdp1K8H6x8fbOy06t2VsZHhMHf-1x7Y/edit?usp=sharing"",""แผน!IJ62"")"),0)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IFERROR(__xludf.DUMMYFUNCTION("IMPORTRANGE(""https://docs.google.com/spreadsheets/d/1eHaY18a8A9IcSdp1K8H6x8fbOy06t2VsZHhMHf-1x7Y/edit?usp=sharing"",""แผน!IK62"")"),0)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IFERROR(__xludf.DUMMYFUNCTION("IMPORTRANGE(""https://docs.google.com/spreadsheets/d/1tdoBKaGub7dwA3U6UFTqxio9LNnvDCQjHKmttSEBsFQ/edit?usp=sharing"",""จัดที่ดิน!AY62"")"),0)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IFERROR(__xludf.DUMMYFUNCTION("IMPORTRANGE(""https://docs.google.com/spreadsheets/d/1tdoBKaGub7dwA3U6UFTqxio9LNnvDCQjHKmttSEBsFQ/edit?usp=sharing"",""จัดที่ดิน!AZ62"")"),0)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IFERROR(__xludf.DUMMYFUNCTION("IMPORTRANGE(""https://docs.google.com/spreadsheets/d/1eHaY18a8A9IcSdp1K8H6x8fbOy06t2VsZHhMHf-1x7Y/edit?usp=sharing"",""แผน!IL62"")"),0)</f>
        <v>0</v>
      </c>
      <c r="J673" s="291">
        <f ca="1">IFERROR(__xludf.DUMMYFUNCTION("IMPORTRANGE(""https://docs.google.com/spreadsheets/d/1tdoBKaGub7dwA3U6UFTqxio9LNnvDCQjHKmttSEBsFQ/edit?usp=sharing"",""จัดที่ดิน!BA62"")"),0)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IFERROR(__xludf.DUMMYFUNCTION("IMPORTRANGE(""https://docs.google.com/spreadsheets/d/1eHaY18a8A9IcSdp1K8H6x8fbOy06t2VsZHhMHf-1x7Y/edit?usp=sharing"",""แผน!IM62"")"),0)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IFERROR(__xludf.DUMMYFUNCTION("IMPORTRANGE(""https://docs.google.com/spreadsheets/d/1eHaY18a8A9IcSdp1K8H6x8fbOy06t2VsZHhMHf-1x7Y/edit?usp=sharing"",""แผน!IN62"")"),0)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IFERROR(__xludf.DUMMYFUNCTION("IMPORTRANGE(""https://docs.google.com/spreadsheets/d/1eHaY18a8A9IcSdp1K8H6x8fbOy06t2VsZHhMHf-1x7Y/edit?usp=sharing"",""แผน!IO62"")"),0)</f>
        <v>0</v>
      </c>
      <c r="J676" s="291">
        <f ca="1">IFERROR(__xludf.DUMMYFUNCTION("IMPORTRANGE(""https://docs.google.com/spreadsheets/d/1tdoBKaGub7dwA3U6UFTqxio9LNnvDCQjHKmttSEBsFQ/edit?usp=sharing"",""จัดที่ดิน!BF62"")"),0)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IFERROR(__xludf.DUMMYFUNCTION("IMPORTRANGE(""https://docs.google.com/spreadsheets/d/1tdoBKaGub7dwA3U6UFTqxio9LNnvDCQjHKmttSEBsFQ/edit?usp=sharing"",""จัดที่ดิน!BG62"")"),0)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IFERROR(__xludf.DUMMYFUNCTION("IMPORTRANGE(""https://docs.google.com/spreadsheets/d/1eHaY18a8A9IcSdp1K8H6x8fbOy06t2VsZHhMHf-1x7Y/edit?usp=sharing"",""แผน!IP62"")"),0)</f>
        <v>0</v>
      </c>
      <c r="J678" s="291">
        <f ca="1">IFERROR(__xludf.DUMMYFUNCTION("IMPORTRANGE(""https://docs.google.com/spreadsheets/d/1tdoBKaGub7dwA3U6UFTqxio9LNnvDCQjHKmttSEBsFQ/edit?usp=sharing"",""จัดที่ดิน!BH62"")"),0)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IFERROR(__xludf.DUMMYFUNCTION("IMPORTRANGE(""https://docs.google.com/spreadsheets/d/1eHaY18a8A9IcSdp1K8H6x8fbOy06t2VsZHhMHf-1x7Y/edit?usp=sharing"",""แผน!IQ62"")"),0)</f>
        <v>0</v>
      </c>
      <c r="J679" s="291">
        <f ca="1">IFERROR(__xludf.DUMMYFUNCTION("IMPORTRANGE(""https://docs.google.com/spreadsheets/d/1tdoBKaGub7dwA3U6UFTqxio9LNnvDCQjHKmttSEBsFQ/edit?usp=sharing"",""จัดที่ดิน!BK62"")"),0)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IFERROR(__xludf.DUMMYFUNCTION("IMPORTRANGE(""https://docs.google.com/spreadsheets/d/1tdoBKaGub7dwA3U6UFTqxio9LNnvDCQjHKmttSEBsFQ/edit?usp=sharing"",""จัดที่ดิน!BL62"")"),0)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IFERROR(__xludf.DUMMYFUNCTION("IMPORTRANGE(""https://docs.google.com/spreadsheets/d/1eHaY18a8A9IcSdp1K8H6x8fbOy06t2VsZHhMHf-1x7Y/edit?usp=sharing"",""แผน!IR62"")"),0)</f>
        <v>0</v>
      </c>
      <c r="J681" s="291">
        <f ca="1">IFERROR(__xludf.DUMMYFUNCTION("IMPORTRANGE(""https://docs.google.com/spreadsheets/d/1tdoBKaGub7dwA3U6UFTqxio9LNnvDCQjHKmttSEBsFQ/edit?usp=sharing"",""จัดที่ดิน!BM62"")"),0)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IFERROR(__xludf.DUMMYFUNCTION("IMPORTRANGE(""https://docs.google.com/spreadsheets/d/1eHaY18a8A9IcSdp1K8H6x8fbOy06t2VsZHhMHf-1x7Y/edit?usp=sharing"",""แผน!IS62"")"),0)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20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132160</v>
      </c>
      <c r="R690" s="262">
        <f ca="1">R691+R692</f>
        <v>132160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132160</v>
      </c>
      <c r="R692" s="72">
        <f t="shared" ca="1" si="172"/>
        <v>132160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132160</v>
      </c>
      <c r="R693" s="72">
        <f ca="1">R694+R695</f>
        <v>132160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IFERROR(__xludf.DUMMYFUNCTION("IMPORTRANGE(""https://docs.google.com/spreadsheets/d/1ItG2mGa2ceCfYo0BwxsXqNm01IGEUdYcSSLTEv9YCik/edit?usp=sharing"",""เบิกจ่ายกองทุน!L62"")"),132160)</f>
        <v>132160</v>
      </c>
      <c r="R695" s="72">
        <f ca="1">IFERROR(__xludf.DUMMYFUNCTION("IMPORTRANGE(""https://docs.google.com/spreadsheets/d/1ItG2mGa2ceCfYo0BwxsXqNm01IGEUdYcSSLTEv9YCik/edit?usp=sharing"",""เบิกจ่ายกองทุน!M62"")"),132160)</f>
        <v>132160</v>
      </c>
      <c r="S695" s="72">
        <f ca="1">IFERROR(__xludf.DUMMYFUNCTION("IMPORTRANGE(""https://docs.google.com/spreadsheets/d/1ItG2mGa2ceCfYo0BwxsXqNm01IGEUdYcSSLTEv9YCik/edit?usp=sharing"",""เบิกจ่ายกองทุน!N62"")"),0)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IFERROR(__xludf.DUMMYFUNCTION("IMPORTRANGE(""https://docs.google.com/spreadsheets/d/1eHaY18a8A9IcSdp1K8H6x8fbOy06t2VsZHhMHf-1x7Y/edit?usp=sharing"",""แผน!LC62"")"),0)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21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IFERROR(__xludf.DUMMYFUNCTION("IMPORTRANGE(""https://docs.google.com/spreadsheets/d/1eHaY18a8A9IcSdp1K8H6x8fbOy06t2VsZHhMHf-1x7Y/edit?usp=sharing"",""แผน!LJ62"")"),20)</f>
        <v>20</v>
      </c>
      <c r="J703" s="291">
        <f ca="1">IFERROR(__xludf.DUMMYFUNCTION("IMPORTRANGE(""https://docs.google.com/spreadsheets/d/1tdoBKaGub7dwA3U6UFTqxio9LNnvDCQjHKmttSEBsFQ/edit?usp=sharing"",""จัดที่ดิน!AP62"")"),0)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IFERROR(__xludf.DUMMYFUNCTION("IMPORTRANGE(""https://docs.google.com/spreadsheets/d/1tdoBKaGub7dwA3U6UFTqxio9LNnvDCQjHKmttSEBsFQ/edit?usp=sharing"",""จัดที่ดิน!AQ62"")"),0)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IFERROR(__xludf.DUMMYFUNCTION("IMPORTRANGE(""https://docs.google.com/spreadsheets/d/1eHaY18a8A9IcSdp1K8H6x8fbOy06t2VsZHhMHf-1x7Y/edit?usp=sharing"",""แผน!LK62"")"),1)</f>
        <v>1</v>
      </c>
      <c r="J705" s="291">
        <f ca="1">IFERROR(__xludf.DUMMYFUNCTION("IMPORTRANGE(""https://docs.google.com/spreadsheets/d/1tdoBKaGub7dwA3U6UFTqxio9LNnvDCQjHKmttSEBsFQ/edit?usp=sharing"",""จัดที่ดิน!AR62"")"),0)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IFERROR(__xludf.DUMMYFUNCTION("IMPORTRANGE(""https://docs.google.com/spreadsheets/d/1tdoBKaGub7dwA3U6UFTqxio9LNnvDCQjHKmttSEBsFQ/edit?usp=sharing"",""จัดที่ดิน!AS62"")"),0)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IFERROR(__xludf.DUMMYFUNCTION("IMPORTRANGE(""https://docs.google.com/spreadsheets/d/1eHaY18a8A9IcSdp1K8H6x8fbOy06t2VsZHhMHf-1x7Y/edit?usp=sharing"",""แผน!LJ62"")"),20)</f>
        <v>20</v>
      </c>
      <c r="J707" s="291">
        <f ca="1">IFERROR(__xludf.DUMMYFUNCTION("IMPORTRANGE(""https://docs.google.com/spreadsheets/d/1tdoBKaGub7dwA3U6UFTqxio9LNnvDCQjHKmttSEBsFQ/edit?usp=sharing"",""จัดที่ดิน!BN62"")"),0)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IFERROR(__xludf.DUMMYFUNCTION("IMPORTRANGE(""https://docs.google.com/spreadsheets/d/1tdoBKaGub7dwA3U6UFTqxio9LNnvDCQjHKmttSEBsFQ/edit?usp=sharing"",""จัดที่ดิน!BO62"")"),0)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IFERROR(__xludf.DUMMYFUNCTION("IMPORTRANGE(""https://docs.google.com/spreadsheets/d/1eHaY18a8A9IcSdp1K8H6x8fbOy06t2VsZHhMHf-1x7Y/edit?usp=sharing"",""แผน!LK62"")"),1)</f>
        <v>1</v>
      </c>
      <c r="J709" s="291">
        <f ca="1">IFERROR(__xludf.DUMMYFUNCTION("IMPORTRANGE(""https://docs.google.com/spreadsheets/d/1tdoBKaGub7dwA3U6UFTqxio9LNnvDCQjHKmttSEBsFQ/edit?usp=sharing"",""จัดที่ดิน!BP62"")"),0)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IFERROR(__xludf.DUMMYFUNCTION("IMPORTRANGE(""https://docs.google.com/spreadsheets/d/1tdoBKaGub7dwA3U6UFTqxio9LNnvDCQjHKmttSEBsFQ/edit?usp=sharing"",""จัดที่ดิน!BQ62"")"),0)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IFERROR(__xludf.DUMMYFUNCTION("IMPORTRANGE(""https://docs.google.com/spreadsheets/d/1eHaY18a8A9IcSdp1K8H6x8fbOy06t2VsZHhMHf-1x7Y/edit?usp=sharing"",""แผน!GA62"")"),51)</f>
        <v>51</v>
      </c>
      <c r="J726" s="743">
        <f>J742+J746+J749</f>
        <v>51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IFERROR(__xludf.DUMMYFUNCTION("IMPORTRANGE(""https://docs.google.com/spreadsheets/d/1eHaY18a8A9IcSdp1K8H6x8fbOy06t2VsZHhMHf-1x7Y/edit?usp=sharing"",""แผน!FZ62"")"),500)</f>
        <v>500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379090</v>
      </c>
      <c r="R728" s="262">
        <f ca="1">R729+R730</f>
        <v>379090</v>
      </c>
      <c r="S728" s="262">
        <f ca="1">S729+S730</f>
        <v>73190</v>
      </c>
      <c r="T728" s="262">
        <f t="shared" ref="T728:T736" ca="1" si="182">IF(Q728&gt;0,S728*100/Q728,0)</f>
        <v>19.306760927484238</v>
      </c>
      <c r="U728" s="262">
        <f t="shared" ref="U728:U736" ca="1" si="183">IF(R728&gt;0,S728*100/R728,0)</f>
        <v>19.306760927484238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379090</v>
      </c>
      <c r="R730" s="72">
        <f t="shared" ca="1" si="185"/>
        <v>379090</v>
      </c>
      <c r="S730" s="72">
        <f t="shared" ca="1" si="185"/>
        <v>73190</v>
      </c>
      <c r="T730" s="72">
        <f t="shared" ca="1" si="182"/>
        <v>19.306760927484238</v>
      </c>
      <c r="U730" s="72">
        <f t="shared" ca="1" si="183"/>
        <v>19.306760927484238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379090</v>
      </c>
      <c r="R731" s="72">
        <f ca="1">R732+R733</f>
        <v>379090</v>
      </c>
      <c r="S731" s="72">
        <f ca="1">S732+S733</f>
        <v>73190</v>
      </c>
      <c r="T731" s="72">
        <f t="shared" ca="1" si="182"/>
        <v>19.306760927484238</v>
      </c>
      <c r="U731" s="72">
        <f t="shared" ca="1" si="183"/>
        <v>19.306760927484238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IFERROR(__xludf.DUMMYFUNCTION("IMPORTRANGE(""https://docs.google.com/spreadsheets/d/1ItG2mGa2ceCfYo0BwxsXqNm01IGEUdYcSSLTEv9YCik/edit?usp=sharing"",""เบิกจ่ายกองทุน!O62"")"),379090)</f>
        <v>379090</v>
      </c>
      <c r="R733" s="72">
        <f ca="1">IFERROR(__xludf.DUMMYFUNCTION("IMPORTRANGE(""https://docs.google.com/spreadsheets/d/1ItG2mGa2ceCfYo0BwxsXqNm01IGEUdYcSSLTEv9YCik/edit?usp=sharing"",""เบิกจ่ายกองทุน!P62"")"),379090)</f>
        <v>379090</v>
      </c>
      <c r="S733" s="72">
        <f ca="1">IFERROR(__xludf.DUMMYFUNCTION("IMPORTRANGE(""https://docs.google.com/spreadsheets/d/1ItG2mGa2ceCfYo0BwxsXqNm01IGEUdYcSSLTEv9YCik/edit?usp=sharing"",""เบิกจ่ายกองทุน!Q62"")"),73190)</f>
        <v>73190</v>
      </c>
      <c r="T733" s="72">
        <f t="shared" ca="1" si="182"/>
        <v>19.306760927484238</v>
      </c>
      <c r="U733" s="72">
        <f t="shared" ca="1" si="183"/>
        <v>19.306760927484238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IFERROR(__xludf.DUMMYFUNCTION("IMPORTRANGE(""https://docs.google.com/spreadsheets/d/1eHaY18a8A9IcSdp1K8H6x8fbOy06t2VsZHhMHf-1x7Y/edit?usp=sharing"",""แผน!GB62"")"),400)</f>
        <v>400</v>
      </c>
      <c r="J740" s="794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40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IFERROR(__xludf.DUMMYFUNCTION("IMPORTRANGE(""https://docs.google.com/spreadsheets/d/1eHaY18a8A9IcSdp1K8H6x8fbOy06t2VsZHhMHf-1x7Y/edit?usp=sharing"",""แผน!GC62"")"),40)</f>
        <v>40</v>
      </c>
      <c r="J742" s="794">
        <v>40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IFERROR(__xludf.DUMMYFUNCTION("IMPORTRANGE(""https://docs.google.com/spreadsheets/d/1eHaY18a8A9IcSdp1K8H6x8fbOy06t2VsZHhMHf-1x7Y/edit?usp=sharing"",""แผน!GD62"")"),100)</f>
        <v>100</v>
      </c>
      <c r="J744" s="794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10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IFERROR(__xludf.DUMMYFUNCTION("IMPORTRANGE(""https://docs.google.com/spreadsheets/d/1eHaY18a8A9IcSdp1K8H6x8fbOy06t2VsZHhMHf-1x7Y/edit?usp=sharing"",""แผน!GE62"")"),10)</f>
        <v>10</v>
      </c>
      <c r="J746" s="794">
        <v>10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9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IFERROR(__xludf.DUMMYFUNCTION("IMPORTRANGE(""https://docs.google.com/spreadsheets/d/1eHaY18a8A9IcSdp1K8H6x8fbOy06t2VsZHhMHf-1x7Y/edit?usp=sharing"",""แผน!GF62"")"),1)</f>
        <v>1</v>
      </c>
      <c r="J749" s="794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IFERROR(__xludf.DUMMYFUNCTION("IMPORTRANGE(""https://docs.google.com/spreadsheets/d/1eHaY18a8A9IcSdp1K8H6x8fbOy06t2VsZHhMHf-1x7Y/edit?usp=sharing"",""แผน!GB62"")"),400)</f>
        <v>400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IFERROR(__xludf.DUMMYFUNCTION("IMPORTRANGE(""https://docs.google.com/spreadsheets/d/1eHaY18a8A9IcSdp1K8H6x8fbOy06t2VsZHhMHf-1x7Y/edit?usp=sharing"",""แผน!GD62"")"),100)</f>
        <v>100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IFERROR(__xludf.DUMMYFUNCTION("IMPORTRANGE(""https://docs.google.com/spreadsheets/d/1ItG2mGa2ceCfYo0BwxsXqNm01IGEUdYcSSLTEv9YCik/edit?usp=sharing"",""เบิกจ่ายกองทุน!AA62"")"),0)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IFERROR(__xludf.DUMMYFUNCTION("IMPORTRANGE(""https://docs.google.com/spreadsheets/d/1ItG2mGa2ceCfYo0BwxsXqNm01IGEUdYcSSLTEv9YCik/edit?usp=sharing"",""เบิกจ่ายกองทุน!AB62"")"),0)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IFERROR(__xludf.DUMMYFUNCTION("IMPORTRANGE(""https://docs.google.com/spreadsheets/d/1ItG2mGa2ceCfYo0BwxsXqNm01IGEUdYcSSLTEv9YCik/edit?usp=sharing"",""เบิกจ่ายกองทุน!AC62"")"),0)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IFERROR(__xludf.DUMMYFUNCTION("IMPORTRANGE(""https://docs.google.com/spreadsheets/d/1eHaY18a8A9IcSdp1K8H6x8fbOy06t2VsZHhMHf-1x7Y/edit?usp=sharing"",""แผน!FI62"")"),0)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IFERROR(__xludf.DUMMYFUNCTION("IMPORTRANGE(""https://docs.google.com/spreadsheets/d/1eHaY18a8A9IcSdp1K8H6x8fbOy06t2VsZHhMHf-1x7Y/edit?usp=sharing"",""แผน!FQ62"")"),0)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IFERROR(__xludf.DUMMYFUNCTION("IMPORTRANGE(""https://docs.google.com/spreadsheets/d/1eHaY18a8A9IcSdp1K8H6x8fbOy06t2VsZHhMHf-1x7Y/edit?usp=sharing"",""แผน!FR62"")"),0)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IFERROR(__xludf.DUMMYFUNCTION("IMPORTRANGE(""https://docs.google.com/spreadsheets/d/1eHaY18a8A9IcSdp1K8H6x8fbOy06t2VsZHhMHf-1x7Y/edit?usp=sharing"",""แผน!FS62"")"),0)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IFERROR(__xludf.DUMMYFUNCTION("IMPORTRANGE(""https://docs.google.com/spreadsheets/d/1eHaY18a8A9IcSdp1K8H6x8fbOy06t2VsZHhMHf-1x7Y/edit?usp=sharing"",""แผน!FT62"")"),0)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IFERROR(__xludf.DUMMYFUNCTION("IMPORTRANGE(""https://docs.google.com/spreadsheets/d/10OvvATaaLtwErnr3qtWFcTmtbfpFEt5Bsqel9sXx0uE/edit?usp=sharing"",""งานกองทุน!D62"")"),2338817.87)</f>
        <v>2338817.87</v>
      </c>
      <c r="J778" s="291">
        <f ca="1">IFERROR(__xludf.DUMMYFUNCTION("IMPORTRANGE(""https://docs.google.com/spreadsheets/d/10OvvATaaLtwErnr3qtWFcTmtbfpFEt5Bsqel9sXx0uE/edit?usp=sharing"",""งานกองทุน!F62"")"),1828412.21)</f>
        <v>1828412.21</v>
      </c>
      <c r="K778" s="72">
        <f t="shared" ref="K778:K785" ca="1" si="192">IF(I778&gt;0,J778*100/I778,0)</f>
        <v>78.176767565060544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IFERROR(__xludf.DUMMYFUNCTION("IMPORTRANGE(""https://docs.google.com/spreadsheets/d/10OvvATaaLtwErnr3qtWFcTmtbfpFEt5Bsqel9sXx0uE/edit?usp=sharing"",""งานกองทุน!C62"")"),159)</f>
        <v>159</v>
      </c>
      <c r="J779" s="291">
        <f ca="1">IFERROR(__xludf.DUMMYFUNCTION("IMPORTRANGE(""https://docs.google.com/spreadsheets/d/10OvvATaaLtwErnr3qtWFcTmtbfpFEt5Bsqel9sXx0uE/edit?usp=sharing"",""งานกองทุน!E62"")"),116)</f>
        <v>116</v>
      </c>
      <c r="K779" s="72">
        <f t="shared" ca="1" si="192"/>
        <v>72.95597484276729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IFERROR(__xludf.DUMMYFUNCTION("IMPORTRANGE(""https://docs.google.com/spreadsheets/d/10OvvATaaLtwErnr3qtWFcTmtbfpFEt5Bsqel9sXx0uE/edit?usp=sharing"",""งานกองทุน!I62"")"),247543.29)</f>
        <v>247543.29</v>
      </c>
      <c r="J780" s="291">
        <f ca="1">IFERROR(__xludf.DUMMYFUNCTION("IMPORTRANGE(""https://docs.google.com/spreadsheets/d/10OvvATaaLtwErnr3qtWFcTmtbfpFEt5Bsqel9sXx0uE/edit?usp=sharing"",""งานกองทุน!K62"")"),59849.15)</f>
        <v>59849.15</v>
      </c>
      <c r="K780" s="72">
        <f t="shared" ca="1" si="192"/>
        <v>24.177245927368904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IFERROR(__xludf.DUMMYFUNCTION("IMPORTRANGE(""https://docs.google.com/spreadsheets/d/10OvvATaaLtwErnr3qtWFcTmtbfpFEt5Bsqel9sXx0uE/edit?usp=sharing"",""งานกองทุน!H62"")"),16)</f>
        <v>16</v>
      </c>
      <c r="J781" s="291">
        <f ca="1">IFERROR(__xludf.DUMMYFUNCTION("IMPORTRANGE(""https://docs.google.com/spreadsheets/d/10OvvATaaLtwErnr3qtWFcTmtbfpFEt5Bsqel9sXx0uE/edit?usp=sharing"",""งานกองทุน!J62"")"),13)</f>
        <v>13</v>
      </c>
      <c r="K781" s="72">
        <f t="shared" ca="1" si="192"/>
        <v>81.25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IFERROR(__xludf.DUMMYFUNCTION("IMPORTRANGE(""https://docs.google.com/spreadsheets/d/10OvvATaaLtwErnr3qtWFcTmtbfpFEt5Bsqel9sXx0uE/edit?usp=sharing"",""งานกองทุน!N62"")"),231.96)</f>
        <v>231.96</v>
      </c>
      <c r="J782" s="291">
        <f ca="1">IFERROR(__xludf.DUMMYFUNCTION("IMPORTRANGE(""https://docs.google.com/spreadsheets/d/10OvvATaaLtwErnr3qtWFcTmtbfpFEt5Bsqel9sXx0uE/edit?usp=sharing"",""งานกองทุน!P62"")"),231.96)</f>
        <v>231.96</v>
      </c>
      <c r="K782" s="72">
        <f t="shared" ca="1" si="192"/>
        <v>100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IFERROR(__xludf.DUMMYFUNCTION("IMPORTRANGE(""https://docs.google.com/spreadsheets/d/10OvvATaaLtwErnr3qtWFcTmtbfpFEt5Bsqel9sXx0uE/edit?usp=sharing"",""งานกองทุน!M62"")"),1)</f>
        <v>1</v>
      </c>
      <c r="J783" s="291">
        <f ca="1">IFERROR(__xludf.DUMMYFUNCTION("IMPORTRANGE(""https://docs.google.com/spreadsheets/d/10OvvATaaLtwErnr3qtWFcTmtbfpFEt5Bsqel9sXx0uE/edit?usp=sharing"",""งานกองทุน!O62"")"),0)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IFERROR(__xludf.DUMMYFUNCTION("IMPORTRANGE(""https://docs.google.com/spreadsheets/d/10OvvATaaLtwErnr3qtWFcTmtbfpFEt5Bsqel9sXx0uE/edit?usp=sharing"",""งานกองทุน!S62"")"),2940000)</f>
        <v>2940000</v>
      </c>
      <c r="J784" s="291">
        <f ca="1">IFERROR(__xludf.DUMMYFUNCTION("IMPORTRANGE(""https://docs.google.com/spreadsheets/d/10OvvATaaLtwErnr3qtWFcTmtbfpFEt5Bsqel9sXx0uE/edit?usp=sharing"",""งานกองทุน!U62"")"),2152000)</f>
        <v>2152000</v>
      </c>
      <c r="K784" s="72">
        <f t="shared" ca="1" si="192"/>
        <v>73.197278911564624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IFERROR(__xludf.DUMMYFUNCTION("IMPORTRANGE(""https://docs.google.com/spreadsheets/d/10OvvATaaLtwErnr3qtWFcTmtbfpFEt5Bsqel9sXx0uE/edit?usp=sharing"",""งานกองทุน!R62"")"),105)</f>
        <v>105</v>
      </c>
      <c r="J785" s="773">
        <f ca="1">IFERROR(__xludf.DUMMYFUNCTION("IMPORTRANGE(""https://docs.google.com/spreadsheets/d/10OvvATaaLtwErnr3qtWFcTmtbfpFEt5Bsqel9sXx0uE/edit?usp=sharing"",""งานกองทุน!T62"")"),48)</f>
        <v>48</v>
      </c>
      <c r="K785" s="181">
        <f t="shared" ca="1" si="192"/>
        <v>45.714285714285715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28450-09EC-4438-89CC-19EAFCAA726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356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2257665</v>
      </c>
      <c r="M18" s="57">
        <f ca="1">M19+M20</f>
        <v>2514120</v>
      </c>
      <c r="N18" s="57">
        <f ca="1">N19+N20</f>
        <v>1660265.8599999999</v>
      </c>
      <c r="O18" s="57">
        <f t="shared" ref="O18:O26" ca="1" si="0">IF(L18&gt;0,N18*100/L18,0)</f>
        <v>73.539070677004787</v>
      </c>
      <c r="P18" s="57">
        <f t="shared" ref="P18:P26" ca="1" si="1">IF(M18&gt;0,N18*100/M18,0)</f>
        <v>66.037653731723225</v>
      </c>
      <c r="Q18" s="57">
        <f ca="1">Q19+Q20</f>
        <v>1480100.24</v>
      </c>
      <c r="R18" s="57">
        <f ca="1">R19+R20</f>
        <v>1480100</v>
      </c>
      <c r="S18" s="57">
        <f ca="1">S19+S20</f>
        <v>702639</v>
      </c>
      <c r="T18" s="57">
        <f t="shared" ref="T18:T26" ca="1" si="2">IF(Q18&gt;0,S18*100/Q18,0)</f>
        <v>47.47239281577307</v>
      </c>
      <c r="U18" s="57">
        <f t="shared" ref="U18:U26" ca="1" si="3">IF(R18&gt;0,S18*100/R18,0)</f>
        <v>47.472400513478817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2257665</v>
      </c>
      <c r="M20" s="63">
        <f t="shared" ca="1" si="4"/>
        <v>2514120</v>
      </c>
      <c r="N20" s="63">
        <f t="shared" ca="1" si="4"/>
        <v>1660265.8599999999</v>
      </c>
      <c r="O20" s="63">
        <f t="shared" ca="1" si="0"/>
        <v>73.539070677004787</v>
      </c>
      <c r="P20" s="63">
        <f t="shared" ca="1" si="1"/>
        <v>66.037653731723225</v>
      </c>
      <c r="Q20" s="63">
        <f t="shared" ca="1" si="5"/>
        <v>1480100.24</v>
      </c>
      <c r="R20" s="63">
        <f t="shared" ca="1" si="5"/>
        <v>1480100</v>
      </c>
      <c r="S20" s="63">
        <f t="shared" ca="1" si="5"/>
        <v>702639</v>
      </c>
      <c r="T20" s="63">
        <f t="shared" ca="1" si="2"/>
        <v>47.47239281577307</v>
      </c>
      <c r="U20" s="63">
        <f t="shared" ca="1" si="3"/>
        <v>47.472400513478817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2257665</v>
      </c>
      <c r="M21" s="72">
        <f ca="1">M22+M23</f>
        <v>2514120</v>
      </c>
      <c r="N21" s="72">
        <f ca="1">N22+N23</f>
        <v>1660265.8599999999</v>
      </c>
      <c r="O21" s="72">
        <f t="shared" ca="1" si="0"/>
        <v>73.539070677004787</v>
      </c>
      <c r="P21" s="72">
        <f t="shared" ca="1" si="1"/>
        <v>66.037653731723225</v>
      </c>
      <c r="Q21" s="72">
        <f ca="1">Q22+Q23</f>
        <v>1480100.24</v>
      </c>
      <c r="R21" s="72">
        <f ca="1">R22+R23</f>
        <v>1480100</v>
      </c>
      <c r="S21" s="72">
        <f ca="1">S22+S23</f>
        <v>702639</v>
      </c>
      <c r="T21" s="72">
        <f t="shared" ca="1" si="2"/>
        <v>47.47239281577307</v>
      </c>
      <c r="U21" s="72">
        <f t="shared" ca="1" si="3"/>
        <v>47.472400513478817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2257665</v>
      </c>
      <c r="M23" s="72">
        <f ca="1">M49+M64+M77+M99+M122+M144+M162+M191+M178+M271+M287+M308+M325+M338+M361+M380+M418+M498+M518+M539+M560+M581+M604+M621+M647+M695+M719+M733+M765</f>
        <v>2514120</v>
      </c>
      <c r="N23" s="72">
        <f ca="1">N49+N64+N77+N99+N122+N144+N162+N191+N178+N271+N287+N308+N325+N338+N361+N380+N418+N498+N518+N539+N560+N581+N604+N621+N647+N695+N719+N733+N765</f>
        <v>1660265.8599999999</v>
      </c>
      <c r="O23" s="72">
        <f t="shared" ca="1" si="0"/>
        <v>73.539070677004787</v>
      </c>
      <c r="P23" s="72">
        <f t="shared" ca="1" si="1"/>
        <v>66.037653731723225</v>
      </c>
      <c r="Q23" s="72">
        <f t="shared" ca="1" si="6"/>
        <v>1480100.24</v>
      </c>
      <c r="R23" s="72">
        <f t="shared" ca="1" si="6"/>
        <v>1480100</v>
      </c>
      <c r="S23" s="72">
        <f t="shared" ca="1" si="6"/>
        <v>702639</v>
      </c>
      <c r="T23" s="72">
        <f t="shared" ca="1" si="2"/>
        <v>47.47239281577307</v>
      </c>
      <c r="U23" s="72">
        <f t="shared" ca="1" si="3"/>
        <v>47.472400513478817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2209340</v>
      </c>
      <c r="M40" s="1050">
        <f ca="1">M44+M59+M72+M94+M125+M139+M157+M173+M186+M266+M282+M303+M320+M333+M356</f>
        <v>2465795</v>
      </c>
      <c r="N40" s="1050">
        <f ca="1">N44+N59+N72+N94+N125+N139+N157+N173+N186+N266+N282+N303+N320+N333+N356</f>
        <v>1660265.8599999999</v>
      </c>
      <c r="O40" s="1050">
        <f ca="1">IF(L40&gt;0,N40*100/L40,0)</f>
        <v>75.147594304181339</v>
      </c>
      <c r="P40" s="1050">
        <f ca="1">IF(M40&gt;0,N40*100/M40,0)</f>
        <v>67.33186903209716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318600</v>
      </c>
      <c r="M44" s="1031">
        <f ca="1">M45+M46</f>
        <v>362535</v>
      </c>
      <c r="N44" s="1031">
        <f ca="1">N45+N46</f>
        <v>291085</v>
      </c>
      <c r="O44" s="1031">
        <f t="shared" ref="O44:O52" ca="1" si="8">IF(L44&gt;0,N44*100/L44,0)</f>
        <v>91.363779033270561</v>
      </c>
      <c r="P44" s="1031">
        <f t="shared" ref="P44:P52" ca="1" si="9">IF(M44&gt;0,N44*100/M44,0)</f>
        <v>80.291558056463515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318600</v>
      </c>
      <c r="M46" s="1018">
        <f t="shared" ca="1" si="12"/>
        <v>362535</v>
      </c>
      <c r="N46" s="1018">
        <f t="shared" ca="1" si="12"/>
        <v>291085</v>
      </c>
      <c r="O46" s="1018">
        <f t="shared" ca="1" si="8"/>
        <v>91.363779033270561</v>
      </c>
      <c r="P46" s="1018">
        <f t="shared" ca="1" si="9"/>
        <v>80.291558056463515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318600</v>
      </c>
      <c r="M47" s="72">
        <f ca="1">M48+M49</f>
        <v>362535</v>
      </c>
      <c r="N47" s="72">
        <f ca="1">N48+N49</f>
        <v>291085</v>
      </c>
      <c r="O47" s="72">
        <f t="shared" ca="1" si="8"/>
        <v>91.363779033270561</v>
      </c>
      <c r="P47" s="72">
        <f t="shared" ca="1" si="9"/>
        <v>80.291558056463515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IFERROR(__xludf.DUMMYFUNCTION("IMPORTRANGE(""https://docs.google.com/spreadsheets/d/1-uDff_7J0KD5mKrp0Vvzr7lt3OU09vwQwhkpOPPYv2Y/edit?usp=sharing"",""งบพรบ!P63"")"),318600)</f>
        <v>318600</v>
      </c>
      <c r="M49" s="72">
        <f ca="1">IFERROR(__xludf.DUMMYFUNCTION("IMPORTRANGE(""https://docs.google.com/spreadsheets/d/1-uDff_7J0KD5mKrp0Vvzr7lt3OU09vwQwhkpOPPYv2Y/edit?usp=sharing"",""งบพรบ!V63"")"),362535)</f>
        <v>362535</v>
      </c>
      <c r="N49" s="72">
        <f ca="1">IFERROR(__xludf.DUMMYFUNCTION("IMPORTRANGE(""https://docs.google.com/spreadsheets/d/1-uDff_7J0KD5mKrp0Vvzr7lt3OU09vwQwhkpOPPYv2Y/edit?usp=sharing"",""งบพรบ!Y63"")"),291085)</f>
        <v>291085</v>
      </c>
      <c r="O49" s="72">
        <f t="shared" ca="1" si="8"/>
        <v>91.363779033270561</v>
      </c>
      <c r="P49" s="72">
        <f t="shared" ca="1" si="9"/>
        <v>80.291558056463515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IFERROR(__xludf.DUMMYFUNCTION("IMPORTRANGE(""https://docs.google.com/spreadsheets/d/1-uDff_7J0KD5mKrp0Vvzr7lt3OU09vwQwhkpOPPYv2Y/edit?usp=sharing"",""งบพรบ!S63"")"),0)</f>
        <v>0</v>
      </c>
      <c r="M52" s="72">
        <f ca="1">IFERROR(__xludf.DUMMYFUNCTION("IMPORTRANGE(""https://docs.google.com/spreadsheets/d/1-uDff_7J0KD5mKrp0Vvzr7lt3OU09vwQwhkpOPPYv2Y/edit?usp=sharing"",""งบพรบ!W63"")"),0)</f>
        <v>0</v>
      </c>
      <c r="N52" s="72">
        <f ca="1">IFERROR(__xludf.DUMMYFUNCTION("IMPORTRANGE(""https://docs.google.com/spreadsheets/d/1-uDff_7J0KD5mKrp0Vvzr7lt3OU09vwQwhkpOPPYv2Y/edit?usp=sharing"",""งบพรบ!Z63"")"),0)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341700</v>
      </c>
      <c r="M59" s="1001">
        <f ca="1">M60+M61</f>
        <v>341700</v>
      </c>
      <c r="N59" s="1001">
        <f ca="1">N60+N61</f>
        <v>237956.16</v>
      </c>
      <c r="O59" s="1001">
        <f t="shared" ref="O59:O67" ca="1" si="14">IF(L59&gt;0,N59*100/L59,0)</f>
        <v>69.638911325724322</v>
      </c>
      <c r="P59" s="1001">
        <f t="shared" ref="P59:P67" ca="1" si="15">IF(M59&gt;0,N59*100/M59,0)</f>
        <v>69.638911325724322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341700</v>
      </c>
      <c r="M61" s="988">
        <f t="shared" ca="1" si="18"/>
        <v>341700</v>
      </c>
      <c r="N61" s="988">
        <f t="shared" ca="1" si="18"/>
        <v>237956.16</v>
      </c>
      <c r="O61" s="988">
        <f t="shared" ca="1" si="14"/>
        <v>69.638911325724322</v>
      </c>
      <c r="P61" s="988">
        <f t="shared" ca="1" si="15"/>
        <v>69.638911325724322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341700</v>
      </c>
      <c r="M62" s="72">
        <f ca="1">M63+M64</f>
        <v>341700</v>
      </c>
      <c r="N62" s="72">
        <f ca="1">N63+N64</f>
        <v>237956.16</v>
      </c>
      <c r="O62" s="72">
        <f t="shared" ca="1" si="14"/>
        <v>69.638911325724322</v>
      </c>
      <c r="P62" s="72">
        <f t="shared" ca="1" si="15"/>
        <v>69.638911325724322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IFERROR(__xludf.DUMMYFUNCTION("IMPORTRANGE(""https://docs.google.com/spreadsheets/d/1-uDff_7J0KD5mKrp0Vvzr7lt3OU09vwQwhkpOPPYv2Y/edit?usp=sharing"",""งบพรบ!AC63"")"),341700)</f>
        <v>341700</v>
      </c>
      <c r="M64" s="72">
        <f ca="1">IFERROR(__xludf.DUMMYFUNCTION("IMPORTRANGE(""https://docs.google.com/spreadsheets/d/1-uDff_7J0KD5mKrp0Vvzr7lt3OU09vwQwhkpOPPYv2Y/edit?usp=sharing"",""งบพรบ!AH63"")"),341700)</f>
        <v>341700</v>
      </c>
      <c r="N64" s="72">
        <f ca="1">IFERROR(__xludf.DUMMYFUNCTION("IMPORTRANGE(""https://docs.google.com/spreadsheets/d/1-uDff_7J0KD5mKrp0Vvzr7lt3OU09vwQwhkpOPPYv2Y/edit?usp=sharing"",""งบพรบ!AJ63"")"),237956.16)</f>
        <v>237956.16</v>
      </c>
      <c r="O64" s="72">
        <f t="shared" ca="1" si="14"/>
        <v>69.638911325724322</v>
      </c>
      <c r="P64" s="72">
        <f t="shared" ca="1" si="15"/>
        <v>69.638911325724322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IFERROR(__xludf.DUMMYFUNCTION("IMPORTRANGE(""https://docs.google.com/spreadsheets/d/1-uDff_7J0KD5mKrp0Vvzr7lt3OU09vwQwhkpOPPYv2Y/edit?usp=sharing"",""งบพรบ!AF63"")"),0)</f>
        <v>0</v>
      </c>
      <c r="M67" s="181">
        <f ca="1">IFERROR(__xludf.DUMMYFUNCTION("IMPORTRANGE(""https://docs.google.com/spreadsheets/d/1-uDff_7J0KD5mKrp0Vvzr7lt3OU09vwQwhkpOPPYv2Y/edit?usp=sharing"",""งบพรบ!AI63"")"),0)</f>
        <v>0</v>
      </c>
      <c r="N67" s="181">
        <f ca="1">IFERROR(__xludf.DUMMYFUNCTION("IMPORTRANGE(""https://docs.google.com/spreadsheets/d/1-uDff_7J0KD5mKrp0Vvzr7lt3OU09vwQwhkpOPPYv2Y/edit?usp=sharing"",""งบพรบ!AK63"")"),0)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IFERROR(__xludf.DUMMYFUNCTION("IMPORTRANGE(""https://docs.google.com/spreadsheets/d/1-uDff_7J0KD5mKrp0Vvzr7lt3OU09vwQwhkpOPPYv2Y/edit?usp=sharing"",""งบพรบ!AM63"")"),0)</f>
        <v>0</v>
      </c>
      <c r="M77" s="72">
        <f ca="1">IFERROR(__xludf.DUMMYFUNCTION("IMPORTRANGE(""https://docs.google.com/spreadsheets/d/1-uDff_7J0KD5mKrp0Vvzr7lt3OU09vwQwhkpOPPYv2Y/edit?usp=sharing"",""งบพรบ!AR63"")"),0)</f>
        <v>0</v>
      </c>
      <c r="N77" s="72">
        <f ca="1">IFERROR(__xludf.DUMMYFUNCTION("IMPORTRANGE(""https://docs.google.com/spreadsheets/d/1-uDff_7J0KD5mKrp0Vvzr7lt3OU09vwQwhkpOPPYv2Y/edit?usp=sharing"",""งบพรบ!AT63"")"),0)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IFERROR(__xludf.DUMMYFUNCTION("IMPORTRANGE(""https://docs.google.com/spreadsheets/d/1ItG2mGa2ceCfYo0BwxsXqNm01IGEUdYcSSLTEv9YCik/edit?usp=sharing"",""เบิกจ่ายกองทุน!BH63"")"),0)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IFERROR(__xludf.DUMMYFUNCTION("IMPORTRANGE(""https://docs.google.com/spreadsheets/d/1ItG2mGa2ceCfYo0BwxsXqNm01IGEUdYcSSLTEv9YCik/edit?usp=sharing"",""เบิกจ่ายกองทุน!BI63"")"),0)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IFERROR(__xludf.DUMMYFUNCTION("IMPORTRANGE(""https://docs.google.com/spreadsheets/d/1ItG2mGa2ceCfYo0BwxsXqNm01IGEUdYcSSLTEv9YCik/edit?usp=sharing"",""เบิกจ่ายกองทุน!BJ63"")"),0)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IFERROR(__xludf.DUMMYFUNCTION("IMPORTRANGE(""https://docs.google.com/spreadsheets/d/1-uDff_7J0KD5mKrp0Vvzr7lt3OU09vwQwhkpOPPYv2Y/edit?usp=sharing"",""งบพรบ!AP63"")"),0)</f>
        <v>0</v>
      </c>
      <c r="M80" s="72">
        <f ca="1">IFERROR(__xludf.DUMMYFUNCTION("IMPORTRANGE(""https://docs.google.com/spreadsheets/d/1-uDff_7J0KD5mKrp0Vvzr7lt3OU09vwQwhkpOPPYv2Y/edit?usp=sharing"",""งบพรบ!AS63"")"),0)</f>
        <v>0</v>
      </c>
      <c r="N80" s="72">
        <f ca="1">IFERROR(__xludf.DUMMYFUNCTION("IMPORTRANGE(""https://docs.google.com/spreadsheets/d/1-uDff_7J0KD5mKrp0Vvzr7lt3OU09vwQwhkpOPPYv2Y/edit?usp=sharing"",""งบพรบ!AU63"")"),0)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IFERROR(__xludf.DUMMYFUNCTION("IMPORTRANGE(""https://docs.google.com/spreadsheets/d/1ItG2mGa2ceCfYo0BwxsXqNm01IGEUdYcSSLTEv9YCik/edit?usp=sharing"",""เบิกจ่ายกองทุน!BM63"")"),0)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IFERROR(__xludf.DUMMYFUNCTION("IMPORTRANGE(""https://docs.google.com/spreadsheets/d/1eHaY18a8A9IcSdp1K8H6x8fbOy06t2VsZHhMHf-1x7Y/edit?usp=sharing"",""แผน!H63"")"),0)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IFERROR(__xludf.DUMMYFUNCTION("IMPORTRANGE(""https://docs.google.com/spreadsheets/d/1eHaY18a8A9IcSdp1K8H6x8fbOy06t2VsZHhMHf-1x7Y/edit?usp=sharing"",""แผน!I63"")"),0)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IFERROR(__xludf.DUMMYFUNCTION("IMPORTRANGE(""https://docs.google.com/spreadsheets/d/1eHaY18a8A9IcSdp1K8H6x8fbOy06t2VsZHhMHf-1x7Y/edit?usp=sharing"",""แผน!F63"")"),0)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IFERROR(__xludf.DUMMYFUNCTION("IMPORTRANGE(""https://docs.google.com/spreadsheets/d/1eHaY18a8A9IcSdp1K8H6x8fbOy06t2VsZHhMHf-1x7Y/edit?usp=sharing"",""แผน!G63"")"),0)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IFERROR(__xludf.DUMMYFUNCTION("IMPORTRANGE(""https://docs.google.com/spreadsheets/d/1eHaY18a8A9IcSdp1K8H6x8fbOy06t2VsZHhMHf-1x7Y/edit?usp=sharing"",""แผน!D63"")"),0)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IFERROR(__xludf.DUMMYFUNCTION("IMPORTRANGE(""https://docs.google.com/spreadsheets/d/1eHaY18a8A9IcSdp1K8H6x8fbOy06t2VsZHhMHf-1x7Y/edit?usp=sharing"",""แผน!E63"")"),0)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IFERROR(__xludf.DUMMYFUNCTION("IMPORTRANGE(""https://docs.google.com/spreadsheets/d/1eHaY18a8A9IcSdp1K8H6x8fbOy06t2VsZHhMHf-1x7Y/edit?usp=sharing"",""แผน!J63"")"),0)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93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31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158020</v>
      </c>
      <c r="M94" s="262">
        <f ca="1">M95+M96</f>
        <v>158020</v>
      </c>
      <c r="N94" s="262">
        <f ca="1">N95+N96</f>
        <v>158019.5</v>
      </c>
      <c r="O94" s="262">
        <f t="shared" ref="O94:O102" ca="1" si="27">IF(L94&gt;0,N94*100/L94,0)</f>
        <v>99.999683584356404</v>
      </c>
      <c r="P94" s="262">
        <f t="shared" ref="P94:P102" ca="1" si="28">IF(M94&gt;0,N94*100/M94,0)</f>
        <v>99.999683584356404</v>
      </c>
      <c r="Q94" s="262">
        <f ca="1">Q95+Q96</f>
        <v>175522</v>
      </c>
      <c r="R94" s="262">
        <f ca="1">R95+R96</f>
        <v>175522</v>
      </c>
      <c r="S94" s="262">
        <f ca="1">S95+S96</f>
        <v>64450</v>
      </c>
      <c r="T94" s="262">
        <f t="shared" ref="T94:T102" ca="1" si="29">IF(Q94&gt;0,S94*100/Q94,0)</f>
        <v>36.719043766593359</v>
      </c>
      <c r="U94" s="262">
        <f t="shared" ref="U94:U102" ca="1" si="30">IF(R94&gt;0,S94*100/R94,0)</f>
        <v>36.719043766593359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158020</v>
      </c>
      <c r="M96" s="72">
        <f t="shared" ca="1" si="31"/>
        <v>158020</v>
      </c>
      <c r="N96" s="72">
        <f t="shared" ca="1" si="31"/>
        <v>158019.5</v>
      </c>
      <c r="O96" s="72">
        <f t="shared" ca="1" si="27"/>
        <v>99.999683584356404</v>
      </c>
      <c r="P96" s="72">
        <f t="shared" ca="1" si="28"/>
        <v>99.999683584356404</v>
      </c>
      <c r="Q96" s="72">
        <f t="shared" ca="1" si="32"/>
        <v>175522</v>
      </c>
      <c r="R96" s="72">
        <f t="shared" ca="1" si="32"/>
        <v>175522</v>
      </c>
      <c r="S96" s="72">
        <f t="shared" ca="1" si="32"/>
        <v>64450</v>
      </c>
      <c r="T96" s="72">
        <f t="shared" ca="1" si="29"/>
        <v>36.719043766593359</v>
      </c>
      <c r="U96" s="72">
        <f t="shared" ca="1" si="30"/>
        <v>36.719043766593359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158020</v>
      </c>
      <c r="M97" s="72">
        <f ca="1">M98+M99</f>
        <v>158020</v>
      </c>
      <c r="N97" s="72">
        <f ca="1">N98+N99</f>
        <v>158019.5</v>
      </c>
      <c r="O97" s="72">
        <f t="shared" ca="1" si="27"/>
        <v>99.999683584356404</v>
      </c>
      <c r="P97" s="72">
        <f t="shared" ca="1" si="28"/>
        <v>99.999683584356404</v>
      </c>
      <c r="Q97" s="72">
        <f ca="1">Q98+Q99</f>
        <v>175522</v>
      </c>
      <c r="R97" s="72">
        <f ca="1">R98+R99</f>
        <v>175522</v>
      </c>
      <c r="S97" s="72">
        <f ca="1">S98+S99</f>
        <v>64450</v>
      </c>
      <c r="T97" s="72">
        <f t="shared" ca="1" si="29"/>
        <v>36.719043766593359</v>
      </c>
      <c r="U97" s="72">
        <f t="shared" ca="1" si="30"/>
        <v>36.719043766593359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IFERROR(__xludf.DUMMYFUNCTION("IMPORTRANGE(""https://docs.google.com/spreadsheets/d/1-uDff_7J0KD5mKrp0Vvzr7lt3OU09vwQwhkpOPPYv2Y/edit?usp=sharing"",""งบพรบ!AW63"")"),158020)</f>
        <v>158020</v>
      </c>
      <c r="M99" s="72">
        <f ca="1">IFERROR(__xludf.DUMMYFUNCTION("IMPORTRANGE(""https://docs.google.com/spreadsheets/d/1-uDff_7J0KD5mKrp0Vvzr7lt3OU09vwQwhkpOPPYv2Y/edit?usp=sharing"",""งบพรบ!BB63"")"),158020)</f>
        <v>158020</v>
      </c>
      <c r="N99" s="72">
        <f ca="1">IFERROR(__xludf.DUMMYFUNCTION("IMPORTRANGE(""https://docs.google.com/spreadsheets/d/1-uDff_7J0KD5mKrp0Vvzr7lt3OU09vwQwhkpOPPYv2Y/edit?usp=sharing"",""งบพรบ!BD63"")"),158019.5)</f>
        <v>158019.5</v>
      </c>
      <c r="O99" s="72">
        <f t="shared" ca="1" si="27"/>
        <v>99.999683584356404</v>
      </c>
      <c r="P99" s="72">
        <f t="shared" ca="1" si="28"/>
        <v>99.999683584356404</v>
      </c>
      <c r="Q99" s="72">
        <f ca="1">IFERROR(__xludf.DUMMYFUNCTION("IMPORTRANGE(""https://docs.google.com/spreadsheets/d/1ItG2mGa2ceCfYo0BwxsXqNm01IGEUdYcSSLTEv9YCik/edit?usp=sharing"",""เบิกจ่ายกองทุน!AJ63"")"),175522)</f>
        <v>175522</v>
      </c>
      <c r="R99" s="72">
        <f ca="1">IFERROR(__xludf.DUMMYFUNCTION("IMPORTRANGE(""https://docs.google.com/spreadsheets/d/1ItG2mGa2ceCfYo0BwxsXqNm01IGEUdYcSSLTEv9YCik/edit?usp=sharing"",""เบิกจ่ายกองทุน!AK63"")"),175522)</f>
        <v>175522</v>
      </c>
      <c r="S99" s="72">
        <f ca="1">IFERROR(__xludf.DUMMYFUNCTION("IMPORTRANGE(""https://docs.google.com/spreadsheets/d/1ItG2mGa2ceCfYo0BwxsXqNm01IGEUdYcSSLTEv9YCik/edit?usp=sharing"",""เบิกจ่ายกองทุน!AL63"")"),64450)</f>
        <v>64450</v>
      </c>
      <c r="T99" s="72">
        <f t="shared" ca="1" si="29"/>
        <v>36.719043766593359</v>
      </c>
      <c r="U99" s="72">
        <f t="shared" ca="1" si="30"/>
        <v>36.719043766593359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IFERROR(__xludf.DUMMYFUNCTION("IMPORTRANGE(""https://docs.google.com/spreadsheets/d/1-uDff_7J0KD5mKrp0Vvzr7lt3OU09vwQwhkpOPPYv2Y/edit?usp=sharing"",""งบพรบ!AZ63"")"),0)</f>
        <v>0</v>
      </c>
      <c r="M102" s="72">
        <f ca="1">IFERROR(__xludf.DUMMYFUNCTION("IMPORTRANGE(""https://docs.google.com/spreadsheets/d/1-uDff_7J0KD5mKrp0Vvzr7lt3OU09vwQwhkpOPPYv2Y/edit?usp=sharing"",""งบพรบ!BC63"")"),0)</f>
        <v>0</v>
      </c>
      <c r="N102" s="72">
        <f ca="1">IFERROR(__xludf.DUMMYFUNCTION("IMPORTRANGE(""https://docs.google.com/spreadsheets/d/1-uDff_7J0KD5mKrp0Vvzr7lt3OU09vwQwhkpOPPYv2Y/edit?usp=sharing"",""งบพรบ!BE63"")"),0)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IFERROR(__xludf.DUMMYFUNCTION("IMPORTRANGE(""https://docs.google.com/spreadsheets/d/1eHaY18a8A9IcSdp1K8H6x8fbOy06t2VsZHhMHf-1x7Y/edit?usp=sharing"",""แผน!N63"")"),93)</f>
        <v>93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IFERROR(__xludf.DUMMYFUNCTION("IMPORTRANGE(""https://docs.google.com/spreadsheets/d/1eHaY18a8A9IcSdp1K8H6x8fbOy06t2VsZHhMHf-1x7Y/edit?usp=sharing"",""แผน!O63"")"),31)</f>
        <v>31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540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IFERROR(__xludf.DUMMYFUNCTION("IMPORTRANGE(""https://docs.google.com/spreadsheets/d/1eHaY18a8A9IcSdp1K8H6x8fbOy06t2VsZHhMHf-1x7Y/edit?usp=sharing"",""แผน!N63"")"),93)</f>
        <v>93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IFERROR(__xludf.DUMMYFUNCTION("IMPORTRANGE(""https://docs.google.com/spreadsheets/d/1eHaY18a8A9IcSdp1K8H6x8fbOy06t2VsZHhMHf-1x7Y/edit?usp=sharing"",""แผน!O63"")"),31)</f>
        <v>31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4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1363"/>
      <c r="B116" s="249" t="s">
        <v>52</v>
      </c>
      <c r="C116" s="1362"/>
      <c r="D116" s="1361"/>
      <c r="E116" s="1360"/>
      <c r="F116" s="1360"/>
      <c r="G116" s="1359"/>
      <c r="H116" s="1359"/>
      <c r="I116" s="254">
        <f ca="1">I127</f>
        <v>15</v>
      </c>
      <c r="J116" s="254">
        <f>J127</f>
        <v>0</v>
      </c>
      <c r="K116" s="57">
        <f ca="1">IF(I116&gt;0,J116*100/I116,0)</f>
        <v>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191460</v>
      </c>
      <c r="R117" s="262">
        <f ca="1">R118+R119</f>
        <v>191460</v>
      </c>
      <c r="S117" s="262">
        <f ca="1">S118+S119</f>
        <v>116775</v>
      </c>
      <c r="T117" s="262">
        <f t="shared" ref="T117:T125" ca="1" si="35">IF(Q117&gt;0,S117*100/Q117,0)</f>
        <v>60.99185208398621</v>
      </c>
      <c r="U117" s="262">
        <f t="shared" ref="U117:U125" ca="1" si="36">IF(R117&gt;0,S117*100/R117,0)</f>
        <v>60.99185208398621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191460</v>
      </c>
      <c r="R119" s="72">
        <f t="shared" ca="1" si="38"/>
        <v>191460</v>
      </c>
      <c r="S119" s="72">
        <f t="shared" ca="1" si="38"/>
        <v>116775</v>
      </c>
      <c r="T119" s="72">
        <f t="shared" ca="1" si="35"/>
        <v>60.99185208398621</v>
      </c>
      <c r="U119" s="72">
        <f t="shared" ca="1" si="36"/>
        <v>60.99185208398621</v>
      </c>
    </row>
    <row r="120" spans="1:21" ht="18.75" x14ac:dyDescent="0.25">
      <c r="A120" s="255"/>
      <c r="B120" s="256"/>
      <c r="C120" s="256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191460</v>
      </c>
      <c r="R120" s="72">
        <f ca="1">R121+R122</f>
        <v>191460</v>
      </c>
      <c r="S120" s="72">
        <f ca="1">S121+S122</f>
        <v>116775</v>
      </c>
      <c r="T120" s="72">
        <f t="shared" ca="1" si="35"/>
        <v>60.99185208398621</v>
      </c>
      <c r="U120" s="72">
        <f t="shared" ca="1" si="36"/>
        <v>60.99185208398621</v>
      </c>
    </row>
    <row r="121" spans="1:21" ht="18.75" hidden="1" x14ac:dyDescent="0.25">
      <c r="A121" s="255"/>
      <c r="B121" s="256"/>
      <c r="C121" s="256"/>
      <c r="D121" s="256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256"/>
      <c r="D122" s="256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IFERROR(__xludf.DUMMYFUNCTION("IMPORTRANGE(""https://docs.google.com/spreadsheets/d/1-uDff_7J0KD5mKrp0Vvzr7lt3OU09vwQwhkpOPPYv2Y/edit?usp=sharing"",""งบพรบ!BG63"")"),0)</f>
        <v>0</v>
      </c>
      <c r="M122" s="72">
        <f ca="1">IFERROR(__xludf.DUMMYFUNCTION("IMPORTRANGE(""https://docs.google.com/spreadsheets/d/1-uDff_7J0KD5mKrp0Vvzr7lt3OU09vwQwhkpOPPYv2Y/edit?usp=sharing"",""งบพรบ!BL63"")"),0)</f>
        <v>0</v>
      </c>
      <c r="N122" s="72">
        <f ca="1">IFERROR(__xludf.DUMMYFUNCTION("IMPORTRANGE(""https://docs.google.com/spreadsheets/d/1-uDff_7J0KD5mKrp0Vvzr7lt3OU09vwQwhkpOPPYv2Y/edit?usp=sharing"",""งบพรบ!BN63"")"),0)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IFERROR(__xludf.DUMMYFUNCTION("IMPORTRANGE(""https://docs.google.com/spreadsheets/d/1ItG2mGa2ceCfYo0BwxsXqNm01IGEUdYcSSLTEv9YCik/edit?usp=sharing"",""เบิกจ่ายกองทุน!U63"")"),191460)</f>
        <v>191460</v>
      </c>
      <c r="R122" s="72">
        <f ca="1">IFERROR(__xludf.DUMMYFUNCTION("IMPORTRANGE(""https://docs.google.com/spreadsheets/d/1ItG2mGa2ceCfYo0BwxsXqNm01IGEUdYcSSLTEv9YCik/edit?usp=sharing"",""เบิกจ่ายกองทุน!V63"")"),191460)</f>
        <v>191460</v>
      </c>
      <c r="S122" s="72">
        <f ca="1">IFERROR(__xludf.DUMMYFUNCTION("IMPORTRANGE(""https://docs.google.com/spreadsheets/d/1ItG2mGa2ceCfYo0BwxsXqNm01IGEUdYcSSLTEv9YCik/edit?usp=sharing"",""เบิกจ่ายกองทุน!W63"")"),116775)</f>
        <v>116775</v>
      </c>
      <c r="T122" s="72">
        <f t="shared" ca="1" si="35"/>
        <v>60.99185208398621</v>
      </c>
      <c r="U122" s="72">
        <f t="shared" ca="1" si="36"/>
        <v>60.99185208398621</v>
      </c>
    </row>
    <row r="123" spans="1:21" ht="18.75" x14ac:dyDescent="0.25">
      <c r="A123" s="255"/>
      <c r="B123" s="256"/>
      <c r="C123" s="256"/>
      <c r="D123" s="268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256"/>
      <c r="D124" s="256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IFERROR(__xludf.DUMMYFUNCTION("IMPORTRANGE(""https://docs.google.com/spreadsheets/d/1-uDff_7J0KD5mKrp0Vvzr7lt3OU09vwQwhkpOPPYv2Y/edit?usp=sharing"",""งบพรบ!BJ63"")"),0)</f>
        <v>0</v>
      </c>
      <c r="M125" s="72">
        <f ca="1">IFERROR(__xludf.DUMMYFUNCTION("IMPORTRANGE(""https://docs.google.com/spreadsheets/d/1-uDff_7J0KD5mKrp0Vvzr7lt3OU09vwQwhkpOPPYv2Y/edit?usp=sharing"",""งบพรบ!BM63"")"),0)</f>
        <v>0</v>
      </c>
      <c r="N125" s="72">
        <f ca="1">IFERROR(__xludf.DUMMYFUNCTION("IMPORTRANGE(""https://docs.google.com/spreadsheets/d/1-uDff_7J0KD5mKrp0Vvzr7lt3OU09vwQwhkpOPPYv2Y/edit?usp=sharing"",""งบพรบ!BO63"")"),0)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IFERROR(__xludf.DUMMYFUNCTION("IMPORTRANGE(""https://docs.google.com/spreadsheets/d/1ItG2mGa2ceCfYo0BwxsXqNm01IGEUdYcSSLTEv9YCik/edit?usp=sharing"",""เบิกจ่ายกองทุน!Z63"")"),0)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IFERROR(__xludf.DUMMYFUNCTION("IMPORTRANGE(""https://docs.google.com/spreadsheets/d/1eHaY18a8A9IcSdp1K8H6x8fbOy06t2VsZHhMHf-1x7Y/edit?usp=sharing"",""แผน!FF63"")"),15)</f>
        <v>15</v>
      </c>
      <c r="J127" s="292">
        <v>0</v>
      </c>
      <c r="K127" s="72">
        <f ca="1">IF(I127&gt;0,J127*100/I127,0)</f>
        <v>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IFERROR(__xludf.DUMMYFUNCTION("IMPORTRANGE(""https://docs.google.com/spreadsheets/d/1eHaY18a8A9IcSdp1K8H6x8fbOy06t2VsZHhMHf-1x7Y/edit?usp=sharing"",""แผน!FG63"")"),0)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IFERROR(__xludf.DUMMYFUNCTION("IMPORTRANGE(""https://docs.google.com/spreadsheets/d/1eHaY18a8A9IcSdp1K8H6x8fbOy06t2VsZHhMHf-1x7Y/edit?usp=sharing"",""แผน!FH63"")"),15)</f>
        <v>15</v>
      </c>
      <c r="J129" s="292">
        <v>0</v>
      </c>
      <c r="K129" s="72">
        <f ca="1">IF(I129&gt;0,J129*100/I129,0)</f>
        <v>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IFERROR(__xludf.DUMMYFUNCTION("IMPORTRANGE(""https://docs.google.com/spreadsheets/d/1eHaY18a8A9IcSdp1K8H6x8fbOy06t2VsZHhMHf-1x7Y/edit?usp=sharing"",""แผน!FI63"")"),0)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50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5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56500</v>
      </c>
      <c r="M139" s="262">
        <f ca="1">M140+M141</f>
        <v>51500</v>
      </c>
      <c r="N139" s="262">
        <f ca="1">N140+N141</f>
        <v>51500</v>
      </c>
      <c r="O139" s="262">
        <f t="shared" ref="O139:O147" ca="1" si="39">IF(L139&gt;0,N139*100/L139,0)</f>
        <v>91.150442477876112</v>
      </c>
      <c r="P139" s="262">
        <f t="shared" ref="P139:P147" ca="1" si="40">IF(M139&gt;0,N139*100/M139,0)</f>
        <v>100</v>
      </c>
      <c r="Q139" s="262">
        <f ca="1">Q140+Q141</f>
        <v>44860</v>
      </c>
      <c r="R139" s="262">
        <f ca="1">R140+R141</f>
        <v>44860</v>
      </c>
      <c r="S139" s="262">
        <f ca="1">S140+S141</f>
        <v>6670</v>
      </c>
      <c r="T139" s="262">
        <f t="shared" ref="T139:T147" ca="1" si="41">IF(Q139&gt;0,S139*100/Q139,0)</f>
        <v>14.868479714667856</v>
      </c>
      <c r="U139" s="262">
        <f t="shared" ref="U139:U147" ca="1" si="42">IF(R139&gt;0,S139*100/R139,0)</f>
        <v>14.868479714667856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56500</v>
      </c>
      <c r="M141" s="72">
        <f t="shared" ca="1" si="43"/>
        <v>51500</v>
      </c>
      <c r="N141" s="72">
        <f t="shared" ca="1" si="43"/>
        <v>51500</v>
      </c>
      <c r="O141" s="72">
        <f t="shared" ca="1" si="39"/>
        <v>91.150442477876112</v>
      </c>
      <c r="P141" s="72">
        <f t="shared" ca="1" si="40"/>
        <v>100</v>
      </c>
      <c r="Q141" s="72">
        <f t="shared" ca="1" si="44"/>
        <v>44860</v>
      </c>
      <c r="R141" s="72">
        <f t="shared" ca="1" si="44"/>
        <v>44860</v>
      </c>
      <c r="S141" s="72">
        <f t="shared" ca="1" si="44"/>
        <v>6670</v>
      </c>
      <c r="T141" s="72">
        <f t="shared" ca="1" si="41"/>
        <v>14.868479714667856</v>
      </c>
      <c r="U141" s="72">
        <f t="shared" ca="1" si="42"/>
        <v>14.868479714667856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56500</v>
      </c>
      <c r="M142" s="72">
        <f ca="1">M143+M144</f>
        <v>51500</v>
      </c>
      <c r="N142" s="72">
        <f ca="1">N143+N144</f>
        <v>51500</v>
      </c>
      <c r="O142" s="72">
        <f t="shared" ca="1" si="39"/>
        <v>91.150442477876112</v>
      </c>
      <c r="P142" s="72">
        <f t="shared" ca="1" si="40"/>
        <v>100</v>
      </c>
      <c r="Q142" s="72">
        <f ca="1">Q143+Q144</f>
        <v>44860</v>
      </c>
      <c r="R142" s="72">
        <f ca="1">R143+R144</f>
        <v>44860</v>
      </c>
      <c r="S142" s="72">
        <f ca="1">S143+S144</f>
        <v>6670</v>
      </c>
      <c r="T142" s="72">
        <f t="shared" ca="1" si="41"/>
        <v>14.868479714667856</v>
      </c>
      <c r="U142" s="72">
        <f t="shared" ca="1" si="42"/>
        <v>14.868479714667856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IFERROR(__xludf.DUMMYFUNCTION("IMPORTRANGE(""https://docs.google.com/spreadsheets/d/1-uDff_7J0KD5mKrp0Vvzr7lt3OU09vwQwhkpOPPYv2Y/edit?usp=sharing"",""งบพรบ!BQ63"")"),56500)</f>
        <v>56500</v>
      </c>
      <c r="M144" s="72">
        <f ca="1">IFERROR(__xludf.DUMMYFUNCTION("IMPORTRANGE(""https://docs.google.com/spreadsheets/d/1-uDff_7J0KD5mKrp0Vvzr7lt3OU09vwQwhkpOPPYv2Y/edit?usp=sharing"",""งบพรบ!BV63"")"),51500)</f>
        <v>51500</v>
      </c>
      <c r="N144" s="72">
        <f ca="1">IFERROR(__xludf.DUMMYFUNCTION("IMPORTRANGE(""https://docs.google.com/spreadsheets/d/1-uDff_7J0KD5mKrp0Vvzr7lt3OU09vwQwhkpOPPYv2Y/edit?usp=sharing"",""งบพรบ!BX63"")"),51500)</f>
        <v>51500</v>
      </c>
      <c r="O144" s="72">
        <f t="shared" ca="1" si="39"/>
        <v>91.150442477876112</v>
      </c>
      <c r="P144" s="72">
        <f t="shared" ca="1" si="40"/>
        <v>100</v>
      </c>
      <c r="Q144" s="72">
        <f ca="1">IFERROR(__xludf.DUMMYFUNCTION("IMPORTRANGE(""https://docs.google.com/spreadsheets/d/1ItG2mGa2ceCfYo0BwxsXqNm01IGEUdYcSSLTEv9YCik/edit?usp=sharing"",""เบิกจ่ายกองทุน!CF63"")"),44860)</f>
        <v>44860</v>
      </c>
      <c r="R144" s="72">
        <f ca="1">IFERROR(__xludf.DUMMYFUNCTION("IMPORTRANGE(""https://docs.google.com/spreadsheets/d/1ItG2mGa2ceCfYo0BwxsXqNm01IGEUdYcSSLTEv9YCik/edit?usp=sharing"",""เบิกจ่ายกองทุน!CG63"")"),44860)</f>
        <v>44860</v>
      </c>
      <c r="S144" s="72">
        <f ca="1">IFERROR(__xludf.DUMMYFUNCTION("IMPORTRANGE(""https://docs.google.com/spreadsheets/d/1ItG2mGa2ceCfYo0BwxsXqNm01IGEUdYcSSLTEv9YCik/edit?usp=sharing"",""เบิกจ่ายกองทุน!CH63"")"),6670)</f>
        <v>6670</v>
      </c>
      <c r="T144" s="72">
        <f t="shared" ca="1" si="41"/>
        <v>14.868479714667856</v>
      </c>
      <c r="U144" s="72">
        <f t="shared" ca="1" si="42"/>
        <v>14.868479714667856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IFERROR(__xludf.DUMMYFUNCTION("IMPORTRANGE(""https://docs.google.com/spreadsheets/d/1-uDff_7J0KD5mKrp0Vvzr7lt3OU09vwQwhkpOPPYv2Y/edit?usp=sharing"",""งบพรบ!BT63"")"),0)</f>
        <v>0</v>
      </c>
      <c r="M147" s="72">
        <f ca="1">IFERROR(__xludf.DUMMYFUNCTION("IMPORTRANGE(""https://docs.google.com/spreadsheets/d/1-uDff_7J0KD5mKrp0Vvzr7lt3OU09vwQwhkpOPPYv2Y/edit?usp=sharing"",""งบพรบ!BW63"")"),0)</f>
        <v>0</v>
      </c>
      <c r="N147" s="72">
        <f ca="1">IFERROR(__xludf.DUMMYFUNCTION("IMPORTRANGE(""https://docs.google.com/spreadsheets/d/1-uDff_7J0KD5mKrp0Vvzr7lt3OU09vwQwhkpOPPYv2Y/edit?usp=sharing"",""งบพรบ!BY63"")"),0)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IFERROR(__xludf.DUMMYFUNCTION("IMPORTRANGE(""https://docs.google.com/spreadsheets/d/1ItG2mGa2ceCfYo0BwxsXqNm01IGEUdYcSSLTEv9YCik/edit?usp=sharing"",""เบิกจ่ายกองทุน!CK63"")"),0)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68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IFERROR(__xludf.DUMMYFUNCTION("IMPORTRANGE(""https://docs.google.com/spreadsheets/d/1eHaY18a8A9IcSdp1K8H6x8fbOy06t2VsZHhMHf-1x7Y/edit?usp=sharing"",""แผน!U63"")"),0)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IFERROR(__xludf.DUMMYFUNCTION("IMPORTRANGE(""https://docs.google.com/spreadsheets/d/1eHaY18a8A9IcSdp1K8H6x8fbOy06t2VsZHhMHf-1x7Y/edit?usp=sharing"",""แผน!V63"")"),0)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IFERROR(__xludf.DUMMYFUNCTION("IMPORTRANGE(""https://docs.google.com/spreadsheets/d/1eHaY18a8A9IcSdp1K8H6x8fbOy06t2VsZHhMHf-1x7Y/edit?usp=sharing"",""แผน!W63"")"),50)</f>
        <v>50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IFERROR(__xludf.DUMMYFUNCTION("IMPORTRANGE(""https://docs.google.com/spreadsheets/d/1eHaY18a8A9IcSdp1K8H6x8fbOy06t2VsZHhMHf-1x7Y/edit?usp=sharing"",""แผน!X63"")"),5)</f>
        <v>5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IFERROR(__xludf.DUMMYFUNCTION("IMPORTRANGE(""https://docs.google.com/spreadsheets/d/1eHaY18a8A9IcSdp1K8H6x8fbOy06t2VsZHhMHf-1x7Y/edit?usp=sharing"",""แผน!Y63"")"),0)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154320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154320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154320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IFERROR(__xludf.DUMMYFUNCTION("IMPORTRANGE(""https://docs.google.com/spreadsheets/d/1-uDff_7J0KD5mKrp0Vvzr7lt3OU09vwQwhkpOPPYv2Y/edit?usp=sharing"",""งบพรบ!CA63"")"),0)</f>
        <v>0</v>
      </c>
      <c r="M162" s="72">
        <f ca="1">IFERROR(__xludf.DUMMYFUNCTION("IMPORTRANGE(""https://docs.google.com/spreadsheets/d/1-uDff_7J0KD5mKrp0Vvzr7lt3OU09vwQwhkpOPPYv2Y/edit?usp=sharing"",""งบพรบ!CF63"")"),154320)</f>
        <v>154320</v>
      </c>
      <c r="N162" s="72">
        <f ca="1">IFERROR(__xludf.DUMMYFUNCTION("IMPORTRANGE(""https://docs.google.com/spreadsheets/d/1-uDff_7J0KD5mKrp0Vvzr7lt3OU09vwQwhkpOPPYv2Y/edit?usp=sharing"",""งบพรบ!CH63"")"),0)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IFERROR(__xludf.DUMMYFUNCTION("IMPORTRANGE(""https://docs.google.com/spreadsheets/d/1ItG2mGa2ceCfYo0BwxsXqNm01IGEUdYcSSLTEv9YCik/edit?usp=sharing"",""เบิกจ่ายกองทุน!AM63"")"),0)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IFERROR(__xludf.DUMMYFUNCTION("IMPORTRANGE(""https://docs.google.com/spreadsheets/d/1ItG2mGa2ceCfYo0BwxsXqNm01IGEUdYcSSLTEv9YCik/edit?usp=sharing"",""เบิกจ่ายกองทุน!AN63"")"),0)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IFERROR(__xludf.DUMMYFUNCTION("IMPORTRANGE(""https://docs.google.com/spreadsheets/d/1ItG2mGa2ceCfYo0BwxsXqNm01IGEUdYcSSLTEv9YCik/edit?usp=sharing"",""เบิกจ่ายกองทุน!AO63"")"),0)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IFERROR(__xludf.DUMMYFUNCTION("IMPORTRANGE(""https://docs.google.com/spreadsheets/d/1-uDff_7J0KD5mKrp0Vvzr7lt3OU09vwQwhkpOPPYv2Y/edit?usp=sharing"",""งบพรบ!CD63"")"),0)</f>
        <v>0</v>
      </c>
      <c r="M165" s="72">
        <f ca="1">IFERROR(__xludf.DUMMYFUNCTION("IMPORTRANGE(""https://docs.google.com/spreadsheets/d/1-uDff_7J0KD5mKrp0Vvzr7lt3OU09vwQwhkpOPPYv2Y/edit?usp=sharing"",""งบพรบ!CG63"")"),0)</f>
        <v>0</v>
      </c>
      <c r="N165" s="72">
        <f ca="1">IFERROR(__xludf.DUMMYFUNCTION("IMPORTRANGE(""https://docs.google.com/spreadsheets/d/1-uDff_7J0KD5mKrp0Vvzr7lt3OU09vwQwhkpOPPYv2Y/edit?usp=sharing"",""งบพรบ!CI63"")"),0)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IFERROR(__xludf.DUMMYFUNCTION("IMPORTRANGE(""https://docs.google.com/spreadsheets/d/1eHaY18a8A9IcSdp1K8H6x8fbOy06t2VsZHhMHf-1x7Y/edit?usp=sharing"",""แผน!Z63"")"),0)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IFERROR(__xludf.DUMMYFUNCTION("IMPORTRANGE(""https://docs.google.com/spreadsheets/d/1eHaY18a8A9IcSdp1K8H6x8fbOy06t2VsZHhMHf-1x7Y/edit?usp=sharing"",""แผน!Z63"")"),0)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IFERROR(__xludf.DUMMYFUNCTION("IMPORTRANGE(""https://docs.google.com/spreadsheets/d/1eHaY18a8A9IcSdp1K8H6x8fbOy06t2VsZHhMHf-1x7Y/edit?usp=sharing"",""แผน!Z63"")"),0)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15</v>
      </c>
      <c r="J172" s="963">
        <f>J183+J184</f>
        <v>7</v>
      </c>
      <c r="K172" s="962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36130</v>
      </c>
      <c r="N173" s="262">
        <f ca="1">N174+N175</f>
        <v>34980</v>
      </c>
      <c r="O173" s="262">
        <f t="shared" ref="O173:O181" ca="1" si="51">IF(L173&gt;0,N173*100/L173,0)</f>
        <v>178.5604900459418</v>
      </c>
      <c r="P173" s="262">
        <f t="shared" ref="P173:P181" ca="1" si="52">IF(M173&gt;0,N173*100/M173,0)</f>
        <v>96.817049543315804</v>
      </c>
      <c r="Q173" s="262">
        <f ca="1">Q174+Q175</f>
        <v>21200</v>
      </c>
      <c r="R173" s="262">
        <f ca="1">R174+R175</f>
        <v>21200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36130</v>
      </c>
      <c r="N175" s="72">
        <f t="shared" ca="1" si="55"/>
        <v>34980</v>
      </c>
      <c r="O175" s="72">
        <f t="shared" ca="1" si="51"/>
        <v>178.5604900459418</v>
      </c>
      <c r="P175" s="72">
        <f t="shared" ca="1" si="52"/>
        <v>96.817049543315804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36130</v>
      </c>
      <c r="N176" s="72">
        <f ca="1">N177+N178</f>
        <v>34980</v>
      </c>
      <c r="O176" s="72">
        <f t="shared" ca="1" si="51"/>
        <v>178.5604900459418</v>
      </c>
      <c r="P176" s="72">
        <f t="shared" ca="1" si="52"/>
        <v>96.817049543315804</v>
      </c>
      <c r="Q176" s="72">
        <f ca="1">Q177+Q178</f>
        <v>21200</v>
      </c>
      <c r="R176" s="72">
        <f ca="1">R177+R178</f>
        <v>21200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IFERROR(__xludf.DUMMYFUNCTION("IMPORTRANGE(""https://docs.google.com/spreadsheets/d/1-uDff_7J0KD5mKrp0Vvzr7lt3OU09vwQwhkpOPPYv2Y/edit?usp=sharing"",""งบพรบ!CK63"")"),19590)</f>
        <v>19590</v>
      </c>
      <c r="M178" s="72">
        <f ca="1">IFERROR(__xludf.DUMMYFUNCTION("IMPORTRANGE(""https://docs.google.com/spreadsheets/d/1-uDff_7J0KD5mKrp0Vvzr7lt3OU09vwQwhkpOPPYv2Y/edit?usp=sharing"",""งบพรบ!CP63"")"),36130)</f>
        <v>36130</v>
      </c>
      <c r="N178" s="72">
        <f ca="1">IFERROR(__xludf.DUMMYFUNCTION("IMPORTRANGE(""https://docs.google.com/spreadsheets/d/1-uDff_7J0KD5mKrp0Vvzr7lt3OU09vwQwhkpOPPYv2Y/edit?usp=sharing"",""งบพรบ!CR63"")"),34980)</f>
        <v>34980</v>
      </c>
      <c r="O178" s="72">
        <f t="shared" ca="1" si="51"/>
        <v>178.5604900459418</v>
      </c>
      <c r="P178" s="72">
        <f t="shared" ca="1" si="52"/>
        <v>96.817049543315804</v>
      </c>
      <c r="Q178" s="72">
        <f ca="1">IFERROR(__xludf.DUMMYFUNCTION("IMPORTRANGE(""https://docs.google.com/spreadsheets/d/1ItG2mGa2ceCfYo0BwxsXqNm01IGEUdYcSSLTEv9YCik/edit?usp=sharing"",""เบิกจ่ายกองทุน!DG63"")"),21200)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IFERROR(__xludf.DUMMYFUNCTION("IMPORTRANGE(""https://docs.google.com/spreadsheets/d/1ItG2mGa2ceCfYo0BwxsXqNm01IGEUdYcSSLTEv9YCik/edit?usp=sharing"",""เบิกจ่ายกองทุน!DH63"")"),21200)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IFERROR(__xludf.DUMMYFUNCTION("IMPORTRANGE(""https://docs.google.com/spreadsheets/d/1ItG2mGa2ceCfYo0BwxsXqNm01IGEUdYcSSLTEv9YCik/edit?usp=sharing"",""เบิกจ่ายกองทุน!DI63"")"),0)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IFERROR(__xludf.DUMMYFUNCTION("IMPORTRANGE(""https://docs.google.com/spreadsheets/d/1-uDff_7J0KD5mKrp0Vvzr7lt3OU09vwQwhkpOPPYv2Y/edit?usp=sharing"",""งบพรบ!CN63"")"),0)</f>
        <v>0</v>
      </c>
      <c r="M181" s="72">
        <f ca="1">IFERROR(__xludf.DUMMYFUNCTION("IMPORTRANGE(""https://docs.google.com/spreadsheets/d/1-uDff_7J0KD5mKrp0Vvzr7lt3OU09vwQwhkpOPPYv2Y/edit?usp=sharing"",""งบพรบ!CQ63"")"),0)</f>
        <v>0</v>
      </c>
      <c r="N181" s="72">
        <f ca="1">IFERROR(__xludf.DUMMYFUNCTION("IMPORTRANGE(""https://docs.google.com/spreadsheets/d/1-uDff_7J0KD5mKrp0Vvzr7lt3OU09vwQwhkpOPPYv2Y/edit?usp=sharing"",""งบพรบ!CS63"")"),0)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IFERROR(__xludf.DUMMYFUNCTION("IMPORTRANGE(""https://docs.google.com/spreadsheets/d/1eHaY18a8A9IcSdp1K8H6x8fbOy06t2VsZHhMHf-1x7Y/edit?usp=sharing"",""แผน!AA63"")"),15)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20</v>
      </c>
      <c r="J185" s="963">
        <f>J230+J231</f>
        <v>20</v>
      </c>
      <c r="K185" s="962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68100</v>
      </c>
      <c r="M186" s="262">
        <f ca="1">M187+M188</f>
        <v>73260</v>
      </c>
      <c r="N186" s="262">
        <f ca="1">N187+N188</f>
        <v>29024</v>
      </c>
      <c r="O186" s="262">
        <f t="shared" ref="O186:O194" ca="1" si="57">IF(L186&gt;0,N186*100/L186,0)</f>
        <v>42.619676945668132</v>
      </c>
      <c r="P186" s="262">
        <f t="shared" ref="P186:P194" ca="1" si="58">IF(M186&gt;0,N186*100/M186,0)</f>
        <v>39.617799617799619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68100</v>
      </c>
      <c r="M188" s="72">
        <f t="shared" ca="1" si="61"/>
        <v>73260</v>
      </c>
      <c r="N188" s="72">
        <f t="shared" ca="1" si="61"/>
        <v>29024</v>
      </c>
      <c r="O188" s="72">
        <f t="shared" ca="1" si="57"/>
        <v>42.619676945668132</v>
      </c>
      <c r="P188" s="72">
        <f t="shared" ca="1" si="58"/>
        <v>39.617799617799619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68100</v>
      </c>
      <c r="M189" s="72">
        <f ca="1">M190+M191</f>
        <v>73260</v>
      </c>
      <c r="N189" s="72">
        <f ca="1">N190+N191</f>
        <v>29024</v>
      </c>
      <c r="O189" s="72">
        <f t="shared" ca="1" si="57"/>
        <v>42.619676945668132</v>
      </c>
      <c r="P189" s="72">
        <f t="shared" ca="1" si="58"/>
        <v>39.617799617799619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IFERROR(__xludf.DUMMYFUNCTION("IMPORTRANGE(""https://docs.google.com/spreadsheets/d/1-uDff_7J0KD5mKrp0Vvzr7lt3OU09vwQwhkpOPPYv2Y/edit?usp=sharing"",""งบพรบ!CU63"")"),68100)</f>
        <v>68100</v>
      </c>
      <c r="M191" s="72">
        <f ca="1">IFERROR(__xludf.DUMMYFUNCTION("IMPORTRANGE(""https://docs.google.com/spreadsheets/d/1-uDff_7J0KD5mKrp0Vvzr7lt3OU09vwQwhkpOPPYv2Y/edit?usp=sharing"",""งบพรบ!CZ63"")"),73260)</f>
        <v>73260</v>
      </c>
      <c r="N191" s="72">
        <f ca="1">IFERROR(__xludf.DUMMYFUNCTION("IMPORTRANGE(""https://docs.google.com/spreadsheets/d/1-uDff_7J0KD5mKrp0Vvzr7lt3OU09vwQwhkpOPPYv2Y/edit?usp=sharing"",""งบพรบ!DB63"")"),29024)</f>
        <v>29024</v>
      </c>
      <c r="O191" s="72">
        <f t="shared" ca="1" si="57"/>
        <v>42.619676945668132</v>
      </c>
      <c r="P191" s="72">
        <f t="shared" ca="1" si="58"/>
        <v>39.617799617799619</v>
      </c>
      <c r="Q191" s="72">
        <f ca="1">IFERROR(__xludf.DUMMYFUNCTION("IMPORTRANGE(""https://docs.google.com/spreadsheets/d/1ItG2mGa2ceCfYo0BwxsXqNm01IGEUdYcSSLTEv9YCik/edit?usp=sharing"",""เบิกจ่ายกองทุน!BQ63"")"),28000)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IFERROR(__xludf.DUMMYFUNCTION("IMPORTRANGE(""https://docs.google.com/spreadsheets/d/1ItG2mGa2ceCfYo0BwxsXqNm01IGEUdYcSSLTEv9YCik/edit?usp=sharing"",""เบิกจ่ายกองทุน!BR63"")"),28000)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IFERROR(__xludf.DUMMYFUNCTION("IMPORTRANGE(""https://docs.google.com/spreadsheets/d/1ItG2mGa2ceCfYo0BwxsXqNm01IGEUdYcSSLTEv9YCik/edit?usp=sharing"",""เบิกจ่ายกองทุน!BS63"")"),0)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IFERROR(__xludf.DUMMYFUNCTION("IMPORTRANGE(""https://docs.google.com/spreadsheets/d/1-uDff_7J0KD5mKrp0Vvzr7lt3OU09vwQwhkpOPPYv2Y/edit?usp=sharing"",""งบพรบ!CX63"")"),0)</f>
        <v>0</v>
      </c>
      <c r="M194" s="72">
        <f ca="1">IFERROR(__xludf.DUMMYFUNCTION("IMPORTRANGE(""https://docs.google.com/spreadsheets/d/1-uDff_7J0KD5mKrp0Vvzr7lt3OU09vwQwhkpOPPYv2Y/edit?usp=sharing"",""งบพรบ!DA63"")"),0)</f>
        <v>0</v>
      </c>
      <c r="N194" s="72">
        <f ca="1">IFERROR(__xludf.DUMMYFUNCTION("IMPORTRANGE(""https://docs.google.com/spreadsheets/d/1-uDff_7J0KD5mKrp0Vvzr7lt3OU09vwQwhkpOPPYv2Y/edit?usp=sharing"",""งบพรบ!DC63"")"),0)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IFERROR(__xludf.DUMMYFUNCTION("IMPORTRANGE(""https://docs.google.com/spreadsheets/d/1ItG2mGa2ceCfYo0BwxsXqNm01IGEUdYcSSLTEv9YCik/edit?usp=sharing"",""เบิกจ่ายกองทุน!BV63"")"),0)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IFERROR(__xludf.DUMMYFUNCTION("IMPORTRANGE(""https://docs.google.com/spreadsheets/d/1eHaY18a8A9IcSdp1K8H6x8fbOy06t2VsZHhMHf-1x7Y/edit?usp=sharing"",""แผน!AB63"")"),6000)</f>
        <v>6000</v>
      </c>
      <c r="M196" s="85"/>
      <c r="N196" s="961">
        <v>1000</v>
      </c>
      <c r="O196" s="262">
        <f ca="1">IF(L196&gt;0,N196*100/L196,0)</f>
        <v>16.666666666666668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IFERROR(__xludf.DUMMYFUNCTION("IMPORTRANGE(""https://docs.google.com/spreadsheets/d/1eHaY18a8A9IcSdp1K8H6x8fbOy06t2VsZHhMHf-1x7Y/edit?usp=sharing"",""แผน!AE63"")"),4)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2</v>
      </c>
      <c r="J202" s="538">
        <f>J209</f>
        <v>2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9804</v>
      </c>
      <c r="O203" s="262">
        <f ca="1">IF(L203&gt;0,N203*100/L203,0)</f>
        <v>98.04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28000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IFERROR(__xludf.DUMMYFUNCTION("IMPORTRANGE(""https://docs.google.com/spreadsheets/d/1eHaY18a8A9IcSdp1K8H6x8fbOy06t2VsZHhMHf-1x7Y/edit?usp=sharing"",""แผน!AG63"")"),2000)</f>
        <v>2000</v>
      </c>
      <c r="M204" s="85"/>
      <c r="N204" s="387">
        <v>1804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IFERROR(__xludf.DUMMYFUNCTION("IMPORTRANGE(""https://docs.google.com/spreadsheets/d/1eHaY18a8A9IcSdp1K8H6x8fbOy06t2VsZHhMHf-1x7Y/edit?usp=sharing"",""แผน!LV63"")"),28000)</f>
        <v>28000</v>
      </c>
      <c r="R206" s="85"/>
      <c r="S206" s="387">
        <v>28000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IFERROR(__xludf.DUMMYFUNCTION("IMPORTRANGE(""https://docs.google.com/spreadsheets/d/1eHaY18a8A9IcSdp1K8H6x8fbOy06t2VsZHhMHf-1x7Y/edit?usp=sharing"",""แผน!AJ63"")"),8000)</f>
        <v>8000</v>
      </c>
      <c r="M207" s="85"/>
      <c r="N207" s="387">
        <v>8000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IFERROR(__xludf.DUMMYFUNCTION("IMPORTRANGE(""https://docs.google.com/spreadsheets/d/1eHaY18a8A9IcSdp1K8H6x8fbOy06t2VsZHhMHf-1x7Y/edit?usp=sharing"",""แผน!AK63"")"),2)</f>
        <v>2</v>
      </c>
      <c r="J209" s="292">
        <v>2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IFERROR(__xludf.DUMMYFUNCTION("IMPORTRANGE(""https://docs.google.com/spreadsheets/d/1eHaY18a8A9IcSdp1K8H6x8fbOy06t2VsZHhMHf-1x7Y/edit?usp=sharing"",""แผน!JX63"")"),2)</f>
        <v>2</v>
      </c>
      <c r="J211" s="292">
        <v>2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IFERROR(__xludf.DUMMYFUNCTION("IMPORTRANGE(""https://docs.google.com/spreadsheets/d/1eHaY18a8A9IcSdp1K8H6x8fbOy06t2VsZHhMHf-1x7Y/edit?usp=sharing"",""แผน!JY63"")"),0)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IFERROR(__xludf.DUMMYFUNCTION("IMPORTRANGE(""https://docs.google.com/spreadsheets/d/1eHaY18a8A9IcSdp1K8H6x8fbOy06t2VsZHhMHf-1x7Y/edit?usp=sharing"",""แผน!AM63"")"),0)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IFERROR(__xludf.DUMMYFUNCTION("IMPORTRANGE(""https://docs.google.com/spreadsheets/d/1eHaY18a8A9IcSdp1K8H6x8fbOy06t2VsZHhMHf-1x7Y/edit?usp=sharing"",""แผน!AN63"")"),0)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IFERROR(__xludf.DUMMYFUNCTION("IMPORTRANGE(""https://docs.google.com/spreadsheets/d/1eHaY18a8A9IcSdp1K8H6x8fbOy06t2VsZHhMHf-1x7Y/edit?usp=sharing"",""แผน!LY63"")"),0)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IFERROR(__xludf.DUMMYFUNCTION("IMPORTRANGE(""https://docs.google.com/spreadsheets/d/1eHaY18a8A9IcSdp1K8H6x8fbOy06t2VsZHhMHf-1x7Y/edit?usp=sharing"",""แผน!AP63"")"),0)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IFERROR(__xludf.DUMMYFUNCTION("IMPORTRANGE(""https://docs.google.com/spreadsheets/d/1eHaY18a8A9IcSdp1K8H6x8fbOy06t2VsZHhMHf-1x7Y/edit?usp=sharing"",""แผน!AP63"")"),0)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40000</v>
      </c>
      <c r="K221" s="539">
        <f ca="1">IF(I221&gt;0,J221*100/I221,0)</f>
        <v>200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3080</v>
      </c>
      <c r="O222" s="262">
        <f ca="1">IF(L222&gt;0,N222*100/L222,0)</f>
        <v>68.444444444444443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IFERROR(__xludf.DUMMYFUNCTION("IMPORTRANGE(""https://docs.google.com/spreadsheets/d/1eHaY18a8A9IcSdp1K8H6x8fbOy06t2VsZHhMHf-1x7Y/edit?usp=sharing"",""แผน!AR63"")"),2500)</f>
        <v>2500</v>
      </c>
      <c r="M223" s="85"/>
      <c r="N223" s="387">
        <v>1080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IFERROR(__xludf.DUMMYFUNCTION("IMPORTRANGE(""https://docs.google.com/spreadsheets/d/1eHaY18a8A9IcSdp1K8H6x8fbOy06t2VsZHhMHf-1x7Y/edit?usp=sharing"",""แผน!AS63"")"),2000)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IFERROR(__xludf.DUMMYFUNCTION("IMPORTRANGE(""https://docs.google.com/spreadsheets/d/1eHaY18a8A9IcSdp1K8H6x8fbOy06t2VsZHhMHf-1x7Y/edit?usp=sharing"",""แผน!AV63"")"),20000)</f>
        <v>20000</v>
      </c>
      <c r="J228" s="292">
        <v>40000</v>
      </c>
      <c r="K228" s="746">
        <f ca="1">IF(I228&gt;0,J228*100/I228,0)</f>
        <v>200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IFERROR(__xludf.DUMMYFUNCTION("IMPORTRANGE(""https://docs.google.com/spreadsheets/d/1eHaY18a8A9IcSdp1K8H6x8fbOy06t2VsZHhMHf-1x7Y/edit?usp=sharing"",""แผน!AV63"")"),20000)</f>
        <v>20000</v>
      </c>
      <c r="J229" s="292">
        <v>40000</v>
      </c>
      <c r="K229" s="746">
        <f ca="1">IF(I229&gt;0,J229*100/I229,0)</f>
        <v>200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IFERROR(__xludf.DUMMYFUNCTION("IMPORTRANGE(""https://docs.google.com/spreadsheets/d/1eHaY18a8A9IcSdp1K8H6x8fbOy06t2VsZHhMHf-1x7Y/edit?usp=sharing"",""แผน!AU63"")"),0)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953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20</v>
      </c>
      <c r="J231" s="951">
        <f>J242+J253</f>
        <v>20</v>
      </c>
      <c r="K231" s="950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935"/>
      <c r="C232" s="834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7">
        <f ca="1">L243+L254</f>
        <v>47600</v>
      </c>
      <c r="M232" s="85"/>
      <c r="N232" s="956">
        <f>N243+N254</f>
        <v>25340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936"/>
      <c r="B233" s="1082"/>
      <c r="C233" s="935"/>
      <c r="D233" s="598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74">
        <f ca="1">L244+L255</f>
        <v>11000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9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9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74">
        <f ca="1">L246+L257</f>
        <v>15600</v>
      </c>
      <c r="M235" s="85"/>
      <c r="N235" s="75">
        <f>N246+N257</f>
        <v>20360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3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74">
        <f ca="1">L247+L258</f>
        <v>19000</v>
      </c>
      <c r="M236" s="85"/>
      <c r="N236" s="75">
        <f>N247+N258</f>
        <v>4980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07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945" t="s">
        <v>35</v>
      </c>
      <c r="I238" s="570">
        <f ca="1">I249+I260</f>
        <v>20</v>
      </c>
      <c r="J238" s="57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07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945" t="s">
        <v>35</v>
      </c>
      <c r="I240" s="570">
        <f ca="1">I251+I262</f>
        <v>20</v>
      </c>
      <c r="J240" s="570">
        <f>J251+J262</f>
        <v>0</v>
      </c>
      <c r="K240" s="75">
        <f ca="1"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945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532"/>
      <c r="B242" s="534"/>
      <c r="C242" s="958" t="s">
        <v>355</v>
      </c>
      <c r="D242" s="533"/>
      <c r="E242" s="533"/>
      <c r="F242" s="533"/>
      <c r="G242" s="536"/>
      <c r="H242" s="537" t="s">
        <v>35</v>
      </c>
      <c r="I242" s="538">
        <f ca="1">I249</f>
        <v>20</v>
      </c>
      <c r="J242" s="538">
        <f>J249</f>
        <v>20</v>
      </c>
      <c r="K242" s="539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55"/>
      <c r="B243" s="256"/>
      <c r="C243" s="668" t="s">
        <v>18</v>
      </c>
      <c r="D243" s="258" t="s">
        <v>19</v>
      </c>
      <c r="E243" s="256"/>
      <c r="F243" s="256"/>
      <c r="G243" s="259"/>
      <c r="H243" s="612" t="s">
        <v>14</v>
      </c>
      <c r="I243" s="270"/>
      <c r="J243" s="270"/>
      <c r="K243" s="227"/>
      <c r="L243" s="389">
        <f ca="1">L244+L245+L246+L247</f>
        <v>47600</v>
      </c>
      <c r="M243" s="85"/>
      <c r="N243" s="262">
        <f>N244+N245+N246+N247</f>
        <v>25340</v>
      </c>
      <c r="O243" s="262">
        <f ca="1">IF(L243&gt;0,N243*100/L243,0)</f>
        <v>53.235294117647058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55"/>
      <c r="B244" s="267"/>
      <c r="C244" s="256"/>
      <c r="D244" s="1303" t="s">
        <v>320</v>
      </c>
      <c r="E244" s="256"/>
      <c r="F244" s="256"/>
      <c r="G244" s="259"/>
      <c r="H244" s="269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IFERROR(__xludf.DUMMYFUNCTION("IMPORTRANGE(""https://docs.google.com/spreadsheets/d/1eHaY18a8A9IcSdp1K8H6x8fbOy06t2VsZHhMHf-1x7Y/edit?usp=sharing"",""แผน!AX63"")"),11000)</f>
        <v>11000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529"/>
      <c r="B245" s="267"/>
      <c r="C245" s="267"/>
      <c r="D245" s="567" t="s">
        <v>317</v>
      </c>
      <c r="E245" s="256"/>
      <c r="F245" s="256"/>
      <c r="G245" s="259"/>
      <c r="H245" s="269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IFERROR(__xludf.DUMMYFUNCTION("IMPORTRANGE(""https://docs.google.com/spreadsheets/d/1eHaY18a8A9IcSdp1K8H6x8fbOy06t2VsZHhMHf-1x7Y/edit?usp=sharing"",""แผน!AY63"")"),2000)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529"/>
      <c r="B246" s="267"/>
      <c r="C246" s="267"/>
      <c r="D246" s="567" t="s">
        <v>88</v>
      </c>
      <c r="E246" s="256"/>
      <c r="F246" s="256"/>
      <c r="G246" s="259"/>
      <c r="H246" s="269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IFERROR(__xludf.DUMMYFUNCTION("IMPORTRANGE(""https://docs.google.com/spreadsheets/d/1eHaY18a8A9IcSdp1K8H6x8fbOy06t2VsZHhMHf-1x7Y/edit?usp=sharing"",""แผน!AZ63"")"),15600)</f>
        <v>15600</v>
      </c>
      <c r="M246" s="85"/>
      <c r="N246" s="387">
        <v>20360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529"/>
      <c r="B247" s="267"/>
      <c r="C247" s="267"/>
      <c r="D247" s="265" t="s">
        <v>89</v>
      </c>
      <c r="E247" s="256"/>
      <c r="F247" s="256"/>
      <c r="G247" s="259"/>
      <c r="H247" s="269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IFERROR(__xludf.DUMMYFUNCTION("IMPORTRANGE(""https://docs.google.com/spreadsheets/d/1eHaY18a8A9IcSdp1K8H6x8fbOy06t2VsZHhMHf-1x7Y/edit?usp=sharing"",""แผน!BA63"")"),19000)</f>
        <v>19000</v>
      </c>
      <c r="M247" s="85"/>
      <c r="N247" s="387">
        <v>4980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74"/>
      <c r="B248" s="275"/>
      <c r="C248" s="668" t="s">
        <v>18</v>
      </c>
      <c r="D248" s="800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74"/>
      <c r="B249" s="275"/>
      <c r="C249" s="275"/>
      <c r="D249" s="289" t="s">
        <v>108</v>
      </c>
      <c r="E249" s="288"/>
      <c r="F249" s="288"/>
      <c r="G249" s="280"/>
      <c r="H249" s="293" t="s">
        <v>35</v>
      </c>
      <c r="I249" s="291">
        <f ca="1">IFERROR(__xludf.DUMMYFUNCTION("IMPORTRANGE(""https://docs.google.com/spreadsheets/d/1eHaY18a8A9IcSdp1K8H6x8fbOy06t2VsZHhMHf-1x7Y/edit?usp=sharing"",""แผน!BG63"")"),20)</f>
        <v>20</v>
      </c>
      <c r="J249" s="292">
        <v>20</v>
      </c>
      <c r="K249" s="72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74"/>
      <c r="B250" s="275"/>
      <c r="C250" s="275"/>
      <c r="D250" s="954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74"/>
      <c r="B251" s="275"/>
      <c r="C251" s="275"/>
      <c r="D251" s="275"/>
      <c r="E251" s="745" t="s">
        <v>109</v>
      </c>
      <c r="F251" s="288"/>
      <c r="G251" s="280"/>
      <c r="H251" s="293" t="s">
        <v>35</v>
      </c>
      <c r="I251" s="291">
        <f ca="1">IFERROR(__xludf.DUMMYFUNCTION("IMPORTRANGE(""https://docs.google.com/spreadsheets/d/1eHaY18a8A9IcSdp1K8H6x8fbOy06t2VsZHhMHf-1x7Y/edit?usp=sharing"",""แผน!KF63"")"),20)</f>
        <v>20</v>
      </c>
      <c r="J251" s="292">
        <v>0</v>
      </c>
      <c r="K251" s="72">
        <f ca="1"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74"/>
      <c r="B252" s="275"/>
      <c r="C252" s="275"/>
      <c r="D252" s="275"/>
      <c r="E252" s="745" t="s">
        <v>110</v>
      </c>
      <c r="F252" s="288"/>
      <c r="G252" s="280"/>
      <c r="H252" s="293" t="s">
        <v>61</v>
      </c>
      <c r="I252" s="291">
        <f ca="1">IFERROR(__xludf.DUMMYFUNCTION("IMPORTRANGE(""https://docs.google.com/spreadsheets/d/1eHaY18a8A9IcSdp1K8H6x8fbOy06t2VsZHhMHf-1x7Y/edit?usp=sharing"",""แผน!KG63"")"),1)</f>
        <v>1</v>
      </c>
      <c r="J252" s="292">
        <v>1</v>
      </c>
      <c r="K252" s="72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IFERROR(__xludf.DUMMYFUNCTION("IMPORTRANGE(""https://docs.google.com/spreadsheets/d/1eHaY18a8A9IcSdp1K8H6x8fbOy06t2VsZHhMHf-1x7Y/edit?usp=sharing"",""แผน!BB63"")"),0)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IFERROR(__xludf.DUMMYFUNCTION("IMPORTRANGE(""https://docs.google.com/spreadsheets/d/1eHaY18a8A9IcSdp1K8H6x8fbOy06t2VsZHhMHf-1x7Y/edit?usp=sharing"",""แผน!BC63"")"),0)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IFERROR(__xludf.DUMMYFUNCTION("IMPORTRANGE(""https://docs.google.com/spreadsheets/d/1eHaY18a8A9IcSdp1K8H6x8fbOy06t2VsZHhMHf-1x7Y/edit?usp=sharing"",""แผน!BD63"")"),0)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IFERROR(__xludf.DUMMYFUNCTION("IMPORTRANGE(""https://docs.google.com/spreadsheets/d/1eHaY18a8A9IcSdp1K8H6x8fbOy06t2VsZHhMHf-1x7Y/edit?usp=sharing"",""แผน!BE63"")"),0)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IFERROR(__xludf.DUMMYFUNCTION("IMPORTRANGE(""https://docs.google.com/spreadsheets/d/1eHaY18a8A9IcSdp1K8H6x8fbOy06t2VsZHhMHf-1x7Y/edit?usp=sharing"",""แผน!BH63"")"),0)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47600</v>
      </c>
      <c r="T266" s="211">
        <f t="shared" ref="T266:T274" ca="1" si="65">IF(Q266&gt;0,S266*100/Q266,0)</f>
        <v>93.959731543624159</v>
      </c>
      <c r="U266" s="211">
        <f t="shared" ref="U266:U274" ca="1" si="66">IF(R266&gt;0,S266*100/R266,0)</f>
        <v>93.959731543624159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47600</v>
      </c>
      <c r="T268" s="86">
        <f t="shared" ca="1" si="65"/>
        <v>93.959731543624159</v>
      </c>
      <c r="U268" s="86">
        <f t="shared" ca="1" si="66"/>
        <v>93.959731543624159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47600</v>
      </c>
      <c r="T269" s="86">
        <f t="shared" ca="1" si="65"/>
        <v>93.959731543624159</v>
      </c>
      <c r="U269" s="86">
        <f t="shared" ca="1" si="66"/>
        <v>93.959731543624159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IFERROR(__xludf.DUMMYFUNCTION("IMPORTRANGE(""https://docs.google.com/spreadsheets/d/1-uDff_7J0KD5mKrp0Vvzr7lt3OU09vwQwhkpOPPYv2Y/edit?usp=sharing"",""งบพรบ!DE63"")"),5000)</f>
        <v>5000</v>
      </c>
      <c r="M271" s="86">
        <f ca="1">IFERROR(__xludf.DUMMYFUNCTION("IMPORTRANGE(""https://docs.google.com/spreadsheets/d/1-uDff_7J0KD5mKrp0Vvzr7lt3OU09vwQwhkpOPPYv2Y/edit?usp=sharing"",""งบพรบ!DJ63"")"),5000)</f>
        <v>5000</v>
      </c>
      <c r="N271" s="86">
        <f ca="1">IFERROR(__xludf.DUMMYFUNCTION("IMPORTRANGE(""https://docs.google.com/spreadsheets/d/1-uDff_7J0KD5mKrp0Vvzr7lt3OU09vwQwhkpOPPYv2Y/edit?usp=sharing"",""งบพรบ!DL63"")"),5000)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IFERROR(__xludf.DUMMYFUNCTION("IMPORTRANGE(""https://docs.google.com/spreadsheets/d/1ItG2mGa2ceCfYo0BwxsXqNm01IGEUdYcSSLTEv9YCik/edit?usp=sharing"",""เบิกจ่ายกองทุน!AP63"")"),50660)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IFERROR(__xludf.DUMMYFUNCTION("IMPORTRANGE(""https://docs.google.com/spreadsheets/d/1ItG2mGa2ceCfYo0BwxsXqNm01IGEUdYcSSLTEv9YCik/edit?usp=sharing"",""เบิกจ่ายกองทุน!AQ63"")"),50660)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IFERROR(__xludf.DUMMYFUNCTION("IMPORTRANGE(""https://docs.google.com/spreadsheets/d/1ItG2mGa2ceCfYo0BwxsXqNm01IGEUdYcSSLTEv9YCik/edit?usp=sharing"",""เบิกจ่ายกองทุน!AR63"")"),47600)</f>
        <v>47600</v>
      </c>
      <c r="T271" s="86">
        <f t="shared" ca="1" si="65"/>
        <v>93.959731543624159</v>
      </c>
      <c r="U271" s="86">
        <f t="shared" ca="1" si="66"/>
        <v>93.959731543624159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IFERROR(__xludf.DUMMYFUNCTION("IMPORTRANGE(""https://docs.google.com/spreadsheets/d/1-uDff_7J0KD5mKrp0Vvzr7lt3OU09vwQwhkpOPPYv2Y/edit?usp=sharing"",""งบพรบ!DH63"")"),0)</f>
        <v>0</v>
      </c>
      <c r="M274" s="86">
        <f ca="1">IFERROR(__xludf.DUMMYFUNCTION("IMPORTRANGE(""https://docs.google.com/spreadsheets/d/1-uDff_7J0KD5mKrp0Vvzr7lt3OU09vwQwhkpOPPYv2Y/edit?usp=sharing"",""งบพรบ!DK63"")"),0)</f>
        <v>0</v>
      </c>
      <c r="N274" s="86">
        <f ca="1">IFERROR(__xludf.DUMMYFUNCTION("IMPORTRANGE(""https://docs.google.com/spreadsheets/d/1-uDff_7J0KD5mKrp0Vvzr7lt3OU09vwQwhkpOPPYv2Y/edit?usp=sharing"",""งบพรบ!DM63"")"),0)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IFERROR(__xludf.DUMMYFUNCTION("IMPORTRANGE(""https://docs.google.com/spreadsheets/d/1eHaY18a8A9IcSdp1K8H6x8fbOy06t2VsZHhMHf-1x7Y/edit?usp=sharing"",""แผน!EC63"")"),22)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IFERROR(__xludf.DUMMYFUNCTION("IMPORTRANGE(""https://docs.google.com/spreadsheets/d/1-uDff_7J0KD5mKrp0Vvzr7lt3OU09vwQwhkpOPPYv2Y/edit?usp=sharing"",""งบพรบ!DO63"")"),0)</f>
        <v>0</v>
      </c>
      <c r="M287" s="72">
        <f ca="1">IFERROR(__xludf.DUMMYFUNCTION("IMPORTRANGE(""https://docs.google.com/spreadsheets/d/1-uDff_7J0KD5mKrp0Vvzr7lt3OU09vwQwhkpOPPYv2Y/edit?usp=sharing"",""งบพรบ!DT63"")"),0)</f>
        <v>0</v>
      </c>
      <c r="N287" s="72">
        <f ca="1">IFERROR(__xludf.DUMMYFUNCTION("IMPORTRANGE(""https://docs.google.com/spreadsheets/d/1-uDff_7J0KD5mKrp0Vvzr7lt3OU09vwQwhkpOPPYv2Y/edit?usp=sharing"",""งบพรบ!DV63"")"),0)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IFERROR(__xludf.DUMMYFUNCTION("IMPORTRANGE(""https://docs.google.com/spreadsheets/d/1-uDff_7J0KD5mKrp0Vvzr7lt3OU09vwQwhkpOPPYv2Y/edit?usp=sharing"",""งบพรบ!DR63"")"),0)</f>
        <v>0</v>
      </c>
      <c r="M290" s="72">
        <f ca="1">IFERROR(__xludf.DUMMYFUNCTION("IMPORTRANGE(""https://docs.google.com/spreadsheets/d/1-uDff_7J0KD5mKrp0Vvzr7lt3OU09vwQwhkpOPPYv2Y/edit?usp=sharing"",""งบพรบ!DU63"")"),0)</f>
        <v>0</v>
      </c>
      <c r="N290" s="72">
        <f ca="1">IFERROR(__xludf.DUMMYFUNCTION("IMPORTRANGE(""https://docs.google.com/spreadsheets/d/1-uDff_7J0KD5mKrp0Vvzr7lt3OU09vwQwhkpOPPYv2Y/edit?usp=sharing"",""งบพรบ!DW63"")"),0)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IFERROR(__xludf.DUMMYFUNCTION("IMPORTRANGE(""https://docs.google.com/spreadsheets/d/1eHaY18a8A9IcSdp1K8H6x8fbOy06t2VsZHhMHf-1x7Y/edit?usp=sharing"",""แผน!EE63"")"),0)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IFERROR(__xludf.DUMMYFUNCTION("IMPORTRANGE(""https://docs.google.com/spreadsheets/d/1eHaY18a8A9IcSdp1K8H6x8fbOy06t2VsZHhMHf-1x7Y/edit?usp=sharing"",""แผน!ED63"")"),0)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IFERROR(__xludf.DUMMYFUNCTION("IMPORTRANGE(""https://docs.google.com/spreadsheets/d/1eHaY18a8A9IcSdp1K8H6x8fbOy06t2VsZHhMHf-1x7Y/edit?usp=sharing"",""แผน!ED63"")"),0)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IFERROR(__xludf.DUMMYFUNCTION("IMPORTRANGE(""https://docs.google.com/spreadsheets/d/1eHaY18a8A9IcSdp1K8H6x8fbOy06t2VsZHhMHf-1x7Y/edit?usp=sharing"",""แผน!ED63"")"),0)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20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103900</v>
      </c>
      <c r="M303" s="262">
        <f ca="1">M304+M305</f>
        <v>103900</v>
      </c>
      <c r="N303" s="262">
        <f ca="1">N304+N305</f>
        <v>81020</v>
      </c>
      <c r="O303" s="262">
        <f t="shared" ref="O303:O311" ca="1" si="75">IF(L303&gt;0,N303*100/L303,0)</f>
        <v>77.97882579403273</v>
      </c>
      <c r="P303" s="262">
        <f t="shared" ref="P303:P311" ca="1" si="76">IF(M303&gt;0,N303*100/M303,0)</f>
        <v>77.97882579403273</v>
      </c>
      <c r="Q303" s="262">
        <f ca="1">Q304+Q305</f>
        <v>144609.24</v>
      </c>
      <c r="R303" s="262">
        <f ca="1">R304+R305</f>
        <v>144609</v>
      </c>
      <c r="S303" s="262">
        <f ca="1">S304+S305</f>
        <v>82270</v>
      </c>
      <c r="T303" s="262">
        <f t="shared" ref="T303:T311" ca="1" si="77">IF(Q303&gt;0,S303*100/Q303,0)</f>
        <v>56.891247060008062</v>
      </c>
      <c r="U303" s="262">
        <f t="shared" ref="U303:U311" ca="1" si="78">IF(R303&gt;0,S303*100/R303,0)</f>
        <v>56.891341479437656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103900</v>
      </c>
      <c r="M305" s="72">
        <f t="shared" ca="1" si="79"/>
        <v>103900</v>
      </c>
      <c r="N305" s="72">
        <f t="shared" ca="1" si="79"/>
        <v>81020</v>
      </c>
      <c r="O305" s="72">
        <f t="shared" ca="1" si="75"/>
        <v>77.97882579403273</v>
      </c>
      <c r="P305" s="72">
        <f t="shared" ca="1" si="76"/>
        <v>77.97882579403273</v>
      </c>
      <c r="Q305" s="72">
        <f t="shared" ca="1" si="80"/>
        <v>144609.24</v>
      </c>
      <c r="R305" s="72">
        <f t="shared" ca="1" si="80"/>
        <v>144609</v>
      </c>
      <c r="S305" s="72">
        <f t="shared" ca="1" si="80"/>
        <v>82270</v>
      </c>
      <c r="T305" s="72">
        <f t="shared" ca="1" si="77"/>
        <v>56.891247060008062</v>
      </c>
      <c r="U305" s="72">
        <f t="shared" ca="1" si="78"/>
        <v>56.891341479437656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103900</v>
      </c>
      <c r="M306" s="72">
        <f ca="1">M307+M308</f>
        <v>103900</v>
      </c>
      <c r="N306" s="72">
        <f ca="1">N307+N308</f>
        <v>81020</v>
      </c>
      <c r="O306" s="72">
        <f t="shared" ca="1" si="75"/>
        <v>77.97882579403273</v>
      </c>
      <c r="P306" s="72">
        <f t="shared" ca="1" si="76"/>
        <v>77.97882579403273</v>
      </c>
      <c r="Q306" s="72">
        <f ca="1">Q307+Q308</f>
        <v>144609.24</v>
      </c>
      <c r="R306" s="72">
        <f ca="1">R307+R308</f>
        <v>144609</v>
      </c>
      <c r="S306" s="72">
        <f ca="1">S307+S308</f>
        <v>82270</v>
      </c>
      <c r="T306" s="72">
        <f t="shared" ca="1" si="77"/>
        <v>56.891247060008062</v>
      </c>
      <c r="U306" s="72">
        <f t="shared" ca="1" si="78"/>
        <v>56.891341479437656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IFERROR(__xludf.DUMMYFUNCTION("IMPORTRANGE(""https://docs.google.com/spreadsheets/d/1-uDff_7J0KD5mKrp0Vvzr7lt3OU09vwQwhkpOPPYv2Y/edit?usp=sharing"",""งบพรบ!DY63"")"),103900)</f>
        <v>103900</v>
      </c>
      <c r="M308" s="72">
        <f ca="1">IFERROR(__xludf.DUMMYFUNCTION("IMPORTRANGE(""https://docs.google.com/spreadsheets/d/1-uDff_7J0KD5mKrp0Vvzr7lt3OU09vwQwhkpOPPYv2Y/edit?usp=sharing"",""งบพรบ!ED63"")"),103900)</f>
        <v>103900</v>
      </c>
      <c r="N308" s="72">
        <f ca="1">IFERROR(__xludf.DUMMYFUNCTION("IMPORTRANGE(""https://docs.google.com/spreadsheets/d/1-uDff_7J0KD5mKrp0Vvzr7lt3OU09vwQwhkpOPPYv2Y/edit?usp=sharing"",""งบพรบ!EF63"")"),81020)</f>
        <v>81020</v>
      </c>
      <c r="O308" s="72">
        <f t="shared" ca="1" si="75"/>
        <v>77.97882579403273</v>
      </c>
      <c r="P308" s="72">
        <f t="shared" ca="1" si="76"/>
        <v>77.97882579403273</v>
      </c>
      <c r="Q308" s="72">
        <f ca="1">IFERROR(__xludf.DUMMYFUNCTION("IMPORTRANGE(""https://docs.google.com/spreadsheets/d/1ItG2mGa2ceCfYo0BwxsXqNm01IGEUdYcSSLTEv9YCik/edit?usp=sharing"",""เบิกจ่ายกองทุน!BB63"")"),144609.24)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IFERROR(__xludf.DUMMYFUNCTION("IMPORTRANGE(""https://docs.google.com/spreadsheets/d/1ItG2mGa2ceCfYo0BwxsXqNm01IGEUdYcSSLTEv9YCik/edit?usp=sharing"",""เบิกจ่ายกองทุน!BC63"")"),144609)</f>
        <v>144609</v>
      </c>
      <c r="S308" s="72">
        <f ca="1">IFERROR(__xludf.DUMMYFUNCTION("IMPORTRANGE(""https://docs.google.com/spreadsheets/d/1ItG2mGa2ceCfYo0BwxsXqNm01IGEUdYcSSLTEv9YCik/edit?usp=sharing"",""เบิกจ่ายกองทุน!BD63"")"),82270)</f>
        <v>82270</v>
      </c>
      <c r="T308" s="72">
        <f t="shared" ca="1" si="77"/>
        <v>56.891247060008062</v>
      </c>
      <c r="U308" s="72">
        <f t="shared" ca="1" si="78"/>
        <v>56.891341479437656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IFERROR(__xludf.DUMMYFUNCTION("IMPORTRANGE(""https://docs.google.com/spreadsheets/d/1-uDff_7J0KD5mKrp0Vvzr7lt3OU09vwQwhkpOPPYv2Y/edit?usp=sharing"",""งบพรบ!EB63"")"),0)</f>
        <v>0</v>
      </c>
      <c r="M311" s="72">
        <f ca="1">IFERROR(__xludf.DUMMYFUNCTION("IMPORTRANGE(""https://docs.google.com/spreadsheets/d/1-uDff_7J0KD5mKrp0Vvzr7lt3OU09vwQwhkpOPPYv2Y/edit?usp=sharing"",""งบพรบ!EE63"")"),0)</f>
        <v>0</v>
      </c>
      <c r="N311" s="72">
        <f ca="1">IFERROR(__xludf.DUMMYFUNCTION("IMPORTRANGE(""https://docs.google.com/spreadsheets/d/1-uDff_7J0KD5mKrp0Vvzr7lt3OU09vwQwhkpOPPYv2Y/edit?usp=sharing"",""งบพรบ!EG63"")"),0)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IFERROR(__xludf.DUMMYFUNCTION("IMPORTRANGE(""https://docs.google.com/spreadsheets/d/1eHaY18a8A9IcSdp1K8H6x8fbOy06t2VsZHhMHf-1x7Y/edit?usp=sharing"",""แผน!EF63"")"),20)</f>
        <v>20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IFERROR(__xludf.DUMMYFUNCTION("IMPORTRANGE(""https://docs.google.com/spreadsheets/d/1-uDff_7J0KD5mKrp0Vvzr7lt3OU09vwQwhkpOPPYv2Y/edit?usp=sharing"",""งบพรบ!EI63"")"),0)</f>
        <v>0</v>
      </c>
      <c r="M325" s="72">
        <f ca="1">IFERROR(__xludf.DUMMYFUNCTION("IMPORTRANGE(""https://docs.google.com/spreadsheets/d/1-uDff_7J0KD5mKrp0Vvzr7lt3OU09vwQwhkpOPPYv2Y/edit?usp=sharing"",""งบพรบ!EN63"")"),0)</f>
        <v>0</v>
      </c>
      <c r="N325" s="72">
        <f ca="1">IFERROR(__xludf.DUMMYFUNCTION("IMPORTRANGE(""https://docs.google.com/spreadsheets/d/1-uDff_7J0KD5mKrp0Vvzr7lt3OU09vwQwhkpOPPYv2Y/edit?usp=sharing"",""งบพรบ!EP63"")"),0)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IFERROR(__xludf.DUMMYFUNCTION("IMPORTRANGE(""https://docs.google.com/spreadsheets/d/1-uDff_7J0KD5mKrp0Vvzr7lt3OU09vwQwhkpOPPYv2Y/edit?usp=sharing"",""งบพรบ!EL63"")"),0)</f>
        <v>0</v>
      </c>
      <c r="M328" s="72">
        <f ca="1">IFERROR(__xludf.DUMMYFUNCTION("IMPORTRANGE(""https://docs.google.com/spreadsheets/d/1-uDff_7J0KD5mKrp0Vvzr7lt3OU09vwQwhkpOPPYv2Y/edit?usp=sharing"",""งบพรบ!EO63"")"),0)</f>
        <v>0</v>
      </c>
      <c r="N328" s="72">
        <f ca="1">IFERROR(__xludf.DUMMYFUNCTION("IMPORTRANGE(""https://docs.google.com/spreadsheets/d/1-uDff_7J0KD5mKrp0Vvzr7lt3OU09vwQwhkpOPPYv2Y/edit?usp=sharing"",""งบพรบ!EQ63"")"),0)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IFERROR(__xludf.DUMMYFUNCTION("IMPORTRANGE(""https://docs.google.com/spreadsheets/d/1eHaY18a8A9IcSdp1K8H6x8fbOy06t2VsZHhMHf-1x7Y/edit?usp=sharing"",""แผน!EJ63"")"),0)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660</v>
      </c>
      <c r="J332" s="515">
        <f ca="1">J344+J347+J348+J349+J353+J354</f>
        <v>2847</v>
      </c>
      <c r="K332" s="516">
        <f ca="1">IF(I332&gt;0,J332*100/I332,0)</f>
        <v>431.36363636363637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174000</v>
      </c>
      <c r="M333" s="262">
        <f ca="1">M334+M335</f>
        <v>174000</v>
      </c>
      <c r="N333" s="262">
        <f ca="1">N334+N335</f>
        <v>105855</v>
      </c>
      <c r="O333" s="262">
        <f t="shared" ref="O333:O341" ca="1" si="87">IF(L333&gt;0,N333*100/L333,0)</f>
        <v>60.836206896551722</v>
      </c>
      <c r="P333" s="262">
        <f t="shared" ref="P333:P341" ca="1" si="88">IF(M333&gt;0,N333*100/M333,0)</f>
        <v>60.836206896551722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174000</v>
      </c>
      <c r="M335" s="72">
        <f t="shared" ca="1" si="91"/>
        <v>174000</v>
      </c>
      <c r="N335" s="72">
        <f t="shared" ca="1" si="91"/>
        <v>105855</v>
      </c>
      <c r="O335" s="72">
        <f t="shared" ca="1" si="87"/>
        <v>60.836206896551722</v>
      </c>
      <c r="P335" s="72">
        <f t="shared" ca="1" si="88"/>
        <v>60.836206896551722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174000</v>
      </c>
      <c r="M336" s="72">
        <f ca="1">M337+M338</f>
        <v>174000</v>
      </c>
      <c r="N336" s="72">
        <f ca="1">N337+N338</f>
        <v>105855</v>
      </c>
      <c r="O336" s="72">
        <f t="shared" ca="1" si="87"/>
        <v>60.836206896551722</v>
      </c>
      <c r="P336" s="72">
        <f t="shared" ca="1" si="88"/>
        <v>60.836206896551722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IFERROR(__xludf.DUMMYFUNCTION("IMPORTRANGE(""https://docs.google.com/spreadsheets/d/1-uDff_7J0KD5mKrp0Vvzr7lt3OU09vwQwhkpOPPYv2Y/edit?usp=sharing"",""งบพรบ!ES63"")"),174000)</f>
        <v>174000</v>
      </c>
      <c r="M338" s="72">
        <f ca="1">IFERROR(__xludf.DUMMYFUNCTION("IMPORTRANGE(""https://docs.google.com/spreadsheets/d/1-uDff_7J0KD5mKrp0Vvzr7lt3OU09vwQwhkpOPPYv2Y/edit?usp=sharing"",""งบพรบ!EX63"")"),174000)</f>
        <v>174000</v>
      </c>
      <c r="N338" s="72">
        <f ca="1">IFERROR(__xludf.DUMMYFUNCTION("IMPORTRANGE(""https://docs.google.com/spreadsheets/d/1-uDff_7J0KD5mKrp0Vvzr7lt3OU09vwQwhkpOPPYv2Y/edit?usp=sharing"",""งบพรบ!EZ63"")"),105855)</f>
        <v>105855</v>
      </c>
      <c r="O338" s="72">
        <f t="shared" ca="1" si="87"/>
        <v>60.836206896551722</v>
      </c>
      <c r="P338" s="72">
        <f t="shared" ca="1" si="88"/>
        <v>60.836206896551722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IFERROR(__xludf.DUMMYFUNCTION("IMPORTRANGE(""https://docs.google.com/spreadsheets/d/1-uDff_7J0KD5mKrp0Vvzr7lt3OU09vwQwhkpOPPYv2Y/edit?usp=sharing"",""งบพรบ!EV63"")"),0)</f>
        <v>0</v>
      </c>
      <c r="M341" s="72">
        <f ca="1">IFERROR(__xludf.DUMMYFUNCTION("IMPORTRANGE(""https://docs.google.com/spreadsheets/d/1-uDff_7J0KD5mKrp0Vvzr7lt3OU09vwQwhkpOPPYv2Y/edit?usp=sharing"",""งบพรบ!EY63"")"),0)</f>
        <v>0</v>
      </c>
      <c r="N341" s="72">
        <f ca="1">IFERROR(__xludf.DUMMYFUNCTION("IMPORTRANGE(""https://docs.google.com/spreadsheets/d/1-uDff_7J0KD5mKrp0Vvzr7lt3OU09vwQwhkpOPPYv2Y/edit?usp=sharing"",""งบพรบ!FA63"")"),0)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1166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IFERROR(__xludf.DUMMYFUNCTION("IMPORTRANGE(""https://docs.google.com/spreadsheets/d/1eHaY18a8A9IcSdp1K8H6x8fbOy06t2VsZHhMHf-1x7Y/edit?usp=sharing"",""แผน!EK63"")"),660)</f>
        <v>660</v>
      </c>
      <c r="J344" s="291">
        <f ca="1">IFERROR(__xludf.DUMMYFUNCTION("IMPORTRANGE(""https://docs.google.com/spreadsheets/d/1awYsYK3VOup2i3Pq_Yjnu8DRu_mYwSBnCR2QPthd0rU/edit?usp=sharing"",""ศูนย์ยกเว้นโฉนด!D63"")"),1163)</f>
        <v>1163</v>
      </c>
      <c r="K344" s="72">
        <f ca="1">IF(I344&gt;0,J344*100/I344,0)</f>
        <v>176.21212121212122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IFERROR(__xludf.DUMMYFUNCTION("IMPORTRANGE(""https://docs.google.com/spreadsheets/d/1eHaY18a8A9IcSdp1K8H6x8fbOy06t2VsZHhMHf-1x7Y/edit?usp=sharing"",""แผน!EL63"")"),2)</f>
        <v>2</v>
      </c>
      <c r="J346" s="291">
        <f ca="1">IFERROR(__xludf.DUMMYFUNCTION("IMPORTRANGE(""https://docs.google.com/spreadsheets/d/1awYsYK3VOup2i3Pq_Yjnu8DRu_mYwSBnCR2QPthd0rU/edit?usp=sharing"",""ศูนย์รวม!E63"")"),1)</f>
        <v>1</v>
      </c>
      <c r="K346" s="72">
        <f ca="1">IF(I346&gt;0,J346*100/I346,0)</f>
        <v>50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IFERROR(__xludf.DUMMYFUNCTION("IMPORTRANGE(""https://docs.google.com/spreadsheets/d/1awYsYK3VOup2i3Pq_Yjnu8DRu_mYwSBnCR2QPthd0rU/edit?usp=sharing"",""ศูนย์ยกเว้นโฉนด!F63"")"),0)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IFERROR(__xludf.DUMMYFUNCTION("IMPORTRANGE(""https://docs.google.com/spreadsheets/d/1awYsYK3VOup2i3Pq_Yjnu8DRu_mYwSBnCR2QPthd0rU/edit?usp=sharing"",""ศูนย์ยกเว้นโฉนด!G63"")"),3)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IFERROR(__xludf.DUMMYFUNCTION("IMPORTRANGE(""https://docs.google.com/spreadsheets/d/1awYsYK3VOup2i3Pq_Yjnu8DRu_mYwSBnCR2QPthd0rU/edit?usp=sharing"",""ศูนย์ยกเว้นโฉนด!H63"")"),0)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1693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IFERROR(__xludf.DUMMYFUNCTION("IMPORTRANGE(""https://docs.google.com/spreadsheets/d/1awYsYK3VOup2i3Pq_Yjnu8DRu_mYwSBnCR2QPthd0rU/edit?usp=sharing"",""โฉนดM3!G63"")"),12)</f>
        <v>12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IFERROR(__xludf.DUMMYFUNCTION("IMPORTRANGE(""https://docs.google.com/spreadsheets/d/1awYsYK3VOup2i3Pq_Yjnu8DRu_mYwSBnCR2QPthd0rU/edit?usp=sharing"",""โฉนดM3!H63"")"),1523)</f>
        <v>1523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IFERROR(__xludf.DUMMYFUNCTION("IMPORTRANGE(""https://docs.google.com/spreadsheets/d/1awYsYK3VOup2i3Pq_Yjnu8DRu_mYwSBnCR2QPthd0rU/edit?usp=sharing"",""โฉนดM3!I63"")"),158)</f>
        <v>158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963930</v>
      </c>
      <c r="M356" s="262">
        <f ca="1">M357+M358</f>
        <v>1005430</v>
      </c>
      <c r="N356" s="262">
        <f ca="1">N357+N358</f>
        <v>665826.19999999995</v>
      </c>
      <c r="O356" s="262">
        <f t="shared" ref="O356:O364" ca="1" si="93">IF(L356&gt;0,N356*100/L356,0)</f>
        <v>69.074123639683378</v>
      </c>
      <c r="P356" s="262">
        <f t="shared" ref="P356:P364" ca="1" si="94">IF(M356&gt;0,N356*100/M356,0)</f>
        <v>66.223028952786365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963930</v>
      </c>
      <c r="M358" s="72">
        <f t="shared" ca="1" si="97"/>
        <v>1005430</v>
      </c>
      <c r="N358" s="72">
        <f t="shared" ca="1" si="97"/>
        <v>665826.19999999995</v>
      </c>
      <c r="O358" s="72">
        <f t="shared" ca="1" si="93"/>
        <v>69.074123639683378</v>
      </c>
      <c r="P358" s="72">
        <f t="shared" ca="1" si="94"/>
        <v>66.223028952786365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963930</v>
      </c>
      <c r="M359" s="72">
        <f ca="1">M360+M361</f>
        <v>1005430</v>
      </c>
      <c r="N359" s="72">
        <f ca="1">N360+N361</f>
        <v>665826.19999999995</v>
      </c>
      <c r="O359" s="72">
        <f t="shared" ca="1" si="93"/>
        <v>69.074123639683378</v>
      </c>
      <c r="P359" s="72">
        <f t="shared" ca="1" si="94"/>
        <v>66.223028952786365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IFERROR(__xludf.DUMMYFUNCTION("IMPORTRANGE(""https://docs.google.com/spreadsheets/d/1-uDff_7J0KD5mKrp0Vvzr7lt3OU09vwQwhkpOPPYv2Y/edit?usp=sharing"",""งบพรบ!FC63"")"),963930)</f>
        <v>963930</v>
      </c>
      <c r="M361" s="72">
        <f ca="1">IFERROR(__xludf.DUMMYFUNCTION("IMPORTRANGE(""https://docs.google.com/spreadsheets/d/1-uDff_7J0KD5mKrp0Vvzr7lt3OU09vwQwhkpOPPYv2Y/edit?usp=sharing"",""งบพรบ!FH63"")"),1005430)</f>
        <v>1005430</v>
      </c>
      <c r="N361" s="72">
        <f ca="1">IFERROR(__xludf.DUMMYFUNCTION("IMPORTRANGE(""https://docs.google.com/spreadsheets/d/1-uDff_7J0KD5mKrp0Vvzr7lt3OU09vwQwhkpOPPYv2Y/edit?usp=sharing"",""งบพรบ!FJ63"")"),665826.2)</f>
        <v>665826.19999999995</v>
      </c>
      <c r="O361" s="72">
        <f t="shared" ca="1" si="93"/>
        <v>69.074123639683378</v>
      </c>
      <c r="P361" s="72">
        <f t="shared" ca="1" si="94"/>
        <v>66.223028952786365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IFERROR(__xludf.DUMMYFUNCTION("IMPORTRANGE(""https://docs.google.com/spreadsheets/d/1-uDff_7J0KD5mKrp0Vvzr7lt3OU09vwQwhkpOPPYv2Y/edit?usp=sharing"",""งบพรบ!FF63"")"),0)</f>
        <v>0</v>
      </c>
      <c r="M364" s="72">
        <f ca="1">IFERROR(__xludf.DUMMYFUNCTION("IMPORTRANGE(""https://docs.google.com/spreadsheets/d/1-uDff_7J0KD5mKrp0Vvzr7lt3OU09vwQwhkpOPPYv2Y/edit?usp=sharing"",""งบพรบ!FI63"")"),0)</f>
        <v>0</v>
      </c>
      <c r="N364" s="72">
        <f ca="1">IFERROR(__xludf.DUMMYFUNCTION("IMPORTRANGE(""https://docs.google.com/spreadsheets/d/1-uDff_7J0KD5mKrp0Vvzr7lt3OU09vwQwhkpOPPYv2Y/edit?usp=sharing"",""งบพรบ!FK63"")"),0)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79</v>
      </c>
      <c r="J365" s="538">
        <f ca="1">J371</f>
        <v>34</v>
      </c>
      <c r="K365" s="539">
        <f ca="1">IF(I365&gt;0,J365*100/I365,0)</f>
        <v>43.037974683544306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IFERROR(__xludf.DUMMYFUNCTION("IMPORTRANGE(""https://docs.google.com/spreadsheets/d/1tdoBKaGub7dwA3U6UFTqxio9LNnvDCQjHKmttSEBsFQ/edit?usp=sharing"",""จัดที่ดิน!AB63"")"),21)</f>
        <v>21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IFERROR(__xludf.DUMMYFUNCTION("IMPORTRANGE(""https://docs.google.com/spreadsheets/d/1eHaY18a8A9IcSdp1K8H6x8fbOy06t2VsZHhMHf-1x7Y/edit?usp=sharing"",""แผน!EW63"")"),340)</f>
        <v>340</v>
      </c>
      <c r="J368" s="879">
        <f ca="1">IFERROR(__xludf.DUMMYFUNCTION("IMPORTRANGE(""https://docs.google.com/spreadsheets/d/1tdoBKaGub7dwA3U6UFTqxio9LNnvDCQjHKmttSEBsFQ/edit?usp=sharing"",""จัดที่ดิน!AC63"")"),269.95)</f>
        <v>269.95</v>
      </c>
      <c r="K368" s="72">
        <f t="shared" ca="1" si="99"/>
        <v>79.397058823529406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IFERROR(__xludf.DUMMYFUNCTION("IMPORTRANGE(""https://docs.google.com/spreadsheets/d/1eHaY18a8A9IcSdp1K8H6x8fbOy06t2VsZHhMHf-1x7Y/edit?usp=sharing"",""แผน!EX63"")"),79)</f>
        <v>79</v>
      </c>
      <c r="J369" s="291">
        <f ca="1">IFERROR(__xludf.DUMMYFUNCTION("IMPORTRANGE(""https://docs.google.com/spreadsheets/d/1tdoBKaGub7dwA3U6UFTqxio9LNnvDCQjHKmttSEBsFQ/edit?usp=sharing"",""จัดที่ดิน!AD63"")"),36)</f>
        <v>36</v>
      </c>
      <c r="K369" s="72">
        <f t="shared" ca="1" si="99"/>
        <v>45.569620253164558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IFERROR(__xludf.DUMMYFUNCTION("IMPORTRANGE(""https://docs.google.com/spreadsheets/d/1tdoBKaGub7dwA3U6UFTqxio9LNnvDCQjHKmttSEBsFQ/edit?usp=sharing"",""จัดที่ดิน!AE63"")"),564.37)</f>
        <v>564.37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IFERROR(__xludf.DUMMYFUNCTION("IMPORTRANGE(""https://docs.google.com/spreadsheets/d/1eHaY18a8A9IcSdp1K8H6x8fbOy06t2VsZHhMHf-1x7Y/edit?usp=sharing"",""แผน!EY63"")"),79)</f>
        <v>79</v>
      </c>
      <c r="J371" s="291">
        <f ca="1">IFERROR(__xludf.DUMMYFUNCTION("IMPORTRANGE(""https://docs.google.com/spreadsheets/d/1tdoBKaGub7dwA3U6UFTqxio9LNnvDCQjHKmttSEBsFQ/edit?usp=sharing"",""จัดที่ดิน!AF63"")"),34)</f>
        <v>34</v>
      </c>
      <c r="K371" s="72">
        <f t="shared" ca="1" si="99"/>
        <v>43.037974683544306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IFERROR(__xludf.DUMMYFUNCTION("IMPORTRANGE(""https://docs.google.com/spreadsheets/d/1tdoBKaGub7dwA3U6UFTqxio9LNnvDCQjHKmttSEBsFQ/edit?usp=sharing"",""จัดที่ดิน!AG63"")"),491.15)</f>
        <v>491.15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2000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125000</v>
      </c>
      <c r="R375" s="262">
        <f ca="1">R376+R377</f>
        <v>125000</v>
      </c>
      <c r="S375" s="262">
        <f ca="1">S376+S377</f>
        <v>9620</v>
      </c>
      <c r="T375" s="262">
        <f t="shared" ref="T375:T383" ca="1" si="102">IF(Q375&gt;0,S375*100/Q375,0)</f>
        <v>7.6959999999999997</v>
      </c>
      <c r="U375" s="262">
        <f t="shared" ref="U375:U383" ca="1" si="103">IF(R375&gt;0,S375*100/R375,0)</f>
        <v>7.6959999999999997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125000</v>
      </c>
      <c r="R377" s="72">
        <f t="shared" ca="1" si="105"/>
        <v>125000</v>
      </c>
      <c r="S377" s="72">
        <f t="shared" ca="1" si="105"/>
        <v>9620</v>
      </c>
      <c r="T377" s="72">
        <f t="shared" ca="1" si="102"/>
        <v>7.6959999999999997</v>
      </c>
      <c r="U377" s="72">
        <f t="shared" ca="1" si="103"/>
        <v>7.6959999999999997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125000</v>
      </c>
      <c r="R378" s="72">
        <f ca="1">R379+R380</f>
        <v>125000</v>
      </c>
      <c r="S378" s="72">
        <f ca="1">S379+S380</f>
        <v>9620</v>
      </c>
      <c r="T378" s="72">
        <f t="shared" ca="1" si="102"/>
        <v>7.6959999999999997</v>
      </c>
      <c r="U378" s="72">
        <f t="shared" ca="1" si="103"/>
        <v>7.6959999999999997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IFERROR(__xludf.DUMMYFUNCTION("IMPORTRANGE(""https://docs.google.com/spreadsheets/d/1-uDff_7J0KD5mKrp0Vvzr7lt3OU09vwQwhkpOPPYv2Y/edit?usp=sharing"",""งบพรบ!IE63"")"),0)</f>
        <v>0</v>
      </c>
      <c r="M380" s="72">
        <f ca="1">IFERROR(__xludf.DUMMYFUNCTION("IMPORTRANGE(""https://docs.google.com/spreadsheets/d/1-uDff_7J0KD5mKrp0Vvzr7lt3OU09vwQwhkpOPPYv2Y/edit?usp=sharing"",""งบพรบ!IJ63"")"),0)</f>
        <v>0</v>
      </c>
      <c r="N380" s="72">
        <f ca="1">IFERROR(__xludf.DUMMYFUNCTION("IMPORTRANGE(""https://docs.google.com/spreadsheets/d/1-uDff_7J0KD5mKrp0Vvzr7lt3OU09vwQwhkpOPPYv2Y/edit?usp=sharing"",""งบพรบ!IL63"")"),0)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IFERROR(__xludf.DUMMYFUNCTION("IMPORTRANGE(""https://docs.google.com/spreadsheets/d/1ItG2mGa2ceCfYo0BwxsXqNm01IGEUdYcSSLTEv9YCik/edit?usp=sharing"",""เบิกจ่ายกองทุน!BW63"")"),125000)</f>
        <v>125000</v>
      </c>
      <c r="R380" s="72">
        <f ca="1">IFERROR(__xludf.DUMMYFUNCTION("IMPORTRANGE(""https://docs.google.com/spreadsheets/d/1ItG2mGa2ceCfYo0BwxsXqNm01IGEUdYcSSLTEv9YCik/edit?usp=sharing"",""เบิกจ่ายกองทุน!BX63"")"),125000)</f>
        <v>125000</v>
      </c>
      <c r="S380" s="72">
        <f ca="1">IFERROR(__xludf.DUMMYFUNCTION("IMPORTRANGE(""https://docs.google.com/spreadsheets/d/1ItG2mGa2ceCfYo0BwxsXqNm01IGEUdYcSSLTEv9YCik/edit?usp=sharing"",""เบิกจ่ายกองทุน!BY63"")"),9620)</f>
        <v>9620</v>
      </c>
      <c r="T380" s="72">
        <f t="shared" ca="1" si="102"/>
        <v>7.6959999999999997</v>
      </c>
      <c r="U380" s="72">
        <f t="shared" ca="1" si="103"/>
        <v>7.6959999999999997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IFERROR(__xludf.DUMMYFUNCTION("IMPORTRANGE(""https://docs.google.com/spreadsheets/d/1-uDff_7J0KD5mKrp0Vvzr7lt3OU09vwQwhkpOPPYv2Y/edit?usp=sharing"",""งบพรบ!IH63"")"),0)</f>
        <v>0</v>
      </c>
      <c r="M383" s="72">
        <f ca="1">IFERROR(__xludf.DUMMYFUNCTION("IMPORTRANGE(""https://docs.google.com/spreadsheets/d/1-uDff_7J0KD5mKrp0Vvzr7lt3OU09vwQwhkpOPPYv2Y/edit?usp=sharing"",""งบพรบ!IK63"")"),0)</f>
        <v>0</v>
      </c>
      <c r="N383" s="72">
        <f ca="1">IFERROR(__xludf.DUMMYFUNCTION("IMPORTRANGE(""https://docs.google.com/spreadsheets/d/1-uDff_7J0KD5mKrp0Vvzr7lt3OU09vwQwhkpOPPYv2Y/edit?usp=sharing"",""งบพรบ!IM63"")"),0)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IFERROR(__xludf.DUMMYFUNCTION("IMPORTRANGE(""https://docs.google.com/spreadsheets/d/1w5rwWK1o49a35cNtocGL0gxDwhFSTZUQu90BiH9_zqM/edit?usp=sharing"",""RTK!H63"")"),0)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IFERROR(__xludf.DUMMYFUNCTION("IMPORTRANGE(""https://docs.google.com/spreadsheets/d/1w5rwWK1o49a35cNtocGL0gxDwhFSTZUQu90BiH9_zqM/edit?usp=sharing"",""RTK!G63"")"),2000)</f>
        <v>2000</v>
      </c>
      <c r="J386" s="291">
        <f ca="1">IFERROR(__xludf.DUMMYFUNCTION("IMPORTRANGE(""https://docs.google.com/spreadsheets/d/1w5rwWK1o49a35cNtocGL0gxDwhFSTZUQu90BiH9_zqM/edit?usp=sharing"",""RTK!I63"")"),0)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IFERROR(__xludf.DUMMYFUNCTION("IMPORTRANGE(""https://docs.google.com/spreadsheets/d/1w5rwWK1o49a35cNtocGL0gxDwhFSTZUQu90BiH9_zqM/edit?usp=sharing"",""RTK!L63"")"),0)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IFERROR(__xludf.DUMMYFUNCTION("IMPORTRANGE(""https://docs.google.com/spreadsheets/d/1w5rwWK1o49a35cNtocGL0gxDwhFSTZUQu90BiH9_zqM/edit?usp=sharing"",""RTK!K63"")"),0)</f>
        <v>0</v>
      </c>
      <c r="J388" s="237">
        <f ca="1">IFERROR(__xludf.DUMMYFUNCTION("IMPORTRANGE(""https://docs.google.com/spreadsheets/d/1w5rwWK1o49a35cNtocGL0gxDwhFSTZUQu90BiH9_zqM/edit?usp=sharing"",""RTK!M63"")"),0)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IFERROR(__xludf.DUMMYFUNCTION("IMPORTRANGE(""https://docs.google.com/spreadsheets/d/1ItG2mGa2ceCfYo0BwxsXqNm01IGEUdYcSSLTEv9YCik/edit?usp=sharing"",""เบิกจ่ายกองทุน!CN63"")"),0)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IFERROR(__xludf.DUMMYFUNCTION("IMPORTRANGE(""https://docs.google.com/spreadsheets/d/1-uDff_7J0KD5mKrp0Vvzr7lt3OU09vwQwhkpOPPYv2Y/edit?usp=sharing"",""งบพรบ!IO63"")"),0)</f>
        <v>0</v>
      </c>
      <c r="M418" s="72">
        <f ca="1">IFERROR(__xludf.DUMMYFUNCTION("IMPORTRANGE(""https://docs.google.com/spreadsheets/d/1-uDff_7J0KD5mKrp0Vvzr7lt3OU09vwQwhkpOPPYv2Y/edit?usp=sharing"",""งบพรบ!IT63"")"),0)</f>
        <v>0</v>
      </c>
      <c r="N418" s="72">
        <f ca="1">IFERROR(__xludf.DUMMYFUNCTION("IMPORTRANGE(""https://docs.google.com/spreadsheets/d/1-uDff_7J0KD5mKrp0Vvzr7lt3OU09vwQwhkpOPPYv2Y/edit?usp=sharing"",""งบพรบ!IV63"")"),0)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IFERROR(__xludf.DUMMYFUNCTION("IMPORTRANGE(""https://docs.google.com/spreadsheets/d/1ItG2mGa2ceCfYo0BwxsXqNm01IGEUdYcSSLTEv9YCik/edit?usp=sharing"",""เบิกจ่ายกองทุน!BZ63"")"),0)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IFERROR(__xludf.DUMMYFUNCTION("IMPORTRANGE(""https://docs.google.com/spreadsheets/d/1ItG2mGa2ceCfYo0BwxsXqNm01IGEUdYcSSLTEv9YCik/edit?usp=sharing"",""เบิกจ่ายกองทุน!CA63"")"),0)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IFERROR(__xludf.DUMMYFUNCTION("IMPORTRANGE(""https://docs.google.com/spreadsheets/d/1ItG2mGa2ceCfYo0BwxsXqNm01IGEUdYcSSLTEv9YCik/edit?usp=sharing"",""เบิกจ่ายกองทุน!CB63"")"),0)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IFERROR(__xludf.DUMMYFUNCTION("IMPORTRANGE(""https://docs.google.com/spreadsheets/d/1-uDff_7J0KD5mKrp0Vvzr7lt3OU09vwQwhkpOPPYv2Y/edit?usp=sharing"",""งบพรบ!IR63"")"),0)</f>
        <v>0</v>
      </c>
      <c r="M421" s="72">
        <f ca="1">IFERROR(__xludf.DUMMYFUNCTION("IMPORTRANGE(""https://docs.google.com/spreadsheets/d/1-uDff_7J0KD5mKrp0Vvzr7lt3OU09vwQwhkpOPPYv2Y/edit?usp=sharing"",""งบพรบ!IU63"")"),0)</f>
        <v>0</v>
      </c>
      <c r="N421" s="72">
        <f ca="1">IFERROR(__xludf.DUMMYFUNCTION("IMPORTRANGE(""https://docs.google.com/spreadsheets/d/1-uDff_7J0KD5mKrp0Vvzr7lt3OU09vwQwhkpOPPYv2Y/edit?usp=sharing"",""งบพรบ!IW63"")"),0)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IFERROR(__xludf.DUMMYFUNCTION("IMPORTRANGE(""https://docs.google.com/spreadsheets/d/1eHaY18a8A9IcSdp1K8H6x8fbOy06t2VsZHhMHf-1x7Y/edit?usp=sharing"",""แผน!HJ63"")"),0)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IFERROR(__xludf.DUMMYFUNCTION("IMPORTRANGE(""https://docs.google.com/spreadsheets/d/1eHaY18a8A9IcSdp1K8H6x8fbOy06t2VsZHhMHf-1x7Y/edit?usp=sharing"",""แผน!HK63"")"),0)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IFERROR(__xludf.DUMMYFUNCTION("IMPORTRANGE(""https://docs.google.com/spreadsheets/d/1eHaY18a8A9IcSdp1K8H6x8fbOy06t2VsZHhMHf-1x7Y/edit?usp=sharing"",""แผน!HJ63"")"),0)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IFERROR(__xludf.DUMMYFUNCTION("IMPORTRANGE(""https://docs.google.com/spreadsheets/d/1eHaY18a8A9IcSdp1K8H6x8fbOy06t2VsZHhMHf-1x7Y/edit?usp=sharing"",""แผน!HK63"")"),0)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IFERROR(__xludf.DUMMYFUNCTION("IMPORTRANGE(""https://docs.google.com/spreadsheets/d/1eHaY18a8A9IcSdp1K8H6x8fbOy06t2VsZHhMHf-1x7Y/edit?usp=sharing"",""แผน!HJ63"")"),0)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IFERROR(__xludf.DUMMYFUNCTION("IMPORTRANGE(""https://docs.google.com/spreadsheets/d/1eHaY18a8A9IcSdp1K8H6x8fbOy06t2VsZHhMHf-1x7Y/edit?usp=sharing"",""แผน!HK63"")"),0)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0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IFERROR(__xludf.DUMMYFUNCTION("IMPORTRANGE(""https://docs.google.com/spreadsheets/d/1eHaY18a8A9IcSdp1K8H6x8fbOy06t2VsZHhMHf-1x7Y/edit?usp=sharing"",""แผน!HL63"")"),0)</f>
        <v>0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IFERROR(__xludf.DUMMYFUNCTION("IMPORTRANGE(""https://docs.google.com/spreadsheets/d/1eHaY18a8A9IcSdp1K8H6x8fbOy06t2VsZHhMHf-1x7Y/edit?usp=sharing"",""แผน!HM63"")"),0)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IFERROR(__xludf.DUMMYFUNCTION("IMPORTRANGE(""https://docs.google.com/spreadsheets/d/1-uDff_7J0KD5mKrp0Vvzr7lt3OU09vwQwhkpOPPYv2Y/edit?usp=sharing"",""งบพรบ!HU63"")"),0)</f>
        <v>0</v>
      </c>
      <c r="M498" s="72">
        <f ca="1">IFERROR(__xludf.DUMMYFUNCTION("IMPORTRANGE(""https://docs.google.com/spreadsheets/d/1-uDff_7J0KD5mKrp0Vvzr7lt3OU09vwQwhkpOPPYv2Y/edit?usp=sharing"",""งบพรบ!HZ63"")"),0)</f>
        <v>0</v>
      </c>
      <c r="N498" s="72">
        <f ca="1">IFERROR(__xludf.DUMMYFUNCTION("IMPORTRANGE(""https://docs.google.com/spreadsheets/d/1-uDff_7J0KD5mKrp0Vvzr7lt3OU09vwQwhkpOPPYv2Y/edit?usp=sharing"",""งบพรบ!IB63"")"),0)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IFERROR(__xludf.DUMMYFUNCTION("IMPORTRANGE(""https://docs.google.com/spreadsheets/d/1ItG2mGa2ceCfYo0BwxsXqNm01IGEUdYcSSLTEv9YCik/edit?usp=sharing"",""เบิกจ่ายกองทุน!AD63"")"),0)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IFERROR(__xludf.DUMMYFUNCTION("IMPORTRANGE(""https://docs.google.com/spreadsheets/d/1ItG2mGa2ceCfYo0BwxsXqNm01IGEUdYcSSLTEv9YCik/edit?usp=sharing"",""เบิกจ่ายกองทุน!AE63"")"),0)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IFERROR(__xludf.DUMMYFUNCTION("IMPORTRANGE(""https://docs.google.com/spreadsheets/d/1ItG2mGa2ceCfYo0BwxsXqNm01IGEUdYcSSLTEv9YCik/edit?usp=sharing"",""เบิกจ่ายกองทุน!AF63"")"),0)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IFERROR(__xludf.DUMMYFUNCTION("IMPORTRANGE(""https://docs.google.com/spreadsheets/d/1-uDff_7J0KD5mKrp0Vvzr7lt3OU09vwQwhkpOPPYv2Y/edit?usp=sharing"",""งบพรบ!HX63"")"),0)</f>
        <v>0</v>
      </c>
      <c r="M501" s="72">
        <f ca="1">IFERROR(__xludf.DUMMYFUNCTION("IMPORTRANGE(""https://docs.google.com/spreadsheets/d/1-uDff_7J0KD5mKrp0Vvzr7lt3OU09vwQwhkpOPPYv2Y/edit?usp=sharing"",""งบพรบ!IA63"")"),0)</f>
        <v>0</v>
      </c>
      <c r="N501" s="72">
        <f ca="1">IFERROR(__xludf.DUMMYFUNCTION("IMPORTRANGE(""https://docs.google.com/spreadsheets/d/1-uDff_7J0KD5mKrp0Vvzr7lt3OU09vwQwhkpOPPYv2Y/edit?usp=sharing"",""งบพรบ!IC63"")"),0)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IFERROR(__xludf.DUMMYFUNCTION("IMPORTRANGE(""https://docs.google.com/spreadsheets/d/1eHaY18a8A9IcSdp1K8H6x8fbOy06t2VsZHhMHf-1x7Y/edit?usp=sharing"",""แผน!GX63"")"),0)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IFERROR(__xludf.DUMMYFUNCTION("IMPORTRANGE(""https://docs.google.com/spreadsheets/d/1eHaY18a8A9IcSdp1K8H6x8fbOy06t2VsZHhMHf-1x7Y/edit?usp=sharing"",""แผน!GY63"")"),0)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IFERROR(__xludf.DUMMYFUNCTION("IMPORTRANGE(""https://docs.google.com/spreadsheets/d/1eHaY18a8A9IcSdp1K8H6x8fbOy06t2VsZHhMHf-1x7Y/edit?usp=sharing"",""แผน!GZ63"")"),0)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IFERROR(__xludf.DUMMYFUNCTION("IMPORTRANGE(""https://docs.google.com/spreadsheets/d/1eHaY18a8A9IcSdp1K8H6x8fbOy06t2VsZHhMHf-1x7Y/edit?usp=sharing"",""แผน!HA63"")"),0)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IFERROR(__xludf.DUMMYFUNCTION("IMPORTRANGE(""https://docs.google.com/spreadsheets/d/1eHaY18a8A9IcSdp1K8H6x8fbOy06t2VsZHhMHf-1x7Y/edit?usp=sharing"",""แผน!HB63"")"),0)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IFERROR(__xludf.DUMMYFUNCTION("IMPORTRANGE(""https://docs.google.com/spreadsheets/d/1eHaY18a8A9IcSdp1K8H6x8fbOy06t2VsZHhMHf-1x7Y/edit?usp=sharing"",""แผน!HC63"")"),0)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IFERROR(__xludf.DUMMYFUNCTION("IMPORTRANGE(""https://docs.google.com/spreadsheets/d/1-uDff_7J0KD5mKrp0Vvzr7lt3OU09vwQwhkpOPPYv2Y/edit?usp=sharing"",""งบพรบ!FM63"")"),0)</f>
        <v>0</v>
      </c>
      <c r="M518" s="72">
        <f ca="1">IFERROR(__xludf.DUMMYFUNCTION("IMPORTRANGE(""https://docs.google.com/spreadsheets/d/1-uDff_7J0KD5mKrp0Vvzr7lt3OU09vwQwhkpOPPYv2Y/edit?usp=sharing"",""งบพรบ!FR63"")"),0)</f>
        <v>0</v>
      </c>
      <c r="N518" s="72">
        <f ca="1">IFERROR(__xludf.DUMMYFUNCTION("IMPORTRANGE(""https://docs.google.com/spreadsheets/d/1-uDff_7J0KD5mKrp0Vvzr7lt3OU09vwQwhkpOPPYv2Y/edit?usp=sharing"",""งบพรบ!FT63"")"),0)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IFERROR(__xludf.DUMMYFUNCTION("IMPORTRANGE(""https://docs.google.com/spreadsheets/d/1-uDff_7J0KD5mKrp0Vvzr7lt3OU09vwQwhkpOPPYv2Y/edit?usp=sharing"",""งบพรบ!FP63"")"),0)</f>
        <v>0</v>
      </c>
      <c r="M521" s="72">
        <f ca="1">IFERROR(__xludf.DUMMYFUNCTION("IMPORTRANGE(""https://docs.google.com/spreadsheets/d/1-uDff_7J0KD5mKrp0Vvzr7lt3OU09vwQwhkpOPPYv2Y/edit?usp=sharing"",""งบพรบ!FS63"")"),0)</f>
        <v>0</v>
      </c>
      <c r="N521" s="72">
        <f ca="1">IFERROR(__xludf.DUMMYFUNCTION("IMPORTRANGE(""https://docs.google.com/spreadsheets/d/1-uDff_7J0KD5mKrp0Vvzr7lt3OU09vwQwhkpOPPYv2Y/edit?usp=sharing"",""งบพรบ!FU63"")"),0)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IFERROR(__xludf.DUMMYFUNCTION("IMPORTRANGE(""https://docs.google.com/spreadsheets/d/1-uDff_7J0KD5mKrp0Vvzr7lt3OU09vwQwhkpOPPYv2Y/edit?usp=sharing"",""งบพรบ!FW63"")"),0)</f>
        <v>0</v>
      </c>
      <c r="M539" s="72">
        <f ca="1">IFERROR(__xludf.DUMMYFUNCTION("IMPORTRANGE(""https://docs.google.com/spreadsheets/d/1-uDff_7J0KD5mKrp0Vvzr7lt3OU09vwQwhkpOPPYv2Y/edit?usp=sharing"",""งบพรบ!GB63"")"),0)</f>
        <v>0</v>
      </c>
      <c r="N539" s="72">
        <f ca="1">IFERROR(__xludf.DUMMYFUNCTION("IMPORTRANGE(""https://docs.google.com/spreadsheets/d/1-uDff_7J0KD5mKrp0Vvzr7lt3OU09vwQwhkpOPPYv2Y/edit?usp=sharing"",""งบพรบ!GD63"")"),0)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IFERROR(__xludf.DUMMYFUNCTION("IMPORTRANGE(""https://docs.google.com/spreadsheets/d/1-uDff_7J0KD5mKrp0Vvzr7lt3OU09vwQwhkpOPPYv2Y/edit?usp=sharing"",""งบพรบ!FZ63"")"),0)</f>
        <v>0</v>
      </c>
      <c r="M542" s="72">
        <f ca="1">IFERROR(__xludf.DUMMYFUNCTION("IMPORTRANGE(""https://docs.google.com/spreadsheets/d/1-uDff_7J0KD5mKrp0Vvzr7lt3OU09vwQwhkpOPPYv2Y/edit?usp=sharing"",""งบพรบ!GC63"")"),0)</f>
        <v>0</v>
      </c>
      <c r="N542" s="72">
        <f ca="1">IFERROR(__xludf.DUMMYFUNCTION("IMPORTRANGE(""https://docs.google.com/spreadsheets/d/1-uDff_7J0KD5mKrp0Vvzr7lt3OU09vwQwhkpOPPYv2Y/edit?usp=sharing"",""งบพรบ!GE63"")"),0)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IFERROR(__xludf.DUMMYFUNCTION("IMPORTRANGE(""https://docs.google.com/spreadsheets/d/1-uDff_7J0KD5mKrp0Vvzr7lt3OU09vwQwhkpOPPYv2Y/edit?usp=sharing"",""งบพรบ!GG63"")"),0)</f>
        <v>0</v>
      </c>
      <c r="M560" s="72">
        <f ca="1">IFERROR(__xludf.DUMMYFUNCTION("IMPORTRANGE(""https://docs.google.com/spreadsheets/d/1-uDff_7J0KD5mKrp0Vvzr7lt3OU09vwQwhkpOPPYv2Y/edit?usp=sharing"",""งบพรบ!GL63"")"),0)</f>
        <v>0</v>
      </c>
      <c r="N560" s="72">
        <f ca="1">IFERROR(__xludf.DUMMYFUNCTION("IMPORTRANGE(""https://docs.google.com/spreadsheets/d/1-uDff_7J0KD5mKrp0Vvzr7lt3OU09vwQwhkpOPPYv2Y/edit?usp=sharing"",""งบพรบ!GN63"")"),0)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IFERROR(__xludf.DUMMYFUNCTION("IMPORTRANGE(""https://docs.google.com/spreadsheets/d/1-uDff_7J0KD5mKrp0Vvzr7lt3OU09vwQwhkpOPPYv2Y/edit?usp=sharing"",""งบพรบ!GJ63"")"),0)</f>
        <v>0</v>
      </c>
      <c r="M563" s="72">
        <f ca="1">IFERROR(__xludf.DUMMYFUNCTION("IMPORTRANGE(""https://docs.google.com/spreadsheets/d/1-uDff_7J0KD5mKrp0Vvzr7lt3OU09vwQwhkpOPPYv2Y/edit?usp=sharing"",""งบพรบ!GM63"")"),0)</f>
        <v>0</v>
      </c>
      <c r="N563" s="72">
        <f ca="1">IFERROR(__xludf.DUMMYFUNCTION("IMPORTRANGE(""https://docs.google.com/spreadsheets/d/1-uDff_7J0KD5mKrp0Vvzr7lt3OU09vwQwhkpOPPYv2Y/edit?usp=sharing"",""งบพรบ!GO63"")"),0)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IFERROR(__xludf.DUMMYFUNCTION("IMPORTRANGE(""https://docs.google.com/spreadsheets/d/1-uDff_7J0KD5mKrp0Vvzr7lt3OU09vwQwhkpOPPYv2Y/edit?usp=sharing"",""งบพรบ!GQ63"")"),0)</f>
        <v>0</v>
      </c>
      <c r="M581" s="72">
        <f ca="1">IFERROR(__xludf.DUMMYFUNCTION("IMPORTRANGE(""https://docs.google.com/spreadsheets/d/1-uDff_7J0KD5mKrp0Vvzr7lt3OU09vwQwhkpOPPYv2Y/edit?usp=sharing"",""งบพรบ!GV63"")"),0)</f>
        <v>0</v>
      </c>
      <c r="N581" s="72">
        <f ca="1">IFERROR(__xludf.DUMMYFUNCTION("IMPORTRANGE(""https://docs.google.com/spreadsheets/d/1-uDff_7J0KD5mKrp0Vvzr7lt3OU09vwQwhkpOPPYv2Y/edit?usp=sharing"",""งบพรบ!GX63"")"),0)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IFERROR(__xludf.DUMMYFUNCTION("IMPORTRANGE(""https://docs.google.com/spreadsheets/d/1-uDff_7J0KD5mKrp0Vvzr7lt3OU09vwQwhkpOPPYv2Y/edit?usp=sharing"",""งบพรบ!GT63"")"),0)</f>
        <v>0</v>
      </c>
      <c r="M584" s="72">
        <f ca="1">IFERROR(__xludf.DUMMYFUNCTION("IMPORTRANGE(""https://docs.google.com/spreadsheets/d/1-uDff_7J0KD5mKrp0Vvzr7lt3OU09vwQwhkpOPPYv2Y/edit?usp=sharing"",""งบพรบ!GW63"")"),0)</f>
        <v>0</v>
      </c>
      <c r="N584" s="72">
        <f ca="1">IFERROR(__xludf.DUMMYFUNCTION("IMPORTRANGE(""https://docs.google.com/spreadsheets/d/1-uDff_7J0KD5mKrp0Vvzr7lt3OU09vwQwhkpOPPYv2Y/edit?usp=sharing"",""งบพรบ!GY63"")"),0)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48325</v>
      </c>
      <c r="M599" s="211">
        <f ca="1">M600+M601</f>
        <v>48325</v>
      </c>
      <c r="N599" s="211">
        <f ca="1">N600+N601</f>
        <v>0</v>
      </c>
      <c r="O599" s="211">
        <f t="shared" ref="O599:O607" ca="1" si="149">IF(L599&gt;0,N599*100/L599,0)</f>
        <v>0</v>
      </c>
      <c r="P599" s="211">
        <f t="shared" ref="P599:P607" ca="1" si="150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48325</v>
      </c>
      <c r="M601" s="86">
        <f t="shared" ca="1" si="153"/>
        <v>48325</v>
      </c>
      <c r="N601" s="86">
        <f t="shared" ca="1" si="153"/>
        <v>0</v>
      </c>
      <c r="O601" s="86">
        <f t="shared" ca="1" si="149"/>
        <v>0</v>
      </c>
      <c r="P601" s="86">
        <f t="shared" ca="1" si="150"/>
        <v>0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48325</v>
      </c>
      <c r="M602" s="86">
        <f ca="1">M603+M604</f>
        <v>48325</v>
      </c>
      <c r="N602" s="86">
        <f ca="1">N603+N604</f>
        <v>0</v>
      </c>
      <c r="O602" s="86">
        <f t="shared" ca="1" si="149"/>
        <v>0</v>
      </c>
      <c r="P602" s="86">
        <f t="shared" ca="1" si="150"/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IFERROR(__xludf.DUMMYFUNCTION("IMPORTRANGE(""https://docs.google.com/spreadsheets/d/1-uDff_7J0KD5mKrp0Vvzr7lt3OU09vwQwhkpOPPYv2Y/edit?usp=sharing"",""งบพรบ!HK63"")"),48325)</f>
        <v>48325</v>
      </c>
      <c r="M604" s="86">
        <f ca="1">IFERROR(__xludf.DUMMYFUNCTION("IMPORTRANGE(""https://docs.google.com/spreadsheets/d/1-uDff_7J0KD5mKrp0Vvzr7lt3OU09vwQwhkpOPPYv2Y/edit?usp=sharing"",""งบพรบ!HP63"")"),48325)</f>
        <v>48325</v>
      </c>
      <c r="N604" s="86">
        <f ca="1">IFERROR(__xludf.DUMMYFUNCTION("IMPORTRANGE(""https://docs.google.com/spreadsheets/d/1-uDff_7J0KD5mKrp0Vvzr7lt3OU09vwQwhkpOPPYv2Y/edit?usp=sharing"",""งบพรบ!HR63"")"),0)</f>
        <v>0</v>
      </c>
      <c r="O604" s="86">
        <f t="shared" ca="1" si="149"/>
        <v>0</v>
      </c>
      <c r="P604" s="86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IFERROR(__xludf.DUMMYFUNCTION("IMPORTRANGE(""https://docs.google.com/spreadsheets/d/1ItG2mGa2ceCfYo0BwxsXqNm01IGEUdYcSSLTEv9YCik/edit?usp=sharing"",""เบิกจ่ายกองทุน!AV63"")"),0)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IFERROR(__xludf.DUMMYFUNCTION("IMPORTRANGE(""https://docs.google.com/spreadsheets/d/1ItG2mGa2ceCfYo0BwxsXqNm01IGEUdYcSSLTEv9YCik/edit?usp=sharing"",""เบิกจ่ายกองทุน!AX63"")"),0)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IFERROR(__xludf.DUMMYFUNCTION("IMPORTRANGE(""https://docs.google.com/spreadsheets/d/1-uDff_7J0KD5mKrp0Vvzr7lt3OU09vwQwhkpOPPYv2Y/edit?usp=sharing"",""งบพรบ!HN63"")"),0)</f>
        <v>0</v>
      </c>
      <c r="M607" s="86">
        <f ca="1">IFERROR(__xludf.DUMMYFUNCTION("IMPORTRANGE(""https://docs.google.com/spreadsheets/d/1-uDff_7J0KD5mKrp0Vvzr7lt3OU09vwQwhkpOPPYv2Y/edit?usp=sharing"",""งบพรบ!HQ63"")"),0)</f>
        <v>0</v>
      </c>
      <c r="N607" s="86">
        <f ca="1">IFERROR(__xludf.DUMMYFUNCTION("IMPORTRANGE(""https://docs.google.com/spreadsheets/d/1-uDff_7J0KD5mKrp0Vvzr7lt3OU09vwQwhkpOPPYv2Y/edit?usp=sharing"",""งบพรบ!HS63"")"),0)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IFERROR(__xludf.DUMMYFUNCTION("IMPORTRANGE(""https://docs.google.com/spreadsheets/d/1ItG2mGa2ceCfYo0BwxsXqNm01IGEUdYcSSLTEv9YCik/edit?usp=sharing"",""เบิกจ่ายกองทุน!BA63"")"),0)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6675</v>
      </c>
      <c r="R616" s="262">
        <f ca="1">R617+R618</f>
        <v>6675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6675</v>
      </c>
      <c r="R618" s="72">
        <f t="shared" ca="1" si="160"/>
        <v>6675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6675</v>
      </c>
      <c r="R619" s="72">
        <f ca="1">R620+R621</f>
        <v>6675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IFERROR(__xludf.DUMMYFUNCTION("IMPORTRANGE(""https://docs.google.com/spreadsheets/d/1ItG2mGa2ceCfYo0BwxsXqNm01IGEUdYcSSLTEv9YCik/edit?usp=sharing"",""เบิกจ่ายกองทุน!F63"")"),6675)</f>
        <v>6675</v>
      </c>
      <c r="R621" s="72">
        <f ca="1">IFERROR(__xludf.DUMMYFUNCTION("IMPORTRANGE(""https://docs.google.com/spreadsheets/d/1ItG2mGa2ceCfYo0BwxsXqNm01IGEUdYcSSLTEv9YCik/edit?usp=sharing"",""เบิกจ่ายกองทุน!G63"")"),6675)</f>
        <v>6675</v>
      </c>
      <c r="S621" s="72">
        <f ca="1">IFERROR(__xludf.DUMMYFUNCTION("IMPORTRANGE(""https://docs.google.com/spreadsheets/d/1ItG2mGa2ceCfYo0BwxsXqNm01IGEUdYcSSLTEv9YCik/edit?usp=sharing"",""เบิกจ่ายกองทุน!H63"")"),0)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IFERROR(__xludf.DUMMYFUNCTION("IMPORTRANGE(""https://docs.google.com/spreadsheets/d/1eHaY18a8A9IcSdp1K8H6x8fbOy06t2VsZHhMHf-1x7Y/edit?usp=sharing"",""แผน!ID63"")"),50)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IFERROR(__xludf.DUMMYFUNCTION("IMPORTRANGE(""https://docs.google.com/spreadsheets/d/1eHaY18a8A9IcSdp1K8H6x8fbOy06t2VsZHhMHf-1x7Y/edit?usp=sharing"",""แผน!IC63"")"),0)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IFERROR(__xludf.DUMMYFUNCTION("IMPORTRANGE(""https://docs.google.com/spreadsheets/d/1eHaY18a8A9IcSdp1K8H6x8fbOy06t2VsZHhMHf-1x7Y/edit?usp=sharing"",""แผน!IE63"")"),0)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15680</v>
      </c>
      <c r="R642" s="262">
        <f ca="1">R643+R644</f>
        <v>15680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15680</v>
      </c>
      <c r="R644" s="72">
        <f t="shared" ca="1" si="166"/>
        <v>15680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15680</v>
      </c>
      <c r="R645" s="72">
        <f ca="1">R646+R647</f>
        <v>15680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IFERROR(__xludf.DUMMYFUNCTION("IMPORTRANGE(""https://docs.google.com/spreadsheets/d/1ItG2mGa2ceCfYo0BwxsXqNm01IGEUdYcSSLTEv9YCik/edit?usp=sharing"",""เบิกจ่ายกองทุน!I63"")"),15680)</f>
        <v>15680</v>
      </c>
      <c r="R647" s="72">
        <f ca="1">IFERROR(__xludf.DUMMYFUNCTION("IMPORTRANGE(""https://docs.google.com/spreadsheets/d/1ItG2mGa2ceCfYo0BwxsXqNm01IGEUdYcSSLTEv9YCik/edit?usp=sharing"",""เบิกจ่ายกองทุน!J63"")"),15680)</f>
        <v>15680</v>
      </c>
      <c r="S647" s="72">
        <f ca="1">IFERROR(__xludf.DUMMYFUNCTION("IMPORTRANGE(""https://docs.google.com/spreadsheets/d/1ItG2mGa2ceCfYo0BwxsXqNm01IGEUdYcSSLTEv9YCik/edit?usp=sharing"",""เบิกจ่ายกองทุน!K63"")"),0)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IFERROR(__xludf.DUMMYFUNCTION("IMPORTRANGE(""https://docs.google.com/spreadsheets/d/1eHaY18a8A9IcSdp1K8H6x8fbOy06t2VsZHhMHf-1x7Y/edit?usp=sharing"",""แผน!IF63"")"),0)</f>
        <v>0</v>
      </c>
      <c r="J652" s="291">
        <f ca="1">IFERROR(__xludf.DUMMYFUNCTION("IMPORTRANGE(""https://docs.google.com/spreadsheets/d/1tdoBKaGub7dwA3U6UFTqxio9LNnvDCQjHKmttSEBsFQ/edit?usp=sharing"",""จัดที่ดิน!AU63"")"),0)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IFERROR(__xludf.DUMMYFUNCTION("IMPORTRANGE(""https://docs.google.com/spreadsheets/d/1eHaY18a8A9IcSdp1K8H6x8fbOy06t2VsZHhMHf-1x7Y/edit?usp=sharing"",""แผน!IG63"")"),0)</f>
        <v>0</v>
      </c>
      <c r="J653" s="291">
        <f ca="1">IFERROR(__xludf.DUMMYFUNCTION("IMPORTRANGE(""https://docs.google.com/spreadsheets/d/1tdoBKaGub7dwA3U6UFTqxio9LNnvDCQjHKmttSEBsFQ/edit?usp=sharing"",""จัดที่ดิน!AW63"")"),0)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IFERROR(__xludf.DUMMYFUNCTION("IMPORTRANGE(""https://docs.google.com/spreadsheets/d/1eHaY18a8A9IcSdp1K8H6x8fbOy06t2VsZHhMHf-1x7Y/edit?usp=sharing"",""แผน!IH63"")"),0)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IFERROR(__xludf.DUMMYFUNCTION("IMPORTRANGE(""https://docs.google.com/spreadsheets/d/1eHaY18a8A9IcSdp1K8H6x8fbOy06t2VsZHhMHf-1x7Y/edit?usp=sharing"",""แผน!II63"")"),0)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IFERROR(__xludf.DUMMYFUNCTION("IMPORTRANGE(""https://docs.google.com/spreadsheets/d/1eHaY18a8A9IcSdp1K8H6x8fbOy06t2VsZHhMHf-1x7Y/edit?usp=sharing"",""แผน!IJ63"")"),0)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IFERROR(__xludf.DUMMYFUNCTION("IMPORTRANGE(""https://docs.google.com/spreadsheets/d/1eHaY18a8A9IcSdp1K8H6x8fbOy06t2VsZHhMHf-1x7Y/edit?usp=sharing"",""แผน!IK63"")"),137)</f>
        <v>137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IFERROR(__xludf.DUMMYFUNCTION("IMPORTRANGE(""https://docs.google.com/spreadsheets/d/1tdoBKaGub7dwA3U6UFTqxio9LNnvDCQjHKmttSEBsFQ/edit?usp=sharing"",""จัดที่ดิน!AY63"")"),0)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IFERROR(__xludf.DUMMYFUNCTION("IMPORTRANGE(""https://docs.google.com/spreadsheets/d/1tdoBKaGub7dwA3U6UFTqxio9LNnvDCQjHKmttSEBsFQ/edit?usp=sharing"",""จัดที่ดิน!AZ63"")"),0)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IFERROR(__xludf.DUMMYFUNCTION("IMPORTRANGE(""https://docs.google.com/spreadsheets/d/1eHaY18a8A9IcSdp1K8H6x8fbOy06t2VsZHhMHf-1x7Y/edit?usp=sharing"",""แผน!IL63"")"),50)</f>
        <v>50</v>
      </c>
      <c r="J673" s="291">
        <f ca="1">IFERROR(__xludf.DUMMYFUNCTION("IMPORTRANGE(""https://docs.google.com/spreadsheets/d/1tdoBKaGub7dwA3U6UFTqxio9LNnvDCQjHKmttSEBsFQ/edit?usp=sharing"",""จัดที่ดิน!BA63"")"),0)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IFERROR(__xludf.DUMMYFUNCTION("IMPORTRANGE(""https://docs.google.com/spreadsheets/d/1eHaY18a8A9IcSdp1K8H6x8fbOy06t2VsZHhMHf-1x7Y/edit?usp=sharing"",""แผน!IM63"")"),10)</f>
        <v>10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IFERROR(__xludf.DUMMYFUNCTION("IMPORTRANGE(""https://docs.google.com/spreadsheets/d/1eHaY18a8A9IcSdp1K8H6x8fbOy06t2VsZHhMHf-1x7Y/edit?usp=sharing"",""แผน!IN63"")"),100)</f>
        <v>100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IFERROR(__xludf.DUMMYFUNCTION("IMPORTRANGE(""https://docs.google.com/spreadsheets/d/1eHaY18a8A9IcSdp1K8H6x8fbOy06t2VsZHhMHf-1x7Y/edit?usp=sharing"",""แผน!IO63"")"),5)</f>
        <v>5</v>
      </c>
      <c r="J676" s="291">
        <f ca="1">IFERROR(__xludf.DUMMYFUNCTION("IMPORTRANGE(""https://docs.google.com/spreadsheets/d/1tdoBKaGub7dwA3U6UFTqxio9LNnvDCQjHKmttSEBsFQ/edit?usp=sharing"",""จัดที่ดิน!BF63"")"),0)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IFERROR(__xludf.DUMMYFUNCTION("IMPORTRANGE(""https://docs.google.com/spreadsheets/d/1tdoBKaGub7dwA3U6UFTqxio9LNnvDCQjHKmttSEBsFQ/edit?usp=sharing"",""จัดที่ดิน!BG63"")"),0)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IFERROR(__xludf.DUMMYFUNCTION("IMPORTRANGE(""https://docs.google.com/spreadsheets/d/1eHaY18a8A9IcSdp1K8H6x8fbOy06t2VsZHhMHf-1x7Y/edit?usp=sharing"",""แผน!IP63"")"),50)</f>
        <v>50</v>
      </c>
      <c r="J678" s="291">
        <f ca="1">IFERROR(__xludf.DUMMYFUNCTION("IMPORTRANGE(""https://docs.google.com/spreadsheets/d/1tdoBKaGub7dwA3U6UFTqxio9LNnvDCQjHKmttSEBsFQ/edit?usp=sharing"",""จัดที่ดิน!BH63"")"),0)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IFERROR(__xludf.DUMMYFUNCTION("IMPORTRANGE(""https://docs.google.com/spreadsheets/d/1eHaY18a8A9IcSdp1K8H6x8fbOy06t2VsZHhMHf-1x7Y/edit?usp=sharing"",""แผน!IQ63"")"),5)</f>
        <v>5</v>
      </c>
      <c r="J679" s="291">
        <f ca="1">IFERROR(__xludf.DUMMYFUNCTION("IMPORTRANGE(""https://docs.google.com/spreadsheets/d/1tdoBKaGub7dwA3U6UFTqxio9LNnvDCQjHKmttSEBsFQ/edit?usp=sharing"",""จัดที่ดิน!BK63"")"),0)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IFERROR(__xludf.DUMMYFUNCTION("IMPORTRANGE(""https://docs.google.com/spreadsheets/d/1tdoBKaGub7dwA3U6UFTqxio9LNnvDCQjHKmttSEBsFQ/edit?usp=sharing"",""จัดที่ดิน!BL63"")"),0)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IFERROR(__xludf.DUMMYFUNCTION("IMPORTRANGE(""https://docs.google.com/spreadsheets/d/1eHaY18a8A9IcSdp1K8H6x8fbOy06t2VsZHhMHf-1x7Y/edit?usp=sharing"",""แผน!IR63"")"),50)</f>
        <v>50</v>
      </c>
      <c r="J681" s="291">
        <f ca="1">IFERROR(__xludf.DUMMYFUNCTION("IMPORTRANGE(""https://docs.google.com/spreadsheets/d/1tdoBKaGub7dwA3U6UFTqxio9LNnvDCQjHKmttSEBsFQ/edit?usp=sharing"",""จัดที่ดิน!BM63"")"),0)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IFERROR(__xludf.DUMMYFUNCTION("IMPORTRANGE(""https://docs.google.com/spreadsheets/d/1eHaY18a8A9IcSdp1K8H6x8fbOy06t2VsZHhMHf-1x7Y/edit?usp=sharing"",""แผน!IS63"")"),0)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2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61640</v>
      </c>
      <c r="R690" s="262">
        <f ca="1">R691+R692</f>
        <v>61640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61640</v>
      </c>
      <c r="R692" s="72">
        <f t="shared" ca="1" si="172"/>
        <v>61640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61640</v>
      </c>
      <c r="R693" s="72">
        <f ca="1">R694+R695</f>
        <v>61640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IFERROR(__xludf.DUMMYFUNCTION("IMPORTRANGE(""https://docs.google.com/spreadsheets/d/1ItG2mGa2ceCfYo0BwxsXqNm01IGEUdYcSSLTEv9YCik/edit?usp=sharing"",""เบิกจ่ายกองทุน!L63"")"),61640)</f>
        <v>61640</v>
      </c>
      <c r="R695" s="72">
        <f ca="1">IFERROR(__xludf.DUMMYFUNCTION("IMPORTRANGE(""https://docs.google.com/spreadsheets/d/1ItG2mGa2ceCfYo0BwxsXqNm01IGEUdYcSSLTEv9YCik/edit?usp=sharing"",""เบิกจ่ายกองทุน!M63"")"),61640)</f>
        <v>61640</v>
      </c>
      <c r="S695" s="72">
        <f ca="1">IFERROR(__xludf.DUMMYFUNCTION("IMPORTRANGE(""https://docs.google.com/spreadsheets/d/1ItG2mGa2ceCfYo0BwxsXqNm01IGEUdYcSSLTEv9YCik/edit?usp=sharing"",""เบิกจ่ายกองทุน!N63"")"),0)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IFERROR(__xludf.DUMMYFUNCTION("IMPORTRANGE(""https://docs.google.com/spreadsheets/d/1eHaY18a8A9IcSdp1K8H6x8fbOy06t2VsZHhMHf-1x7Y/edit?usp=sharing"",""แผน!LC63"")"),0)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4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IFERROR(__xludf.DUMMYFUNCTION("IMPORTRANGE(""https://docs.google.com/spreadsheets/d/1eHaY18a8A9IcSdp1K8H6x8fbOy06t2VsZHhMHf-1x7Y/edit?usp=sharing"",""แผน!LJ63"")"),2)</f>
        <v>2</v>
      </c>
      <c r="J703" s="291">
        <f ca="1">IFERROR(__xludf.DUMMYFUNCTION("IMPORTRANGE(""https://docs.google.com/spreadsheets/d/1tdoBKaGub7dwA3U6UFTqxio9LNnvDCQjHKmttSEBsFQ/edit?usp=sharing"",""จัดที่ดิน!AP63"")"),0)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IFERROR(__xludf.DUMMYFUNCTION("IMPORTRANGE(""https://docs.google.com/spreadsheets/d/1tdoBKaGub7dwA3U6UFTqxio9LNnvDCQjHKmttSEBsFQ/edit?usp=sharing"",""จัดที่ดิน!AQ63"")"),0)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IFERROR(__xludf.DUMMYFUNCTION("IMPORTRANGE(""https://docs.google.com/spreadsheets/d/1eHaY18a8A9IcSdp1K8H6x8fbOy06t2VsZHhMHf-1x7Y/edit?usp=sharing"",""แผน!LK63"")"),2)</f>
        <v>2</v>
      </c>
      <c r="J705" s="291">
        <f ca="1">IFERROR(__xludf.DUMMYFUNCTION("IMPORTRANGE(""https://docs.google.com/spreadsheets/d/1tdoBKaGub7dwA3U6UFTqxio9LNnvDCQjHKmttSEBsFQ/edit?usp=sharing"",""จัดที่ดิน!AR63"")"),0)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IFERROR(__xludf.DUMMYFUNCTION("IMPORTRANGE(""https://docs.google.com/spreadsheets/d/1tdoBKaGub7dwA3U6UFTqxio9LNnvDCQjHKmttSEBsFQ/edit?usp=sharing"",""จัดที่ดิน!AS63"")"),0)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IFERROR(__xludf.DUMMYFUNCTION("IMPORTRANGE(""https://docs.google.com/spreadsheets/d/1eHaY18a8A9IcSdp1K8H6x8fbOy06t2VsZHhMHf-1x7Y/edit?usp=sharing"",""แผน!LJ63"")"),2)</f>
        <v>2</v>
      </c>
      <c r="J707" s="291">
        <f ca="1">IFERROR(__xludf.DUMMYFUNCTION("IMPORTRANGE(""https://docs.google.com/spreadsheets/d/1tdoBKaGub7dwA3U6UFTqxio9LNnvDCQjHKmttSEBsFQ/edit?usp=sharing"",""จัดที่ดิน!BN63"")"),0)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IFERROR(__xludf.DUMMYFUNCTION("IMPORTRANGE(""https://docs.google.com/spreadsheets/d/1tdoBKaGub7dwA3U6UFTqxio9LNnvDCQjHKmttSEBsFQ/edit?usp=sharing"",""จัดที่ดิน!BO63"")"),0)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IFERROR(__xludf.DUMMYFUNCTION("IMPORTRANGE(""https://docs.google.com/spreadsheets/d/1eHaY18a8A9IcSdp1K8H6x8fbOy06t2VsZHhMHf-1x7Y/edit?usp=sharing"",""แผน!LK63"")"),2)</f>
        <v>2</v>
      </c>
      <c r="J709" s="291">
        <f ca="1">IFERROR(__xludf.DUMMYFUNCTION("IMPORTRANGE(""https://docs.google.com/spreadsheets/d/1tdoBKaGub7dwA3U6UFTqxio9LNnvDCQjHKmttSEBsFQ/edit?usp=sharing"",""จัดที่ดิน!BP63"")"),0)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IFERROR(__xludf.DUMMYFUNCTION("IMPORTRANGE(""https://docs.google.com/spreadsheets/d/1tdoBKaGub7dwA3U6UFTqxio9LNnvDCQjHKmttSEBsFQ/edit?usp=sharing"",""จัดที่ดิน!BQ63"")"),0)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IFERROR(__xludf.DUMMYFUNCTION("IMPORTRANGE(""https://docs.google.com/spreadsheets/d/1eHaY18a8A9IcSdp1K8H6x8fbOy06t2VsZHhMHf-1x7Y/edit?usp=sharing"",""แผน!GA63"")"),21)</f>
        <v>21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IFERROR(__xludf.DUMMYFUNCTION("IMPORTRANGE(""https://docs.google.com/spreadsheets/d/1eHaY18a8A9IcSdp1K8H6x8fbOy06t2VsZHhMHf-1x7Y/edit?usp=sharing"",""แผน!FZ63"")"),200)</f>
        <v>200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175994</v>
      </c>
      <c r="R728" s="262">
        <f ca="1">R729+R730</f>
        <v>175994</v>
      </c>
      <c r="S728" s="262">
        <f ca="1">S729+S730</f>
        <v>18180</v>
      </c>
      <c r="T728" s="262">
        <f t="shared" ref="T728:T736" ca="1" si="182">IF(Q728&gt;0,S728*100/Q728,0)</f>
        <v>10.3298976101458</v>
      </c>
      <c r="U728" s="262">
        <f t="shared" ref="U728:U736" ca="1" si="183">IF(R728&gt;0,S728*100/R728,0)</f>
        <v>10.3298976101458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175994</v>
      </c>
      <c r="R730" s="72">
        <f t="shared" ca="1" si="185"/>
        <v>175994</v>
      </c>
      <c r="S730" s="72">
        <f t="shared" ca="1" si="185"/>
        <v>18180</v>
      </c>
      <c r="T730" s="72">
        <f t="shared" ca="1" si="182"/>
        <v>10.3298976101458</v>
      </c>
      <c r="U730" s="72">
        <f t="shared" ca="1" si="183"/>
        <v>10.3298976101458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175994</v>
      </c>
      <c r="R731" s="72">
        <f ca="1">R732+R733</f>
        <v>175994</v>
      </c>
      <c r="S731" s="72">
        <f ca="1">S732+S733</f>
        <v>18180</v>
      </c>
      <c r="T731" s="72">
        <f t="shared" ca="1" si="182"/>
        <v>10.3298976101458</v>
      </c>
      <c r="U731" s="72">
        <f t="shared" ca="1" si="183"/>
        <v>10.3298976101458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IFERROR(__xludf.DUMMYFUNCTION("IMPORTRANGE(""https://docs.google.com/spreadsheets/d/1ItG2mGa2ceCfYo0BwxsXqNm01IGEUdYcSSLTEv9YCik/edit?usp=sharing"",""เบิกจ่ายกองทุน!O63"")"),175994)</f>
        <v>175994</v>
      </c>
      <c r="R733" s="72">
        <f ca="1">IFERROR(__xludf.DUMMYFUNCTION("IMPORTRANGE(""https://docs.google.com/spreadsheets/d/1ItG2mGa2ceCfYo0BwxsXqNm01IGEUdYcSSLTEv9YCik/edit?usp=sharing"",""เบิกจ่ายกองทุน!P63"")"),175994)</f>
        <v>175994</v>
      </c>
      <c r="S733" s="72">
        <f ca="1">IFERROR(__xludf.DUMMYFUNCTION("IMPORTRANGE(""https://docs.google.com/spreadsheets/d/1ItG2mGa2ceCfYo0BwxsXqNm01IGEUdYcSSLTEv9YCik/edit?usp=sharing"",""เบิกจ่ายกองทุน!Q63"")"),18180)</f>
        <v>18180</v>
      </c>
      <c r="T733" s="72">
        <f t="shared" ca="1" si="182"/>
        <v>10.3298976101458</v>
      </c>
      <c r="U733" s="72">
        <f t="shared" ca="1" si="183"/>
        <v>10.3298976101458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IFERROR(__xludf.DUMMYFUNCTION("IMPORTRANGE(""https://docs.google.com/spreadsheets/d/1eHaY18a8A9IcSdp1K8H6x8fbOy06t2VsZHhMHf-1x7Y/edit?usp=sharing"",""แผน!GB63"")"),160)</f>
        <v>160</v>
      </c>
      <c r="J740" s="794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IFERROR(__xludf.DUMMYFUNCTION("IMPORTRANGE(""https://docs.google.com/spreadsheets/d/1eHaY18a8A9IcSdp1K8H6x8fbOy06t2VsZHhMHf-1x7Y/edit?usp=sharing"",""แผน!GC63"")"),16)</f>
        <v>16</v>
      </c>
      <c r="J742" s="794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IFERROR(__xludf.DUMMYFUNCTION("IMPORTRANGE(""https://docs.google.com/spreadsheets/d/1eHaY18a8A9IcSdp1K8H6x8fbOy06t2VsZHhMHf-1x7Y/edit?usp=sharing"",""แผน!GD63"")"),40)</f>
        <v>40</v>
      </c>
      <c r="J744" s="794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IFERROR(__xludf.DUMMYFUNCTION("IMPORTRANGE(""https://docs.google.com/spreadsheets/d/1eHaY18a8A9IcSdp1K8H6x8fbOy06t2VsZHhMHf-1x7Y/edit?usp=sharing"",""แผน!GE63"")"),4)</f>
        <v>4</v>
      </c>
      <c r="J746" s="794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IFERROR(__xludf.DUMMYFUNCTION("IMPORTRANGE(""https://docs.google.com/spreadsheets/d/1eHaY18a8A9IcSdp1K8H6x8fbOy06t2VsZHhMHf-1x7Y/edit?usp=sharing"",""แผน!GF63"")"),1)</f>
        <v>1</v>
      </c>
      <c r="J749" s="794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IFERROR(__xludf.DUMMYFUNCTION("IMPORTRANGE(""https://docs.google.com/spreadsheets/d/1eHaY18a8A9IcSdp1K8H6x8fbOy06t2VsZHhMHf-1x7Y/edit?usp=sharing"",""แผน!GB63"")"),160)</f>
        <v>160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IFERROR(__xludf.DUMMYFUNCTION("IMPORTRANGE(""https://docs.google.com/spreadsheets/d/1eHaY18a8A9IcSdp1K8H6x8fbOy06t2VsZHhMHf-1x7Y/edit?usp=sharing"",""แผน!GD63"")"),40)</f>
        <v>40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50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150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438800</v>
      </c>
      <c r="R760" s="262">
        <f ca="1">R761+R762</f>
        <v>438800</v>
      </c>
      <c r="S760" s="262">
        <f ca="1">S761+S762</f>
        <v>357074</v>
      </c>
      <c r="T760" s="262">
        <f t="shared" ref="T760:T768" ca="1" si="188">IF(Q760&gt;0,S760*100/Q760,0)</f>
        <v>81.375113947128526</v>
      </c>
      <c r="U760" s="262">
        <f t="shared" ref="U760:U768" ca="1" si="189">IF(R760&gt;0,S760*100/R760,0)</f>
        <v>81.375113947128526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438800</v>
      </c>
      <c r="R762" s="72">
        <f t="shared" ca="1" si="191"/>
        <v>438800</v>
      </c>
      <c r="S762" s="72">
        <f t="shared" ca="1" si="191"/>
        <v>357074</v>
      </c>
      <c r="T762" s="72">
        <f t="shared" ca="1" si="188"/>
        <v>81.375113947128526</v>
      </c>
      <c r="U762" s="72">
        <f t="shared" ca="1" si="189"/>
        <v>81.375113947128526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438800</v>
      </c>
      <c r="R763" s="72">
        <f ca="1">R764+R765</f>
        <v>438800</v>
      </c>
      <c r="S763" s="72">
        <f ca="1">S764+S765</f>
        <v>357074</v>
      </c>
      <c r="T763" s="72">
        <f t="shared" ca="1" si="188"/>
        <v>81.375113947128526</v>
      </c>
      <c r="U763" s="72">
        <f t="shared" ca="1" si="189"/>
        <v>81.375113947128526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IFERROR(__xludf.DUMMYFUNCTION("IMPORTRANGE(""https://docs.google.com/spreadsheets/d/1ItG2mGa2ceCfYo0BwxsXqNm01IGEUdYcSSLTEv9YCik/edit?usp=sharing"",""เบิกจ่ายกองทุน!AA63"")"),438800)</f>
        <v>438800</v>
      </c>
      <c r="R765" s="72">
        <f ca="1">IFERROR(__xludf.DUMMYFUNCTION("IMPORTRANGE(""https://docs.google.com/spreadsheets/d/1ItG2mGa2ceCfYo0BwxsXqNm01IGEUdYcSSLTEv9YCik/edit?usp=sharing"",""เบิกจ่ายกองทุน!AB63"")"),438800)</f>
        <v>438800</v>
      </c>
      <c r="S765" s="72">
        <f ca="1">IFERROR(__xludf.DUMMYFUNCTION("IMPORTRANGE(""https://docs.google.com/spreadsheets/d/1ItG2mGa2ceCfYo0BwxsXqNm01IGEUdYcSSLTEv9YCik/edit?usp=sharing"",""เบิกจ่ายกองทุน!AC63"")"),357074)</f>
        <v>357074</v>
      </c>
      <c r="T765" s="72">
        <f t="shared" ca="1" si="188"/>
        <v>81.375113947128526</v>
      </c>
      <c r="U765" s="72">
        <f t="shared" ca="1" si="189"/>
        <v>81.375113947128526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IFERROR(__xludf.DUMMYFUNCTION("IMPORTRANGE(""https://docs.google.com/spreadsheets/d/1eHaY18a8A9IcSdp1K8H6x8fbOy06t2VsZHhMHf-1x7Y/edit?usp=sharing"",""แผน!FI63"")"),0)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IFERROR(__xludf.DUMMYFUNCTION("IMPORTRANGE(""https://docs.google.com/spreadsheets/d/1eHaY18a8A9IcSdp1K8H6x8fbOy06t2VsZHhMHf-1x7Y/edit?usp=sharing"",""แผน!FQ63"")"),50)</f>
        <v>50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IFERROR(__xludf.DUMMYFUNCTION("IMPORTRANGE(""https://docs.google.com/spreadsheets/d/1eHaY18a8A9IcSdp1K8H6x8fbOy06t2VsZHhMHf-1x7Y/edit?usp=sharing"",""แผน!FR63"")"),150)</f>
        <v>150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IFERROR(__xludf.DUMMYFUNCTION("IMPORTRANGE(""https://docs.google.com/spreadsheets/d/1eHaY18a8A9IcSdp1K8H6x8fbOy06t2VsZHhMHf-1x7Y/edit?usp=sharing"",""แผน!FS63"")"),150)</f>
        <v>150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IFERROR(__xludf.DUMMYFUNCTION("IMPORTRANGE(""https://docs.google.com/spreadsheets/d/1eHaY18a8A9IcSdp1K8H6x8fbOy06t2VsZHhMHf-1x7Y/edit?usp=sharing"",""แผน!FT63"")"),50)</f>
        <v>50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IFERROR(__xludf.DUMMYFUNCTION("IMPORTRANGE(""https://docs.google.com/spreadsheets/d/10OvvATaaLtwErnr3qtWFcTmtbfpFEt5Bsqel9sXx0uE/edit?usp=sharing"",""งานกองทุน!D63"")"),3154000)</f>
        <v>3154000</v>
      </c>
      <c r="J778" s="291">
        <f ca="1">IFERROR(__xludf.DUMMYFUNCTION("IMPORTRANGE(""https://docs.google.com/spreadsheets/d/10OvvATaaLtwErnr3qtWFcTmtbfpFEt5Bsqel9sXx0uE/edit?usp=sharing"",""งานกองทุน!F63"")"),1504553.65)</f>
        <v>1504553.65</v>
      </c>
      <c r="K778" s="72">
        <f t="shared" ref="K778:K785" ca="1" si="192">IF(I778&gt;0,J778*100/I778,0)</f>
        <v>47.703032656943563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IFERROR(__xludf.DUMMYFUNCTION("IMPORTRANGE(""https://docs.google.com/spreadsheets/d/10OvvATaaLtwErnr3qtWFcTmtbfpFEt5Bsqel9sXx0uE/edit?usp=sharing"",""งานกองทุน!C63"")"),71)</f>
        <v>71</v>
      </c>
      <c r="J779" s="291">
        <f ca="1">IFERROR(__xludf.DUMMYFUNCTION("IMPORTRANGE(""https://docs.google.com/spreadsheets/d/10OvvATaaLtwErnr3qtWFcTmtbfpFEt5Bsqel9sXx0uE/edit?usp=sharing"",""งานกองทุน!E63"")"),39)</f>
        <v>39</v>
      </c>
      <c r="K779" s="72">
        <f t="shared" ca="1" si="192"/>
        <v>54.929577464788736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IFERROR(__xludf.DUMMYFUNCTION("IMPORTRANGE(""https://docs.google.com/spreadsheets/d/10OvvATaaLtwErnr3qtWFcTmtbfpFEt5Bsqel9sXx0uE/edit?usp=sharing"",""งานกองทุน!I63"")"),5629096.37)</f>
        <v>5629096.3700000001</v>
      </c>
      <c r="J780" s="291">
        <f ca="1">IFERROR(__xludf.DUMMYFUNCTION("IMPORTRANGE(""https://docs.google.com/spreadsheets/d/10OvvATaaLtwErnr3qtWFcTmtbfpFEt5Bsqel9sXx0uE/edit?usp=sharing"",""งานกองทุน!K63"")"),396724.94)</f>
        <v>396724.94</v>
      </c>
      <c r="K780" s="72">
        <f t="shared" ca="1" si="192"/>
        <v>7.04775533981487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IFERROR(__xludf.DUMMYFUNCTION("IMPORTRANGE(""https://docs.google.com/spreadsheets/d/10OvvATaaLtwErnr3qtWFcTmtbfpFEt5Bsqel9sXx0uE/edit?usp=sharing"",""งานกองทุน!H63"")"),141)</f>
        <v>141</v>
      </c>
      <c r="J781" s="291">
        <f ca="1">IFERROR(__xludf.DUMMYFUNCTION("IMPORTRANGE(""https://docs.google.com/spreadsheets/d/10OvvATaaLtwErnr3qtWFcTmtbfpFEt5Bsqel9sXx0uE/edit?usp=sharing"",""งานกองทุน!J63"")"),90)</f>
        <v>90</v>
      </c>
      <c r="K781" s="72">
        <f t="shared" ca="1" si="192"/>
        <v>63.829787234042556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IFERROR(__xludf.DUMMYFUNCTION("IMPORTRANGE(""https://docs.google.com/spreadsheets/d/10OvvATaaLtwErnr3qtWFcTmtbfpFEt5Bsqel9sXx0uE/edit?usp=sharing"",""งานกองทุน!N63"")"),592465.68)</f>
        <v>592465.68000000005</v>
      </c>
      <c r="J782" s="291">
        <f ca="1">IFERROR(__xludf.DUMMYFUNCTION("IMPORTRANGE(""https://docs.google.com/spreadsheets/d/10OvvATaaLtwErnr3qtWFcTmtbfpFEt5Bsqel9sXx0uE/edit?usp=sharing"",""งานกองทุน!P63"")"),342426.08)</f>
        <v>342426.08</v>
      </c>
      <c r="K782" s="72">
        <f t="shared" ca="1" si="192"/>
        <v>57.796779047184636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IFERROR(__xludf.DUMMYFUNCTION("IMPORTRANGE(""https://docs.google.com/spreadsheets/d/10OvvATaaLtwErnr3qtWFcTmtbfpFEt5Bsqel9sXx0uE/edit?usp=sharing"",""งานกองทุน!M63"")"),468)</f>
        <v>468</v>
      </c>
      <c r="J783" s="291">
        <f ca="1">IFERROR(__xludf.DUMMYFUNCTION("IMPORTRANGE(""https://docs.google.com/spreadsheets/d/10OvvATaaLtwErnr3qtWFcTmtbfpFEt5Bsqel9sXx0uE/edit?usp=sharing"",""งานกองทุน!O63"")"),127)</f>
        <v>127</v>
      </c>
      <c r="K783" s="72">
        <f t="shared" ca="1" si="192"/>
        <v>27.136752136752136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IFERROR(__xludf.DUMMYFUNCTION("IMPORTRANGE(""https://docs.google.com/spreadsheets/d/10OvvATaaLtwErnr3qtWFcTmtbfpFEt5Bsqel9sXx0uE/edit?usp=sharing"",""งานกองทุน!S63"")"),1820000)</f>
        <v>1820000</v>
      </c>
      <c r="J784" s="291">
        <f ca="1">IFERROR(__xludf.DUMMYFUNCTION("IMPORTRANGE(""https://docs.google.com/spreadsheets/d/10OvvATaaLtwErnr3qtWFcTmtbfpFEt5Bsqel9sXx0uE/edit?usp=sharing"",""งานกองทุน!U63"")"),1280000)</f>
        <v>1280000</v>
      </c>
      <c r="K784" s="72">
        <f t="shared" ca="1" si="192"/>
        <v>70.329670329670336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IFERROR(__xludf.DUMMYFUNCTION("IMPORTRANGE(""https://docs.google.com/spreadsheets/d/10OvvATaaLtwErnr3qtWFcTmtbfpFEt5Bsqel9sXx0uE/edit?usp=sharing"",""งานกองทุน!R63"")"),65)</f>
        <v>65</v>
      </c>
      <c r="J785" s="773">
        <f ca="1">IFERROR(__xludf.DUMMYFUNCTION("IMPORTRANGE(""https://docs.google.com/spreadsheets/d/10OvvATaaLtwErnr3qtWFcTmtbfpFEt5Bsqel9sXx0uE/edit?usp=sharing"",""งานกองทุน!T63"")"),27)</f>
        <v>27</v>
      </c>
      <c r="K785" s="181">
        <f t="shared" ca="1" si="192"/>
        <v>41.53846153846154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CB80-38A7-43E6-A40C-9535C5E0E97E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357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4222250</v>
      </c>
      <c r="M18" s="57">
        <f ca="1">M19+M20</f>
        <v>4677974.3499999996</v>
      </c>
      <c r="N18" s="57">
        <f ca="1">N19+N20</f>
        <v>2129832.16</v>
      </c>
      <c r="O18" s="57">
        <f t="shared" ref="O18:O26" ca="1" si="0">IF(L18&gt;0,N18*100/L18,0)</f>
        <v>50.443061400911837</v>
      </c>
      <c r="P18" s="57">
        <f t="shared" ref="P18:P26" ca="1" si="1">IF(M18&gt;0,N18*100/M18,0)</f>
        <v>45.528940533844526</v>
      </c>
      <c r="Q18" s="57">
        <f ca="1">Q19+Q20</f>
        <v>1263559.24</v>
      </c>
      <c r="R18" s="57">
        <f ca="1">R19+R20</f>
        <v>1263559</v>
      </c>
      <c r="S18" s="57">
        <f ca="1">S19+S20</f>
        <v>298651.28999999998</v>
      </c>
      <c r="T18" s="57">
        <f t="shared" ref="T18:T26" ca="1" si="2">IF(Q18&gt;0,S18*100/Q18,0)</f>
        <v>23.6357173091465</v>
      </c>
      <c r="U18" s="57">
        <f t="shared" ref="U18:U26" ca="1" si="3">IF(R18&gt;0,S18*100/R18,0)</f>
        <v>23.63572179850723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4222250</v>
      </c>
      <c r="M20" s="63">
        <f t="shared" ca="1" si="4"/>
        <v>4677974.3499999996</v>
      </c>
      <c r="N20" s="63">
        <f t="shared" ca="1" si="4"/>
        <v>2129832.16</v>
      </c>
      <c r="O20" s="63">
        <f t="shared" ca="1" si="0"/>
        <v>50.443061400911837</v>
      </c>
      <c r="P20" s="63">
        <f t="shared" ca="1" si="1"/>
        <v>45.528940533844526</v>
      </c>
      <c r="Q20" s="63">
        <f t="shared" ca="1" si="5"/>
        <v>1263559.24</v>
      </c>
      <c r="R20" s="63">
        <f t="shared" ca="1" si="5"/>
        <v>1263559</v>
      </c>
      <c r="S20" s="63">
        <f t="shared" ca="1" si="5"/>
        <v>298651.28999999998</v>
      </c>
      <c r="T20" s="63">
        <f t="shared" ca="1" si="2"/>
        <v>23.6357173091465</v>
      </c>
      <c r="U20" s="63">
        <f t="shared" ca="1" si="3"/>
        <v>23.63572179850723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2570250</v>
      </c>
      <c r="M21" s="72">
        <f ca="1">M22+M23</f>
        <v>3025974.35</v>
      </c>
      <c r="N21" s="72">
        <f ca="1">N22+N23</f>
        <v>2129832.16</v>
      </c>
      <c r="O21" s="72">
        <f t="shared" ca="1" si="0"/>
        <v>82.864785915766944</v>
      </c>
      <c r="P21" s="72">
        <f t="shared" ca="1" si="1"/>
        <v>70.385003759202391</v>
      </c>
      <c r="Q21" s="72">
        <f ca="1">Q22+Q23</f>
        <v>1179559.24</v>
      </c>
      <c r="R21" s="72">
        <f ca="1">R22+R23</f>
        <v>1179559</v>
      </c>
      <c r="S21" s="72">
        <f ca="1">S22+S23</f>
        <v>298651.28999999998</v>
      </c>
      <c r="T21" s="72">
        <f t="shared" ca="1" si="2"/>
        <v>25.318888604526549</v>
      </c>
      <c r="U21" s="72">
        <f t="shared" ca="1" si="3"/>
        <v>25.318893756056287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2570250</v>
      </c>
      <c r="M23" s="72">
        <f ca="1">M49+M64+M77+M99+M122+M144+M162+M191+M178+M271+M287+M308+M325+M338+M361+M380+M418+M498+M518+M539+M560+M581+M604+M621+M647+M695+M719+M733+M765</f>
        <v>3025974.35</v>
      </c>
      <c r="N23" s="72">
        <f ca="1">N49+N64+N77+N99+N122+N144+N162+N191+N178+N271+N287+N308+N325+N338+N361+N380+N418+N498+N518+N539+N560+N581+N604+N621+N647+N695+N719+N733+N765</f>
        <v>2129832.16</v>
      </c>
      <c r="O23" s="72">
        <f t="shared" ca="1" si="0"/>
        <v>82.864785915766944</v>
      </c>
      <c r="P23" s="72">
        <f t="shared" ca="1" si="1"/>
        <v>70.385003759202391</v>
      </c>
      <c r="Q23" s="72">
        <f t="shared" ca="1" si="6"/>
        <v>1179559.24</v>
      </c>
      <c r="R23" s="72">
        <f t="shared" ca="1" si="6"/>
        <v>1179559</v>
      </c>
      <c r="S23" s="72">
        <f t="shared" ca="1" si="6"/>
        <v>298651.28999999998</v>
      </c>
      <c r="T23" s="72">
        <f t="shared" ca="1" si="2"/>
        <v>25.318888604526549</v>
      </c>
      <c r="U23" s="72">
        <f t="shared" ca="1" si="3"/>
        <v>25.318893756056287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1652000</v>
      </c>
      <c r="M24" s="72">
        <f ca="1">M25+M26</f>
        <v>1652000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84000</v>
      </c>
      <c r="R24" s="72">
        <f ca="1">R25+R26</f>
        <v>84000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1652000</v>
      </c>
      <c r="M26" s="72">
        <f ca="1">M52+M67+M80+M102+M125+M147+M165+M194+M181+M274+M290+M311+M328+M341+M364+M383+M421+M501+M521+M542+M563+M584+M607+M624+M650+M698+M722+M736+M768</f>
        <v>1652000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84000</v>
      </c>
      <c r="R26" s="75">
        <f t="shared" ca="1" si="7"/>
        <v>84000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4171350</v>
      </c>
      <c r="M40" s="1050">
        <f ca="1">M44+M59+M72+M94+M125+M139+M157+M173+M186+M266+M282+M303+M320+M333+M356</f>
        <v>4597474.3499999996</v>
      </c>
      <c r="N40" s="1050">
        <f ca="1">N44+N59+N72+N94+N125+N139+N157+N173+N186+N266+N282+N303+N320+N333+N356</f>
        <v>2073129.16</v>
      </c>
      <c r="O40" s="1050">
        <f ca="1">IF(L40&gt;0,N40*100/L40,0)</f>
        <v>49.699237896604217</v>
      </c>
      <c r="P40" s="1050">
        <f ca="1">IF(M40&gt;0,N40*100/M40,0)</f>
        <v>45.09278360628592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322000</v>
      </c>
      <c r="M44" s="1031">
        <f ca="1">M45+M46</f>
        <v>419259.35</v>
      </c>
      <c r="N44" s="1031">
        <f ca="1">N45+N46</f>
        <v>339418.49</v>
      </c>
      <c r="O44" s="1031">
        <f t="shared" ref="O44:O52" ca="1" si="8">IF(L44&gt;0,N44*100/L44,0)</f>
        <v>105.40946894409937</v>
      </c>
      <c r="P44" s="1031">
        <f t="shared" ref="P44:P52" ca="1" si="9">IF(M44&gt;0,N44*100/M44,0)</f>
        <v>80.956689457253617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322000</v>
      </c>
      <c r="M46" s="1018">
        <f t="shared" ca="1" si="12"/>
        <v>419259.35</v>
      </c>
      <c r="N46" s="1018">
        <f t="shared" ca="1" si="12"/>
        <v>339418.49</v>
      </c>
      <c r="O46" s="1018">
        <f t="shared" ca="1" si="8"/>
        <v>105.40946894409937</v>
      </c>
      <c r="P46" s="1018">
        <f t="shared" ca="1" si="9"/>
        <v>80.956689457253617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322000</v>
      </c>
      <c r="M47" s="72">
        <f ca="1">M48+M49</f>
        <v>419259.35</v>
      </c>
      <c r="N47" s="72">
        <f ca="1">N48+N49</f>
        <v>339418.49</v>
      </c>
      <c r="O47" s="72">
        <f t="shared" ca="1" si="8"/>
        <v>105.40946894409937</v>
      </c>
      <c r="P47" s="72">
        <f t="shared" ca="1" si="9"/>
        <v>80.956689457253617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IFERROR(__xludf.DUMMYFUNCTION("IMPORTRANGE(""https://docs.google.com/spreadsheets/d/1-uDff_7J0KD5mKrp0Vvzr7lt3OU09vwQwhkpOPPYv2Y/edit?usp=sharing"",""งบพรบ!P64"")"),322000)</f>
        <v>322000</v>
      </c>
      <c r="M49" s="72">
        <f ca="1">IFERROR(__xludf.DUMMYFUNCTION("IMPORTRANGE(""https://docs.google.com/spreadsheets/d/1-uDff_7J0KD5mKrp0Vvzr7lt3OU09vwQwhkpOPPYv2Y/edit?usp=sharing"",""งบพรบ!V64"")"),419259.35)</f>
        <v>419259.35</v>
      </c>
      <c r="N49" s="72">
        <f ca="1">IFERROR(__xludf.DUMMYFUNCTION("IMPORTRANGE(""https://docs.google.com/spreadsheets/d/1-uDff_7J0KD5mKrp0Vvzr7lt3OU09vwQwhkpOPPYv2Y/edit?usp=sharing"",""งบพรบ!Y64"")"),339418.49)</f>
        <v>339418.49</v>
      </c>
      <c r="O49" s="72">
        <f t="shared" ca="1" si="8"/>
        <v>105.40946894409937</v>
      </c>
      <c r="P49" s="72">
        <f t="shared" ca="1" si="9"/>
        <v>80.956689457253617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IFERROR(__xludf.DUMMYFUNCTION("IMPORTRANGE(""https://docs.google.com/spreadsheets/d/1-uDff_7J0KD5mKrp0Vvzr7lt3OU09vwQwhkpOPPYv2Y/edit?usp=sharing"",""งบพรบ!S64"")"),0)</f>
        <v>0</v>
      </c>
      <c r="M52" s="72">
        <f ca="1">IFERROR(__xludf.DUMMYFUNCTION("IMPORTRANGE(""https://docs.google.com/spreadsheets/d/1-uDff_7J0KD5mKrp0Vvzr7lt3OU09vwQwhkpOPPYv2Y/edit?usp=sharing"",""งบพรบ!W64"")"),0)</f>
        <v>0</v>
      </c>
      <c r="N52" s="72">
        <f ca="1">IFERROR(__xludf.DUMMYFUNCTION("IMPORTRANGE(""https://docs.google.com/spreadsheets/d/1-uDff_7J0KD5mKrp0Vvzr7lt3OU09vwQwhkpOPPYv2Y/edit?usp=sharing"",""งบพรบ!Z64"")"),0)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365200</v>
      </c>
      <c r="M59" s="1001">
        <f ca="1">M60+M61</f>
        <v>395950</v>
      </c>
      <c r="N59" s="1001">
        <f ca="1">N60+N61</f>
        <v>302819.53000000003</v>
      </c>
      <c r="O59" s="1001">
        <f t="shared" ref="O59:O67" ca="1" si="14">IF(L59&gt;0,N59*100/L59,0)</f>
        <v>82.918819824753569</v>
      </c>
      <c r="P59" s="1001">
        <f t="shared" ref="P59:P67" ca="1" si="15">IF(M59&gt;0,N59*100/M59,0)</f>
        <v>76.47923475186262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365200</v>
      </c>
      <c r="M61" s="988">
        <f t="shared" ca="1" si="18"/>
        <v>395950</v>
      </c>
      <c r="N61" s="988">
        <f t="shared" ca="1" si="18"/>
        <v>302819.53000000003</v>
      </c>
      <c r="O61" s="988">
        <f t="shared" ca="1" si="14"/>
        <v>82.918819824753569</v>
      </c>
      <c r="P61" s="988">
        <f t="shared" ca="1" si="15"/>
        <v>76.47923475186262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365200</v>
      </c>
      <c r="M62" s="72">
        <f ca="1">M63+M64</f>
        <v>395950</v>
      </c>
      <c r="N62" s="72">
        <f ca="1">N63+N64</f>
        <v>302819.53000000003</v>
      </c>
      <c r="O62" s="72">
        <f t="shared" ca="1" si="14"/>
        <v>82.918819824753569</v>
      </c>
      <c r="P62" s="72">
        <f t="shared" ca="1" si="15"/>
        <v>76.47923475186262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IFERROR(__xludf.DUMMYFUNCTION("IMPORTRANGE(""https://docs.google.com/spreadsheets/d/1-uDff_7J0KD5mKrp0Vvzr7lt3OU09vwQwhkpOPPYv2Y/edit?usp=sharing"",""งบพรบ!AC64"")"),365200)</f>
        <v>365200</v>
      </c>
      <c r="M64" s="72">
        <f ca="1">IFERROR(__xludf.DUMMYFUNCTION("IMPORTRANGE(""https://docs.google.com/spreadsheets/d/1-uDff_7J0KD5mKrp0Vvzr7lt3OU09vwQwhkpOPPYv2Y/edit?usp=sharing"",""งบพรบ!AH64"")"),395950)</f>
        <v>395950</v>
      </c>
      <c r="N64" s="72">
        <f ca="1">IFERROR(__xludf.DUMMYFUNCTION("IMPORTRANGE(""https://docs.google.com/spreadsheets/d/1-uDff_7J0KD5mKrp0Vvzr7lt3OU09vwQwhkpOPPYv2Y/edit?usp=sharing"",""งบพรบ!AJ64"")"),302819.53)</f>
        <v>302819.53000000003</v>
      </c>
      <c r="O64" s="72">
        <f t="shared" ca="1" si="14"/>
        <v>82.918819824753569</v>
      </c>
      <c r="P64" s="72">
        <f t="shared" ca="1" si="15"/>
        <v>76.47923475186262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IFERROR(__xludf.DUMMYFUNCTION("IMPORTRANGE(""https://docs.google.com/spreadsheets/d/1-uDff_7J0KD5mKrp0Vvzr7lt3OU09vwQwhkpOPPYv2Y/edit?usp=sharing"",""งบพรบ!AF64"")"),0)</f>
        <v>0</v>
      </c>
      <c r="M67" s="181">
        <f ca="1">IFERROR(__xludf.DUMMYFUNCTION("IMPORTRANGE(""https://docs.google.com/spreadsheets/d/1-uDff_7J0KD5mKrp0Vvzr7lt3OU09vwQwhkpOPPYv2Y/edit?usp=sharing"",""งบพรบ!AI64"")"),0)</f>
        <v>0</v>
      </c>
      <c r="N67" s="181">
        <f ca="1">IFERROR(__xludf.DUMMYFUNCTION("IMPORTRANGE(""https://docs.google.com/spreadsheets/d/1-uDff_7J0KD5mKrp0Vvzr7lt3OU09vwQwhkpOPPYv2Y/edit?usp=sharing"",""งบพรบ!AK64"")"),0)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42</v>
      </c>
      <c r="J71" s="254">
        <f>J83</f>
        <v>42</v>
      </c>
      <c r="K71" s="57">
        <f ca="1">IF(I71&gt;0,J71*100/I71,0)</f>
        <v>100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142000</v>
      </c>
      <c r="M72" s="262">
        <f ca="1">M73+M74</f>
        <v>142000</v>
      </c>
      <c r="N72" s="262">
        <f ca="1">N73+N74</f>
        <v>88699.99</v>
      </c>
      <c r="O72" s="262">
        <f t="shared" ref="O72:O80" ca="1" si="20">IF(L72&gt;0,N72*100/L72,0)</f>
        <v>62.464781690140846</v>
      </c>
      <c r="P72" s="262">
        <f t="shared" ref="P72:P80" ca="1" si="21">IF(M72&gt;0,N72*100/M72,0)</f>
        <v>62.464781690140846</v>
      </c>
      <c r="Q72" s="262">
        <f ca="1">Q73+Q74</f>
        <v>459740</v>
      </c>
      <c r="R72" s="262">
        <f ca="1">R73+R74</f>
        <v>459740</v>
      </c>
      <c r="S72" s="262">
        <f ca="1">S73+S74</f>
        <v>1620</v>
      </c>
      <c r="T72" s="262">
        <f t="shared" ref="T72:T80" ca="1" si="22">IF(Q72&gt;0,S72*100/Q72,0)</f>
        <v>0.35237308043676863</v>
      </c>
      <c r="U72" s="262">
        <f t="shared" ref="U72:U80" ca="1" si="23">IF(R72&gt;0,S72*100/R72,0)</f>
        <v>0.35237308043676863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142000</v>
      </c>
      <c r="M74" s="72">
        <f t="shared" ca="1" si="24"/>
        <v>142000</v>
      </c>
      <c r="N74" s="72">
        <f t="shared" ca="1" si="24"/>
        <v>88699.99</v>
      </c>
      <c r="O74" s="72">
        <f t="shared" ca="1" si="20"/>
        <v>62.464781690140846</v>
      </c>
      <c r="P74" s="72">
        <f t="shared" ca="1" si="21"/>
        <v>62.464781690140846</v>
      </c>
      <c r="Q74" s="72">
        <f t="shared" ca="1" si="25"/>
        <v>459740</v>
      </c>
      <c r="R74" s="72">
        <f t="shared" ca="1" si="25"/>
        <v>459740</v>
      </c>
      <c r="S74" s="72">
        <f t="shared" ca="1" si="25"/>
        <v>1620</v>
      </c>
      <c r="T74" s="72">
        <f t="shared" ca="1" si="22"/>
        <v>0.35237308043676863</v>
      </c>
      <c r="U74" s="72">
        <f t="shared" ca="1" si="23"/>
        <v>0.35237308043676863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142000</v>
      </c>
      <c r="M75" s="72">
        <f ca="1">M76+M77</f>
        <v>142000</v>
      </c>
      <c r="N75" s="72">
        <f ca="1">N76+N77</f>
        <v>88699.99</v>
      </c>
      <c r="O75" s="72">
        <f t="shared" ca="1" si="20"/>
        <v>62.464781690140846</v>
      </c>
      <c r="P75" s="72">
        <f t="shared" ca="1" si="21"/>
        <v>62.464781690140846</v>
      </c>
      <c r="Q75" s="72">
        <f ca="1">Q76+Q77</f>
        <v>459740</v>
      </c>
      <c r="R75" s="72">
        <f ca="1">R76+R77</f>
        <v>459740</v>
      </c>
      <c r="S75" s="72">
        <f ca="1">S76+S77</f>
        <v>1620</v>
      </c>
      <c r="T75" s="72">
        <f t="shared" ca="1" si="22"/>
        <v>0.35237308043676863</v>
      </c>
      <c r="U75" s="72">
        <f t="shared" ca="1" si="23"/>
        <v>0.35237308043676863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IFERROR(__xludf.DUMMYFUNCTION("IMPORTRANGE(""https://docs.google.com/spreadsheets/d/1-uDff_7J0KD5mKrp0Vvzr7lt3OU09vwQwhkpOPPYv2Y/edit?usp=sharing"",""งบพรบ!AM64"")"),142000)</f>
        <v>142000</v>
      </c>
      <c r="M77" s="72">
        <f ca="1">IFERROR(__xludf.DUMMYFUNCTION("IMPORTRANGE(""https://docs.google.com/spreadsheets/d/1-uDff_7J0KD5mKrp0Vvzr7lt3OU09vwQwhkpOPPYv2Y/edit?usp=sharing"",""งบพรบ!AR64"")"),142000)</f>
        <v>142000</v>
      </c>
      <c r="N77" s="72">
        <f ca="1">IFERROR(__xludf.DUMMYFUNCTION("IMPORTRANGE(""https://docs.google.com/spreadsheets/d/1-uDff_7J0KD5mKrp0Vvzr7lt3OU09vwQwhkpOPPYv2Y/edit?usp=sharing"",""งบพรบ!AT64"")"),88699.99)</f>
        <v>88699.99</v>
      </c>
      <c r="O77" s="72">
        <f t="shared" ca="1" si="20"/>
        <v>62.464781690140846</v>
      </c>
      <c r="P77" s="72">
        <f t="shared" ca="1" si="21"/>
        <v>62.464781690140846</v>
      </c>
      <c r="Q77" s="72">
        <f ca="1">IFERROR(__xludf.DUMMYFUNCTION("IMPORTRANGE(""https://docs.google.com/spreadsheets/d/1ItG2mGa2ceCfYo0BwxsXqNm01IGEUdYcSSLTEv9YCik/edit?usp=sharing"",""เบิกจ่ายกองทุน!BH64"")"),459740)</f>
        <v>459740</v>
      </c>
      <c r="R77" s="72">
        <f ca="1">IFERROR(__xludf.DUMMYFUNCTION("IMPORTRANGE(""https://docs.google.com/spreadsheets/d/1ItG2mGa2ceCfYo0BwxsXqNm01IGEUdYcSSLTEv9YCik/edit?usp=sharing"",""เบิกจ่ายกองทุน!BI64"")"),459740)</f>
        <v>459740</v>
      </c>
      <c r="S77" s="72">
        <f ca="1">IFERROR(__xludf.DUMMYFUNCTION("IMPORTRANGE(""https://docs.google.com/spreadsheets/d/1ItG2mGa2ceCfYo0BwxsXqNm01IGEUdYcSSLTEv9YCik/edit?usp=sharing"",""เบิกจ่ายกองทุน!BJ64"")"),1620)</f>
        <v>1620</v>
      </c>
      <c r="T77" s="72">
        <f t="shared" ca="1" si="22"/>
        <v>0.35237308043676863</v>
      </c>
      <c r="U77" s="72">
        <f t="shared" ca="1" si="23"/>
        <v>0.35237308043676863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IFERROR(__xludf.DUMMYFUNCTION("IMPORTRANGE(""https://docs.google.com/spreadsheets/d/1-uDff_7J0KD5mKrp0Vvzr7lt3OU09vwQwhkpOPPYv2Y/edit?usp=sharing"",""งบพรบ!AP64"")"),0)</f>
        <v>0</v>
      </c>
      <c r="M80" s="72">
        <f ca="1">IFERROR(__xludf.DUMMYFUNCTION("IMPORTRANGE(""https://docs.google.com/spreadsheets/d/1-uDff_7J0KD5mKrp0Vvzr7lt3OU09vwQwhkpOPPYv2Y/edit?usp=sharing"",""งบพรบ!AS64"")"),0)</f>
        <v>0</v>
      </c>
      <c r="N80" s="72">
        <f ca="1">IFERROR(__xludf.DUMMYFUNCTION("IMPORTRANGE(""https://docs.google.com/spreadsheets/d/1-uDff_7J0KD5mKrp0Vvzr7lt3OU09vwQwhkpOPPYv2Y/edit?usp=sharing"",""งบพรบ!AU64"")"),0)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IFERROR(__xludf.DUMMYFUNCTION("IMPORTRANGE(""https://docs.google.com/spreadsheets/d/1ItG2mGa2ceCfYo0BwxsXqNm01IGEUdYcSSLTEv9YCik/edit?usp=sharing"",""เบิกจ่ายกองทุน!BK64"")"),0)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IFERROR(__xludf.DUMMYFUNCTION("IMPORTRANGE(""https://docs.google.com/spreadsheets/d/1ItG2mGa2ceCfYo0BwxsXqNm01IGEUdYcSSLTEv9YCik/edit?usp=sharing"",""เบิกจ่ายกองทุน!BL64"")"),0)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IFERROR(__xludf.DUMMYFUNCTION("IMPORTRANGE(""https://docs.google.com/spreadsheets/d/1ItG2mGa2ceCfYo0BwxsXqNm01IGEUdYcSSLTEv9YCik/edit?usp=sharing"",""เบิกจ่ายกองทุน!BM64"")"),0)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68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1</v>
      </c>
      <c r="J82" s="601">
        <f>J84+J86+J88</f>
        <v>1</v>
      </c>
      <c r="K82" s="908">
        <f t="shared" ref="K82:K90" ca="1" si="26">IF(I82&gt;0,J82*100/I82,0)</f>
        <v>100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42</v>
      </c>
      <c r="J83" s="601">
        <f>J85+J87+J89</f>
        <v>42</v>
      </c>
      <c r="K83" s="908">
        <f t="shared" ca="1" si="26"/>
        <v>100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IFERROR(__xludf.DUMMYFUNCTION("IMPORTRANGE(""https://docs.google.com/spreadsheets/d/1eHaY18a8A9IcSdp1K8H6x8fbOy06t2VsZHhMHf-1x7Y/edit?usp=sharing"",""แผน!H64"")"),0)</f>
        <v>0</v>
      </c>
      <c r="J84" s="292">
        <v>1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IFERROR(__xludf.DUMMYFUNCTION("IMPORTRANGE(""https://docs.google.com/spreadsheets/d/1eHaY18a8A9IcSdp1K8H6x8fbOy06t2VsZHhMHf-1x7Y/edit?usp=sharing"",""แผน!I64"")"),0)</f>
        <v>0</v>
      </c>
      <c r="J85" s="292">
        <v>42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IFERROR(__xludf.DUMMYFUNCTION("IMPORTRANGE(""https://docs.google.com/spreadsheets/d/1eHaY18a8A9IcSdp1K8H6x8fbOy06t2VsZHhMHf-1x7Y/edit?usp=sharing"",""แผน!F64"")"),1)</f>
        <v>1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IFERROR(__xludf.DUMMYFUNCTION("IMPORTRANGE(""https://docs.google.com/spreadsheets/d/1eHaY18a8A9IcSdp1K8H6x8fbOy06t2VsZHhMHf-1x7Y/edit?usp=sharing"",""แผน!G64"")"),42)</f>
        <v>42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IFERROR(__xludf.DUMMYFUNCTION("IMPORTRANGE(""https://docs.google.com/spreadsheets/d/1eHaY18a8A9IcSdp1K8H6x8fbOy06t2VsZHhMHf-1x7Y/edit?usp=sharing"",""แผน!D64"")"),0)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IFERROR(__xludf.DUMMYFUNCTION("IMPORTRANGE(""https://docs.google.com/spreadsheets/d/1eHaY18a8A9IcSdp1K8H6x8fbOy06t2VsZHhMHf-1x7Y/edit?usp=sharing"",""แผน!E64"")"),0)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IFERROR(__xludf.DUMMYFUNCTION("IMPORTRANGE(""https://docs.google.com/spreadsheets/d/1eHaY18a8A9IcSdp1K8H6x8fbOy06t2VsZHhMHf-1x7Y/edit?usp=sharing"",""แผน!J64"")"),1)</f>
        <v>1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IFERROR(__xludf.DUMMYFUNCTION("IMPORTRANGE(""https://docs.google.com/spreadsheets/d/1-uDff_7J0KD5mKrp0Vvzr7lt3OU09vwQwhkpOPPYv2Y/edit?usp=sharing"",""งบพรบ!AW64"")"),0)</f>
        <v>0</v>
      </c>
      <c r="M99" s="72">
        <f ca="1">IFERROR(__xludf.DUMMYFUNCTION("IMPORTRANGE(""https://docs.google.com/spreadsheets/d/1-uDff_7J0KD5mKrp0Vvzr7lt3OU09vwQwhkpOPPYv2Y/edit?usp=sharing"",""งบพรบ!BB64"")"),0)</f>
        <v>0</v>
      </c>
      <c r="N99" s="72">
        <f ca="1">IFERROR(__xludf.DUMMYFUNCTION("IMPORTRANGE(""https://docs.google.com/spreadsheets/d/1-uDff_7J0KD5mKrp0Vvzr7lt3OU09vwQwhkpOPPYv2Y/edit?usp=sharing"",""งบพรบ!BD64"")"),0)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IFERROR(__xludf.DUMMYFUNCTION("IMPORTRANGE(""https://docs.google.com/spreadsheets/d/1ItG2mGa2ceCfYo0BwxsXqNm01IGEUdYcSSLTEv9YCik/edit?usp=sharing"",""เบิกจ่ายกองทุน!AJ64"")"),0)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IFERROR(__xludf.DUMMYFUNCTION("IMPORTRANGE(""https://docs.google.com/spreadsheets/d/1ItG2mGa2ceCfYo0BwxsXqNm01IGEUdYcSSLTEv9YCik/edit?usp=sharing"",""เบิกจ่ายกองทุน!AK64"")"),0)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IFERROR(__xludf.DUMMYFUNCTION("IMPORTRANGE(""https://docs.google.com/spreadsheets/d/1ItG2mGa2ceCfYo0BwxsXqNm01IGEUdYcSSLTEv9YCik/edit?usp=sharing"",""เบิกจ่ายกองทุน!AL64"")"),0)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IFERROR(__xludf.DUMMYFUNCTION("IMPORTRANGE(""https://docs.google.com/spreadsheets/d/1-uDff_7J0KD5mKrp0Vvzr7lt3OU09vwQwhkpOPPYv2Y/edit?usp=sharing"",""งบพรบ!AZ64"")"),0)</f>
        <v>0</v>
      </c>
      <c r="M102" s="72">
        <f ca="1">IFERROR(__xludf.DUMMYFUNCTION("IMPORTRANGE(""https://docs.google.com/spreadsheets/d/1-uDff_7J0KD5mKrp0Vvzr7lt3OU09vwQwhkpOPPYv2Y/edit?usp=sharing"",""งบพรบ!BC64"")"),0)</f>
        <v>0</v>
      </c>
      <c r="N102" s="72">
        <f ca="1">IFERROR(__xludf.DUMMYFUNCTION("IMPORTRANGE(""https://docs.google.com/spreadsheets/d/1-uDff_7J0KD5mKrp0Vvzr7lt3OU09vwQwhkpOPPYv2Y/edit?usp=sharing"",""งบพรบ!BE64"")"),0)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IFERROR(__xludf.DUMMYFUNCTION("IMPORTRANGE(""https://docs.google.com/spreadsheets/d/1eHaY18a8A9IcSdp1K8H6x8fbOy06t2VsZHhMHf-1x7Y/edit?usp=sharing"",""แผน!N64"")"),0)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IFERROR(__xludf.DUMMYFUNCTION("IMPORTRANGE(""https://docs.google.com/spreadsheets/d/1eHaY18a8A9IcSdp1K8H6x8fbOy06t2VsZHhMHf-1x7Y/edit?usp=sharing"",""แผน!O64"")"),0)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IFERROR(__xludf.DUMMYFUNCTION("IMPORTRANGE(""https://docs.google.com/spreadsheets/d/1eHaY18a8A9IcSdp1K8H6x8fbOy06t2VsZHhMHf-1x7Y/edit?usp=sharing"",""แผน!R64"")"),0)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4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2"/>
      <c r="H116" s="252"/>
      <c r="I116" s="254">
        <f ca="1">I127</f>
        <v>70</v>
      </c>
      <c r="J116" s="254">
        <f>J127</f>
        <v>70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346680</v>
      </c>
      <c r="R117" s="262">
        <f ca="1">R118+R119</f>
        <v>346680</v>
      </c>
      <c r="S117" s="262">
        <f ca="1">S118+S119</f>
        <v>274121.28999999998</v>
      </c>
      <c r="T117" s="262">
        <f t="shared" ref="T117:T125" ca="1" si="35">IF(Q117&gt;0,S117*100/Q117,0)</f>
        <v>79.0704078689281</v>
      </c>
      <c r="U117" s="262">
        <f t="shared" ref="U117:U125" ca="1" si="36">IF(R117&gt;0,S117*100/R117,0)</f>
        <v>79.0704078689281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346680</v>
      </c>
      <c r="R119" s="72">
        <f t="shared" ca="1" si="38"/>
        <v>346680</v>
      </c>
      <c r="S119" s="72">
        <f t="shared" ca="1" si="38"/>
        <v>274121.28999999998</v>
      </c>
      <c r="T119" s="72">
        <f t="shared" ca="1" si="35"/>
        <v>79.0704078689281</v>
      </c>
      <c r="U119" s="72">
        <f t="shared" ca="1" si="36"/>
        <v>79.0704078689281</v>
      </c>
    </row>
    <row r="120" spans="1:21" ht="18.75" x14ac:dyDescent="0.25">
      <c r="A120" s="255"/>
      <c r="B120" s="256"/>
      <c r="C120" s="256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346680</v>
      </c>
      <c r="R120" s="72">
        <f ca="1">R121+R122</f>
        <v>346680</v>
      </c>
      <c r="S120" s="72">
        <f ca="1">S121+S122</f>
        <v>274121.28999999998</v>
      </c>
      <c r="T120" s="72">
        <f t="shared" ca="1" si="35"/>
        <v>79.0704078689281</v>
      </c>
      <c r="U120" s="72">
        <f t="shared" ca="1" si="36"/>
        <v>79.0704078689281</v>
      </c>
    </row>
    <row r="121" spans="1:21" ht="18.75" hidden="1" x14ac:dyDescent="0.25">
      <c r="A121" s="255"/>
      <c r="B121" s="256"/>
      <c r="C121" s="256"/>
      <c r="D121" s="256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256"/>
      <c r="D122" s="256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IFERROR(__xludf.DUMMYFUNCTION("IMPORTRANGE(""https://docs.google.com/spreadsheets/d/1-uDff_7J0KD5mKrp0Vvzr7lt3OU09vwQwhkpOPPYv2Y/edit?usp=sharing"",""งบพรบ!BG64"")"),0)</f>
        <v>0</v>
      </c>
      <c r="M122" s="72">
        <f ca="1">IFERROR(__xludf.DUMMYFUNCTION("IMPORTRANGE(""https://docs.google.com/spreadsheets/d/1-uDff_7J0KD5mKrp0Vvzr7lt3OU09vwQwhkpOPPYv2Y/edit?usp=sharing"",""งบพรบ!BL64"")"),0)</f>
        <v>0</v>
      </c>
      <c r="N122" s="72">
        <f ca="1">IFERROR(__xludf.DUMMYFUNCTION("IMPORTRANGE(""https://docs.google.com/spreadsheets/d/1-uDff_7J0KD5mKrp0Vvzr7lt3OU09vwQwhkpOPPYv2Y/edit?usp=sharing"",""งบพรบ!BN64"")"),0)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IFERROR(__xludf.DUMMYFUNCTION("IMPORTRANGE(""https://docs.google.com/spreadsheets/d/1ItG2mGa2ceCfYo0BwxsXqNm01IGEUdYcSSLTEv9YCik/edit?usp=sharing"",""เบิกจ่ายกองทุน!U64"")"),346680)</f>
        <v>346680</v>
      </c>
      <c r="R122" s="72">
        <f ca="1">IFERROR(__xludf.DUMMYFUNCTION("IMPORTRANGE(""https://docs.google.com/spreadsheets/d/1ItG2mGa2ceCfYo0BwxsXqNm01IGEUdYcSSLTEv9YCik/edit?usp=sharing"",""เบิกจ่ายกองทุน!V64"")"),346680)</f>
        <v>346680</v>
      </c>
      <c r="S122" s="72">
        <f ca="1">IFERROR(__xludf.DUMMYFUNCTION("IMPORTRANGE(""https://docs.google.com/spreadsheets/d/1ItG2mGa2ceCfYo0BwxsXqNm01IGEUdYcSSLTEv9YCik/edit?usp=sharing"",""เบิกจ่ายกองทุน!W64"")"),274121.29)</f>
        <v>274121.28999999998</v>
      </c>
      <c r="T122" s="72">
        <f t="shared" ca="1" si="35"/>
        <v>79.0704078689281</v>
      </c>
      <c r="U122" s="72">
        <f t="shared" ca="1" si="36"/>
        <v>79.0704078689281</v>
      </c>
    </row>
    <row r="123" spans="1:21" ht="18.75" x14ac:dyDescent="0.25">
      <c r="A123" s="255"/>
      <c r="B123" s="256"/>
      <c r="C123" s="256"/>
      <c r="D123" s="268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256"/>
      <c r="D124" s="256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IFERROR(__xludf.DUMMYFUNCTION("IMPORTRANGE(""https://docs.google.com/spreadsheets/d/1-uDff_7J0KD5mKrp0Vvzr7lt3OU09vwQwhkpOPPYv2Y/edit?usp=sharing"",""งบพรบ!BJ64"")"),0)</f>
        <v>0</v>
      </c>
      <c r="M125" s="72">
        <f ca="1">IFERROR(__xludf.DUMMYFUNCTION("IMPORTRANGE(""https://docs.google.com/spreadsheets/d/1-uDff_7J0KD5mKrp0Vvzr7lt3OU09vwQwhkpOPPYv2Y/edit?usp=sharing"",""งบพรบ!BM64"")"),0)</f>
        <v>0</v>
      </c>
      <c r="N125" s="72">
        <f ca="1">IFERROR(__xludf.DUMMYFUNCTION("IMPORTRANGE(""https://docs.google.com/spreadsheets/d/1-uDff_7J0KD5mKrp0Vvzr7lt3OU09vwQwhkpOPPYv2Y/edit?usp=sharing"",""งบพรบ!BO64"")"),0)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IFERROR(__xludf.DUMMYFUNCTION("IMPORTRANGE(""https://docs.google.com/spreadsheets/d/1ItG2mGa2ceCfYo0BwxsXqNm01IGEUdYcSSLTEv9YCik/edit?usp=sharing"",""เบิกจ่ายกองทุน!X64"")"),0)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IFERROR(__xludf.DUMMYFUNCTION("IMPORTRANGE(""https://docs.google.com/spreadsheets/d/1ItG2mGa2ceCfYo0BwxsXqNm01IGEUdYcSSLTEv9YCik/edit?usp=sharing"",""เบิกจ่ายกองทุน!Y64"")"),0)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IFERROR(__xludf.DUMMYFUNCTION("IMPORTRANGE(""https://docs.google.com/spreadsheets/d/1ItG2mGa2ceCfYo0BwxsXqNm01IGEUdYcSSLTEv9YCik/edit?usp=sharing"",""เบิกจ่ายกองทุน!Z64"")"),0)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IFERROR(__xludf.DUMMYFUNCTION("IMPORTRANGE(""https://docs.google.com/spreadsheets/d/1eHaY18a8A9IcSdp1K8H6x8fbOy06t2VsZHhMHf-1x7Y/edit?usp=sharing"",""แผน!FF64"")"),70)</f>
        <v>70</v>
      </c>
      <c r="J127" s="292">
        <v>70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IFERROR(__xludf.DUMMYFUNCTION("IMPORTRANGE(""https://docs.google.com/spreadsheets/d/1eHaY18a8A9IcSdp1K8H6x8fbOy06t2VsZHhMHf-1x7Y/edit?usp=sharing"",""แผน!FG64"")"),0)</f>
        <v>0</v>
      </c>
      <c r="J128" s="292">
        <v>3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IFERROR(__xludf.DUMMYFUNCTION("IMPORTRANGE(""https://docs.google.com/spreadsheets/d/1eHaY18a8A9IcSdp1K8H6x8fbOy06t2VsZHhMHf-1x7Y/edit?usp=sharing"",""แผน!FH64"")"),30)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IFERROR(__xludf.DUMMYFUNCTION("IMPORTRANGE(""https://docs.google.com/spreadsheets/d/1eHaY18a8A9IcSdp1K8H6x8fbOy06t2VsZHhMHf-1x7Y/edit?usp=sharing"",""แผน!FI64"")"),0)</f>
        <v>0</v>
      </c>
      <c r="J130" s="292">
        <v>3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IFERROR(__xludf.DUMMYFUNCTION("IMPORTRANGE(""https://docs.google.com/spreadsheets/d/1-uDff_7J0KD5mKrp0Vvzr7lt3OU09vwQwhkpOPPYv2Y/edit?usp=sharing"",""งบพรบ!BQ64"")"),0)</f>
        <v>0</v>
      </c>
      <c r="M144" s="72">
        <f ca="1">IFERROR(__xludf.DUMMYFUNCTION("IMPORTRANGE(""https://docs.google.com/spreadsheets/d/1-uDff_7J0KD5mKrp0Vvzr7lt3OU09vwQwhkpOPPYv2Y/edit?usp=sharing"",""งบพรบ!BV64"")"),0)</f>
        <v>0</v>
      </c>
      <c r="N144" s="72">
        <f ca="1">IFERROR(__xludf.DUMMYFUNCTION("IMPORTRANGE(""https://docs.google.com/spreadsheets/d/1-uDff_7J0KD5mKrp0Vvzr7lt3OU09vwQwhkpOPPYv2Y/edit?usp=sharing"",""งบพรบ!BX64"")"),0)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IFERROR(__xludf.DUMMYFUNCTION("IMPORTRANGE(""https://docs.google.com/spreadsheets/d/1ItG2mGa2ceCfYo0BwxsXqNm01IGEUdYcSSLTEv9YCik/edit?usp=sharing"",""เบิกจ่ายกองทุน!CF64"")"),0)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IFERROR(__xludf.DUMMYFUNCTION("IMPORTRANGE(""https://docs.google.com/spreadsheets/d/1ItG2mGa2ceCfYo0BwxsXqNm01IGEUdYcSSLTEv9YCik/edit?usp=sharing"",""เบิกจ่ายกองทุน!CG64"")"),0)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IFERROR(__xludf.DUMMYFUNCTION("IMPORTRANGE(""https://docs.google.com/spreadsheets/d/1ItG2mGa2ceCfYo0BwxsXqNm01IGEUdYcSSLTEv9YCik/edit?usp=sharing"",""เบิกจ่ายกองทุน!CH64"")"),0)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IFERROR(__xludf.DUMMYFUNCTION("IMPORTRANGE(""https://docs.google.com/spreadsheets/d/1-uDff_7J0KD5mKrp0Vvzr7lt3OU09vwQwhkpOPPYv2Y/edit?usp=sharing"",""งบพรบ!BT64"")"),0)</f>
        <v>0</v>
      </c>
      <c r="M147" s="72">
        <f ca="1">IFERROR(__xludf.DUMMYFUNCTION("IMPORTRANGE(""https://docs.google.com/spreadsheets/d/1-uDff_7J0KD5mKrp0Vvzr7lt3OU09vwQwhkpOPPYv2Y/edit?usp=sharing"",""งบพรบ!BW64"")"),0)</f>
        <v>0</v>
      </c>
      <c r="N147" s="72">
        <f ca="1">IFERROR(__xludf.DUMMYFUNCTION("IMPORTRANGE(""https://docs.google.com/spreadsheets/d/1-uDff_7J0KD5mKrp0Vvzr7lt3OU09vwQwhkpOPPYv2Y/edit?usp=sharing"",""งบพรบ!BY64"")"),0)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IFERROR(__xludf.DUMMYFUNCTION("IMPORTRANGE(""https://docs.google.com/spreadsheets/d/1ItG2mGa2ceCfYo0BwxsXqNm01IGEUdYcSSLTEv9YCik/edit?usp=sharing"",""เบิกจ่ายกองทุน!CI64"")"),0)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IFERROR(__xludf.DUMMYFUNCTION("IMPORTRANGE(""https://docs.google.com/spreadsheets/d/1ItG2mGa2ceCfYo0BwxsXqNm01IGEUdYcSSLTEv9YCik/edit?usp=sharing"",""เบิกจ่ายกองทุน!CJ64"")"),0)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IFERROR(__xludf.DUMMYFUNCTION("IMPORTRANGE(""https://docs.google.com/spreadsheets/d/1ItG2mGa2ceCfYo0BwxsXqNm01IGEUdYcSSLTEv9YCik/edit?usp=sharing"",""เบิกจ่ายกองทุน!CK64"")"),0)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IFERROR(__xludf.DUMMYFUNCTION("IMPORTRANGE(""https://docs.google.com/spreadsheets/d/1eHaY18a8A9IcSdp1K8H6x8fbOy06t2VsZHhMHf-1x7Y/edit?usp=sharing"",""แผน!U64"")"),0)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IFERROR(__xludf.DUMMYFUNCTION("IMPORTRANGE(""https://docs.google.com/spreadsheets/d/1eHaY18a8A9IcSdp1K8H6x8fbOy06t2VsZHhMHf-1x7Y/edit?usp=sharing"",""แผน!V64"")"),0)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IFERROR(__xludf.DUMMYFUNCTION("IMPORTRANGE(""https://docs.google.com/spreadsheets/d/1eHaY18a8A9IcSdp1K8H6x8fbOy06t2VsZHhMHf-1x7Y/edit?usp=sharing"",""แผน!W64"")"),0)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IFERROR(__xludf.DUMMYFUNCTION("IMPORTRANGE(""https://docs.google.com/spreadsheets/d/1eHaY18a8A9IcSdp1K8H6x8fbOy06t2VsZHhMHf-1x7Y/edit?usp=sharing"",""แผน!X64"")"),0)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IFERROR(__xludf.DUMMYFUNCTION("IMPORTRANGE(""https://docs.google.com/spreadsheets/d/1eHaY18a8A9IcSdp1K8H6x8fbOy06t2VsZHhMHf-1x7Y/edit?usp=sharing"",""แผน!Y64"")"),0)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8490</v>
      </c>
      <c r="N157" s="262">
        <f ca="1">N158+N159</f>
        <v>6395</v>
      </c>
      <c r="O157" s="262">
        <f t="shared" ref="O157:O165" ca="1" si="45">IF(L157&gt;0,N157*100/L157,0)</f>
        <v>142.11111111111111</v>
      </c>
      <c r="P157" s="262">
        <f t="shared" ref="P157:P165" ca="1" si="46">IF(M157&gt;0,N157*100/M157,0)</f>
        <v>75.323910482921079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8490</v>
      </c>
      <c r="N159" s="72">
        <f t="shared" ca="1" si="49"/>
        <v>6395</v>
      </c>
      <c r="O159" s="72">
        <f t="shared" ca="1" si="45"/>
        <v>142.11111111111111</v>
      </c>
      <c r="P159" s="72">
        <f t="shared" ca="1" si="46"/>
        <v>75.323910482921079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8490</v>
      </c>
      <c r="N160" s="72">
        <f ca="1">N161+N162</f>
        <v>6395</v>
      </c>
      <c r="O160" s="72">
        <f t="shared" ca="1" si="45"/>
        <v>142.11111111111111</v>
      </c>
      <c r="P160" s="72">
        <f t="shared" ca="1" si="46"/>
        <v>75.323910482921079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IFERROR(__xludf.DUMMYFUNCTION("IMPORTRANGE(""https://docs.google.com/spreadsheets/d/1-uDff_7J0KD5mKrp0Vvzr7lt3OU09vwQwhkpOPPYv2Y/edit?usp=sharing"",""งบพรบ!CA64"")"),4500)</f>
        <v>4500</v>
      </c>
      <c r="M162" s="72">
        <f ca="1">IFERROR(__xludf.DUMMYFUNCTION("IMPORTRANGE(""https://docs.google.com/spreadsheets/d/1-uDff_7J0KD5mKrp0Vvzr7lt3OU09vwQwhkpOPPYv2Y/edit?usp=sharing"",""งบพรบ!CF64"")"),8490)</f>
        <v>8490</v>
      </c>
      <c r="N162" s="72">
        <f ca="1">IFERROR(__xludf.DUMMYFUNCTION("IMPORTRANGE(""https://docs.google.com/spreadsheets/d/1-uDff_7J0KD5mKrp0Vvzr7lt3OU09vwQwhkpOPPYv2Y/edit?usp=sharing"",""งบพรบ!CH64"")"),6395)</f>
        <v>6395</v>
      </c>
      <c r="O162" s="72">
        <f t="shared" ca="1" si="45"/>
        <v>142.11111111111111</v>
      </c>
      <c r="P162" s="72">
        <f t="shared" ca="1" si="46"/>
        <v>75.323910482921079</v>
      </c>
      <c r="Q162" s="72">
        <f ca="1">IFERROR(__xludf.DUMMYFUNCTION("IMPORTRANGE(""https://docs.google.com/spreadsheets/d/1ItG2mGa2ceCfYo0BwxsXqNm01IGEUdYcSSLTEv9YCik/edit?usp=sharing"",""เบิกจ่ายกองทุน!AM64"")"),0)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IFERROR(__xludf.DUMMYFUNCTION("IMPORTRANGE(""https://docs.google.com/spreadsheets/d/1ItG2mGa2ceCfYo0BwxsXqNm01IGEUdYcSSLTEv9YCik/edit?usp=sharing"",""เบิกจ่ายกองทุน!AN64"")"),0)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IFERROR(__xludf.DUMMYFUNCTION("IMPORTRANGE(""https://docs.google.com/spreadsheets/d/1ItG2mGa2ceCfYo0BwxsXqNm01IGEUdYcSSLTEv9YCik/edit?usp=sharing"",""เบิกจ่ายกองทุน!AO64"")"),0)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IFERROR(__xludf.DUMMYFUNCTION("IMPORTRANGE(""https://docs.google.com/spreadsheets/d/1-uDff_7J0KD5mKrp0Vvzr7lt3OU09vwQwhkpOPPYv2Y/edit?usp=sharing"",""งบพรบ!CD64"")"),0)</f>
        <v>0</v>
      </c>
      <c r="M165" s="72">
        <f ca="1">IFERROR(__xludf.DUMMYFUNCTION("IMPORTRANGE(""https://docs.google.com/spreadsheets/d/1-uDff_7J0KD5mKrp0Vvzr7lt3OU09vwQwhkpOPPYv2Y/edit?usp=sharing"",""งบพรบ!CG64"")"),0)</f>
        <v>0</v>
      </c>
      <c r="N165" s="72">
        <f ca="1">IFERROR(__xludf.DUMMYFUNCTION("IMPORTRANGE(""https://docs.google.com/spreadsheets/d/1-uDff_7J0KD5mKrp0Vvzr7lt3OU09vwQwhkpOPPYv2Y/edit?usp=sharing"",""งบพรบ!CI64"")"),0)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IFERROR(__xludf.DUMMYFUNCTION("IMPORTRANGE(""https://docs.google.com/spreadsheets/d/1eHaY18a8A9IcSdp1K8H6x8fbOy06t2VsZHhMHf-1x7Y/edit?usp=sharing"",""แผน!Z64"")"),15)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14</v>
      </c>
      <c r="J172" s="963">
        <f>J183+J184</f>
        <v>14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29430</v>
      </c>
      <c r="N173" s="262">
        <f ca="1">N174+N175</f>
        <v>28240</v>
      </c>
      <c r="O173" s="262">
        <f t="shared" ref="O173:O181" ca="1" si="51">IF(L173&gt;0,N173*100/L173,0)</f>
        <v>144.15518121490555</v>
      </c>
      <c r="P173" s="262">
        <f t="shared" ref="P173:P181" ca="1" si="52">IF(M173&gt;0,N173*100/M173,0)</f>
        <v>95.956506965681271</v>
      </c>
      <c r="Q173" s="262">
        <f ca="1">Q174+Q175</f>
        <v>20320</v>
      </c>
      <c r="R173" s="262">
        <f ca="1">R174+R175</f>
        <v>20320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29430</v>
      </c>
      <c r="N175" s="72">
        <f t="shared" ca="1" si="55"/>
        <v>28240</v>
      </c>
      <c r="O175" s="72">
        <f t="shared" ca="1" si="51"/>
        <v>144.15518121490555</v>
      </c>
      <c r="P175" s="72">
        <f t="shared" ca="1" si="52"/>
        <v>95.956506965681271</v>
      </c>
      <c r="Q175" s="72">
        <f t="shared" ca="1" si="56"/>
        <v>20320</v>
      </c>
      <c r="R175" s="72">
        <f t="shared" ca="1" si="56"/>
        <v>20320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29430</v>
      </c>
      <c r="N176" s="72">
        <f ca="1">N177+N178</f>
        <v>28240</v>
      </c>
      <c r="O176" s="72">
        <f t="shared" ca="1" si="51"/>
        <v>144.15518121490555</v>
      </c>
      <c r="P176" s="72">
        <f t="shared" ca="1" si="52"/>
        <v>95.956506965681271</v>
      </c>
      <c r="Q176" s="72">
        <f ca="1">Q177+Q178</f>
        <v>20320</v>
      </c>
      <c r="R176" s="72">
        <f ca="1">R177+R178</f>
        <v>20320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IFERROR(__xludf.DUMMYFUNCTION("IMPORTRANGE(""https://docs.google.com/spreadsheets/d/1-uDff_7J0KD5mKrp0Vvzr7lt3OU09vwQwhkpOPPYv2Y/edit?usp=sharing"",""งบพรบ!CK64"")"),19590)</f>
        <v>19590</v>
      </c>
      <c r="M178" s="72">
        <f ca="1">IFERROR(__xludf.DUMMYFUNCTION("IMPORTRANGE(""https://docs.google.com/spreadsheets/d/1-uDff_7J0KD5mKrp0Vvzr7lt3OU09vwQwhkpOPPYv2Y/edit?usp=sharing"",""งบพรบ!CP64"")"),29430)</f>
        <v>29430</v>
      </c>
      <c r="N178" s="72">
        <f ca="1">IFERROR(__xludf.DUMMYFUNCTION("IMPORTRANGE(""https://docs.google.com/spreadsheets/d/1-uDff_7J0KD5mKrp0Vvzr7lt3OU09vwQwhkpOPPYv2Y/edit?usp=sharing"",""งบพรบ!CR64"")"),28240)</f>
        <v>28240</v>
      </c>
      <c r="O178" s="72">
        <f t="shared" ca="1" si="51"/>
        <v>144.15518121490555</v>
      </c>
      <c r="P178" s="72">
        <f t="shared" ca="1" si="52"/>
        <v>95.956506965681271</v>
      </c>
      <c r="Q178" s="72">
        <f ca="1">IFERROR(__xludf.DUMMYFUNCTION("IMPORTRANGE(""https://docs.google.com/spreadsheets/d/1ItG2mGa2ceCfYo0BwxsXqNm01IGEUdYcSSLTEv9YCik/edit?usp=sharing"",""เบิกจ่ายกองทุน!DG64"")"),20320)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IFERROR(__xludf.DUMMYFUNCTION("IMPORTRANGE(""https://docs.google.com/spreadsheets/d/1ItG2mGa2ceCfYo0BwxsXqNm01IGEUdYcSSLTEv9YCik/edit?usp=sharing"",""เบิกจ่ายกองทุน!DH64"")"),20320)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IFERROR(__xludf.DUMMYFUNCTION("IMPORTRANGE(""https://docs.google.com/spreadsheets/d/1ItG2mGa2ceCfYo0BwxsXqNm01IGEUdYcSSLTEv9YCik/edit?usp=sharing"",""เบิกจ่ายกองทุน!DI64"")"),0)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IFERROR(__xludf.DUMMYFUNCTION("IMPORTRANGE(""https://docs.google.com/spreadsheets/d/1-uDff_7J0KD5mKrp0Vvzr7lt3OU09vwQwhkpOPPYv2Y/edit?usp=sharing"",""งบพรบ!CN64"")"),0)</f>
        <v>0</v>
      </c>
      <c r="M181" s="72">
        <f ca="1">IFERROR(__xludf.DUMMYFUNCTION("IMPORTRANGE(""https://docs.google.com/spreadsheets/d/1-uDff_7J0KD5mKrp0Vvzr7lt3OU09vwQwhkpOPPYv2Y/edit?usp=sharing"",""งบพรบ!CQ64"")"),0)</f>
        <v>0</v>
      </c>
      <c r="N181" s="72">
        <f ca="1">IFERROR(__xludf.DUMMYFUNCTION("IMPORTRANGE(""https://docs.google.com/spreadsheets/d/1-uDff_7J0KD5mKrp0Vvzr7lt3OU09vwQwhkpOPPYv2Y/edit?usp=sharing"",""งบพรบ!CS64"")"),0)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IFERROR(__xludf.DUMMYFUNCTION("IMPORTRANGE(""https://docs.google.com/spreadsheets/d/1eHaY18a8A9IcSdp1K8H6x8fbOy06t2VsZHhMHf-1x7Y/edit?usp=sharing"",""แผน!AA64"")"),14)</f>
        <v>14</v>
      </c>
      <c r="J183" s="292">
        <v>14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100</v>
      </c>
      <c r="J185" s="963">
        <f>J230+J231</f>
        <v>100</v>
      </c>
      <c r="K185" s="962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2465250</v>
      </c>
      <c r="M186" s="262">
        <f ca="1">M187+M188</f>
        <v>2660495</v>
      </c>
      <c r="N186" s="262">
        <f ca="1">N187+N188</f>
        <v>740811.83</v>
      </c>
      <c r="O186" s="262">
        <f t="shared" ref="O186:O194" ca="1" si="57">IF(L186&gt;0,N186*100/L186,0)</f>
        <v>30.050170570936011</v>
      </c>
      <c r="P186" s="262">
        <f t="shared" ref="P186:P194" ca="1" si="58">IF(M186&gt;0,N186*100/M186,0)</f>
        <v>27.844887135664603</v>
      </c>
      <c r="Q186" s="262">
        <f ca="1">Q187+Q188</f>
        <v>84000</v>
      </c>
      <c r="R186" s="262">
        <f ca="1">R187+R188</f>
        <v>84000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2465250</v>
      </c>
      <c r="M188" s="72">
        <f t="shared" ca="1" si="61"/>
        <v>2660495</v>
      </c>
      <c r="N188" s="72">
        <f t="shared" ca="1" si="61"/>
        <v>740811.83</v>
      </c>
      <c r="O188" s="72">
        <f t="shared" ca="1" si="57"/>
        <v>30.050170570936011</v>
      </c>
      <c r="P188" s="72">
        <f t="shared" ca="1" si="58"/>
        <v>27.844887135664603</v>
      </c>
      <c r="Q188" s="72">
        <f t="shared" ca="1" si="62"/>
        <v>84000</v>
      </c>
      <c r="R188" s="72">
        <f t="shared" ca="1" si="62"/>
        <v>84000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813250</v>
      </c>
      <c r="M189" s="72">
        <f ca="1">M190+M191</f>
        <v>1008495</v>
      </c>
      <c r="N189" s="72">
        <f ca="1">N190+N191</f>
        <v>740811.83</v>
      </c>
      <c r="O189" s="72">
        <f t="shared" ca="1" si="57"/>
        <v>91.092754995388873</v>
      </c>
      <c r="P189" s="72">
        <f t="shared" ca="1" si="58"/>
        <v>73.45716438851953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IFERROR(__xludf.DUMMYFUNCTION("IMPORTRANGE(""https://docs.google.com/spreadsheets/d/1-uDff_7J0KD5mKrp0Vvzr7lt3OU09vwQwhkpOPPYv2Y/edit?usp=sharing"",""งบพรบ!CU64"")"),813250)</f>
        <v>813250</v>
      </c>
      <c r="M191" s="72">
        <f ca="1">IFERROR(__xludf.DUMMYFUNCTION("IMPORTRANGE(""https://docs.google.com/spreadsheets/d/1-uDff_7J0KD5mKrp0Vvzr7lt3OU09vwQwhkpOPPYv2Y/edit?usp=sharing"",""งบพรบ!CZ64"")"),1008495)</f>
        <v>1008495</v>
      </c>
      <c r="N191" s="72">
        <f ca="1">IFERROR(__xludf.DUMMYFUNCTION("IMPORTRANGE(""https://docs.google.com/spreadsheets/d/1-uDff_7J0KD5mKrp0Vvzr7lt3OU09vwQwhkpOPPYv2Y/edit?usp=sharing"",""งบพรบ!DB64"")"),740811.83)</f>
        <v>740811.83</v>
      </c>
      <c r="O191" s="72">
        <f t="shared" ca="1" si="57"/>
        <v>91.092754995388873</v>
      </c>
      <c r="P191" s="72">
        <f t="shared" ca="1" si="58"/>
        <v>73.45716438851953</v>
      </c>
      <c r="Q191" s="72">
        <f ca="1">IFERROR(__xludf.DUMMYFUNCTION("IMPORTRANGE(""https://docs.google.com/spreadsheets/d/1ItG2mGa2ceCfYo0BwxsXqNm01IGEUdYcSSLTEv9YCik/edit?usp=sharing"",""เบิกจ่ายกองทุน!BQ64"")"),0)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IFERROR(__xludf.DUMMYFUNCTION("IMPORTRANGE(""https://docs.google.com/spreadsheets/d/1ItG2mGa2ceCfYo0BwxsXqNm01IGEUdYcSSLTEv9YCik/edit?usp=sharing"",""เบิกจ่ายกองทุน!BR64"")"),0)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IFERROR(__xludf.DUMMYFUNCTION("IMPORTRANGE(""https://docs.google.com/spreadsheets/d/1ItG2mGa2ceCfYo0BwxsXqNm01IGEUdYcSSLTEv9YCik/edit?usp=sharing"",""เบิกจ่ายกองทุน!BS64"")"),0)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1652000</v>
      </c>
      <c r="M192" s="72">
        <f ca="1">M193+M194</f>
        <v>1652000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84000</v>
      </c>
      <c r="R192" s="72">
        <f ca="1">R193+R194</f>
        <v>84000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IFERROR(__xludf.DUMMYFUNCTION("IMPORTRANGE(""https://docs.google.com/spreadsheets/d/1-uDff_7J0KD5mKrp0Vvzr7lt3OU09vwQwhkpOPPYv2Y/edit?usp=sharing"",""งบพรบ!CX64"")"),1652000)</f>
        <v>1652000</v>
      </c>
      <c r="M194" s="72">
        <f ca="1">IFERROR(__xludf.DUMMYFUNCTION("IMPORTRANGE(""https://docs.google.com/spreadsheets/d/1-uDff_7J0KD5mKrp0Vvzr7lt3OU09vwQwhkpOPPYv2Y/edit?usp=sharing"",""งบพรบ!DA64"")"),1652000)</f>
        <v>1652000</v>
      </c>
      <c r="N194" s="72">
        <f ca="1">IFERROR(__xludf.DUMMYFUNCTION("IMPORTRANGE(""https://docs.google.com/spreadsheets/d/1-uDff_7J0KD5mKrp0Vvzr7lt3OU09vwQwhkpOPPYv2Y/edit?usp=sharing"",""งบพรบ!DC64"")"),0)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IFERROR(__xludf.DUMMYFUNCTION("IMPORTRANGE(""https://docs.google.com/spreadsheets/d/1ItG2mGa2ceCfYo0BwxsXqNm01IGEUdYcSSLTEv9YCik/edit?usp=sharing"",""เบิกจ่ายกองทุน!BT64"")"),84000)</f>
        <v>84000</v>
      </c>
      <c r="R194" s="72">
        <f ca="1">IFERROR(__xludf.DUMMYFUNCTION("IMPORTRANGE(""https://docs.google.com/spreadsheets/d/1ItG2mGa2ceCfYo0BwxsXqNm01IGEUdYcSSLTEv9YCik/edit?usp=sharing"",""เบิกจ่ายกองทุน!BU64"")"),84000)</f>
        <v>84000</v>
      </c>
      <c r="S194" s="72">
        <f ca="1">IFERROR(__xludf.DUMMYFUNCTION("IMPORTRANGE(""https://docs.google.com/spreadsheets/d/1ItG2mGa2ceCfYo0BwxsXqNm01IGEUdYcSSLTEv9YCik/edit?usp=sharing"",""เบิกจ่ายกองทุน!BV64"")"),0)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IFERROR(__xludf.DUMMYFUNCTION("IMPORTRANGE(""https://docs.google.com/spreadsheets/d/1eHaY18a8A9IcSdp1K8H6x8fbOy06t2VsZHhMHf-1x7Y/edit?usp=sharing"",""แผน!AB64"")"),6000)</f>
        <v>6000</v>
      </c>
      <c r="M196" s="85"/>
      <c r="N196" s="961">
        <v>2360</v>
      </c>
      <c r="O196" s="262">
        <f ca="1">IF(L196&gt;0,N196*100/L196,0)</f>
        <v>39.333333333333336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IFERROR(__xludf.DUMMYFUNCTION("IMPORTRANGE(""https://docs.google.com/spreadsheets/d/1eHaY18a8A9IcSdp1K8H6x8fbOy06t2VsZHhMHf-1x7Y/edit?usp=sharing"",""แผน!AE64"")"),4)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124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124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IFERROR(__xludf.DUMMYFUNCTION("IMPORTRANGE(""https://docs.google.com/spreadsheets/d/1eHaY18a8A9IcSdp1K8H6x8fbOy06t2VsZHhMHf-1x7Y/edit?usp=sharing"",""แผน!AG64"")"),0)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IFERROR(__xludf.DUMMYFUNCTION("IMPORTRANGE(""https://docs.google.com/spreadsheets/d/1eHaY18a8A9IcSdp1K8H6x8fbOy06t2VsZHhMHf-1x7Y/edit?usp=sharing"",""แผน!AH64"")"),0)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IFERROR(__xludf.DUMMYFUNCTION("IMPORTRANGE(""https://docs.google.com/spreadsheets/d/1eHaY18a8A9IcSdp1K8H6x8fbOy06t2VsZHhMHf-1x7Y/edit?usp=sharing"",""แผน!AI64"")"),0)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IFERROR(__xludf.DUMMYFUNCTION("IMPORTRANGE(""https://docs.google.com/spreadsheets/d/1eHaY18a8A9IcSdp1K8H6x8fbOy06t2VsZHhMHf-1x7Y/edit?usp=sharing"",""แผน!LV64"")"),0)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IFERROR(__xludf.DUMMYFUNCTION("IMPORTRANGE(""https://docs.google.com/spreadsheets/d/1eHaY18a8A9IcSdp1K8H6x8fbOy06t2VsZHhMHf-1x7Y/edit?usp=sharing"",""แผน!AJ64"")"),0)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IFERROR(__xludf.DUMMYFUNCTION("IMPORTRANGE(""https://docs.google.com/spreadsheets/d/1eHaY18a8A9IcSdp1K8H6x8fbOy06t2VsZHhMHf-1x7Y/edit?usp=sharing"",""แผน!AK64"")"),0)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IFERROR(__xludf.DUMMYFUNCTION("IMPORTRANGE(""https://docs.google.com/spreadsheets/d/1eHaY18a8A9IcSdp1K8H6x8fbOy06t2VsZHhMHf-1x7Y/edit?usp=sharing"",""แผน!JX64"")"),2)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IFERROR(__xludf.DUMMYFUNCTION("IMPORTRANGE(""https://docs.google.com/spreadsheets/d/1eHaY18a8A9IcSdp1K8H6x8fbOy06t2VsZHhMHf-1x7Y/edit?usp=sharing"",""แผน!JY64"")"),0)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IFERROR(__xludf.DUMMYFUNCTION("IMPORTRANGE(""https://docs.google.com/spreadsheets/d/1eHaY18a8A9IcSdp1K8H6x8fbOy06t2VsZHhMHf-1x7Y/edit?usp=sharing"",""แผน!AM64"")"),0)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IFERROR(__xludf.DUMMYFUNCTION("IMPORTRANGE(""https://docs.google.com/spreadsheets/d/1eHaY18a8A9IcSdp1K8H6x8fbOy06t2VsZHhMHf-1x7Y/edit?usp=sharing"",""แผน!AN64"")"),0)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IFERROR(__xludf.DUMMYFUNCTION("IMPORTRANGE(""https://docs.google.com/spreadsheets/d/1eHaY18a8A9IcSdp1K8H6x8fbOy06t2VsZHhMHf-1x7Y/edit?usp=sharing"",""แผน!AO64"")"),0)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IFERROR(__xludf.DUMMYFUNCTION("IMPORTRANGE(""https://docs.google.com/spreadsheets/d/1eHaY18a8A9IcSdp1K8H6x8fbOy06t2VsZHhMHf-1x7Y/edit?usp=sharing"",""แผน!LY64"")"),0)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IFERROR(__xludf.DUMMYFUNCTION("IMPORTRANGE(""https://docs.google.com/spreadsheets/d/1eHaY18a8A9IcSdp1K8H6x8fbOy06t2VsZHhMHf-1x7Y/edit?usp=sharing"",""แผน!AP64"")"),0)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IFERROR(__xludf.DUMMYFUNCTION("IMPORTRANGE(""https://docs.google.com/spreadsheets/d/1eHaY18a8A9IcSdp1K8H6x8fbOy06t2VsZHhMHf-1x7Y/edit?usp=sharing"",""แผน!AP64"")"),0)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20000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IFERROR(__xludf.DUMMYFUNCTION("IMPORTRANGE(""https://docs.google.com/spreadsheets/d/1eHaY18a8A9IcSdp1K8H6x8fbOy06t2VsZHhMHf-1x7Y/edit?usp=sharing"",""แผน!AR64"")"),2500)</f>
        <v>2500</v>
      </c>
      <c r="M223" s="85"/>
      <c r="N223" s="387">
        <v>3000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IFERROR(__xludf.DUMMYFUNCTION("IMPORTRANGE(""https://docs.google.com/spreadsheets/d/1eHaY18a8A9IcSdp1K8H6x8fbOy06t2VsZHhMHf-1x7Y/edit?usp=sharing"",""แผน!AS64"")"),2000)</f>
        <v>2000</v>
      </c>
      <c r="M224" s="85"/>
      <c r="N224" s="387">
        <v>1500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IFERROR(__xludf.DUMMYFUNCTION("IMPORTRANGE(""https://docs.google.com/spreadsheets/d/1eHaY18a8A9IcSdp1K8H6x8fbOy06t2VsZHhMHf-1x7Y/edit?usp=sharing"",""แผน!AT64"")"),0)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IFERROR(__xludf.DUMMYFUNCTION("IMPORTRANGE(""https://docs.google.com/spreadsheets/d/1eHaY18a8A9IcSdp1K8H6x8fbOy06t2VsZHhMHf-1x7Y/edit?usp=sharing"",""แผน!AV64"")"),20000)</f>
        <v>20000</v>
      </c>
      <c r="J228" s="292">
        <v>20000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IFERROR(__xludf.DUMMYFUNCTION("IMPORTRANGE(""https://docs.google.com/spreadsheets/d/1eHaY18a8A9IcSdp1K8H6x8fbOy06t2VsZHhMHf-1x7Y/edit?usp=sharing"",""แผน!AV64"")"),20000)</f>
        <v>20000</v>
      </c>
      <c r="J229" s="292">
        <v>20000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IFERROR(__xludf.DUMMYFUNCTION("IMPORTRANGE(""https://docs.google.com/spreadsheets/d/1eHaY18a8A9IcSdp1K8H6x8fbOy06t2VsZHhMHf-1x7Y/edit?usp=sharing"",""แผน!AU64"")"),0)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953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100</v>
      </c>
      <c r="J231" s="951">
        <f>J242+J253</f>
        <v>100</v>
      </c>
      <c r="K231" s="950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935"/>
      <c r="C232" s="834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7">
        <f ca="1">L243+L254</f>
        <v>435150</v>
      </c>
      <c r="M232" s="85"/>
      <c r="N232" s="956">
        <f>N243+N254</f>
        <v>294745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936"/>
      <c r="B233" s="1082"/>
      <c r="C233" s="935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74">
        <f ca="1">L244+L255</f>
        <v>162000</v>
      </c>
      <c r="M233" s="85"/>
      <c r="N233" s="75">
        <f>N244+N255</f>
        <v>8595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74">
        <f ca="1">L245+L256</f>
        <v>6000</v>
      </c>
      <c r="M234" s="85"/>
      <c r="N234" s="75">
        <f>N245+N256</f>
        <v>91000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74">
        <f ca="1">L246+L257</f>
        <v>162150</v>
      </c>
      <c r="M235" s="85"/>
      <c r="N235" s="75">
        <f>N246+N257</f>
        <v>162150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74">
        <f ca="1">L247+L258</f>
        <v>105000</v>
      </c>
      <c r="M236" s="85"/>
      <c r="N236" s="75">
        <f>N247+N258</f>
        <v>33000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07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945" t="s">
        <v>35</v>
      </c>
      <c r="I238" s="570">
        <f ca="1">I249+I260</f>
        <v>100</v>
      </c>
      <c r="J238" s="570">
        <f>J249+J260</f>
        <v>100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07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945" t="s">
        <v>35</v>
      </c>
      <c r="I240" s="570">
        <f ca="1">I251+I262</f>
        <v>40</v>
      </c>
      <c r="J240" s="570">
        <f>J251+J262</f>
        <v>40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945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344</v>
      </c>
      <c r="D242" s="371"/>
      <c r="E242" s="371"/>
      <c r="F242" s="371"/>
      <c r="G242" s="372"/>
      <c r="H242" s="373" t="s">
        <v>35</v>
      </c>
      <c r="I242" s="374">
        <f ca="1">I249</f>
        <v>100</v>
      </c>
      <c r="J242" s="374">
        <f>J249</f>
        <v>100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435150</v>
      </c>
      <c r="M243" s="85"/>
      <c r="N243" s="262">
        <f>N244+N245+N246+N247</f>
        <v>294745</v>
      </c>
      <c r="O243" s="262">
        <f ca="1">IF(L243&gt;0,N243*100/L243,0)</f>
        <v>67.734114673101232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IFERROR(__xludf.DUMMYFUNCTION("IMPORTRANGE(""https://docs.google.com/spreadsheets/d/1eHaY18a8A9IcSdp1K8H6x8fbOy06t2VsZHhMHf-1x7Y/edit?usp=sharing"",""แผน!AX64"")"),162000)</f>
        <v>162000</v>
      </c>
      <c r="M244" s="85"/>
      <c r="N244" s="387">
        <v>8595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317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IFERROR(__xludf.DUMMYFUNCTION("IMPORTRANGE(""https://docs.google.com/spreadsheets/d/1eHaY18a8A9IcSdp1K8H6x8fbOy06t2VsZHhMHf-1x7Y/edit?usp=sharing"",""แผน!AY64"")"),6000)</f>
        <v>6000</v>
      </c>
      <c r="M245" s="85"/>
      <c r="N245" s="387">
        <v>91000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IFERROR(__xludf.DUMMYFUNCTION("IMPORTRANGE(""https://docs.google.com/spreadsheets/d/1eHaY18a8A9IcSdp1K8H6x8fbOy06t2VsZHhMHf-1x7Y/edit?usp=sharing"",""แผน!AZ64"")"),162150)</f>
        <v>162150</v>
      </c>
      <c r="M246" s="85"/>
      <c r="N246" s="387">
        <v>162150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IFERROR(__xludf.DUMMYFUNCTION("IMPORTRANGE(""https://docs.google.com/spreadsheets/d/1eHaY18a8A9IcSdp1K8H6x8fbOy06t2VsZHhMHf-1x7Y/edit?usp=sharing"",""แผน!BA64"")"),105000)</f>
        <v>105000</v>
      </c>
      <c r="M247" s="85"/>
      <c r="N247" s="387">
        <v>33000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IFERROR(__xludf.DUMMYFUNCTION("IMPORTRANGE(""https://docs.google.com/spreadsheets/d/1eHaY18a8A9IcSdp1K8H6x8fbOy06t2VsZHhMHf-1x7Y/edit?usp=sharing"",""แผน!BG64"")"),100)</f>
        <v>100</v>
      </c>
      <c r="J249" s="794">
        <v>100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24" t="s">
        <v>343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IFERROR(__xludf.DUMMYFUNCTION("IMPORTRANGE(""https://docs.google.com/spreadsheets/d/1eHaY18a8A9IcSdp1K8H6x8fbOy06t2VsZHhMHf-1x7Y/edit?usp=sharing"",""แผน!KB64"")"),40)</f>
        <v>40</v>
      </c>
      <c r="J251" s="794">
        <v>40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342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IFERROR(__xludf.DUMMYFUNCTION("IMPORTRANGE(""https://docs.google.com/spreadsheets/d/1eHaY18a8A9IcSdp1K8H6x8fbOy06t2VsZHhMHf-1x7Y/edit?usp=sharing"",""แผน!KC64"")"),1)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IFERROR(__xludf.DUMMYFUNCTION("IMPORTRANGE(""https://docs.google.com/spreadsheets/d/1eHaY18a8A9IcSdp1K8H6x8fbOy06t2VsZHhMHf-1x7Y/edit?usp=sharing"",""แผน!BB64"")"),0)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IFERROR(__xludf.DUMMYFUNCTION("IMPORTRANGE(""https://docs.google.com/spreadsheets/d/1eHaY18a8A9IcSdp1K8H6x8fbOy06t2VsZHhMHf-1x7Y/edit?usp=sharing"",""แผน!BC64"")"),0)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IFERROR(__xludf.DUMMYFUNCTION("IMPORTRANGE(""https://docs.google.com/spreadsheets/d/1eHaY18a8A9IcSdp1K8H6x8fbOy06t2VsZHhMHf-1x7Y/edit?usp=sharing"",""แผน!BD64"")"),0)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IFERROR(__xludf.DUMMYFUNCTION("IMPORTRANGE(""https://docs.google.com/spreadsheets/d/1eHaY18a8A9IcSdp1K8H6x8fbOy06t2VsZHhMHf-1x7Y/edit?usp=sharing"",""แผน!BE64"")"),0)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IFERROR(__xludf.DUMMYFUNCTION("IMPORTRANGE(""https://docs.google.com/spreadsheets/d/1eHaY18a8A9IcSdp1K8H6x8fbOy06t2VsZHhMHf-1x7Y/edit?usp=sharing"",""แผน!BH64"")"),0)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0</v>
      </c>
      <c r="K265" s="360">
        <f ca="1">IF(I265&gt;0,J265*100/I265,0)</f>
        <v>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1960</v>
      </c>
      <c r="T266" s="211">
        <f t="shared" ref="T266:T274" ca="1" si="65">IF(Q266&gt;0,S266*100/Q266,0)</f>
        <v>3.8689301223845245</v>
      </c>
      <c r="U266" s="211">
        <f t="shared" ref="U266:U274" ca="1" si="66">IF(R266&gt;0,S266*100/R266,0)</f>
        <v>3.8689301223845245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1960</v>
      </c>
      <c r="T268" s="86">
        <f t="shared" ca="1" si="65"/>
        <v>3.8689301223845245</v>
      </c>
      <c r="U268" s="86">
        <f t="shared" ca="1" si="66"/>
        <v>3.8689301223845245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1960</v>
      </c>
      <c r="T269" s="86">
        <f t="shared" ca="1" si="65"/>
        <v>3.8689301223845245</v>
      </c>
      <c r="U269" s="86">
        <f t="shared" ca="1" si="66"/>
        <v>3.8689301223845245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IFERROR(__xludf.DUMMYFUNCTION("IMPORTRANGE(""https://docs.google.com/spreadsheets/d/1-uDff_7J0KD5mKrp0Vvzr7lt3OU09vwQwhkpOPPYv2Y/edit?usp=sharing"",""งบพรบ!DE64"")"),5000)</f>
        <v>5000</v>
      </c>
      <c r="M271" s="86">
        <f ca="1">IFERROR(__xludf.DUMMYFUNCTION("IMPORTRANGE(""https://docs.google.com/spreadsheets/d/1-uDff_7J0KD5mKrp0Vvzr7lt3OU09vwQwhkpOPPYv2Y/edit?usp=sharing"",""งบพรบ!DJ64"")"),5000)</f>
        <v>5000</v>
      </c>
      <c r="N271" s="86">
        <f ca="1">IFERROR(__xludf.DUMMYFUNCTION("IMPORTRANGE(""https://docs.google.com/spreadsheets/d/1-uDff_7J0KD5mKrp0Vvzr7lt3OU09vwQwhkpOPPYv2Y/edit?usp=sharing"",""งบพรบ!DL64"")"),5000)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IFERROR(__xludf.DUMMYFUNCTION("IMPORTRANGE(""https://docs.google.com/spreadsheets/d/1ItG2mGa2ceCfYo0BwxsXqNm01IGEUdYcSSLTEv9YCik/edit?usp=sharing"",""เบิกจ่ายกองทุน!AP64"")"),50660)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IFERROR(__xludf.DUMMYFUNCTION("IMPORTRANGE(""https://docs.google.com/spreadsheets/d/1ItG2mGa2ceCfYo0BwxsXqNm01IGEUdYcSSLTEv9YCik/edit?usp=sharing"",""เบิกจ่ายกองทุน!AQ64"")"),50660)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IFERROR(__xludf.DUMMYFUNCTION("IMPORTRANGE(""https://docs.google.com/spreadsheets/d/1ItG2mGa2ceCfYo0BwxsXqNm01IGEUdYcSSLTEv9YCik/edit?usp=sharing"",""เบิกจ่ายกองทุน!AR64"")"),1960)</f>
        <v>1960</v>
      </c>
      <c r="T271" s="86">
        <f t="shared" ca="1" si="65"/>
        <v>3.8689301223845245</v>
      </c>
      <c r="U271" s="86">
        <f t="shared" ca="1" si="66"/>
        <v>3.8689301223845245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IFERROR(__xludf.DUMMYFUNCTION("IMPORTRANGE(""https://docs.google.com/spreadsheets/d/1-uDff_7J0KD5mKrp0Vvzr7lt3OU09vwQwhkpOPPYv2Y/edit?usp=sharing"",""งบพรบ!DH64"")"),0)</f>
        <v>0</v>
      </c>
      <c r="M274" s="86">
        <f ca="1">IFERROR(__xludf.DUMMYFUNCTION("IMPORTRANGE(""https://docs.google.com/spreadsheets/d/1-uDff_7J0KD5mKrp0Vvzr7lt3OU09vwQwhkpOPPYv2Y/edit?usp=sharing"",""งบพรบ!DK64"")"),0)</f>
        <v>0</v>
      </c>
      <c r="N274" s="86">
        <f ca="1">IFERROR(__xludf.DUMMYFUNCTION("IMPORTRANGE(""https://docs.google.com/spreadsheets/d/1-uDff_7J0KD5mKrp0Vvzr7lt3OU09vwQwhkpOPPYv2Y/edit?usp=sharing"",""งบพรบ!DM64"")"),0)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IFERROR(__xludf.DUMMYFUNCTION("IMPORTRANGE(""https://docs.google.com/spreadsheets/d/1eHaY18a8A9IcSdp1K8H6x8fbOy06t2VsZHhMHf-1x7Y/edit?usp=sharing"",""แผน!EC64"")"),22)</f>
        <v>22</v>
      </c>
      <c r="J276" s="319">
        <v>0</v>
      </c>
      <c r="K276" s="83">
        <f ca="1">IF(I276&gt;0,J276*100/I276,0)</f>
        <v>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371"/>
      <c r="B277" s="647"/>
      <c r="C277" s="647"/>
      <c r="D277" s="1370" t="s">
        <v>116</v>
      </c>
      <c r="E277" s="1369"/>
      <c r="F277" s="1369"/>
      <c r="G277" s="1368"/>
      <c r="H277" s="91" t="s">
        <v>35</v>
      </c>
      <c r="I277" s="649">
        <v>0</v>
      </c>
      <c r="J277" s="649">
        <v>0</v>
      </c>
      <c r="K277" s="1367">
        <v>0</v>
      </c>
      <c r="L277" s="1366"/>
      <c r="M277" s="1365"/>
      <c r="N277" s="1365"/>
      <c r="O277" s="1365"/>
      <c r="P277" s="1365"/>
      <c r="Q277" s="1365"/>
      <c r="R277" s="1365"/>
      <c r="S277" s="1365"/>
      <c r="T277" s="1365"/>
      <c r="U277" s="1365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IFERROR(__xludf.DUMMYFUNCTION("IMPORTRANGE(""https://docs.google.com/spreadsheets/d/1-uDff_7J0KD5mKrp0Vvzr7lt3OU09vwQwhkpOPPYv2Y/edit?usp=sharing"",""งบพรบ!DO64"")"),0)</f>
        <v>0</v>
      </c>
      <c r="M287" s="72">
        <f ca="1">IFERROR(__xludf.DUMMYFUNCTION("IMPORTRANGE(""https://docs.google.com/spreadsheets/d/1-uDff_7J0KD5mKrp0Vvzr7lt3OU09vwQwhkpOPPYv2Y/edit?usp=sharing"",""งบพรบ!DT64"")"),0)</f>
        <v>0</v>
      </c>
      <c r="N287" s="72">
        <f ca="1">IFERROR(__xludf.DUMMYFUNCTION("IMPORTRANGE(""https://docs.google.com/spreadsheets/d/1-uDff_7J0KD5mKrp0Vvzr7lt3OU09vwQwhkpOPPYv2Y/edit?usp=sharing"",""งบพรบ!DV64"")"),0)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IFERROR(__xludf.DUMMYFUNCTION("IMPORTRANGE(""https://docs.google.com/spreadsheets/d/1-uDff_7J0KD5mKrp0Vvzr7lt3OU09vwQwhkpOPPYv2Y/edit?usp=sharing"",""งบพรบ!DR64"")"),0)</f>
        <v>0</v>
      </c>
      <c r="M290" s="72">
        <f ca="1">IFERROR(__xludf.DUMMYFUNCTION("IMPORTRANGE(""https://docs.google.com/spreadsheets/d/1-uDff_7J0KD5mKrp0Vvzr7lt3OU09vwQwhkpOPPYv2Y/edit?usp=sharing"",""งบพรบ!DU64"")"),0)</f>
        <v>0</v>
      </c>
      <c r="N290" s="72">
        <f ca="1">IFERROR(__xludf.DUMMYFUNCTION("IMPORTRANGE(""https://docs.google.com/spreadsheets/d/1-uDff_7J0KD5mKrp0Vvzr7lt3OU09vwQwhkpOPPYv2Y/edit?usp=sharing"",""งบพรบ!DW64"")"),0)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IFERROR(__xludf.DUMMYFUNCTION("IMPORTRANGE(""https://docs.google.com/spreadsheets/d/1eHaY18a8A9IcSdp1K8H6x8fbOy06t2VsZHhMHf-1x7Y/edit?usp=sharing"",""แผน!EE64"")"),0)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IFERROR(__xludf.DUMMYFUNCTION("IMPORTRANGE(""https://docs.google.com/spreadsheets/d/1eHaY18a8A9IcSdp1K8H6x8fbOy06t2VsZHhMHf-1x7Y/edit?usp=sharing"",""แผน!ED64"")"),0)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IFERROR(__xludf.DUMMYFUNCTION("IMPORTRANGE(""https://docs.google.com/spreadsheets/d/1eHaY18a8A9IcSdp1K8H6x8fbOy06t2VsZHhMHf-1x7Y/edit?usp=sharing"",""แผน!ED64"")"),0)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IFERROR(__xludf.DUMMYFUNCTION("IMPORTRANGE(""https://docs.google.com/spreadsheets/d/1eHaY18a8A9IcSdp1K8H6x8fbOy06t2VsZHhMHf-1x7Y/edit?usp=sharing"",""แผน!ED64"")"),0)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20</v>
      </c>
      <c r="J302" s="595">
        <f>J314</f>
        <v>20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103900</v>
      </c>
      <c r="M303" s="262">
        <f ca="1">M304+M305</f>
        <v>192940</v>
      </c>
      <c r="N303" s="262">
        <f ca="1">N304+N305</f>
        <v>84020</v>
      </c>
      <c r="O303" s="262">
        <f t="shared" ref="O303:O311" ca="1" si="75">IF(L303&gt;0,N303*100/L303,0)</f>
        <v>80.866217516843122</v>
      </c>
      <c r="P303" s="262">
        <f t="shared" ref="P303:P311" ca="1" si="76">IF(M303&gt;0,N303*100/M303,0)</f>
        <v>43.547216751321656</v>
      </c>
      <c r="Q303" s="262">
        <f ca="1">Q304+Q305</f>
        <v>144609.24</v>
      </c>
      <c r="R303" s="262">
        <f ca="1">R304+R305</f>
        <v>144609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103900</v>
      </c>
      <c r="M305" s="72">
        <f t="shared" ca="1" si="79"/>
        <v>192940</v>
      </c>
      <c r="N305" s="72">
        <f t="shared" ca="1" si="79"/>
        <v>84020</v>
      </c>
      <c r="O305" s="72">
        <f t="shared" ca="1" si="75"/>
        <v>80.866217516843122</v>
      </c>
      <c r="P305" s="72">
        <f t="shared" ca="1" si="76"/>
        <v>43.547216751321656</v>
      </c>
      <c r="Q305" s="72">
        <f t="shared" ca="1" si="80"/>
        <v>144609.24</v>
      </c>
      <c r="R305" s="72">
        <f t="shared" ca="1" si="80"/>
        <v>144609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103900</v>
      </c>
      <c r="M306" s="72">
        <f ca="1">M307+M308</f>
        <v>192940</v>
      </c>
      <c r="N306" s="72">
        <f ca="1">N307+N308</f>
        <v>84020</v>
      </c>
      <c r="O306" s="72">
        <f t="shared" ca="1" si="75"/>
        <v>80.866217516843122</v>
      </c>
      <c r="P306" s="72">
        <f t="shared" ca="1" si="76"/>
        <v>43.547216751321656</v>
      </c>
      <c r="Q306" s="72">
        <f ca="1">Q307+Q308</f>
        <v>144609.24</v>
      </c>
      <c r="R306" s="72">
        <f ca="1">R307+R308</f>
        <v>144609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IFERROR(__xludf.DUMMYFUNCTION("IMPORTRANGE(""https://docs.google.com/spreadsheets/d/1-uDff_7J0KD5mKrp0Vvzr7lt3OU09vwQwhkpOPPYv2Y/edit?usp=sharing"",""งบพรบ!DY64"")"),103900)</f>
        <v>103900</v>
      </c>
      <c r="M308" s="72">
        <f ca="1">IFERROR(__xludf.DUMMYFUNCTION("IMPORTRANGE(""https://docs.google.com/spreadsheets/d/1-uDff_7J0KD5mKrp0Vvzr7lt3OU09vwQwhkpOPPYv2Y/edit?usp=sharing"",""งบพรบ!ED64"")"),192940)</f>
        <v>192940</v>
      </c>
      <c r="N308" s="72">
        <f ca="1">IFERROR(__xludf.DUMMYFUNCTION("IMPORTRANGE(""https://docs.google.com/spreadsheets/d/1-uDff_7J0KD5mKrp0Vvzr7lt3OU09vwQwhkpOPPYv2Y/edit?usp=sharing"",""งบพรบ!EF64"")"),84020)</f>
        <v>84020</v>
      </c>
      <c r="O308" s="72">
        <f t="shared" ca="1" si="75"/>
        <v>80.866217516843122</v>
      </c>
      <c r="P308" s="72">
        <f t="shared" ca="1" si="76"/>
        <v>43.547216751321656</v>
      </c>
      <c r="Q308" s="72">
        <f ca="1">IFERROR(__xludf.DUMMYFUNCTION("IMPORTRANGE(""https://docs.google.com/spreadsheets/d/1ItG2mGa2ceCfYo0BwxsXqNm01IGEUdYcSSLTEv9YCik/edit?usp=sharing"",""เบิกจ่ายกองทุน!BB64"")"),144609.24)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IFERROR(__xludf.DUMMYFUNCTION("IMPORTRANGE(""https://docs.google.com/spreadsheets/d/1ItG2mGa2ceCfYo0BwxsXqNm01IGEUdYcSSLTEv9YCik/edit?usp=sharing"",""เบิกจ่ายกองทุน!BC64"")"),144609)</f>
        <v>144609</v>
      </c>
      <c r="S308" s="72">
        <f ca="1">IFERROR(__xludf.DUMMYFUNCTION("IMPORTRANGE(""https://docs.google.com/spreadsheets/d/1ItG2mGa2ceCfYo0BwxsXqNm01IGEUdYcSSLTEv9YCik/edit?usp=sharing"",""เบิกจ่ายกองทุน!BD64"")"),0)</f>
        <v>0</v>
      </c>
      <c r="T308" s="72">
        <f t="shared" ca="1" si="77"/>
        <v>0</v>
      </c>
      <c r="U308" s="72">
        <f t="shared" ca="1" si="78"/>
        <v>0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IFERROR(__xludf.DUMMYFUNCTION("IMPORTRANGE(""https://docs.google.com/spreadsheets/d/1-uDff_7J0KD5mKrp0Vvzr7lt3OU09vwQwhkpOPPYv2Y/edit?usp=sharing"",""งบพรบ!EB64"")"),0)</f>
        <v>0</v>
      </c>
      <c r="M311" s="72">
        <f ca="1">IFERROR(__xludf.DUMMYFUNCTION("IMPORTRANGE(""https://docs.google.com/spreadsheets/d/1-uDff_7J0KD5mKrp0Vvzr7lt3OU09vwQwhkpOPPYv2Y/edit?usp=sharing"",""งบพรบ!EE64"")"),0)</f>
        <v>0</v>
      </c>
      <c r="N311" s="72">
        <f ca="1">IFERROR(__xludf.DUMMYFUNCTION("IMPORTRANGE(""https://docs.google.com/spreadsheets/d/1-uDff_7J0KD5mKrp0Vvzr7lt3OU09vwQwhkpOPPYv2Y/edit?usp=sharing"",""งบพรบ!EG64"")"),0)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IFERROR(__xludf.DUMMYFUNCTION("IMPORTRANGE(""https://docs.google.com/spreadsheets/d/1eHaY18a8A9IcSdp1K8H6x8fbOy06t2VsZHhMHf-1x7Y/edit?usp=sharing"",""แผน!EF64"")"),20)</f>
        <v>20</v>
      </c>
      <c r="J314" s="292">
        <v>20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IFERROR(__xludf.DUMMYFUNCTION("IMPORTRANGE(""https://docs.google.com/spreadsheets/d/1-uDff_7J0KD5mKrp0Vvzr7lt3OU09vwQwhkpOPPYv2Y/edit?usp=sharing"",""งบพรบ!EI64"")"),0)</f>
        <v>0</v>
      </c>
      <c r="M325" s="72">
        <f ca="1">IFERROR(__xludf.DUMMYFUNCTION("IMPORTRANGE(""https://docs.google.com/spreadsheets/d/1-uDff_7J0KD5mKrp0Vvzr7lt3OU09vwQwhkpOPPYv2Y/edit?usp=sharing"",""งบพรบ!EN64"")"),0)</f>
        <v>0</v>
      </c>
      <c r="N325" s="72">
        <f ca="1">IFERROR(__xludf.DUMMYFUNCTION("IMPORTRANGE(""https://docs.google.com/spreadsheets/d/1-uDff_7J0KD5mKrp0Vvzr7lt3OU09vwQwhkpOPPYv2Y/edit?usp=sharing"",""งบพรบ!EP64"")"),0)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IFERROR(__xludf.DUMMYFUNCTION("IMPORTRANGE(""https://docs.google.com/spreadsheets/d/1-uDff_7J0KD5mKrp0Vvzr7lt3OU09vwQwhkpOPPYv2Y/edit?usp=sharing"",""งบพรบ!EL64"")"),0)</f>
        <v>0</v>
      </c>
      <c r="M328" s="72">
        <f ca="1">IFERROR(__xludf.DUMMYFUNCTION("IMPORTRANGE(""https://docs.google.com/spreadsheets/d/1-uDff_7J0KD5mKrp0Vvzr7lt3OU09vwQwhkpOPPYv2Y/edit?usp=sharing"",""งบพรบ!EO64"")"),0)</f>
        <v>0</v>
      </c>
      <c r="N328" s="72">
        <f ca="1">IFERROR(__xludf.DUMMYFUNCTION("IMPORTRANGE(""https://docs.google.com/spreadsheets/d/1-uDff_7J0KD5mKrp0Vvzr7lt3OU09vwQwhkpOPPYv2Y/edit?usp=sharing"",""งบพรบ!EQ64"")"),0)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IFERROR(__xludf.DUMMYFUNCTION("IMPORTRANGE(""https://docs.google.com/spreadsheets/d/1eHaY18a8A9IcSdp1K8H6x8fbOy06t2VsZHhMHf-1x7Y/edit?usp=sharing"",""แผน!EJ64"")"),0)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540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552800</v>
      </c>
      <c r="M333" s="262">
        <f ca="1">M334+M335</f>
        <v>552800</v>
      </c>
      <c r="N333" s="262">
        <f ca="1">N334+N335</f>
        <v>374279.71</v>
      </c>
      <c r="O333" s="262">
        <f t="shared" ref="O333:O341" ca="1" si="87">IF(L333&gt;0,N333*100/L333,0)</f>
        <v>67.706170405209846</v>
      </c>
      <c r="P333" s="262">
        <f t="shared" ref="P333:P341" ca="1" si="88">IF(M333&gt;0,N333*100/M333,0)</f>
        <v>67.706170405209846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552800</v>
      </c>
      <c r="M335" s="72">
        <f t="shared" ca="1" si="91"/>
        <v>552800</v>
      </c>
      <c r="N335" s="72">
        <f t="shared" ca="1" si="91"/>
        <v>374279.71</v>
      </c>
      <c r="O335" s="72">
        <f t="shared" ca="1" si="87"/>
        <v>67.706170405209846</v>
      </c>
      <c r="P335" s="72">
        <f t="shared" ca="1" si="88"/>
        <v>67.706170405209846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552800</v>
      </c>
      <c r="M336" s="72">
        <f ca="1">M337+M338</f>
        <v>552800</v>
      </c>
      <c r="N336" s="72">
        <f ca="1">N337+N338</f>
        <v>374279.71</v>
      </c>
      <c r="O336" s="72">
        <f t="shared" ca="1" si="87"/>
        <v>67.706170405209846</v>
      </c>
      <c r="P336" s="72">
        <f t="shared" ca="1" si="88"/>
        <v>67.706170405209846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IFERROR(__xludf.DUMMYFUNCTION("IMPORTRANGE(""https://docs.google.com/spreadsheets/d/1-uDff_7J0KD5mKrp0Vvzr7lt3OU09vwQwhkpOPPYv2Y/edit?usp=sharing"",""งบพรบ!ES64"")"),552800)</f>
        <v>552800</v>
      </c>
      <c r="M338" s="72">
        <f ca="1">IFERROR(__xludf.DUMMYFUNCTION("IMPORTRANGE(""https://docs.google.com/spreadsheets/d/1-uDff_7J0KD5mKrp0Vvzr7lt3OU09vwQwhkpOPPYv2Y/edit?usp=sharing"",""งบพรบ!EX64"")"),552800)</f>
        <v>552800</v>
      </c>
      <c r="N338" s="72">
        <f ca="1">IFERROR(__xludf.DUMMYFUNCTION("IMPORTRANGE(""https://docs.google.com/spreadsheets/d/1-uDff_7J0KD5mKrp0Vvzr7lt3OU09vwQwhkpOPPYv2Y/edit?usp=sharing"",""งบพรบ!EZ64"")"),374279.71)</f>
        <v>374279.71</v>
      </c>
      <c r="O338" s="72">
        <f t="shared" ca="1" si="87"/>
        <v>67.706170405209846</v>
      </c>
      <c r="P338" s="72">
        <f t="shared" ca="1" si="88"/>
        <v>67.706170405209846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IFERROR(__xludf.DUMMYFUNCTION("IMPORTRANGE(""https://docs.google.com/spreadsheets/d/1-uDff_7J0KD5mKrp0Vvzr7lt3OU09vwQwhkpOPPYv2Y/edit?usp=sharing"",""งบพรบ!EV64"")"),0)</f>
        <v>0</v>
      </c>
      <c r="M341" s="72">
        <f ca="1">IFERROR(__xludf.DUMMYFUNCTION("IMPORTRANGE(""https://docs.google.com/spreadsheets/d/1-uDff_7J0KD5mKrp0Vvzr7lt3OU09vwQwhkpOPPYv2Y/edit?usp=sharing"",""งบพรบ!EY64"")"),0)</f>
        <v>0</v>
      </c>
      <c r="N341" s="72">
        <f ca="1">IFERROR(__xludf.DUMMYFUNCTION("IMPORTRANGE(""https://docs.google.com/spreadsheets/d/1-uDff_7J0KD5mKrp0Vvzr7lt3OU09vwQwhkpOPPYv2Y/edit?usp=sharing"",""งบพรบ!FA64"")"),0)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1317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IFERROR(__xludf.DUMMYFUNCTION("IMPORTRANGE(""https://docs.google.com/spreadsheets/d/1eHaY18a8A9IcSdp1K8H6x8fbOy06t2VsZHhMHf-1x7Y/edit?usp=sharing"",""แผน!EK64"")"),540)</f>
        <v>540</v>
      </c>
      <c r="J344" s="291">
        <f ca="1">IFERROR(__xludf.DUMMYFUNCTION("IMPORTRANGE(""https://docs.google.com/spreadsheets/d/1awYsYK3VOup2i3Pq_Yjnu8DRu_mYwSBnCR2QPthd0rU/edit?usp=sharing"",""ศูนย์ยกเว้นโฉนด!D64"")"),926)</f>
        <v>926</v>
      </c>
      <c r="K344" s="72">
        <f ca="1">IF(I344&gt;0,J344*100/I344,0)</f>
        <v>171.4814814814815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IFERROR(__xludf.DUMMYFUNCTION("IMPORTRANGE(""https://docs.google.com/spreadsheets/d/1eHaY18a8A9IcSdp1K8H6x8fbOy06t2VsZHhMHf-1x7Y/edit?usp=sharing"",""แผน!EL64"")"),2)</f>
        <v>2</v>
      </c>
      <c r="J346" s="291">
        <f ca="1">IFERROR(__xludf.DUMMYFUNCTION("IMPORTRANGE(""https://docs.google.com/spreadsheets/d/1awYsYK3VOup2i3Pq_Yjnu8DRu_mYwSBnCR2QPthd0rU/edit?usp=sharing"",""ศูนย์รวม!E64"")"),6)</f>
        <v>6</v>
      </c>
      <c r="K346" s="72">
        <f ca="1">IF(I346&gt;0,J346*100/I346,0)</f>
        <v>300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IFERROR(__xludf.DUMMYFUNCTION("IMPORTRANGE(""https://docs.google.com/spreadsheets/d/1awYsYK3VOup2i3Pq_Yjnu8DRu_mYwSBnCR2QPthd0rU/edit?usp=sharing"",""ศูนย์ยกเว้นโฉนด!F64"")"),379)</f>
        <v>379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IFERROR(__xludf.DUMMYFUNCTION("IMPORTRANGE(""https://docs.google.com/spreadsheets/d/1awYsYK3VOup2i3Pq_Yjnu8DRu_mYwSBnCR2QPthd0rU/edit?usp=sharing"",""ศูนย์ยกเว้นโฉนด!G64"")"),12)</f>
        <v>12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IFERROR(__xludf.DUMMYFUNCTION("IMPORTRANGE(""https://docs.google.com/spreadsheets/d/1awYsYK3VOup2i3Pq_Yjnu8DRu_mYwSBnCR2QPthd0rU/edit?usp=sharing"",""ศูนย์ยกเว้นโฉนด!H64"")"),0)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IFERROR(__xludf.DUMMYFUNCTION("IMPORTRANGE(""https://docs.google.com/spreadsheets/d/1awYsYK3VOup2i3Pq_Yjnu8DRu_mYwSBnCR2QPthd0rU/edit?usp=sharing"",""โฉนดM3!G64"")"),"")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IFERROR(__xludf.DUMMYFUNCTION("IMPORTRANGE(""https://docs.google.com/spreadsheets/d/1awYsYK3VOup2i3Pq_Yjnu8DRu_mYwSBnCR2QPthd0rU/edit?usp=sharing"",""โฉนดM3!H64"")"),"")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IFERROR(__xludf.DUMMYFUNCTION("IMPORTRANGE(""https://docs.google.com/spreadsheets/d/1awYsYK3VOup2i3Pq_Yjnu8DRu_mYwSBnCR2QPthd0rU/edit?usp=sharing"",""โฉนดM3!I64"")"),"")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103444.61</v>
      </c>
      <c r="O356" s="262">
        <f t="shared" ref="O356:O364" ca="1" si="93">IF(L356&gt;0,N356*100/L356,0)</f>
        <v>54.12830830411805</v>
      </c>
      <c r="P356" s="262">
        <f t="shared" ref="P356:P364" ca="1" si="94">IF(M356&gt;0,N356*100/M356,0)</f>
        <v>54.12830830411805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191110</v>
      </c>
      <c r="M358" s="72">
        <f t="shared" ca="1" si="97"/>
        <v>191110</v>
      </c>
      <c r="N358" s="72">
        <f t="shared" ca="1" si="97"/>
        <v>103444.61</v>
      </c>
      <c r="O358" s="72">
        <f t="shared" ca="1" si="93"/>
        <v>54.12830830411805</v>
      </c>
      <c r="P358" s="72">
        <f t="shared" ca="1" si="94"/>
        <v>54.12830830411805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103444.61</v>
      </c>
      <c r="O359" s="72">
        <f t="shared" ca="1" si="93"/>
        <v>54.12830830411805</v>
      </c>
      <c r="P359" s="72">
        <f t="shared" ca="1" si="94"/>
        <v>54.12830830411805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IFERROR(__xludf.DUMMYFUNCTION("IMPORTRANGE(""https://docs.google.com/spreadsheets/d/1-uDff_7J0KD5mKrp0Vvzr7lt3OU09vwQwhkpOPPYv2Y/edit?usp=sharing"",""งบพรบ!FC64"")"),191110)</f>
        <v>191110</v>
      </c>
      <c r="M361" s="72">
        <f ca="1">IFERROR(__xludf.DUMMYFUNCTION("IMPORTRANGE(""https://docs.google.com/spreadsheets/d/1-uDff_7J0KD5mKrp0Vvzr7lt3OU09vwQwhkpOPPYv2Y/edit?usp=sharing"",""งบพรบ!FH64"")"),191110)</f>
        <v>191110</v>
      </c>
      <c r="N361" s="72">
        <f ca="1">IFERROR(__xludf.DUMMYFUNCTION("IMPORTRANGE(""https://docs.google.com/spreadsheets/d/1-uDff_7J0KD5mKrp0Vvzr7lt3OU09vwQwhkpOPPYv2Y/edit?usp=sharing"",""งบพรบ!FJ64"")"),103444.61)</f>
        <v>103444.61</v>
      </c>
      <c r="O361" s="72">
        <f t="shared" ca="1" si="93"/>
        <v>54.12830830411805</v>
      </c>
      <c r="P361" s="72">
        <f t="shared" ca="1" si="94"/>
        <v>54.12830830411805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IFERROR(__xludf.DUMMYFUNCTION("IMPORTRANGE(""https://docs.google.com/spreadsheets/d/1-uDff_7J0KD5mKrp0Vvzr7lt3OU09vwQwhkpOPPYv2Y/edit?usp=sharing"",""งบพรบ!FF64"")"),0)</f>
        <v>0</v>
      </c>
      <c r="M364" s="72">
        <f ca="1">IFERROR(__xludf.DUMMYFUNCTION("IMPORTRANGE(""https://docs.google.com/spreadsheets/d/1-uDff_7J0KD5mKrp0Vvzr7lt3OU09vwQwhkpOPPYv2Y/edit?usp=sharing"",""งบพรบ!FI64"")"),0)</f>
        <v>0</v>
      </c>
      <c r="N364" s="72">
        <f ca="1">IFERROR(__xludf.DUMMYFUNCTION("IMPORTRANGE(""https://docs.google.com/spreadsheets/d/1-uDff_7J0KD5mKrp0Vvzr7lt3OU09vwQwhkpOPPYv2Y/edit?usp=sharing"",""งบพรบ!FK64"")"),0)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IFERROR(__xludf.DUMMYFUNCTION("IMPORTRANGE(""https://docs.google.com/spreadsheets/d/1tdoBKaGub7dwA3U6UFTqxio9LNnvDCQjHKmttSEBsFQ/edit?usp=sharing"",""จัดที่ดิน!AB64"")"),0)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IFERROR(__xludf.DUMMYFUNCTION("IMPORTRANGE(""https://docs.google.com/spreadsheets/d/1eHaY18a8A9IcSdp1K8H6x8fbOy06t2VsZHhMHf-1x7Y/edit?usp=sharing"",""แผน!EW64"")"),0)</f>
        <v>0</v>
      </c>
      <c r="J368" s="879">
        <f ca="1">IFERROR(__xludf.DUMMYFUNCTION("IMPORTRANGE(""https://docs.google.com/spreadsheets/d/1tdoBKaGub7dwA3U6UFTqxio9LNnvDCQjHKmttSEBsFQ/edit?usp=sharing"",""จัดที่ดิน!AC64"")"),0)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IFERROR(__xludf.DUMMYFUNCTION("IMPORTRANGE(""https://docs.google.com/spreadsheets/d/1eHaY18a8A9IcSdp1K8H6x8fbOy06t2VsZHhMHf-1x7Y/edit?usp=sharing"",""แผน!EX64"")"),0)</f>
        <v>0</v>
      </c>
      <c r="J369" s="291">
        <f ca="1">IFERROR(__xludf.DUMMYFUNCTION("IMPORTRANGE(""https://docs.google.com/spreadsheets/d/1tdoBKaGub7dwA3U6UFTqxio9LNnvDCQjHKmttSEBsFQ/edit?usp=sharing"",""จัดที่ดิน!AD64"")"),0)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IFERROR(__xludf.DUMMYFUNCTION("IMPORTRANGE(""https://docs.google.com/spreadsheets/d/1tdoBKaGub7dwA3U6UFTqxio9LNnvDCQjHKmttSEBsFQ/edit?usp=sharing"",""จัดที่ดิน!AE64"")"),0)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IFERROR(__xludf.DUMMYFUNCTION("IMPORTRANGE(""https://docs.google.com/spreadsheets/d/1eHaY18a8A9IcSdp1K8H6x8fbOy06t2VsZHhMHf-1x7Y/edit?usp=sharing"",""แผน!EY64"")"),0)</f>
        <v>0</v>
      </c>
      <c r="J371" s="291">
        <f ca="1">IFERROR(__xludf.DUMMYFUNCTION("IMPORTRANGE(""https://docs.google.com/spreadsheets/d/1tdoBKaGub7dwA3U6UFTqxio9LNnvDCQjHKmttSEBsFQ/edit?usp=sharing"",""จัดที่ดิน!AF64"")"),0)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IFERROR(__xludf.DUMMYFUNCTION("IMPORTRANGE(""https://docs.google.com/spreadsheets/d/1tdoBKaGub7dwA3U6UFTqxio9LNnvDCQjHKmttSEBsFQ/edit?usp=sharing"",""จัดที่ดิน!AG64"")"),0)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IFERROR(__xludf.DUMMYFUNCTION("IMPORTRANGE(""https://docs.google.com/spreadsheets/d/1-uDff_7J0KD5mKrp0Vvzr7lt3OU09vwQwhkpOPPYv2Y/edit?usp=sharing"",""งบพรบ!IE64"")"),0)</f>
        <v>0</v>
      </c>
      <c r="M380" s="72">
        <f ca="1">IFERROR(__xludf.DUMMYFUNCTION("IMPORTRANGE(""https://docs.google.com/spreadsheets/d/1-uDff_7J0KD5mKrp0Vvzr7lt3OU09vwQwhkpOPPYv2Y/edit?usp=sharing"",""งบพรบ!IJ64"")"),0)</f>
        <v>0</v>
      </c>
      <c r="N380" s="72">
        <f ca="1">IFERROR(__xludf.DUMMYFUNCTION("IMPORTRANGE(""https://docs.google.com/spreadsheets/d/1-uDff_7J0KD5mKrp0Vvzr7lt3OU09vwQwhkpOPPYv2Y/edit?usp=sharing"",""งบพรบ!IL64"")"),0)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IFERROR(__xludf.DUMMYFUNCTION("IMPORTRANGE(""https://docs.google.com/spreadsheets/d/1ItG2mGa2ceCfYo0BwxsXqNm01IGEUdYcSSLTEv9YCik/edit?usp=sharing"",""เบิกจ่ายกองทุน!BW64"")"),0)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IFERROR(__xludf.DUMMYFUNCTION("IMPORTRANGE(""https://docs.google.com/spreadsheets/d/1ItG2mGa2ceCfYo0BwxsXqNm01IGEUdYcSSLTEv9YCik/edit?usp=sharing"",""เบิกจ่ายกองทุน!BX64"")"),0)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IFERROR(__xludf.DUMMYFUNCTION("IMPORTRANGE(""https://docs.google.com/spreadsheets/d/1ItG2mGa2ceCfYo0BwxsXqNm01IGEUdYcSSLTEv9YCik/edit?usp=sharing"",""เบิกจ่ายกองทุน!BY64"")"),0)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IFERROR(__xludf.DUMMYFUNCTION("IMPORTRANGE(""https://docs.google.com/spreadsheets/d/1-uDff_7J0KD5mKrp0Vvzr7lt3OU09vwQwhkpOPPYv2Y/edit?usp=sharing"",""งบพรบ!IH64"")"),0)</f>
        <v>0</v>
      </c>
      <c r="M383" s="72">
        <f ca="1">IFERROR(__xludf.DUMMYFUNCTION("IMPORTRANGE(""https://docs.google.com/spreadsheets/d/1-uDff_7J0KD5mKrp0Vvzr7lt3OU09vwQwhkpOPPYv2Y/edit?usp=sharing"",""งบพรบ!IK64"")"),0)</f>
        <v>0</v>
      </c>
      <c r="N383" s="72">
        <f ca="1">IFERROR(__xludf.DUMMYFUNCTION("IMPORTRANGE(""https://docs.google.com/spreadsheets/d/1-uDff_7J0KD5mKrp0Vvzr7lt3OU09vwQwhkpOPPYv2Y/edit?usp=sharing"",""งบพรบ!IM64"")"),0)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IFERROR(__xludf.DUMMYFUNCTION("IMPORTRANGE(""https://docs.google.com/spreadsheets/d/1eHaY18a8A9IcSdp1K8H6x8fbOy06t2VsZHhMHf-1x7Y/edit?usp=sharing"",""แผน!JQ64"")"),0)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IFERROR(__xludf.DUMMYFUNCTION("IMPORTRANGE(""https://docs.google.com/spreadsheets/d/1eHaY18a8A9IcSdp1K8H6x8fbOy06t2VsZHhMHf-1x7Y/edit?usp=sharing"",""แผน!JQ64"")"),0)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IFERROR(__xludf.DUMMYFUNCTION("IMPORTRANGE(""https://docs.google.com/spreadsheets/d/1ItG2mGa2ceCfYo0BwxsXqNm01IGEUdYcSSLTEv9YCik/edit?usp=sharing"",""เบิกจ่ายกองทุน!CL64"")"),0)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IFERROR(__xludf.DUMMYFUNCTION("IMPORTRANGE(""https://docs.google.com/spreadsheets/d/1ItG2mGa2ceCfYo0BwxsXqNm01IGEUdYcSSLTEv9YCik/edit?usp=sharing"",""เบิกจ่ายกองทุน!CM64"")"),0)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IFERROR(__xludf.DUMMYFUNCTION("IMPORTRANGE(""https://docs.google.com/spreadsheets/d/1ItG2mGa2ceCfYo0BwxsXqNm01IGEUdYcSSLTEv9YCik/edit?usp=sharing"",""เบิกจ่ายกองทุน!CN64"")"),0)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29600</v>
      </c>
      <c r="N413" s="262">
        <f ca="1">N414+N415</f>
        <v>26350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89.020270270270274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29600</v>
      </c>
      <c r="N415" s="72">
        <f t="shared" ca="1" si="116"/>
        <v>26350</v>
      </c>
      <c r="O415" s="72">
        <f t="shared" ca="1" si="112"/>
        <v>0</v>
      </c>
      <c r="P415" s="72">
        <f t="shared" ca="1" si="113"/>
        <v>89.020270270270274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29600</v>
      </c>
      <c r="N416" s="72">
        <f ca="1">N417+N418</f>
        <v>26350</v>
      </c>
      <c r="O416" s="72">
        <f t="shared" ca="1" si="112"/>
        <v>0</v>
      </c>
      <c r="P416" s="72">
        <f t="shared" ca="1" si="113"/>
        <v>89.020270270270274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IFERROR(__xludf.DUMMYFUNCTION("IMPORTRANGE(""https://docs.google.com/spreadsheets/d/1-uDff_7J0KD5mKrp0Vvzr7lt3OU09vwQwhkpOPPYv2Y/edit?usp=sharing"",""งบพรบ!IO64"")"),0)</f>
        <v>0</v>
      </c>
      <c r="M418" s="72">
        <f ca="1">IFERROR(__xludf.DUMMYFUNCTION("IMPORTRANGE(""https://docs.google.com/spreadsheets/d/1-uDff_7J0KD5mKrp0Vvzr7lt3OU09vwQwhkpOPPYv2Y/edit?usp=sharing"",""งบพรบ!IT64"")"),29600)</f>
        <v>29600</v>
      </c>
      <c r="N418" s="72">
        <f ca="1">IFERROR(__xludf.DUMMYFUNCTION("IMPORTRANGE(""https://docs.google.com/spreadsheets/d/1-uDff_7J0KD5mKrp0Vvzr7lt3OU09vwQwhkpOPPYv2Y/edit?usp=sharing"",""งบพรบ!IV64"")"),26350)</f>
        <v>26350</v>
      </c>
      <c r="O418" s="72">
        <f t="shared" ca="1" si="112"/>
        <v>0</v>
      </c>
      <c r="P418" s="72">
        <f t="shared" ca="1" si="113"/>
        <v>89.020270270270274</v>
      </c>
      <c r="Q418" s="72">
        <f ca="1">IFERROR(__xludf.DUMMYFUNCTION("IMPORTRANGE(""https://docs.google.com/spreadsheets/d/1ItG2mGa2ceCfYo0BwxsXqNm01IGEUdYcSSLTEv9YCik/edit?usp=sharing"",""เบิกจ่ายกองทุน!BZ64"")"),0)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IFERROR(__xludf.DUMMYFUNCTION("IMPORTRANGE(""https://docs.google.com/spreadsheets/d/1ItG2mGa2ceCfYo0BwxsXqNm01IGEUdYcSSLTEv9YCik/edit?usp=sharing"",""เบิกจ่ายกองทุน!CA64"")"),0)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IFERROR(__xludf.DUMMYFUNCTION("IMPORTRANGE(""https://docs.google.com/spreadsheets/d/1ItG2mGa2ceCfYo0BwxsXqNm01IGEUdYcSSLTEv9YCik/edit?usp=sharing"",""เบิกจ่ายกองทุน!CB64"")"),0)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IFERROR(__xludf.DUMMYFUNCTION("IMPORTRANGE(""https://docs.google.com/spreadsheets/d/1-uDff_7J0KD5mKrp0Vvzr7lt3OU09vwQwhkpOPPYv2Y/edit?usp=sharing"",""งบพรบ!IR64"")"),0)</f>
        <v>0</v>
      </c>
      <c r="M421" s="72">
        <f ca="1">IFERROR(__xludf.DUMMYFUNCTION("IMPORTRANGE(""https://docs.google.com/spreadsheets/d/1-uDff_7J0KD5mKrp0Vvzr7lt3OU09vwQwhkpOPPYv2Y/edit?usp=sharing"",""งบพรบ!IU64"")"),0)</f>
        <v>0</v>
      </c>
      <c r="N421" s="72">
        <f ca="1">IFERROR(__xludf.DUMMYFUNCTION("IMPORTRANGE(""https://docs.google.com/spreadsheets/d/1-uDff_7J0KD5mKrp0Vvzr7lt3OU09vwQwhkpOPPYv2Y/edit?usp=sharing"",""งบพรบ!IW64"")"),0)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IFERROR(__xludf.DUMMYFUNCTION("IMPORTRANGE(""https://docs.google.com/spreadsheets/d/1eHaY18a8A9IcSdp1K8H6x8fbOy06t2VsZHhMHf-1x7Y/edit?usp=sharing"",""แผน!HJ64"")"),0)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IFERROR(__xludf.DUMMYFUNCTION("IMPORTRANGE(""https://docs.google.com/spreadsheets/d/1eHaY18a8A9IcSdp1K8H6x8fbOy06t2VsZHhMHf-1x7Y/edit?usp=sharing"",""แผน!HK64"")"),0)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IFERROR(__xludf.DUMMYFUNCTION("IMPORTRANGE(""https://docs.google.com/spreadsheets/d/1eHaY18a8A9IcSdp1K8H6x8fbOy06t2VsZHhMHf-1x7Y/edit?usp=sharing"",""แผน!HJ64"")"),0)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IFERROR(__xludf.DUMMYFUNCTION("IMPORTRANGE(""https://docs.google.com/spreadsheets/d/1eHaY18a8A9IcSdp1K8H6x8fbOy06t2VsZHhMHf-1x7Y/edit?usp=sharing"",""แผน!HK64"")"),0)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IFERROR(__xludf.DUMMYFUNCTION("IMPORTRANGE(""https://docs.google.com/spreadsheets/d/1eHaY18a8A9IcSdp1K8H6x8fbOy06t2VsZHhMHf-1x7Y/edit?usp=sharing"",""แผน!HJ64"")"),0)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IFERROR(__xludf.DUMMYFUNCTION("IMPORTRANGE(""https://docs.google.com/spreadsheets/d/1eHaY18a8A9IcSdp1K8H6x8fbOy06t2VsZHhMHf-1x7Y/edit?usp=sharing"",""แผน!HK64"")"),0)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0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IFERROR(__xludf.DUMMYFUNCTION("IMPORTRANGE(""https://docs.google.com/spreadsheets/d/1eHaY18a8A9IcSdp1K8H6x8fbOy06t2VsZHhMHf-1x7Y/edit?usp=sharing"",""แผน!HL64"")"),0)</f>
        <v>0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IFERROR(__xludf.DUMMYFUNCTION("IMPORTRANGE(""https://docs.google.com/spreadsheets/d/1eHaY18a8A9IcSdp1K8H6x8fbOy06t2VsZHhMHf-1x7Y/edit?usp=sharing"",""แผน!HM64"")"),0)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IFERROR(__xludf.DUMMYFUNCTION("IMPORTRANGE(""https://docs.google.com/spreadsheets/d/1-uDff_7J0KD5mKrp0Vvzr7lt3OU09vwQwhkpOPPYv2Y/edit?usp=sharing"",""งบพรบ!HU64"")"),0)</f>
        <v>0</v>
      </c>
      <c r="M498" s="72">
        <f ca="1">IFERROR(__xludf.DUMMYFUNCTION("IMPORTRANGE(""https://docs.google.com/spreadsheets/d/1-uDff_7J0KD5mKrp0Vvzr7lt3OU09vwQwhkpOPPYv2Y/edit?usp=sharing"",""งบพรบ!HZ64"")"),0)</f>
        <v>0</v>
      </c>
      <c r="N498" s="72">
        <f ca="1">IFERROR(__xludf.DUMMYFUNCTION("IMPORTRANGE(""https://docs.google.com/spreadsheets/d/1-uDff_7J0KD5mKrp0Vvzr7lt3OU09vwQwhkpOPPYv2Y/edit?usp=sharing"",""งบพรบ!IB64"")"),0)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IFERROR(__xludf.DUMMYFUNCTION("IMPORTRANGE(""https://docs.google.com/spreadsheets/d/1ItG2mGa2ceCfYo0BwxsXqNm01IGEUdYcSSLTEv9YCik/edit?usp=sharing"",""เบิกจ่ายกองทุน!AD64"")"),0)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IFERROR(__xludf.DUMMYFUNCTION("IMPORTRANGE(""https://docs.google.com/spreadsheets/d/1ItG2mGa2ceCfYo0BwxsXqNm01IGEUdYcSSLTEv9YCik/edit?usp=sharing"",""เบิกจ่ายกองทุน!AE64"")"),0)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IFERROR(__xludf.DUMMYFUNCTION("IMPORTRANGE(""https://docs.google.com/spreadsheets/d/1ItG2mGa2ceCfYo0BwxsXqNm01IGEUdYcSSLTEv9YCik/edit?usp=sharing"",""เบิกจ่ายกองทุน!AF64"")"),0)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IFERROR(__xludf.DUMMYFUNCTION("IMPORTRANGE(""https://docs.google.com/spreadsheets/d/1-uDff_7J0KD5mKrp0Vvzr7lt3OU09vwQwhkpOPPYv2Y/edit?usp=sharing"",""งบพรบ!HX64"")"),0)</f>
        <v>0</v>
      </c>
      <c r="M501" s="72">
        <f ca="1">IFERROR(__xludf.DUMMYFUNCTION("IMPORTRANGE(""https://docs.google.com/spreadsheets/d/1-uDff_7J0KD5mKrp0Vvzr7lt3OU09vwQwhkpOPPYv2Y/edit?usp=sharing"",""งบพรบ!IA64"")"),0)</f>
        <v>0</v>
      </c>
      <c r="N501" s="72">
        <f ca="1">IFERROR(__xludf.DUMMYFUNCTION("IMPORTRANGE(""https://docs.google.com/spreadsheets/d/1-uDff_7J0KD5mKrp0Vvzr7lt3OU09vwQwhkpOPPYv2Y/edit?usp=sharing"",""งบพรบ!IC64"")"),0)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IFERROR(__xludf.DUMMYFUNCTION("IMPORTRANGE(""https://docs.google.com/spreadsheets/d/1eHaY18a8A9IcSdp1K8H6x8fbOy06t2VsZHhMHf-1x7Y/edit?usp=sharing"",""แผน!GX64"")"),0)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IFERROR(__xludf.DUMMYFUNCTION("IMPORTRANGE(""https://docs.google.com/spreadsheets/d/1eHaY18a8A9IcSdp1K8H6x8fbOy06t2VsZHhMHf-1x7Y/edit?usp=sharing"",""แผน!GY64"")"),0)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IFERROR(__xludf.DUMMYFUNCTION("IMPORTRANGE(""https://docs.google.com/spreadsheets/d/1eHaY18a8A9IcSdp1K8H6x8fbOy06t2VsZHhMHf-1x7Y/edit?usp=sharing"",""แผน!GZ64"")"),0)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IFERROR(__xludf.DUMMYFUNCTION("IMPORTRANGE(""https://docs.google.com/spreadsheets/d/1eHaY18a8A9IcSdp1K8H6x8fbOy06t2VsZHhMHf-1x7Y/edit?usp=sharing"",""แผน!HA64"")"),0)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IFERROR(__xludf.DUMMYFUNCTION("IMPORTRANGE(""https://docs.google.com/spreadsheets/d/1eHaY18a8A9IcSdp1K8H6x8fbOy06t2VsZHhMHf-1x7Y/edit?usp=sharing"",""แผน!HB64"")"),0)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IFERROR(__xludf.DUMMYFUNCTION("IMPORTRANGE(""https://docs.google.com/spreadsheets/d/1eHaY18a8A9IcSdp1K8H6x8fbOy06t2VsZHhMHf-1x7Y/edit?usp=sharing"",""แผน!HC64"")"),0)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IFERROR(__xludf.DUMMYFUNCTION("IMPORTRANGE(""https://docs.google.com/spreadsheets/d/1-uDff_7J0KD5mKrp0Vvzr7lt3OU09vwQwhkpOPPYv2Y/edit?usp=sharing"",""งบพรบ!FM64"")"),0)</f>
        <v>0</v>
      </c>
      <c r="M518" s="72">
        <f ca="1">IFERROR(__xludf.DUMMYFUNCTION("IMPORTRANGE(""https://docs.google.com/spreadsheets/d/1-uDff_7J0KD5mKrp0Vvzr7lt3OU09vwQwhkpOPPYv2Y/edit?usp=sharing"",""งบพรบ!FR64"")"),0)</f>
        <v>0</v>
      </c>
      <c r="N518" s="72">
        <f ca="1">IFERROR(__xludf.DUMMYFUNCTION("IMPORTRANGE(""https://docs.google.com/spreadsheets/d/1-uDff_7J0KD5mKrp0Vvzr7lt3OU09vwQwhkpOPPYv2Y/edit?usp=sharing"",""งบพรบ!FT64"")"),0)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IFERROR(__xludf.DUMMYFUNCTION("IMPORTRANGE(""https://docs.google.com/spreadsheets/d/1-uDff_7J0KD5mKrp0Vvzr7lt3OU09vwQwhkpOPPYv2Y/edit?usp=sharing"",""งบพรบ!FP64"")"),0)</f>
        <v>0</v>
      </c>
      <c r="M521" s="72">
        <f ca="1">IFERROR(__xludf.DUMMYFUNCTION("IMPORTRANGE(""https://docs.google.com/spreadsheets/d/1-uDff_7J0KD5mKrp0Vvzr7lt3OU09vwQwhkpOPPYv2Y/edit?usp=sharing"",""งบพรบ!FS64"")"),0)</f>
        <v>0</v>
      </c>
      <c r="N521" s="72">
        <f ca="1">IFERROR(__xludf.DUMMYFUNCTION("IMPORTRANGE(""https://docs.google.com/spreadsheets/d/1-uDff_7J0KD5mKrp0Vvzr7lt3OU09vwQwhkpOPPYv2Y/edit?usp=sharing"",""งบพรบ!FU64"")"),0)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IFERROR(__xludf.DUMMYFUNCTION("IMPORTRANGE(""https://docs.google.com/spreadsheets/d/1-uDff_7J0KD5mKrp0Vvzr7lt3OU09vwQwhkpOPPYv2Y/edit?usp=sharing"",""งบพรบ!FW64"")"),0)</f>
        <v>0</v>
      </c>
      <c r="M539" s="72">
        <f ca="1">IFERROR(__xludf.DUMMYFUNCTION("IMPORTRANGE(""https://docs.google.com/spreadsheets/d/1-uDff_7J0KD5mKrp0Vvzr7lt3OU09vwQwhkpOPPYv2Y/edit?usp=sharing"",""งบพรบ!GB64"")"),0)</f>
        <v>0</v>
      </c>
      <c r="N539" s="72">
        <f ca="1">IFERROR(__xludf.DUMMYFUNCTION("IMPORTRANGE(""https://docs.google.com/spreadsheets/d/1-uDff_7J0KD5mKrp0Vvzr7lt3OU09vwQwhkpOPPYv2Y/edit?usp=sharing"",""งบพรบ!GD64"")"),0)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IFERROR(__xludf.DUMMYFUNCTION("IMPORTRANGE(""https://docs.google.com/spreadsheets/d/1-uDff_7J0KD5mKrp0Vvzr7lt3OU09vwQwhkpOPPYv2Y/edit?usp=sharing"",""งบพรบ!FZ64"")"),0)</f>
        <v>0</v>
      </c>
      <c r="M542" s="72">
        <f ca="1">IFERROR(__xludf.DUMMYFUNCTION("IMPORTRANGE(""https://docs.google.com/spreadsheets/d/1-uDff_7J0KD5mKrp0Vvzr7lt3OU09vwQwhkpOPPYv2Y/edit?usp=sharing"",""งบพรบ!GC64"")"),0)</f>
        <v>0</v>
      </c>
      <c r="N542" s="72">
        <f ca="1">IFERROR(__xludf.DUMMYFUNCTION("IMPORTRANGE(""https://docs.google.com/spreadsheets/d/1-uDff_7J0KD5mKrp0Vvzr7lt3OU09vwQwhkpOPPYv2Y/edit?usp=sharing"",""งบพรบ!GE64"")"),0)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IFERROR(__xludf.DUMMYFUNCTION("IMPORTRANGE(""https://docs.google.com/spreadsheets/d/1-uDff_7J0KD5mKrp0Vvzr7lt3OU09vwQwhkpOPPYv2Y/edit?usp=sharing"",""งบพรบ!GG64"")"),0)</f>
        <v>0</v>
      </c>
      <c r="M560" s="72">
        <f ca="1">IFERROR(__xludf.DUMMYFUNCTION("IMPORTRANGE(""https://docs.google.com/spreadsheets/d/1-uDff_7J0KD5mKrp0Vvzr7lt3OU09vwQwhkpOPPYv2Y/edit?usp=sharing"",""งบพรบ!GL64"")"),0)</f>
        <v>0</v>
      </c>
      <c r="N560" s="72">
        <f ca="1">IFERROR(__xludf.DUMMYFUNCTION("IMPORTRANGE(""https://docs.google.com/spreadsheets/d/1-uDff_7J0KD5mKrp0Vvzr7lt3OU09vwQwhkpOPPYv2Y/edit?usp=sharing"",""งบพรบ!GN64"")"),0)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IFERROR(__xludf.DUMMYFUNCTION("IMPORTRANGE(""https://docs.google.com/spreadsheets/d/1-uDff_7J0KD5mKrp0Vvzr7lt3OU09vwQwhkpOPPYv2Y/edit?usp=sharing"",""งบพรบ!GJ64"")"),0)</f>
        <v>0</v>
      </c>
      <c r="M563" s="72">
        <f ca="1">IFERROR(__xludf.DUMMYFUNCTION("IMPORTRANGE(""https://docs.google.com/spreadsheets/d/1-uDff_7J0KD5mKrp0Vvzr7lt3OU09vwQwhkpOPPYv2Y/edit?usp=sharing"",""งบพรบ!GM64"")"),0)</f>
        <v>0</v>
      </c>
      <c r="N563" s="72">
        <f ca="1">IFERROR(__xludf.DUMMYFUNCTION("IMPORTRANGE(""https://docs.google.com/spreadsheets/d/1-uDff_7J0KD5mKrp0Vvzr7lt3OU09vwQwhkpOPPYv2Y/edit?usp=sharing"",""งบพรบ!GO64"")"),0)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IFERROR(__xludf.DUMMYFUNCTION("IMPORTRANGE(""https://docs.google.com/spreadsheets/d/1-uDff_7J0KD5mKrp0Vvzr7lt3OU09vwQwhkpOPPYv2Y/edit?usp=sharing"",""งบพรบ!GQ64"")"),0)</f>
        <v>0</v>
      </c>
      <c r="M581" s="72">
        <f ca="1">IFERROR(__xludf.DUMMYFUNCTION("IMPORTRANGE(""https://docs.google.com/spreadsheets/d/1-uDff_7J0KD5mKrp0Vvzr7lt3OU09vwQwhkpOPPYv2Y/edit?usp=sharing"",""งบพรบ!GV64"")"),0)</f>
        <v>0</v>
      </c>
      <c r="N581" s="72">
        <f ca="1">IFERROR(__xludf.DUMMYFUNCTION("IMPORTRANGE(""https://docs.google.com/spreadsheets/d/1-uDff_7J0KD5mKrp0Vvzr7lt3OU09vwQwhkpOPPYv2Y/edit?usp=sharing"",""งบพรบ!GX64"")"),0)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IFERROR(__xludf.DUMMYFUNCTION("IMPORTRANGE(""https://docs.google.com/spreadsheets/d/1-uDff_7J0KD5mKrp0Vvzr7lt3OU09vwQwhkpOPPYv2Y/edit?usp=sharing"",""งบพรบ!GT64"")"),0)</f>
        <v>0</v>
      </c>
      <c r="M584" s="72">
        <f ca="1">IFERROR(__xludf.DUMMYFUNCTION("IMPORTRANGE(""https://docs.google.com/spreadsheets/d/1-uDff_7J0KD5mKrp0Vvzr7lt3OU09vwQwhkpOPPYv2Y/edit?usp=sharing"",""งบพรบ!GW64"")"),0)</f>
        <v>0</v>
      </c>
      <c r="N584" s="72">
        <f ca="1">IFERROR(__xludf.DUMMYFUNCTION("IMPORTRANGE(""https://docs.google.com/spreadsheets/d/1-uDff_7J0KD5mKrp0Vvzr7lt3OU09vwQwhkpOPPYv2Y/edit?usp=sharing"",""งบพรบ!GY64"")"),0)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50900</v>
      </c>
      <c r="M599" s="211">
        <f ca="1">M600+M601</f>
        <v>50900</v>
      </c>
      <c r="N599" s="211">
        <f ca="1">N600+N601</f>
        <v>30353</v>
      </c>
      <c r="O599" s="211">
        <f t="shared" ref="O599:O607" ca="1" si="149">IF(L599&gt;0,N599*100/L599,0)</f>
        <v>59.632612966601179</v>
      </c>
      <c r="P599" s="211">
        <f t="shared" ref="P599:P607" ca="1" si="150">IF(M599&gt;0,N599*100/M599,0)</f>
        <v>59.632612966601179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50900</v>
      </c>
      <c r="M601" s="86">
        <f t="shared" ca="1" si="153"/>
        <v>50900</v>
      </c>
      <c r="N601" s="86">
        <f t="shared" ca="1" si="153"/>
        <v>30353</v>
      </c>
      <c r="O601" s="86">
        <f t="shared" ca="1" si="149"/>
        <v>59.632612966601179</v>
      </c>
      <c r="P601" s="86">
        <f t="shared" ca="1" si="150"/>
        <v>59.632612966601179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50900</v>
      </c>
      <c r="M602" s="86">
        <f ca="1">M603+M604</f>
        <v>50900</v>
      </c>
      <c r="N602" s="86">
        <f ca="1">N603+N604</f>
        <v>30353</v>
      </c>
      <c r="O602" s="86">
        <f t="shared" ca="1" si="149"/>
        <v>59.632612966601179</v>
      </c>
      <c r="P602" s="86">
        <f t="shared" ca="1" si="150"/>
        <v>59.632612966601179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IFERROR(__xludf.DUMMYFUNCTION("IMPORTRANGE(""https://docs.google.com/spreadsheets/d/1-uDff_7J0KD5mKrp0Vvzr7lt3OU09vwQwhkpOPPYv2Y/edit?usp=sharing"",""งบพรบ!HK64"")"),50900)</f>
        <v>50900</v>
      </c>
      <c r="M604" s="86">
        <f ca="1">IFERROR(__xludf.DUMMYFUNCTION("IMPORTRANGE(""https://docs.google.com/spreadsheets/d/1-uDff_7J0KD5mKrp0Vvzr7lt3OU09vwQwhkpOPPYv2Y/edit?usp=sharing"",""งบพรบ!HP64"")"),50900)</f>
        <v>50900</v>
      </c>
      <c r="N604" s="86">
        <f ca="1">IFERROR(__xludf.DUMMYFUNCTION("IMPORTRANGE(""https://docs.google.com/spreadsheets/d/1-uDff_7J0KD5mKrp0Vvzr7lt3OU09vwQwhkpOPPYv2Y/edit?usp=sharing"",""งบพรบ!HR64"")"),30353)</f>
        <v>30353</v>
      </c>
      <c r="O604" s="86">
        <f t="shared" ca="1" si="149"/>
        <v>59.632612966601179</v>
      </c>
      <c r="P604" s="86">
        <f t="shared" ca="1" si="150"/>
        <v>59.632612966601179</v>
      </c>
      <c r="Q604" s="86">
        <f ca="1">IFERROR(__xludf.DUMMYFUNCTION("IMPORTRANGE(""https://docs.google.com/spreadsheets/d/1ItG2mGa2ceCfYo0BwxsXqNm01IGEUdYcSSLTEv9YCik/edit?usp=sharing"",""เบิกจ่ายกองทุน!AV64"")"),0)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IFERROR(__xludf.DUMMYFUNCTION("IMPORTRANGE(""https://docs.google.com/spreadsheets/d/1ItG2mGa2ceCfYo0BwxsXqNm01IGEUdYcSSLTEv9YCik/edit?usp=sharing"",""เบิกจ่ายกองทุน!AW64"")"),0)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IFERROR(__xludf.DUMMYFUNCTION("IMPORTRANGE(""https://docs.google.com/spreadsheets/d/1ItG2mGa2ceCfYo0BwxsXqNm01IGEUdYcSSLTEv9YCik/edit?usp=sharing"",""เบิกจ่ายกองทุน!AX64"")"),0)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IFERROR(__xludf.DUMMYFUNCTION("IMPORTRANGE(""https://docs.google.com/spreadsheets/d/1-uDff_7J0KD5mKrp0Vvzr7lt3OU09vwQwhkpOPPYv2Y/edit?usp=sharing"",""งบพรบ!HN64"")"),0)</f>
        <v>0</v>
      </c>
      <c r="M607" s="86">
        <f ca="1">IFERROR(__xludf.DUMMYFUNCTION("IMPORTRANGE(""https://docs.google.com/spreadsheets/d/1-uDff_7J0KD5mKrp0Vvzr7lt3OU09vwQwhkpOPPYv2Y/edit?usp=sharing"",""งบพรบ!HQ64"")"),0)</f>
        <v>0</v>
      </c>
      <c r="N607" s="86">
        <f ca="1">IFERROR(__xludf.DUMMYFUNCTION("IMPORTRANGE(""https://docs.google.com/spreadsheets/d/1-uDff_7J0KD5mKrp0Vvzr7lt3OU09vwQwhkpOPPYv2Y/edit?usp=sharing"",""งบพรบ!HS64"")"),0)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IFERROR(__xludf.DUMMYFUNCTION("IMPORTRANGE(""https://docs.google.com/spreadsheets/d/1ItG2mGa2ceCfYo0BwxsXqNm01IGEUdYcSSLTEv9YCik/edit?usp=sharing"",""เบิกจ่ายกองทุน!AY64"")"),0)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IFERROR(__xludf.DUMMYFUNCTION("IMPORTRANGE(""https://docs.google.com/spreadsheets/d/1ItG2mGa2ceCfYo0BwxsXqNm01IGEUdYcSSLTEv9YCik/edit?usp=sharing"",""เบิกจ่ายกองทุน!AZ64"")"),0)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IFERROR(__xludf.DUMMYFUNCTION("IMPORTRANGE(""https://docs.google.com/spreadsheets/d/1ItG2mGa2ceCfYo0BwxsXqNm01IGEUdYcSSLTEv9YCik/edit?usp=sharing"",""เบิกจ่ายกองทุน!BA64"")"),0)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200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21900</v>
      </c>
      <c r="R616" s="262">
        <f ca="1">R617+R618</f>
        <v>21900</v>
      </c>
      <c r="S616" s="262">
        <f ca="1">S617+S618</f>
        <v>5371</v>
      </c>
      <c r="T616" s="262">
        <f t="shared" ref="T616:T624" ca="1" si="157">IF(Q616&gt;0,S616*100/Q616,0)</f>
        <v>24.525114155251142</v>
      </c>
      <c r="U616" s="262">
        <f t="shared" ref="U616:U624" ca="1" si="158">IF(R616&gt;0,S616*100/R616,0)</f>
        <v>24.525114155251142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21900</v>
      </c>
      <c r="R618" s="72">
        <f t="shared" ca="1" si="160"/>
        <v>21900</v>
      </c>
      <c r="S618" s="72">
        <f t="shared" ca="1" si="160"/>
        <v>5371</v>
      </c>
      <c r="T618" s="72">
        <f t="shared" ca="1" si="157"/>
        <v>24.525114155251142</v>
      </c>
      <c r="U618" s="72">
        <f t="shared" ca="1" si="158"/>
        <v>24.525114155251142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21900</v>
      </c>
      <c r="R619" s="72">
        <f ca="1">R620+R621</f>
        <v>21900</v>
      </c>
      <c r="S619" s="72">
        <f ca="1">S620+S621</f>
        <v>5371</v>
      </c>
      <c r="T619" s="72">
        <f t="shared" ca="1" si="157"/>
        <v>24.525114155251142</v>
      </c>
      <c r="U619" s="72">
        <f t="shared" ca="1" si="158"/>
        <v>24.525114155251142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IFERROR(__xludf.DUMMYFUNCTION("IMPORTRANGE(""https://docs.google.com/spreadsheets/d/1ItG2mGa2ceCfYo0BwxsXqNm01IGEUdYcSSLTEv9YCik/edit?usp=sharing"",""เบิกจ่ายกองทุน!F64"")"),21900)</f>
        <v>21900</v>
      </c>
      <c r="R621" s="72">
        <f ca="1">IFERROR(__xludf.DUMMYFUNCTION("IMPORTRANGE(""https://docs.google.com/spreadsheets/d/1ItG2mGa2ceCfYo0BwxsXqNm01IGEUdYcSSLTEv9YCik/edit?usp=sharing"",""เบิกจ่ายกองทุน!G64"")"),21900)</f>
        <v>21900</v>
      </c>
      <c r="S621" s="72">
        <f ca="1">IFERROR(__xludf.DUMMYFUNCTION("IMPORTRANGE(""https://docs.google.com/spreadsheets/d/1ItG2mGa2ceCfYo0BwxsXqNm01IGEUdYcSSLTEv9YCik/edit?usp=sharing"",""เบิกจ่ายกองทุน!H64"")"),5371)</f>
        <v>5371</v>
      </c>
      <c r="T621" s="72">
        <f t="shared" ca="1" si="157"/>
        <v>24.525114155251142</v>
      </c>
      <c r="U621" s="72">
        <f t="shared" ca="1" si="158"/>
        <v>24.525114155251142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IFERROR(__xludf.DUMMYFUNCTION("IMPORTRANGE(""https://docs.google.com/spreadsheets/d/1eHaY18a8A9IcSdp1K8H6x8fbOy06t2VsZHhMHf-1x7Y/edit?usp=sharing"",""แผน!ID64"")"),200)</f>
        <v>200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IFERROR(__xludf.DUMMYFUNCTION("IMPORTRANGE(""https://docs.google.com/spreadsheets/d/1eHaY18a8A9IcSdp1K8H6x8fbOy06t2VsZHhMHf-1x7Y/edit?usp=sharing"",""แผน!IC64"")"),0)</f>
        <v>0</v>
      </c>
      <c r="J627" s="292">
        <v>16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IFERROR(__xludf.DUMMYFUNCTION("IMPORTRANGE(""https://docs.google.com/spreadsheets/d/1eHaY18a8A9IcSdp1K8H6x8fbOy06t2VsZHhMHf-1x7Y/edit?usp=sharing"",""แผน!IC64"")"),0)</f>
        <v>0</v>
      </c>
      <c r="J628" s="292">
        <v>16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1364">
        <v>198</v>
      </c>
      <c r="K629" s="72">
        <f ca="1">IF(I$626&gt;0,J629*100/I$626,0)</f>
        <v>99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IFERROR(__xludf.DUMMYFUNCTION("IMPORTRANGE(""https://docs.google.com/spreadsheets/d/1eHaY18a8A9IcSdp1K8H6x8fbOy06t2VsZHhMHf-1x7Y/edit?usp=sharing"",""แผน!IE64"")"),0)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177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76220</v>
      </c>
      <c r="R642" s="262">
        <f ca="1">R643+R644</f>
        <v>76220</v>
      </c>
      <c r="S642" s="262">
        <f ca="1">S643+S644</f>
        <v>13760</v>
      </c>
      <c r="T642" s="262">
        <f t="shared" ref="T642:T650" ca="1" si="163">IF(Q642&gt;0,S642*100/Q642,0)</f>
        <v>18.053004460771451</v>
      </c>
      <c r="U642" s="262">
        <f t="shared" ref="U642:U650" ca="1" si="164">IF(R642&gt;0,S642*100/R642,0)</f>
        <v>18.053004460771451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76220</v>
      </c>
      <c r="R644" s="72">
        <f t="shared" ca="1" si="166"/>
        <v>76220</v>
      </c>
      <c r="S644" s="72">
        <f t="shared" ca="1" si="166"/>
        <v>13760</v>
      </c>
      <c r="T644" s="72">
        <f t="shared" ca="1" si="163"/>
        <v>18.053004460771451</v>
      </c>
      <c r="U644" s="72">
        <f t="shared" ca="1" si="164"/>
        <v>18.053004460771451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76220</v>
      </c>
      <c r="R645" s="72">
        <f ca="1">R646+R647</f>
        <v>76220</v>
      </c>
      <c r="S645" s="72">
        <f ca="1">S646+S647</f>
        <v>13760</v>
      </c>
      <c r="T645" s="72">
        <f t="shared" ca="1" si="163"/>
        <v>18.053004460771451</v>
      </c>
      <c r="U645" s="72">
        <f t="shared" ca="1" si="164"/>
        <v>18.053004460771451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IFERROR(__xludf.DUMMYFUNCTION("IMPORTRANGE(""https://docs.google.com/spreadsheets/d/1ItG2mGa2ceCfYo0BwxsXqNm01IGEUdYcSSLTEv9YCik/edit?usp=sharing"",""เบิกจ่ายกองทุน!I64"")"),76220)</f>
        <v>76220</v>
      </c>
      <c r="R647" s="72">
        <f ca="1">IFERROR(__xludf.DUMMYFUNCTION("IMPORTRANGE(""https://docs.google.com/spreadsheets/d/1ItG2mGa2ceCfYo0BwxsXqNm01IGEUdYcSSLTEv9YCik/edit?usp=sharing"",""เบิกจ่ายกองทุน!J64"")"),76220)</f>
        <v>76220</v>
      </c>
      <c r="S647" s="72">
        <f ca="1">IFERROR(__xludf.DUMMYFUNCTION("IMPORTRANGE(""https://docs.google.com/spreadsheets/d/1ItG2mGa2ceCfYo0BwxsXqNm01IGEUdYcSSLTEv9YCik/edit?usp=sharing"",""เบิกจ่ายกองทุน!K64"")"),13760)</f>
        <v>13760</v>
      </c>
      <c r="T647" s="72">
        <f t="shared" ca="1" si="163"/>
        <v>18.053004460771451</v>
      </c>
      <c r="U647" s="72">
        <f t="shared" ca="1" si="164"/>
        <v>18.053004460771451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IFERROR(__xludf.DUMMYFUNCTION("IMPORTRANGE(""https://docs.google.com/spreadsheets/d/1eHaY18a8A9IcSdp1K8H6x8fbOy06t2VsZHhMHf-1x7Y/edit?usp=sharing"",""แผน!IF64"")"),0)</f>
        <v>0</v>
      </c>
      <c r="J652" s="291">
        <f ca="1">IFERROR(__xludf.DUMMYFUNCTION("IMPORTRANGE(""https://docs.google.com/spreadsheets/d/1tdoBKaGub7dwA3U6UFTqxio9LNnvDCQjHKmttSEBsFQ/edit?usp=sharing"",""จัดที่ดิน!AU64"")"),0)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IFERROR(__xludf.DUMMYFUNCTION("IMPORTRANGE(""https://docs.google.com/spreadsheets/d/1eHaY18a8A9IcSdp1K8H6x8fbOy06t2VsZHhMHf-1x7Y/edit?usp=sharing"",""แผน!IG64"")"),63)</f>
        <v>63</v>
      </c>
      <c r="J653" s="291">
        <f ca="1">IFERROR(__xludf.DUMMYFUNCTION("IMPORTRANGE(""https://docs.google.com/spreadsheets/d/1tdoBKaGub7dwA3U6UFTqxio9LNnvDCQjHKmttSEBsFQ/edit?usp=sharing"",""จัดที่ดิน!AW64"")"),35)</f>
        <v>35</v>
      </c>
      <c r="K653" s="72">
        <f ca="1">IF(I653&gt;0,J653*100/I653,0)</f>
        <v>55.555555555555557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IFERROR(__xludf.DUMMYFUNCTION("IMPORTRANGE(""https://docs.google.com/spreadsheets/d/1eHaY18a8A9IcSdp1K8H6x8fbOy06t2VsZHhMHf-1x7Y/edit?usp=sharing"",""แผน!IH64"")"),0)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IFERROR(__xludf.DUMMYFUNCTION("IMPORTRANGE(""https://docs.google.com/spreadsheets/d/1eHaY18a8A9IcSdp1K8H6x8fbOy06t2VsZHhMHf-1x7Y/edit?usp=sharing"",""แผน!II64"")"),0)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IFERROR(__xludf.DUMMYFUNCTION("IMPORTRANGE(""https://docs.google.com/spreadsheets/d/1eHaY18a8A9IcSdp1K8H6x8fbOy06t2VsZHhMHf-1x7Y/edit?usp=sharing"",""แผน!IJ64"")"),0)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IFERROR(__xludf.DUMMYFUNCTION("IMPORTRANGE(""https://docs.google.com/spreadsheets/d/1eHaY18a8A9IcSdp1K8H6x8fbOy06t2VsZHhMHf-1x7Y/edit?usp=sharing"",""แผน!IK64"")"),20)</f>
        <v>20</v>
      </c>
      <c r="J661" s="601">
        <f>J667+J670</f>
        <v>11</v>
      </c>
      <c r="K661" s="262">
        <f ca="1">IF(I661&gt;0,J661*100/I661,0)</f>
        <v>55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1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11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2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2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11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IFERROR(__xludf.DUMMYFUNCTION("IMPORTRANGE(""https://docs.google.com/spreadsheets/d/1tdoBKaGub7dwA3U6UFTqxio9LNnvDCQjHKmttSEBsFQ/edit?usp=sharing"",""จัดที่ดิน!AY64"")"),55)</f>
        <v>55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IFERROR(__xludf.DUMMYFUNCTION("IMPORTRANGE(""https://docs.google.com/spreadsheets/d/1tdoBKaGub7dwA3U6UFTqxio9LNnvDCQjHKmttSEBsFQ/edit?usp=sharing"",""จัดที่ดิน!AZ64"")"),59)</f>
        <v>59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IFERROR(__xludf.DUMMYFUNCTION("IMPORTRANGE(""https://docs.google.com/spreadsheets/d/1eHaY18a8A9IcSdp1K8H6x8fbOy06t2VsZHhMHf-1x7Y/edit?usp=sharing"",""แผน!IL64"")"),450)</f>
        <v>450</v>
      </c>
      <c r="J673" s="291">
        <f ca="1">IFERROR(__xludf.DUMMYFUNCTION("IMPORTRANGE(""https://docs.google.com/spreadsheets/d/1tdoBKaGub7dwA3U6UFTqxio9LNnvDCQjHKmttSEBsFQ/edit?usp=sharing"",""จัดที่ดิน!BA64"")"),473.76)</f>
        <v>473.76</v>
      </c>
      <c r="K673" s="72">
        <f ca="1">IF(I673&gt;0,J673*100/I673,0)</f>
        <v>105.28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IFERROR(__xludf.DUMMYFUNCTION("IMPORTRANGE(""https://docs.google.com/spreadsheets/d/1eHaY18a8A9IcSdp1K8H6x8fbOy06t2VsZHhMHf-1x7Y/edit?usp=sharing"",""แผน!IM64"")"),43)</f>
        <v>43</v>
      </c>
      <c r="J674" s="601">
        <f ca="1">J676+J679</f>
        <v>1</v>
      </c>
      <c r="K674" s="262">
        <f ca="1">IF(I674&gt;0,J674*100/I674,0)</f>
        <v>2.3255813953488373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IFERROR(__xludf.DUMMYFUNCTION("IMPORTRANGE(""https://docs.google.com/spreadsheets/d/1eHaY18a8A9IcSdp1K8H6x8fbOy06t2VsZHhMHf-1x7Y/edit?usp=sharing"",""แผน!IN64"")"),330)</f>
        <v>330</v>
      </c>
      <c r="J675" s="601">
        <f ca="1">J678+J681</f>
        <v>11.89</v>
      </c>
      <c r="K675" s="262">
        <f ca="1">IF(I675&gt;0,J675*100/I675,0)</f>
        <v>3.603030303030303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IFERROR(__xludf.DUMMYFUNCTION("IMPORTRANGE(""https://docs.google.com/spreadsheets/d/1eHaY18a8A9IcSdp1K8H6x8fbOy06t2VsZHhMHf-1x7Y/edit?usp=sharing"",""แผน!IO64"")"),40)</f>
        <v>40</v>
      </c>
      <c r="J676" s="291">
        <f ca="1">IFERROR(__xludf.DUMMYFUNCTION("IMPORTRANGE(""https://docs.google.com/spreadsheets/d/1tdoBKaGub7dwA3U6UFTqxio9LNnvDCQjHKmttSEBsFQ/edit?usp=sharing"",""จัดที่ดิน!BF64"")"),1)</f>
        <v>1</v>
      </c>
      <c r="K676" s="72">
        <f ca="1">IF(I676&gt;0,J676*100/I676,0)</f>
        <v>2.5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IFERROR(__xludf.DUMMYFUNCTION("IMPORTRANGE(""https://docs.google.com/spreadsheets/d/1tdoBKaGub7dwA3U6UFTqxio9LNnvDCQjHKmttSEBsFQ/edit?usp=sharing"",""จัดที่ดิน!BG64"")"),1)</f>
        <v>1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IFERROR(__xludf.DUMMYFUNCTION("IMPORTRANGE(""https://docs.google.com/spreadsheets/d/1eHaY18a8A9IcSdp1K8H6x8fbOy06t2VsZHhMHf-1x7Y/edit?usp=sharing"",""แผน!IP64"")"),300)</f>
        <v>300</v>
      </c>
      <c r="J678" s="291">
        <f ca="1">IFERROR(__xludf.DUMMYFUNCTION("IMPORTRANGE(""https://docs.google.com/spreadsheets/d/1tdoBKaGub7dwA3U6UFTqxio9LNnvDCQjHKmttSEBsFQ/edit?usp=sharing"",""จัดที่ดิน!BH64"")"),11.89)</f>
        <v>11.89</v>
      </c>
      <c r="K678" s="72">
        <f ca="1">IF(I678&gt;0,J678*100/I678,0)</f>
        <v>3.9633333333333334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IFERROR(__xludf.DUMMYFUNCTION("IMPORTRANGE(""https://docs.google.com/spreadsheets/d/1eHaY18a8A9IcSdp1K8H6x8fbOy06t2VsZHhMHf-1x7Y/edit?usp=sharing"",""แผน!IQ64"")"),3)</f>
        <v>3</v>
      </c>
      <c r="J679" s="291">
        <f ca="1">IFERROR(__xludf.DUMMYFUNCTION("IMPORTRANGE(""https://docs.google.com/spreadsheets/d/1tdoBKaGub7dwA3U6UFTqxio9LNnvDCQjHKmttSEBsFQ/edit?usp=sharing"",""จัดที่ดิน!BK64"")"),0)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IFERROR(__xludf.DUMMYFUNCTION("IMPORTRANGE(""https://docs.google.com/spreadsheets/d/1tdoBKaGub7dwA3U6UFTqxio9LNnvDCQjHKmttSEBsFQ/edit?usp=sharing"",""จัดที่ดิน!BL64"")"),0)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IFERROR(__xludf.DUMMYFUNCTION("IMPORTRANGE(""https://docs.google.com/spreadsheets/d/1eHaY18a8A9IcSdp1K8H6x8fbOy06t2VsZHhMHf-1x7Y/edit?usp=sharing"",""แผน!IR64"")"),30)</f>
        <v>30</v>
      </c>
      <c r="J681" s="291">
        <f ca="1">IFERROR(__xludf.DUMMYFUNCTION("IMPORTRANGE(""https://docs.google.com/spreadsheets/d/1tdoBKaGub7dwA3U6UFTqxio9LNnvDCQjHKmttSEBsFQ/edit?usp=sharing"",""จัดที่ดิน!BM64"")"),0)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IFERROR(__xludf.DUMMYFUNCTION("IMPORTRANGE(""https://docs.google.com/spreadsheets/d/1eHaY18a8A9IcSdp1K8H6x8fbOy06t2VsZHhMHf-1x7Y/edit?usp=sharing"",""แผน!IS64"")"),317)</f>
        <v>317</v>
      </c>
      <c r="J682" s="601">
        <f>J685+J688</f>
        <v>97</v>
      </c>
      <c r="K682" s="262">
        <f ca="1">IF(I682&gt;0,J682*100/I682,0)</f>
        <v>30.599369085173503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9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9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97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59430</v>
      </c>
      <c r="R690" s="262">
        <f ca="1">R691+R692</f>
        <v>59430</v>
      </c>
      <c r="S690" s="262">
        <f ca="1">S691+S692</f>
        <v>1819</v>
      </c>
      <c r="T690" s="262">
        <f t="shared" ref="T690:T698" ca="1" si="169">IF(Q690&gt;0,S690*100/Q690,0)</f>
        <v>3.060743732121824</v>
      </c>
      <c r="U690" s="262">
        <f t="shared" ref="U690:U698" ca="1" si="170">IF(R690&gt;0,S690*100/R690,0)</f>
        <v>3.060743732121824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59430</v>
      </c>
      <c r="R692" s="72">
        <f t="shared" ca="1" si="172"/>
        <v>59430</v>
      </c>
      <c r="S692" s="72">
        <f t="shared" ca="1" si="172"/>
        <v>1819</v>
      </c>
      <c r="T692" s="72">
        <f t="shared" ca="1" si="169"/>
        <v>3.060743732121824</v>
      </c>
      <c r="U692" s="72">
        <f t="shared" ca="1" si="170"/>
        <v>3.060743732121824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59430</v>
      </c>
      <c r="R693" s="72">
        <f ca="1">R694+R695</f>
        <v>59430</v>
      </c>
      <c r="S693" s="72">
        <f ca="1">S694+S695</f>
        <v>1819</v>
      </c>
      <c r="T693" s="72">
        <f t="shared" ca="1" si="169"/>
        <v>3.060743732121824</v>
      </c>
      <c r="U693" s="72">
        <f t="shared" ca="1" si="170"/>
        <v>3.060743732121824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IFERROR(__xludf.DUMMYFUNCTION("IMPORTRANGE(""https://docs.google.com/spreadsheets/d/1ItG2mGa2ceCfYo0BwxsXqNm01IGEUdYcSSLTEv9YCik/edit?usp=sharing"",""เบิกจ่ายกองทุน!L64"")"),59430)</f>
        <v>59430</v>
      </c>
      <c r="R695" s="72">
        <f ca="1">IFERROR(__xludf.DUMMYFUNCTION("IMPORTRANGE(""https://docs.google.com/spreadsheets/d/1ItG2mGa2ceCfYo0BwxsXqNm01IGEUdYcSSLTEv9YCik/edit?usp=sharing"",""เบิกจ่ายกองทุน!M64"")"),59430)</f>
        <v>59430</v>
      </c>
      <c r="S695" s="72">
        <f ca="1">IFERROR(__xludf.DUMMYFUNCTION("IMPORTRANGE(""https://docs.google.com/spreadsheets/d/1ItG2mGa2ceCfYo0BwxsXqNm01IGEUdYcSSLTEv9YCik/edit?usp=sharing"",""เบิกจ่ายกองทุน!N64"")"),1819)</f>
        <v>1819</v>
      </c>
      <c r="T695" s="72">
        <f t="shared" ca="1" si="169"/>
        <v>3.060743732121824</v>
      </c>
      <c r="U695" s="72">
        <f t="shared" ca="1" si="170"/>
        <v>3.060743732121824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IFERROR(__xludf.DUMMYFUNCTION("IMPORTRANGE(""https://docs.google.com/spreadsheets/d/1eHaY18a8A9IcSdp1K8H6x8fbOy06t2VsZHhMHf-1x7Y/edit?usp=sharing"",""แผน!LC64"")"),0)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4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IFERROR(__xludf.DUMMYFUNCTION("IMPORTRANGE(""https://docs.google.com/spreadsheets/d/1eHaY18a8A9IcSdp1K8H6x8fbOy06t2VsZHhMHf-1x7Y/edit?usp=sharing"",""แผน!LJ64"")"),0)</f>
        <v>0</v>
      </c>
      <c r="J703" s="291">
        <f ca="1">IFERROR(__xludf.DUMMYFUNCTION("IMPORTRANGE(""https://docs.google.com/spreadsheets/d/1tdoBKaGub7dwA3U6UFTqxio9LNnvDCQjHKmttSEBsFQ/edit?usp=sharing"",""จัดที่ดิน!AP64"")"),0)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IFERROR(__xludf.DUMMYFUNCTION("IMPORTRANGE(""https://docs.google.com/spreadsheets/d/1tdoBKaGub7dwA3U6UFTqxio9LNnvDCQjHKmttSEBsFQ/edit?usp=sharing"",""จัดที่ดิน!AQ64"")"),0)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IFERROR(__xludf.DUMMYFUNCTION("IMPORTRANGE(""https://docs.google.com/spreadsheets/d/1eHaY18a8A9IcSdp1K8H6x8fbOy06t2VsZHhMHf-1x7Y/edit?usp=sharing"",""แผน!LK64"")"),4)</f>
        <v>4</v>
      </c>
      <c r="J705" s="291">
        <f ca="1">IFERROR(__xludf.DUMMYFUNCTION("IMPORTRANGE(""https://docs.google.com/spreadsheets/d/1tdoBKaGub7dwA3U6UFTqxio9LNnvDCQjHKmttSEBsFQ/edit?usp=sharing"",""จัดที่ดิน!AR64"")"),0)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IFERROR(__xludf.DUMMYFUNCTION("IMPORTRANGE(""https://docs.google.com/spreadsheets/d/1tdoBKaGub7dwA3U6UFTqxio9LNnvDCQjHKmttSEBsFQ/edit?usp=sharing"",""จัดที่ดิน!AS64"")"),0)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IFERROR(__xludf.DUMMYFUNCTION("IMPORTRANGE(""https://docs.google.com/spreadsheets/d/1eHaY18a8A9IcSdp1K8H6x8fbOy06t2VsZHhMHf-1x7Y/edit?usp=sharing"",""แผน!LJ64"")"),0)</f>
        <v>0</v>
      </c>
      <c r="J707" s="291">
        <f ca="1">IFERROR(__xludf.DUMMYFUNCTION("IMPORTRANGE(""https://docs.google.com/spreadsheets/d/1tdoBKaGub7dwA3U6UFTqxio9LNnvDCQjHKmttSEBsFQ/edit?usp=sharing"",""จัดที่ดิน!BN64"")"),0)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IFERROR(__xludf.DUMMYFUNCTION("IMPORTRANGE(""https://docs.google.com/spreadsheets/d/1tdoBKaGub7dwA3U6UFTqxio9LNnvDCQjHKmttSEBsFQ/edit?usp=sharing"",""จัดที่ดิน!BO64"")"),0)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IFERROR(__xludf.DUMMYFUNCTION("IMPORTRANGE(""https://docs.google.com/spreadsheets/d/1eHaY18a8A9IcSdp1K8H6x8fbOy06t2VsZHhMHf-1x7Y/edit?usp=sharing"",""แผน!LK64"")"),4)</f>
        <v>4</v>
      </c>
      <c r="J709" s="291">
        <f ca="1">IFERROR(__xludf.DUMMYFUNCTION("IMPORTRANGE(""https://docs.google.com/spreadsheets/d/1tdoBKaGub7dwA3U6UFTqxio9LNnvDCQjHKmttSEBsFQ/edit?usp=sharing"",""จัดที่ดิน!BP64"")"),4)</f>
        <v>4</v>
      </c>
      <c r="K709" s="72">
        <f t="shared" ca="1" si="173"/>
        <v>100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IFERROR(__xludf.DUMMYFUNCTION("IMPORTRANGE(""https://docs.google.com/spreadsheets/d/1tdoBKaGub7dwA3U6UFTqxio9LNnvDCQjHKmttSEBsFQ/edit?usp=sharing"",""จัดที่ดิน!BQ64"")"),0)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IFERROR(__xludf.DUMMYFUNCTION("IMPORTRANGE(""https://docs.google.com/spreadsheets/d/1eHaY18a8A9IcSdp1K8H6x8fbOy06t2VsZHhMHf-1x7Y/edit?usp=sharing"",""แผน!FZ64"")"),0)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IFERROR(__xludf.DUMMYFUNCTION("IMPORTRANGE(""https://docs.google.com/spreadsheets/d/1eHaY18a8A9IcSdp1K8H6x8fbOy06t2VsZHhMHf-1x7Y/edit?usp=sharing"",""แผน!GA64"")"),0)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IFERROR(__xludf.DUMMYFUNCTION("IMPORTRANGE(""https://docs.google.com/spreadsheets/d/1ItG2mGa2ceCfYo0BwxsXqNm01IGEUdYcSSLTEv9YCik/edit?usp=sharing"",""เบิกจ่ายกองทุน!O64"")"),0)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IFERROR(__xludf.DUMMYFUNCTION("IMPORTRANGE(""https://docs.google.com/spreadsheets/d/1ItG2mGa2ceCfYo0BwxsXqNm01IGEUdYcSSLTEv9YCik/edit?usp=sharing"",""เบิกจ่ายกองทุน!P64"")"),0)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IFERROR(__xludf.DUMMYFUNCTION("IMPORTRANGE(""https://docs.google.com/spreadsheets/d/1ItG2mGa2ceCfYo0BwxsXqNm01IGEUdYcSSLTEv9YCik/edit?usp=sharing"",""เบิกจ่ายกองทุน!Q64"")"),0)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IFERROR(__xludf.DUMMYFUNCTION("IMPORTRANGE(""https://docs.google.com/spreadsheets/d/1eHaY18a8A9IcSdp1K8H6x8fbOy06t2VsZHhMHf-1x7Y/edit?usp=sharing"",""แผน!GB64"")"),0)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IFERROR(__xludf.DUMMYFUNCTION("IMPORTRANGE(""https://docs.google.com/spreadsheets/d/1eHaY18a8A9IcSdp1K8H6x8fbOy06t2VsZHhMHf-1x7Y/edit?usp=sharing"",""แผน!GC64"")"),0)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IFERROR(__xludf.DUMMYFUNCTION("IMPORTRANGE(""https://docs.google.com/spreadsheets/d/1eHaY18a8A9IcSdp1K8H6x8fbOy06t2VsZHhMHf-1x7Y/edit?usp=sharing"",""แผน!GD64"")"),0)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IFERROR(__xludf.DUMMYFUNCTION("IMPORTRANGE(""https://docs.google.com/spreadsheets/d/1eHaY18a8A9IcSdp1K8H6x8fbOy06t2VsZHhMHf-1x7Y/edit?usp=sharing"",""แผน!GE64"")"),0)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IFERROR(__xludf.DUMMYFUNCTION("IMPORTRANGE(""https://docs.google.com/spreadsheets/d/1eHaY18a8A9IcSdp1K8H6x8fbOy06t2VsZHhMHf-1x7Y/edit?usp=sharing"",""แผน!GF64"")"),0)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IFERROR(__xludf.DUMMYFUNCTION("IMPORTRANGE(""https://docs.google.com/spreadsheets/d/1eHaY18a8A9IcSdp1K8H6x8fbOy06t2VsZHhMHf-1x7Y/edit?usp=sharing"",""แผน!GC64"")"),0)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IFERROR(__xludf.DUMMYFUNCTION("IMPORTRANGE(""https://docs.google.com/spreadsheets/d/1eHaY18a8A9IcSdp1K8H6x8fbOy06t2VsZHhMHf-1x7Y/edit?usp=sharing"",""แผน!GE64"")"),0)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IFERROR(__xludf.DUMMYFUNCTION("IMPORTRANGE(""https://docs.google.com/spreadsheets/d/1ItG2mGa2ceCfYo0BwxsXqNm01IGEUdYcSSLTEv9YCik/edit?usp=sharing"",""เบิกจ่ายกองทุน!AA64"")"),0)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IFERROR(__xludf.DUMMYFUNCTION("IMPORTRANGE(""https://docs.google.com/spreadsheets/d/1ItG2mGa2ceCfYo0BwxsXqNm01IGEUdYcSSLTEv9YCik/edit?usp=sharing"",""เบิกจ่ายกองทุน!AB64"")"),0)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IFERROR(__xludf.DUMMYFUNCTION("IMPORTRANGE(""https://docs.google.com/spreadsheets/d/1ItG2mGa2ceCfYo0BwxsXqNm01IGEUdYcSSLTEv9YCik/edit?usp=sharing"",""เบิกจ่ายกองทุน!AC64"")"),0)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IFERROR(__xludf.DUMMYFUNCTION("IMPORTRANGE(""https://docs.google.com/spreadsheets/d/1eHaY18a8A9IcSdp1K8H6x8fbOy06t2VsZHhMHf-1x7Y/edit?usp=sharing"",""แผน!FI64"")"),0)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IFERROR(__xludf.DUMMYFUNCTION("IMPORTRANGE(""https://docs.google.com/spreadsheets/d/1eHaY18a8A9IcSdp1K8H6x8fbOy06t2VsZHhMHf-1x7Y/edit?usp=sharing"",""แผน!FQ64"")"),0)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IFERROR(__xludf.DUMMYFUNCTION("IMPORTRANGE(""https://docs.google.com/spreadsheets/d/1eHaY18a8A9IcSdp1K8H6x8fbOy06t2VsZHhMHf-1x7Y/edit?usp=sharing"",""แผน!FR64"")"),0)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IFERROR(__xludf.DUMMYFUNCTION("IMPORTRANGE(""https://docs.google.com/spreadsheets/d/1eHaY18a8A9IcSdp1K8H6x8fbOy06t2VsZHhMHf-1x7Y/edit?usp=sharing"",""แผน!FS64"")"),0)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IFERROR(__xludf.DUMMYFUNCTION("IMPORTRANGE(""https://docs.google.com/spreadsheets/d/1eHaY18a8A9IcSdp1K8H6x8fbOy06t2VsZHhMHf-1x7Y/edit?usp=sharing"",""แผน!FT64"")"),0)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IFERROR(__xludf.DUMMYFUNCTION("IMPORTRANGE(""https://docs.google.com/spreadsheets/d/10OvvATaaLtwErnr3qtWFcTmtbfpFEt5Bsqel9sXx0uE/edit?usp=sharing"",""งานกองทุน!D64"")"),353000)</f>
        <v>353000</v>
      </c>
      <c r="J778" s="291">
        <f ca="1">IFERROR(__xludf.DUMMYFUNCTION("IMPORTRANGE(""https://docs.google.com/spreadsheets/d/10OvvATaaLtwErnr3qtWFcTmtbfpFEt5Bsqel9sXx0uE/edit?usp=sharing"",""งานกองทุน!F64"")"),428335.52)</f>
        <v>428335.52</v>
      </c>
      <c r="K778" s="72">
        <f t="shared" ref="K778:K785" ca="1" si="192">IF(I778&gt;0,J778*100/I778,0)</f>
        <v>121.34150708215297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IFERROR(__xludf.DUMMYFUNCTION("IMPORTRANGE(""https://docs.google.com/spreadsheets/d/10OvvATaaLtwErnr3qtWFcTmtbfpFEt5Bsqel9sXx0uE/edit?usp=sharing"",""งานกองทุน!C64"")"),21)</f>
        <v>21</v>
      </c>
      <c r="J779" s="291">
        <f ca="1">IFERROR(__xludf.DUMMYFUNCTION("IMPORTRANGE(""https://docs.google.com/spreadsheets/d/10OvvATaaLtwErnr3qtWFcTmtbfpFEt5Bsqel9sXx0uE/edit?usp=sharing"",""งานกองทุน!E64"")"),24)</f>
        <v>24</v>
      </c>
      <c r="K779" s="72">
        <f t="shared" ca="1" si="192"/>
        <v>114.28571428571429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IFERROR(__xludf.DUMMYFUNCTION("IMPORTRANGE(""https://docs.google.com/spreadsheets/d/10OvvATaaLtwErnr3qtWFcTmtbfpFEt5Bsqel9sXx0uE/edit?usp=sharing"",""งานกองทุน!I64"")"),3808405.89)</f>
        <v>3808405.89</v>
      </c>
      <c r="J780" s="291">
        <f ca="1">IFERROR(__xludf.DUMMYFUNCTION("IMPORTRANGE(""https://docs.google.com/spreadsheets/d/10OvvATaaLtwErnr3qtWFcTmtbfpFEt5Bsqel9sXx0uE/edit?usp=sharing"",""งานกองทุน!K64"")"),428486.09)</f>
        <v>428486.09</v>
      </c>
      <c r="K780" s="72">
        <f t="shared" ca="1" si="192"/>
        <v>11.251061530103872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IFERROR(__xludf.DUMMYFUNCTION("IMPORTRANGE(""https://docs.google.com/spreadsheets/d/10OvvATaaLtwErnr3qtWFcTmtbfpFEt5Bsqel9sXx0uE/edit?usp=sharing"",""งานกองทุน!H64"")"),119)</f>
        <v>119</v>
      </c>
      <c r="J781" s="291">
        <f ca="1">IFERROR(__xludf.DUMMYFUNCTION("IMPORTRANGE(""https://docs.google.com/spreadsheets/d/10OvvATaaLtwErnr3qtWFcTmtbfpFEt5Bsqel9sXx0uE/edit?usp=sharing"",""งานกองทุน!J64"")"),43)</f>
        <v>43</v>
      </c>
      <c r="K781" s="72">
        <f t="shared" ca="1" si="192"/>
        <v>36.134453781512605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IFERROR(__xludf.DUMMYFUNCTION("IMPORTRANGE(""https://docs.google.com/spreadsheets/d/10OvvATaaLtwErnr3qtWFcTmtbfpFEt5Bsqel9sXx0uE/edit?usp=sharing"",""งานกองทุน!N64"")"),1210051.25)</f>
        <v>1210051.25</v>
      </c>
      <c r="J782" s="291">
        <f ca="1">IFERROR(__xludf.DUMMYFUNCTION("IMPORTRANGE(""https://docs.google.com/spreadsheets/d/10OvvATaaLtwErnr3qtWFcTmtbfpFEt5Bsqel9sXx0uE/edit?usp=sharing"",""งานกองทุน!P64"")"),548894.87)</f>
        <v>548894.87</v>
      </c>
      <c r="K782" s="72">
        <f t="shared" ca="1" si="192"/>
        <v>45.361291102339671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IFERROR(__xludf.DUMMYFUNCTION("IMPORTRANGE(""https://docs.google.com/spreadsheets/d/10OvvATaaLtwErnr3qtWFcTmtbfpFEt5Bsqel9sXx0uE/edit?usp=sharing"",""งานกองทุน!M64"")"),1421)</f>
        <v>1421</v>
      </c>
      <c r="J783" s="291">
        <f ca="1">IFERROR(__xludf.DUMMYFUNCTION("IMPORTRANGE(""https://docs.google.com/spreadsheets/d/10OvvATaaLtwErnr3qtWFcTmtbfpFEt5Bsqel9sXx0uE/edit?usp=sharing"",""งานกองทุน!O64"")"),34)</f>
        <v>34</v>
      </c>
      <c r="K783" s="72">
        <f t="shared" ca="1" si="192"/>
        <v>2.3926812104152004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IFERROR(__xludf.DUMMYFUNCTION("IMPORTRANGE(""https://docs.google.com/spreadsheets/d/10OvvATaaLtwErnr3qtWFcTmtbfpFEt5Bsqel9sXx0uE/edit?usp=sharing"",""งานกองทุน!S64"")"),1092000)</f>
        <v>1092000</v>
      </c>
      <c r="J784" s="291">
        <f ca="1">IFERROR(__xludf.DUMMYFUNCTION("IMPORTRANGE(""https://docs.google.com/spreadsheets/d/10OvvATaaLtwErnr3qtWFcTmtbfpFEt5Bsqel9sXx0uE/edit?usp=sharing"",""งานกองทุน!U64"")"),670000)</f>
        <v>670000</v>
      </c>
      <c r="K784" s="72">
        <f t="shared" ca="1" si="192"/>
        <v>61.355311355311358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IFERROR(__xludf.DUMMYFUNCTION("IMPORTRANGE(""https://docs.google.com/spreadsheets/d/10OvvATaaLtwErnr3qtWFcTmtbfpFEt5Bsqel9sXx0uE/edit?usp=sharing"",""งานกองทุน!R64"")"),39)</f>
        <v>39</v>
      </c>
      <c r="J785" s="773">
        <f ca="1">IFERROR(__xludf.DUMMYFUNCTION("IMPORTRANGE(""https://docs.google.com/spreadsheets/d/10OvvATaaLtwErnr3qtWFcTmtbfpFEt5Bsqel9sXx0uE/edit?usp=sharing"",""งานกองทุน!T64"")"),15)</f>
        <v>15</v>
      </c>
      <c r="K785" s="181">
        <f t="shared" ca="1" si="192"/>
        <v>38.46153846153846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5C53A-EF93-402C-8281-0F91FDCA99EF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358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3769576</v>
      </c>
      <c r="M18" s="57">
        <f ca="1">M19+M20</f>
        <v>3285569.1799999997</v>
      </c>
      <c r="N18" s="57">
        <f ca="1">N19+N20</f>
        <v>2385719.77</v>
      </c>
      <c r="O18" s="57">
        <f t="shared" ref="O18:O26" ca="1" si="0">IF(L18&gt;0,N18*100/L18,0)</f>
        <v>63.288809404559025</v>
      </c>
      <c r="P18" s="57">
        <f t="shared" ref="P18:P26" ca="1" si="1">IF(M18&gt;0,N18*100/M18,0)</f>
        <v>72.612069303620629</v>
      </c>
      <c r="Q18" s="57">
        <f ca="1">Q19+Q20</f>
        <v>783092</v>
      </c>
      <c r="R18" s="57">
        <f ca="1">R19+R20</f>
        <v>783092</v>
      </c>
      <c r="S18" s="57">
        <f ca="1">S19+S20</f>
        <v>377902</v>
      </c>
      <c r="T18" s="57">
        <f t="shared" ref="T18:T26" ca="1" si="2">IF(Q18&gt;0,S18*100/Q18,0)</f>
        <v>48.257675981876972</v>
      </c>
      <c r="U18" s="57">
        <f t="shared" ref="U18:U26" ca="1" si="3">IF(R18&gt;0,S18*100/R18,0)</f>
        <v>48.257675981876972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3769576</v>
      </c>
      <c r="M20" s="63">
        <f t="shared" ca="1" si="4"/>
        <v>3285569.1799999997</v>
      </c>
      <c r="N20" s="63">
        <f t="shared" ca="1" si="4"/>
        <v>2385719.77</v>
      </c>
      <c r="O20" s="63">
        <f t="shared" ca="1" si="0"/>
        <v>63.288809404559025</v>
      </c>
      <c r="P20" s="63">
        <f t="shared" ca="1" si="1"/>
        <v>72.612069303620629</v>
      </c>
      <c r="Q20" s="63">
        <f t="shared" ca="1" si="5"/>
        <v>783092</v>
      </c>
      <c r="R20" s="63">
        <f t="shared" ca="1" si="5"/>
        <v>783092</v>
      </c>
      <c r="S20" s="63">
        <f t="shared" ca="1" si="5"/>
        <v>377902</v>
      </c>
      <c r="T20" s="63">
        <f t="shared" ca="1" si="2"/>
        <v>48.257675981876972</v>
      </c>
      <c r="U20" s="63">
        <f t="shared" ca="1" si="3"/>
        <v>48.257675981876972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2057676</v>
      </c>
      <c r="M21" s="72">
        <f ca="1">M22+M23</f>
        <v>2285069.1799999997</v>
      </c>
      <c r="N21" s="72">
        <f ca="1">N22+N23</f>
        <v>1385219.77</v>
      </c>
      <c r="O21" s="72">
        <f t="shared" ca="1" si="0"/>
        <v>67.319625149926424</v>
      </c>
      <c r="P21" s="72">
        <f t="shared" ca="1" si="1"/>
        <v>60.620474081226732</v>
      </c>
      <c r="Q21" s="72">
        <f ca="1">Q22+Q23</f>
        <v>783092</v>
      </c>
      <c r="R21" s="72">
        <f ca="1">R22+R23</f>
        <v>783092</v>
      </c>
      <c r="S21" s="72">
        <f ca="1">S22+S23</f>
        <v>377902</v>
      </c>
      <c r="T21" s="72">
        <f t="shared" ca="1" si="2"/>
        <v>48.257675981876972</v>
      </c>
      <c r="U21" s="72">
        <f t="shared" ca="1" si="3"/>
        <v>48.257675981876972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2057676</v>
      </c>
      <c r="M23" s="72">
        <f ca="1">M49+M64+M77+M99+M122+M144+M162+M191+M178+M271+M287+M308+M325+M338+M361+M380+M418+M498+M518+M539+M560+M581+M604+M621+M647+M695+M719+M733+M765</f>
        <v>2285069.1799999997</v>
      </c>
      <c r="N23" s="72">
        <f ca="1">N49+N64+N77+N99+N122+N144+N162+N191+N178+N271+N287+N308+N325+N338+N361+N380+N418+N498+N518+N539+N560+N581+N604+N621+N647+N695+N719+N733+N765</f>
        <v>1385219.77</v>
      </c>
      <c r="O23" s="72">
        <f t="shared" ca="1" si="0"/>
        <v>67.319625149926424</v>
      </c>
      <c r="P23" s="72">
        <f t="shared" ca="1" si="1"/>
        <v>60.620474081226732</v>
      </c>
      <c r="Q23" s="72">
        <f t="shared" ca="1" si="6"/>
        <v>783092</v>
      </c>
      <c r="R23" s="72">
        <f t="shared" ca="1" si="6"/>
        <v>783092</v>
      </c>
      <c r="S23" s="72">
        <f t="shared" ca="1" si="6"/>
        <v>377902</v>
      </c>
      <c r="T23" s="72">
        <f t="shared" ca="1" si="2"/>
        <v>48.257675981876972</v>
      </c>
      <c r="U23" s="72">
        <f t="shared" ca="1" si="3"/>
        <v>48.257675981876972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1711900</v>
      </c>
      <c r="M24" s="72">
        <f ca="1">M25+M26</f>
        <v>1000500</v>
      </c>
      <c r="N24" s="72">
        <f ca="1">N25+N26</f>
        <v>1000500</v>
      </c>
      <c r="O24" s="72">
        <f t="shared" ca="1" si="0"/>
        <v>58.443834336117767</v>
      </c>
      <c r="P24" s="72">
        <f t="shared" ca="1" si="1"/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1711900</v>
      </c>
      <c r="M26" s="72">
        <f ca="1">M52+M67+M80+M102+M125+M147+M165+M194+M181+M274+M290+M311+M328+M341+M364+M383+M421+M501+M521+M542+M563+M584+M607+M624+M650+M698+M722+M736+M768</f>
        <v>1000500</v>
      </c>
      <c r="N26" s="72">
        <f ca="1">N52+N67+N80+N102+N125+N147+N165+N194+N181+N274+N290+N311+N328+N341+N364+N383+N421+N501+N521+N542+N563+N584+N607+N624+N650+N698+N722+N736+N768</f>
        <v>1000500</v>
      </c>
      <c r="O26" s="72">
        <f t="shared" ca="1" si="0"/>
        <v>58.443834336117767</v>
      </c>
      <c r="P26" s="72">
        <f t="shared" ca="1" si="1"/>
        <v>100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1996170</v>
      </c>
      <c r="M40" s="1050">
        <f ca="1">M44+M59+M72+M94+M125+M139+M157+M173+M186+M266+M282+M303+M320+M333+M356</f>
        <v>2223563.1799999997</v>
      </c>
      <c r="N40" s="1050">
        <f ca="1">N44+N59+N72+N94+N125+N139+N157+N173+N186+N266+N282+N303+N320+N333+N356</f>
        <v>1425719.77</v>
      </c>
      <c r="O40" s="1050">
        <f ca="1">IF(L40&gt;0,N40*100/L40,0)</f>
        <v>71.422763091319879</v>
      </c>
      <c r="P40" s="1050">
        <f ca="1">IF(M40&gt;0,N40*100/M40,0)</f>
        <v>64.11869843968185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364400</v>
      </c>
      <c r="M44" s="1031">
        <f ca="1">M45+M46</f>
        <v>371453.18</v>
      </c>
      <c r="N44" s="1031">
        <f ca="1">N45+N46</f>
        <v>181160</v>
      </c>
      <c r="O44" s="1031">
        <f t="shared" ref="O44:O52" ca="1" si="8">IF(L44&gt;0,N44*100/L44,0)</f>
        <v>49.714599341383092</v>
      </c>
      <c r="P44" s="1031">
        <f t="shared" ref="P44:P52" ca="1" si="9">IF(M44&gt;0,N44*100/M44,0)</f>
        <v>48.770614913028879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364400</v>
      </c>
      <c r="M46" s="1018">
        <f t="shared" ca="1" si="12"/>
        <v>371453.18</v>
      </c>
      <c r="N46" s="1018">
        <f t="shared" ca="1" si="12"/>
        <v>181160</v>
      </c>
      <c r="O46" s="1018">
        <f t="shared" ca="1" si="8"/>
        <v>49.714599341383092</v>
      </c>
      <c r="P46" s="1018">
        <f t="shared" ca="1" si="9"/>
        <v>48.770614913028879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364400</v>
      </c>
      <c r="M47" s="72">
        <f ca="1">M48+M49</f>
        <v>371453.18</v>
      </c>
      <c r="N47" s="72">
        <f ca="1">N48+N49</f>
        <v>181160</v>
      </c>
      <c r="O47" s="72">
        <f t="shared" ca="1" si="8"/>
        <v>49.714599341383092</v>
      </c>
      <c r="P47" s="72">
        <f t="shared" ca="1" si="9"/>
        <v>48.770614913028879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IFERROR(__xludf.DUMMYFUNCTION("IMPORTRANGE(""https://docs.google.com/spreadsheets/d/1-uDff_7J0KD5mKrp0Vvzr7lt3OU09vwQwhkpOPPYv2Y/edit?usp=sharing"",""งบพรบ!P65"")"),364400)</f>
        <v>364400</v>
      </c>
      <c r="M49" s="72">
        <f ca="1">IFERROR(__xludf.DUMMYFUNCTION("IMPORTRANGE(""https://docs.google.com/spreadsheets/d/1-uDff_7J0KD5mKrp0Vvzr7lt3OU09vwQwhkpOPPYv2Y/edit?usp=sharing"",""งบพรบ!V65"")"),371453.18)</f>
        <v>371453.18</v>
      </c>
      <c r="N49" s="72">
        <f ca="1">IFERROR(__xludf.DUMMYFUNCTION("IMPORTRANGE(""https://docs.google.com/spreadsheets/d/1-uDff_7J0KD5mKrp0Vvzr7lt3OU09vwQwhkpOPPYv2Y/edit?usp=sharing"",""งบพรบ!Y65"")"),181160)</f>
        <v>181160</v>
      </c>
      <c r="O49" s="72">
        <f t="shared" ca="1" si="8"/>
        <v>49.714599341383092</v>
      </c>
      <c r="P49" s="72">
        <f t="shared" ca="1" si="9"/>
        <v>48.770614913028879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IFERROR(__xludf.DUMMYFUNCTION("IMPORTRANGE(""https://docs.google.com/spreadsheets/d/1-uDff_7J0KD5mKrp0Vvzr7lt3OU09vwQwhkpOPPYv2Y/edit?usp=sharing"",""งบพรบ!S65"")"),0)</f>
        <v>0</v>
      </c>
      <c r="M52" s="72">
        <f ca="1">IFERROR(__xludf.DUMMYFUNCTION("IMPORTRANGE(""https://docs.google.com/spreadsheets/d/1-uDff_7J0KD5mKrp0Vvzr7lt3OU09vwQwhkpOPPYv2Y/edit?usp=sharing"",""งบพรบ!W65"")"),0)</f>
        <v>0</v>
      </c>
      <c r="N52" s="72">
        <f ca="1">IFERROR(__xludf.DUMMYFUNCTION("IMPORTRANGE(""https://docs.google.com/spreadsheets/d/1-uDff_7J0KD5mKrp0Vvzr7lt3OU09vwQwhkpOPPYv2Y/edit?usp=sharing"",""งบพรบ!Z65"")"),0)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734700</v>
      </c>
      <c r="M59" s="1001">
        <f ca="1">M60+M61</f>
        <v>734700</v>
      </c>
      <c r="N59" s="1001">
        <f ca="1">N60+N61</f>
        <v>577455.55000000005</v>
      </c>
      <c r="O59" s="1001">
        <f t="shared" ref="O59:O67" ca="1" si="14">IF(L59&gt;0,N59*100/L59,0)</f>
        <v>78.597461548931548</v>
      </c>
      <c r="P59" s="1001">
        <f t="shared" ref="P59:P67" ca="1" si="15">IF(M59&gt;0,N59*100/M59,0)</f>
        <v>78.597461548931548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734700</v>
      </c>
      <c r="M61" s="988">
        <f t="shared" ca="1" si="18"/>
        <v>734700</v>
      </c>
      <c r="N61" s="988">
        <f t="shared" ca="1" si="18"/>
        <v>577455.55000000005</v>
      </c>
      <c r="O61" s="988">
        <f t="shared" ca="1" si="14"/>
        <v>78.597461548931548</v>
      </c>
      <c r="P61" s="988">
        <f t="shared" ca="1" si="15"/>
        <v>78.597461548931548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694200</v>
      </c>
      <c r="M62" s="72">
        <f ca="1">M63+M64</f>
        <v>694200</v>
      </c>
      <c r="N62" s="72">
        <f ca="1">N63+N64</f>
        <v>536955.55000000005</v>
      </c>
      <c r="O62" s="72">
        <f t="shared" ca="1" si="14"/>
        <v>77.348825986747343</v>
      </c>
      <c r="P62" s="72">
        <f t="shared" ca="1" si="15"/>
        <v>77.348825986747343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IFERROR(__xludf.DUMMYFUNCTION("IMPORTRANGE(""https://docs.google.com/spreadsheets/d/1-uDff_7J0KD5mKrp0Vvzr7lt3OU09vwQwhkpOPPYv2Y/edit?usp=sharing"",""งบพรบ!AC65"")"),694200)</f>
        <v>694200</v>
      </c>
      <c r="M64" s="72">
        <f ca="1">IFERROR(__xludf.DUMMYFUNCTION("IMPORTRANGE(""https://docs.google.com/spreadsheets/d/1-uDff_7J0KD5mKrp0Vvzr7lt3OU09vwQwhkpOPPYv2Y/edit?usp=sharing"",""งบพรบ!AH65"")"),694200)</f>
        <v>694200</v>
      </c>
      <c r="N64" s="72">
        <f ca="1">IFERROR(__xludf.DUMMYFUNCTION("IMPORTRANGE(""https://docs.google.com/spreadsheets/d/1-uDff_7J0KD5mKrp0Vvzr7lt3OU09vwQwhkpOPPYv2Y/edit?usp=sharing"",""งบพรบ!AJ65"")"),536955.55)</f>
        <v>536955.55000000005</v>
      </c>
      <c r="O64" s="72">
        <f t="shared" ca="1" si="14"/>
        <v>77.348825986747343</v>
      </c>
      <c r="P64" s="72">
        <f t="shared" ca="1" si="15"/>
        <v>77.348825986747343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40500</v>
      </c>
      <c r="M65" s="72">
        <f ca="1">M66+M67</f>
        <v>40500</v>
      </c>
      <c r="N65" s="72">
        <f ca="1">N66+N67</f>
        <v>40500</v>
      </c>
      <c r="O65" s="72">
        <f t="shared" ca="1" si="14"/>
        <v>100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IFERROR(__xludf.DUMMYFUNCTION("IMPORTRANGE(""https://docs.google.com/spreadsheets/d/1-uDff_7J0KD5mKrp0Vvzr7lt3OU09vwQwhkpOPPYv2Y/edit?usp=sharing"",""งบพรบ!AF65"")"),40500)</f>
        <v>40500</v>
      </c>
      <c r="M67" s="181">
        <f ca="1">IFERROR(__xludf.DUMMYFUNCTION("IMPORTRANGE(""https://docs.google.com/spreadsheets/d/1-uDff_7J0KD5mKrp0Vvzr7lt3OU09vwQwhkpOPPYv2Y/edit?usp=sharing"",""งบพรบ!AI65"")"),40500)</f>
        <v>40500</v>
      </c>
      <c r="N67" s="181">
        <f ca="1">IFERROR(__xludf.DUMMYFUNCTION("IMPORTRANGE(""https://docs.google.com/spreadsheets/d/1-uDff_7J0KD5mKrp0Vvzr7lt3OU09vwQwhkpOPPYv2Y/edit?usp=sharing"",""งบพรบ!AK65"")"),40500)</f>
        <v>40500</v>
      </c>
      <c r="O67" s="181">
        <f t="shared" ca="1" si="14"/>
        <v>100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IFERROR(__xludf.DUMMYFUNCTION("IMPORTRANGE(""https://docs.google.com/spreadsheets/d/1-uDff_7J0KD5mKrp0Vvzr7lt3OU09vwQwhkpOPPYv2Y/edit?usp=sharing"",""งบพรบ!AM65"")"),0)</f>
        <v>0</v>
      </c>
      <c r="M77" s="72">
        <f ca="1">IFERROR(__xludf.DUMMYFUNCTION("IMPORTRANGE(""https://docs.google.com/spreadsheets/d/1-uDff_7J0KD5mKrp0Vvzr7lt3OU09vwQwhkpOPPYv2Y/edit?usp=sharing"",""งบพรบ!AR65"")"),0)</f>
        <v>0</v>
      </c>
      <c r="N77" s="72">
        <f ca="1">IFERROR(__xludf.DUMMYFUNCTION("IMPORTRANGE(""https://docs.google.com/spreadsheets/d/1-uDff_7J0KD5mKrp0Vvzr7lt3OU09vwQwhkpOPPYv2Y/edit?usp=sharing"",""งบพรบ!AT65"")"),0)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IFERROR(__xludf.DUMMYFUNCTION("IMPORTRANGE(""https://docs.google.com/spreadsheets/d/1ItG2mGa2ceCfYo0BwxsXqNm01IGEUdYcSSLTEv9YCik/edit?usp=sharing"",""เบิกจ่ายกองทุน!BH65"")"),0)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IFERROR(__xludf.DUMMYFUNCTION("IMPORTRANGE(""https://docs.google.com/spreadsheets/d/1ItG2mGa2ceCfYo0BwxsXqNm01IGEUdYcSSLTEv9YCik/edit?usp=sharing"",""เบิกจ่ายกองทุน!BI65"")"),0)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IFERROR(__xludf.DUMMYFUNCTION("IMPORTRANGE(""https://docs.google.com/spreadsheets/d/1ItG2mGa2ceCfYo0BwxsXqNm01IGEUdYcSSLTEv9YCik/edit?usp=sharing"",""เบิกจ่ายกองทุน!BJ65"")"),0)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IFERROR(__xludf.DUMMYFUNCTION("IMPORTRANGE(""https://docs.google.com/spreadsheets/d/1-uDff_7J0KD5mKrp0Vvzr7lt3OU09vwQwhkpOPPYv2Y/edit?usp=sharing"",""งบพรบ!AP65"")"),0)</f>
        <v>0</v>
      </c>
      <c r="M80" s="72">
        <f ca="1">IFERROR(__xludf.DUMMYFUNCTION("IMPORTRANGE(""https://docs.google.com/spreadsheets/d/1-uDff_7J0KD5mKrp0Vvzr7lt3OU09vwQwhkpOPPYv2Y/edit?usp=sharing"",""งบพรบ!AS65"")"),0)</f>
        <v>0</v>
      </c>
      <c r="N80" s="72">
        <f ca="1">IFERROR(__xludf.DUMMYFUNCTION("IMPORTRANGE(""https://docs.google.com/spreadsheets/d/1-uDff_7J0KD5mKrp0Vvzr7lt3OU09vwQwhkpOPPYv2Y/edit?usp=sharing"",""งบพรบ!AU65"")"),0)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IFERROR(__xludf.DUMMYFUNCTION("IMPORTRANGE(""https://docs.google.com/spreadsheets/d/1ItG2mGa2ceCfYo0BwxsXqNm01IGEUdYcSSLTEv9YCik/edit?usp=sharing"",""เบิกจ่ายกองทุน!BK65"")"),0)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IFERROR(__xludf.DUMMYFUNCTION("IMPORTRANGE(""https://docs.google.com/spreadsheets/d/1ItG2mGa2ceCfYo0BwxsXqNm01IGEUdYcSSLTEv9YCik/edit?usp=sharing"",""เบิกจ่ายกองทุน!BL65"")"),0)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IFERROR(__xludf.DUMMYFUNCTION("IMPORTRANGE(""https://docs.google.com/spreadsheets/d/1ItG2mGa2ceCfYo0BwxsXqNm01IGEUdYcSSLTEv9YCik/edit?usp=sharing"",""เบิกจ่ายกองทุน!BM65"")"),0)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IFERROR(__xludf.DUMMYFUNCTION("IMPORTRANGE(""https://docs.google.com/spreadsheets/d/1eHaY18a8A9IcSdp1K8H6x8fbOy06t2VsZHhMHf-1x7Y/edit?usp=sharing"",""แผน!H65"")"),0)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IFERROR(__xludf.DUMMYFUNCTION("IMPORTRANGE(""https://docs.google.com/spreadsheets/d/1eHaY18a8A9IcSdp1K8H6x8fbOy06t2VsZHhMHf-1x7Y/edit?usp=sharing"",""แผน!I65"")"),0)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IFERROR(__xludf.DUMMYFUNCTION("IMPORTRANGE(""https://docs.google.com/spreadsheets/d/1eHaY18a8A9IcSdp1K8H6x8fbOy06t2VsZHhMHf-1x7Y/edit?usp=sharing"",""แผน!F65"")"),0)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IFERROR(__xludf.DUMMYFUNCTION("IMPORTRANGE(""https://docs.google.com/spreadsheets/d/1eHaY18a8A9IcSdp1K8H6x8fbOy06t2VsZHhMHf-1x7Y/edit?usp=sharing"",""แผน!G65"")"),0)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IFERROR(__xludf.DUMMYFUNCTION("IMPORTRANGE(""https://docs.google.com/spreadsheets/d/1eHaY18a8A9IcSdp1K8H6x8fbOy06t2VsZHhMHf-1x7Y/edit?usp=sharing"",""แผน!D65"")"),0)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IFERROR(__xludf.DUMMYFUNCTION("IMPORTRANGE(""https://docs.google.com/spreadsheets/d/1eHaY18a8A9IcSdp1K8H6x8fbOy06t2VsZHhMHf-1x7Y/edit?usp=sharing"",""แผน!E65"")"),0)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IFERROR(__xludf.DUMMYFUNCTION("IMPORTRANGE(""https://docs.google.com/spreadsheets/d/1eHaY18a8A9IcSdp1K8H6x8fbOy06t2VsZHhMHf-1x7Y/edit?usp=sharing"",""แผน!J65"")"),0)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30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10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6000</v>
      </c>
      <c r="M94" s="262">
        <f ca="1">M95+M96</f>
        <v>6000</v>
      </c>
      <c r="N94" s="262">
        <f ca="1">N95+N96</f>
        <v>6000</v>
      </c>
      <c r="O94" s="262">
        <f t="shared" ref="O94:O102" ca="1" si="27">IF(L94&gt;0,N94*100/L94,0)</f>
        <v>100</v>
      </c>
      <c r="P94" s="262">
        <f t="shared" ref="P94:P102" ca="1" si="28">IF(M94&gt;0,N94*100/M94,0)</f>
        <v>100</v>
      </c>
      <c r="Q94" s="262">
        <f ca="1">Q95+Q96</f>
        <v>84420</v>
      </c>
      <c r="R94" s="262">
        <f ca="1">R95+R96</f>
        <v>84420</v>
      </c>
      <c r="S94" s="262">
        <f ca="1">S95+S96</f>
        <v>41270</v>
      </c>
      <c r="T94" s="262">
        <f t="shared" ref="T94:T102" ca="1" si="29">IF(Q94&gt;0,S94*100/Q94,0)</f>
        <v>48.886519782042171</v>
      </c>
      <c r="U94" s="262">
        <f t="shared" ref="U94:U102" ca="1" si="30">IF(R94&gt;0,S94*100/R94,0)</f>
        <v>48.886519782042171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6000</v>
      </c>
      <c r="M96" s="72">
        <f t="shared" ca="1" si="31"/>
        <v>6000</v>
      </c>
      <c r="N96" s="72">
        <f t="shared" ca="1" si="31"/>
        <v>6000</v>
      </c>
      <c r="O96" s="72">
        <f t="shared" ca="1" si="27"/>
        <v>100</v>
      </c>
      <c r="P96" s="72">
        <f t="shared" ca="1" si="28"/>
        <v>100</v>
      </c>
      <c r="Q96" s="72">
        <f t="shared" ca="1" si="32"/>
        <v>84420</v>
      </c>
      <c r="R96" s="72">
        <f t="shared" ca="1" si="32"/>
        <v>84420</v>
      </c>
      <c r="S96" s="72">
        <f t="shared" ca="1" si="32"/>
        <v>41270</v>
      </c>
      <c r="T96" s="72">
        <f t="shared" ca="1" si="29"/>
        <v>48.886519782042171</v>
      </c>
      <c r="U96" s="72">
        <f t="shared" ca="1" si="30"/>
        <v>48.886519782042171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6000</v>
      </c>
      <c r="M97" s="72">
        <f ca="1">M98+M99</f>
        <v>6000</v>
      </c>
      <c r="N97" s="72">
        <f ca="1">N98+N99</f>
        <v>6000</v>
      </c>
      <c r="O97" s="72">
        <f t="shared" ca="1" si="27"/>
        <v>100</v>
      </c>
      <c r="P97" s="72">
        <f t="shared" ca="1" si="28"/>
        <v>100</v>
      </c>
      <c r="Q97" s="72">
        <f ca="1">Q98+Q99</f>
        <v>84420</v>
      </c>
      <c r="R97" s="72">
        <f ca="1">R98+R99</f>
        <v>84420</v>
      </c>
      <c r="S97" s="72">
        <f ca="1">S98+S99</f>
        <v>41270</v>
      </c>
      <c r="T97" s="72">
        <f t="shared" ca="1" si="29"/>
        <v>48.886519782042171</v>
      </c>
      <c r="U97" s="72">
        <f t="shared" ca="1" si="30"/>
        <v>48.886519782042171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IFERROR(__xludf.DUMMYFUNCTION("IMPORTRANGE(""https://docs.google.com/spreadsheets/d/1-uDff_7J0KD5mKrp0Vvzr7lt3OU09vwQwhkpOPPYv2Y/edit?usp=sharing"",""งบพรบ!AW65"")"),6000)</f>
        <v>6000</v>
      </c>
      <c r="M99" s="72">
        <f ca="1">IFERROR(__xludf.DUMMYFUNCTION("IMPORTRANGE(""https://docs.google.com/spreadsheets/d/1-uDff_7J0KD5mKrp0Vvzr7lt3OU09vwQwhkpOPPYv2Y/edit?usp=sharing"",""งบพรบ!BB65"")"),6000)</f>
        <v>6000</v>
      </c>
      <c r="N99" s="72">
        <f ca="1">IFERROR(__xludf.DUMMYFUNCTION("IMPORTRANGE(""https://docs.google.com/spreadsheets/d/1-uDff_7J0KD5mKrp0Vvzr7lt3OU09vwQwhkpOPPYv2Y/edit?usp=sharing"",""งบพรบ!BD65"")"),6000)</f>
        <v>6000</v>
      </c>
      <c r="O99" s="72">
        <f t="shared" ca="1" si="27"/>
        <v>100</v>
      </c>
      <c r="P99" s="72">
        <f t="shared" ca="1" si="28"/>
        <v>100</v>
      </c>
      <c r="Q99" s="72">
        <f ca="1">IFERROR(__xludf.DUMMYFUNCTION("IMPORTRANGE(""https://docs.google.com/spreadsheets/d/1ItG2mGa2ceCfYo0BwxsXqNm01IGEUdYcSSLTEv9YCik/edit?usp=sharing"",""เบิกจ่ายกองทุน!AJ65"")"),84420)</f>
        <v>84420</v>
      </c>
      <c r="R99" s="72">
        <f ca="1">IFERROR(__xludf.DUMMYFUNCTION("IMPORTRANGE(""https://docs.google.com/spreadsheets/d/1ItG2mGa2ceCfYo0BwxsXqNm01IGEUdYcSSLTEv9YCik/edit?usp=sharing"",""เบิกจ่ายกองทุน!AK65"")"),84420)</f>
        <v>84420</v>
      </c>
      <c r="S99" s="72">
        <f ca="1">IFERROR(__xludf.DUMMYFUNCTION("IMPORTRANGE(""https://docs.google.com/spreadsheets/d/1ItG2mGa2ceCfYo0BwxsXqNm01IGEUdYcSSLTEv9YCik/edit?usp=sharing"",""เบิกจ่ายกองทุน!AL65"")"),41270)</f>
        <v>41270</v>
      </c>
      <c r="T99" s="72">
        <f t="shared" ca="1" si="29"/>
        <v>48.886519782042171</v>
      </c>
      <c r="U99" s="72">
        <f t="shared" ca="1" si="30"/>
        <v>48.886519782042171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IFERROR(__xludf.DUMMYFUNCTION("IMPORTRANGE(""https://docs.google.com/spreadsheets/d/1-uDff_7J0KD5mKrp0Vvzr7lt3OU09vwQwhkpOPPYv2Y/edit?usp=sharing"",""งบพรบ!AZ65"")"),0)</f>
        <v>0</v>
      </c>
      <c r="M102" s="72">
        <f ca="1">IFERROR(__xludf.DUMMYFUNCTION("IMPORTRANGE(""https://docs.google.com/spreadsheets/d/1-uDff_7J0KD5mKrp0Vvzr7lt3OU09vwQwhkpOPPYv2Y/edit?usp=sharing"",""งบพรบ!BC65"")"),0)</f>
        <v>0</v>
      </c>
      <c r="N102" s="72">
        <f ca="1">IFERROR(__xludf.DUMMYFUNCTION("IMPORTRANGE(""https://docs.google.com/spreadsheets/d/1-uDff_7J0KD5mKrp0Vvzr7lt3OU09vwQwhkpOPPYv2Y/edit?usp=sharing"",""งบพรบ!BE65"")"),0)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IFERROR(__xludf.DUMMYFUNCTION("IMPORTRANGE(""https://docs.google.com/spreadsheets/d/1eHaY18a8A9IcSdp1K8H6x8fbOy06t2VsZHhMHf-1x7Y/edit?usp=sharing"",""แผน!N65"")"),30)</f>
        <v>30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IFERROR(__xludf.DUMMYFUNCTION("IMPORTRANGE(""https://docs.google.com/spreadsheets/d/1eHaY18a8A9IcSdp1K8H6x8fbOy06t2VsZHhMHf-1x7Y/edit?usp=sharing"",""แผน!O65"")"),10)</f>
        <v>10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540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IFERROR(__xludf.DUMMYFUNCTION("IMPORTRANGE(""https://docs.google.com/spreadsheets/d/1eHaY18a8A9IcSdp1K8H6x8fbOy06t2VsZHhMHf-1x7Y/edit?usp=sharing"",""แผน!N65"")"),30)</f>
        <v>30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IFERROR(__xludf.DUMMYFUNCTION("IMPORTRANGE(""https://docs.google.com/spreadsheets/d/1eHaY18a8A9IcSdp1K8H6x8fbOy06t2VsZHhMHf-1x7Y/edit?usp=sharing"",""แผน!O65"")"),10)</f>
        <v>10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30</v>
      </c>
      <c r="J116" s="254">
        <f>J127</f>
        <v>30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249180</v>
      </c>
      <c r="R117" s="262">
        <f ca="1">R118+R119</f>
        <v>249180</v>
      </c>
      <c r="S117" s="262">
        <f ca="1">S118+S119</f>
        <v>164246</v>
      </c>
      <c r="T117" s="262">
        <f t="shared" ref="T117:T125" ca="1" si="35">IF(Q117&gt;0,S117*100/Q117,0)</f>
        <v>65.914599887631425</v>
      </c>
      <c r="U117" s="262">
        <f t="shared" ref="U117:U125" ca="1" si="36">IF(R117&gt;0,S117*100/R117,0)</f>
        <v>65.914599887631425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249180</v>
      </c>
      <c r="R119" s="72">
        <f t="shared" ca="1" si="38"/>
        <v>249180</v>
      </c>
      <c r="S119" s="72">
        <f t="shared" ca="1" si="38"/>
        <v>164246</v>
      </c>
      <c r="T119" s="72">
        <f t="shared" ca="1" si="35"/>
        <v>65.914599887631425</v>
      </c>
      <c r="U119" s="72">
        <f t="shared" ca="1" si="36"/>
        <v>65.914599887631425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249180</v>
      </c>
      <c r="R120" s="72">
        <f ca="1">R121+R122</f>
        <v>249180</v>
      </c>
      <c r="S120" s="72">
        <f ca="1">S121+S122</f>
        <v>164246</v>
      </c>
      <c r="T120" s="72">
        <f t="shared" ca="1" si="35"/>
        <v>65.914599887631425</v>
      </c>
      <c r="U120" s="72">
        <f t="shared" ca="1" si="36"/>
        <v>65.914599887631425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IFERROR(__xludf.DUMMYFUNCTION("IMPORTRANGE(""https://docs.google.com/spreadsheets/d/1-uDff_7J0KD5mKrp0Vvzr7lt3OU09vwQwhkpOPPYv2Y/edit?usp=sharing"",""งบพรบ!BG65"")"),0)</f>
        <v>0</v>
      </c>
      <c r="M122" s="72">
        <f ca="1">IFERROR(__xludf.DUMMYFUNCTION("IMPORTRANGE(""https://docs.google.com/spreadsheets/d/1-uDff_7J0KD5mKrp0Vvzr7lt3OU09vwQwhkpOPPYv2Y/edit?usp=sharing"",""งบพรบ!BL65"")"),0)</f>
        <v>0</v>
      </c>
      <c r="N122" s="72">
        <f ca="1">IFERROR(__xludf.DUMMYFUNCTION("IMPORTRANGE(""https://docs.google.com/spreadsheets/d/1-uDff_7J0KD5mKrp0Vvzr7lt3OU09vwQwhkpOPPYv2Y/edit?usp=sharing"",""งบพรบ!BN65"")"),0)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IFERROR(__xludf.DUMMYFUNCTION("IMPORTRANGE(""https://docs.google.com/spreadsheets/d/1ItG2mGa2ceCfYo0BwxsXqNm01IGEUdYcSSLTEv9YCik/edit?usp=sharing"",""เบิกจ่ายกองทุน!U65"")"),249180)</f>
        <v>249180</v>
      </c>
      <c r="R122" s="72">
        <f ca="1">IFERROR(__xludf.DUMMYFUNCTION("IMPORTRANGE(""https://docs.google.com/spreadsheets/d/1ItG2mGa2ceCfYo0BwxsXqNm01IGEUdYcSSLTEv9YCik/edit?usp=sharing"",""เบิกจ่ายกองทุน!V65"")"),249180)</f>
        <v>249180</v>
      </c>
      <c r="S122" s="72">
        <f ca="1">IFERROR(__xludf.DUMMYFUNCTION("IMPORTRANGE(""https://docs.google.com/spreadsheets/d/1ItG2mGa2ceCfYo0BwxsXqNm01IGEUdYcSSLTEv9YCik/edit?usp=sharing"",""เบิกจ่ายกองทุน!W65"")"),164246)</f>
        <v>164246</v>
      </c>
      <c r="T122" s="72">
        <f t="shared" ca="1" si="35"/>
        <v>65.914599887631425</v>
      </c>
      <c r="U122" s="72">
        <f t="shared" ca="1" si="36"/>
        <v>65.914599887631425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IFERROR(__xludf.DUMMYFUNCTION("IMPORTRANGE(""https://docs.google.com/spreadsheets/d/1-uDff_7J0KD5mKrp0Vvzr7lt3OU09vwQwhkpOPPYv2Y/edit?usp=sharing"",""งบพรบ!BJ65"")"),0)</f>
        <v>0</v>
      </c>
      <c r="M125" s="72">
        <f ca="1">IFERROR(__xludf.DUMMYFUNCTION("IMPORTRANGE(""https://docs.google.com/spreadsheets/d/1-uDff_7J0KD5mKrp0Vvzr7lt3OU09vwQwhkpOPPYv2Y/edit?usp=sharing"",""งบพรบ!BM65"")"),0)</f>
        <v>0</v>
      </c>
      <c r="N125" s="72">
        <f ca="1">IFERROR(__xludf.DUMMYFUNCTION("IMPORTRANGE(""https://docs.google.com/spreadsheets/d/1-uDff_7J0KD5mKrp0Vvzr7lt3OU09vwQwhkpOPPYv2Y/edit?usp=sharing"",""งบพรบ!BO65"")"),0)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IFERROR(__xludf.DUMMYFUNCTION("IMPORTRANGE(""https://docs.google.com/spreadsheets/d/1ItG2mGa2ceCfYo0BwxsXqNm01IGEUdYcSSLTEv9YCik/edit?usp=sharing"",""เบิกจ่ายกองทุน!X65"")"),0)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IFERROR(__xludf.DUMMYFUNCTION("IMPORTRANGE(""https://docs.google.com/spreadsheets/d/1ItG2mGa2ceCfYo0BwxsXqNm01IGEUdYcSSLTEv9YCik/edit?usp=sharing"",""เบิกจ่ายกองทุน!Y65"")"),0)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IFERROR(__xludf.DUMMYFUNCTION("IMPORTRANGE(""https://docs.google.com/spreadsheets/d/1ItG2mGa2ceCfYo0BwxsXqNm01IGEUdYcSSLTEv9YCik/edit?usp=sharing"",""เบิกจ่ายกองทุน!Z65"")"),0)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68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IFERROR(__xludf.DUMMYFUNCTION("IMPORTRANGE(""https://docs.google.com/spreadsheets/d/1eHaY18a8A9IcSdp1K8H6x8fbOy06t2VsZHhMHf-1x7Y/edit?usp=sharing"",""แผน!FF65"")"),30)</f>
        <v>30</v>
      </c>
      <c r="J127" s="292">
        <v>30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IFERROR(__xludf.DUMMYFUNCTION("IMPORTRANGE(""https://docs.google.com/spreadsheets/d/1eHaY18a8A9IcSdp1K8H6x8fbOy06t2VsZHhMHf-1x7Y/edit?usp=sharing"",""แผน!FG65"")"),0)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IFERROR(__xludf.DUMMYFUNCTION("IMPORTRANGE(""https://docs.google.com/spreadsheets/d/1eHaY18a8A9IcSdp1K8H6x8fbOy06t2VsZHhMHf-1x7Y/edit?usp=sharing"",""แผน!FH65"")"),30)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IFERROR(__xludf.DUMMYFUNCTION("IMPORTRANGE(""https://docs.google.com/spreadsheets/d/1eHaY18a8A9IcSdp1K8H6x8fbOy06t2VsZHhMHf-1x7Y/edit?usp=sharing"",""แผน!FI65"")"),0)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1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10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1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115300</v>
      </c>
      <c r="M139" s="262">
        <f ca="1">M140+M141</f>
        <v>110300</v>
      </c>
      <c r="N139" s="262">
        <f ca="1">N140+N141</f>
        <v>99670.22</v>
      </c>
      <c r="O139" s="262">
        <f t="shared" ref="O139:O147" ca="1" si="39">IF(L139&gt;0,N139*100/L139,0)</f>
        <v>86.444249783174328</v>
      </c>
      <c r="P139" s="262">
        <f t="shared" ref="P139:P147" ca="1" si="40">IF(M139&gt;0,N139*100/M139,0)</f>
        <v>90.362846781504985</v>
      </c>
      <c r="Q139" s="262">
        <f ca="1">Q140+Q141</f>
        <v>169860</v>
      </c>
      <c r="R139" s="262">
        <f ca="1">R140+R141</f>
        <v>169860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115300</v>
      </c>
      <c r="M141" s="72">
        <f t="shared" ca="1" si="43"/>
        <v>110300</v>
      </c>
      <c r="N141" s="72">
        <f t="shared" ca="1" si="43"/>
        <v>99670.22</v>
      </c>
      <c r="O141" s="72">
        <f t="shared" ca="1" si="39"/>
        <v>86.444249783174328</v>
      </c>
      <c r="P141" s="72">
        <f t="shared" ca="1" si="40"/>
        <v>90.362846781504985</v>
      </c>
      <c r="Q141" s="72">
        <f t="shared" ca="1" si="44"/>
        <v>169860</v>
      </c>
      <c r="R141" s="72">
        <f t="shared" ca="1" si="44"/>
        <v>169860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115300</v>
      </c>
      <c r="M142" s="72">
        <f ca="1">M143+M144</f>
        <v>110300</v>
      </c>
      <c r="N142" s="72">
        <f ca="1">N143+N144</f>
        <v>99670.22</v>
      </c>
      <c r="O142" s="72">
        <f t="shared" ca="1" si="39"/>
        <v>86.444249783174328</v>
      </c>
      <c r="P142" s="72">
        <f t="shared" ca="1" si="40"/>
        <v>90.362846781504985</v>
      </c>
      <c r="Q142" s="72">
        <f ca="1">Q143+Q144</f>
        <v>169860</v>
      </c>
      <c r="R142" s="72">
        <f ca="1">R143+R144</f>
        <v>169860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IFERROR(__xludf.DUMMYFUNCTION("IMPORTRANGE(""https://docs.google.com/spreadsheets/d/1-uDff_7J0KD5mKrp0Vvzr7lt3OU09vwQwhkpOPPYv2Y/edit?usp=sharing"",""งบพรบ!BQ65"")"),115300)</f>
        <v>115300</v>
      </c>
      <c r="M144" s="72">
        <f ca="1">IFERROR(__xludf.DUMMYFUNCTION("IMPORTRANGE(""https://docs.google.com/spreadsheets/d/1-uDff_7J0KD5mKrp0Vvzr7lt3OU09vwQwhkpOPPYv2Y/edit?usp=sharing"",""งบพรบ!BV65"")"),110300)</f>
        <v>110300</v>
      </c>
      <c r="N144" s="72">
        <f ca="1">IFERROR(__xludf.DUMMYFUNCTION("IMPORTRANGE(""https://docs.google.com/spreadsheets/d/1-uDff_7J0KD5mKrp0Vvzr7lt3OU09vwQwhkpOPPYv2Y/edit?usp=sharing"",""งบพรบ!BX65"")"),99670.22)</f>
        <v>99670.22</v>
      </c>
      <c r="O144" s="72">
        <f t="shared" ca="1" si="39"/>
        <v>86.444249783174328</v>
      </c>
      <c r="P144" s="72">
        <f t="shared" ca="1" si="40"/>
        <v>90.362846781504985</v>
      </c>
      <c r="Q144" s="72">
        <f ca="1">IFERROR(__xludf.DUMMYFUNCTION("IMPORTRANGE(""https://docs.google.com/spreadsheets/d/1ItG2mGa2ceCfYo0BwxsXqNm01IGEUdYcSSLTEv9YCik/edit?usp=sharing"",""เบิกจ่ายกองทุน!CF65"")"),169860)</f>
        <v>169860</v>
      </c>
      <c r="R144" s="72">
        <f ca="1">IFERROR(__xludf.DUMMYFUNCTION("IMPORTRANGE(""https://docs.google.com/spreadsheets/d/1ItG2mGa2ceCfYo0BwxsXqNm01IGEUdYcSSLTEv9YCik/edit?usp=sharing"",""เบิกจ่ายกองทุน!CG65"")"),169860)</f>
        <v>169860</v>
      </c>
      <c r="S144" s="72">
        <f ca="1">IFERROR(__xludf.DUMMYFUNCTION("IMPORTRANGE(""https://docs.google.com/spreadsheets/d/1ItG2mGa2ceCfYo0BwxsXqNm01IGEUdYcSSLTEv9YCik/edit?usp=sharing"",""เบิกจ่ายกองทุน!CH65"")"),0)</f>
        <v>0</v>
      </c>
      <c r="T144" s="72">
        <f t="shared" ca="1" si="41"/>
        <v>0</v>
      </c>
      <c r="U144" s="72">
        <f t="shared" ca="1" si="42"/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IFERROR(__xludf.DUMMYFUNCTION("IMPORTRANGE(""https://docs.google.com/spreadsheets/d/1-uDff_7J0KD5mKrp0Vvzr7lt3OU09vwQwhkpOPPYv2Y/edit?usp=sharing"",""งบพรบ!BT65"")"),0)</f>
        <v>0</v>
      </c>
      <c r="M147" s="72">
        <f ca="1">IFERROR(__xludf.DUMMYFUNCTION("IMPORTRANGE(""https://docs.google.com/spreadsheets/d/1-uDff_7J0KD5mKrp0Vvzr7lt3OU09vwQwhkpOPPYv2Y/edit?usp=sharing"",""งบพรบ!BW65"")"),0)</f>
        <v>0</v>
      </c>
      <c r="N147" s="72">
        <f ca="1">IFERROR(__xludf.DUMMYFUNCTION("IMPORTRANGE(""https://docs.google.com/spreadsheets/d/1-uDff_7J0KD5mKrp0Vvzr7lt3OU09vwQwhkpOPPYv2Y/edit?usp=sharing"",""งบพรบ!BY65"")"),0)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IFERROR(__xludf.DUMMYFUNCTION("IMPORTRANGE(""https://docs.google.com/spreadsheets/d/1ItG2mGa2ceCfYo0BwxsXqNm01IGEUdYcSSLTEv9YCik/edit?usp=sharing"",""เบิกจ่ายกองทุน!CI65"")"),0)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IFERROR(__xludf.DUMMYFUNCTION("IMPORTRANGE(""https://docs.google.com/spreadsheets/d/1ItG2mGa2ceCfYo0BwxsXqNm01IGEUdYcSSLTEv9YCik/edit?usp=sharing"",""เบิกจ่ายกองทุน!CJ65"")"),0)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IFERROR(__xludf.DUMMYFUNCTION("IMPORTRANGE(""https://docs.google.com/spreadsheets/d/1ItG2mGa2ceCfYo0BwxsXqNm01IGEUdYcSSLTEv9YCik/edit?usp=sharing"",""เบิกจ่ายกองทุน!CK65"")"),0)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68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IFERROR(__xludf.DUMMYFUNCTION("IMPORTRANGE(""https://docs.google.com/spreadsheets/d/1eHaY18a8A9IcSdp1K8H6x8fbOy06t2VsZHhMHf-1x7Y/edit?usp=sharing"",""แผน!U65"")"),10)</f>
        <v>10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IFERROR(__xludf.DUMMYFUNCTION("IMPORTRANGE(""https://docs.google.com/spreadsheets/d/1eHaY18a8A9IcSdp1K8H6x8fbOy06t2VsZHhMHf-1x7Y/edit?usp=sharing"",""แผน!V65"")"),1)</f>
        <v>1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IFERROR(__xludf.DUMMYFUNCTION("IMPORTRANGE(""https://docs.google.com/spreadsheets/d/1eHaY18a8A9IcSdp1K8H6x8fbOy06t2VsZHhMHf-1x7Y/edit?usp=sharing"",""แผน!W65"")"),10)</f>
        <v>10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IFERROR(__xludf.DUMMYFUNCTION("IMPORTRANGE(""https://docs.google.com/spreadsheets/d/1eHaY18a8A9IcSdp1K8H6x8fbOy06t2VsZHhMHf-1x7Y/edit?usp=sharing"",""แผน!X65"")"),1)</f>
        <v>1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IFERROR(__xludf.DUMMYFUNCTION("IMPORTRANGE(""https://docs.google.com/spreadsheets/d/1eHaY18a8A9IcSdp1K8H6x8fbOy06t2VsZHhMHf-1x7Y/edit?usp=sharing"",""แผน!Y65"")"),1)</f>
        <v>1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2250</v>
      </c>
      <c r="N157" s="262">
        <f ca="1">N158+N159</f>
        <v>1500</v>
      </c>
      <c r="O157" s="262">
        <f t="shared" ref="O157:O165" ca="1" si="45">IF(L157&gt;0,N157*100/L157,0)</f>
        <v>33.333333333333336</v>
      </c>
      <c r="P157" s="262">
        <f t="shared" ref="P157:P165" ca="1" si="46">IF(M157&gt;0,N157*100/M157,0)</f>
        <v>66.666666666666671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2250</v>
      </c>
      <c r="N159" s="72">
        <f t="shared" ca="1" si="49"/>
        <v>1500</v>
      </c>
      <c r="O159" s="72">
        <f t="shared" ca="1" si="45"/>
        <v>33.333333333333336</v>
      </c>
      <c r="P159" s="72">
        <f t="shared" ca="1" si="46"/>
        <v>66.666666666666671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2250</v>
      </c>
      <c r="N160" s="72">
        <f ca="1">N161+N162</f>
        <v>1500</v>
      </c>
      <c r="O160" s="72">
        <f t="shared" ca="1" si="45"/>
        <v>33.333333333333336</v>
      </c>
      <c r="P160" s="72">
        <f t="shared" ca="1" si="46"/>
        <v>66.666666666666671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IFERROR(__xludf.DUMMYFUNCTION("IMPORTRANGE(""https://docs.google.com/spreadsheets/d/1-uDff_7J0KD5mKrp0Vvzr7lt3OU09vwQwhkpOPPYv2Y/edit?usp=sharing"",""งบพรบ!CA65"")"),4500)</f>
        <v>4500</v>
      </c>
      <c r="M162" s="72">
        <f ca="1">IFERROR(__xludf.DUMMYFUNCTION("IMPORTRANGE(""https://docs.google.com/spreadsheets/d/1-uDff_7J0KD5mKrp0Vvzr7lt3OU09vwQwhkpOPPYv2Y/edit?usp=sharing"",""งบพรบ!CF65"")"),2250)</f>
        <v>2250</v>
      </c>
      <c r="N162" s="72">
        <f ca="1">IFERROR(__xludf.DUMMYFUNCTION("IMPORTRANGE(""https://docs.google.com/spreadsheets/d/1-uDff_7J0KD5mKrp0Vvzr7lt3OU09vwQwhkpOPPYv2Y/edit?usp=sharing"",""งบพรบ!CH65"")"),1500)</f>
        <v>1500</v>
      </c>
      <c r="O162" s="72">
        <f t="shared" ca="1" si="45"/>
        <v>33.333333333333336</v>
      </c>
      <c r="P162" s="72">
        <f t="shared" ca="1" si="46"/>
        <v>66.666666666666671</v>
      </c>
      <c r="Q162" s="72">
        <f ca="1">IFERROR(__xludf.DUMMYFUNCTION("IMPORTRANGE(""https://docs.google.com/spreadsheets/d/1ItG2mGa2ceCfYo0BwxsXqNm01IGEUdYcSSLTEv9YCik/edit?usp=sharing"",""เบิกจ่ายกองทุน!AM65"")"),0)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IFERROR(__xludf.DUMMYFUNCTION("IMPORTRANGE(""https://docs.google.com/spreadsheets/d/1ItG2mGa2ceCfYo0BwxsXqNm01IGEUdYcSSLTEv9YCik/edit?usp=sharing"",""เบิกจ่ายกองทุน!AN65"")"),0)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IFERROR(__xludf.DUMMYFUNCTION("IMPORTRANGE(""https://docs.google.com/spreadsheets/d/1ItG2mGa2ceCfYo0BwxsXqNm01IGEUdYcSSLTEv9YCik/edit?usp=sharing"",""เบิกจ่ายกองทุน!AO65"")"),0)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IFERROR(__xludf.DUMMYFUNCTION("IMPORTRANGE(""https://docs.google.com/spreadsheets/d/1-uDff_7J0KD5mKrp0Vvzr7lt3OU09vwQwhkpOPPYv2Y/edit?usp=sharing"",""งบพรบ!CD65"")"),0)</f>
        <v>0</v>
      </c>
      <c r="M165" s="72">
        <f ca="1">IFERROR(__xludf.DUMMYFUNCTION("IMPORTRANGE(""https://docs.google.com/spreadsheets/d/1-uDff_7J0KD5mKrp0Vvzr7lt3OU09vwQwhkpOPPYv2Y/edit?usp=sharing"",""งบพรบ!CG65"")"),0)</f>
        <v>0</v>
      </c>
      <c r="N165" s="72">
        <f ca="1">IFERROR(__xludf.DUMMYFUNCTION("IMPORTRANGE(""https://docs.google.com/spreadsheets/d/1-uDff_7J0KD5mKrp0Vvzr7lt3OU09vwQwhkpOPPYv2Y/edit?usp=sharing"",""งบพรบ!CI65"")"),0)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IFERROR(__xludf.DUMMYFUNCTION("IMPORTRANGE(""https://docs.google.com/spreadsheets/d/1eHaY18a8A9IcSdp1K8H6x8fbOy06t2VsZHhMHf-1x7Y/edit?usp=sharing"",""แผน!Z65"")"),15)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29730</v>
      </c>
      <c r="N173" s="262">
        <f ca="1">N174+N175</f>
        <v>24338</v>
      </c>
      <c r="O173" s="262">
        <f t="shared" ref="O173:O181" ca="1" si="51">IF(L173&gt;0,N173*100/L173,0)</f>
        <v>124.23685553854007</v>
      </c>
      <c r="P173" s="262">
        <f t="shared" ref="P173:P181" ca="1" si="52">IF(M173&gt;0,N173*100/M173,0)</f>
        <v>81.863437605112679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29730</v>
      </c>
      <c r="N175" s="72">
        <f t="shared" ca="1" si="55"/>
        <v>24338</v>
      </c>
      <c r="O175" s="72">
        <f t="shared" ca="1" si="51"/>
        <v>124.23685553854007</v>
      </c>
      <c r="P175" s="72">
        <f t="shared" ca="1" si="52"/>
        <v>81.863437605112679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29730</v>
      </c>
      <c r="N176" s="72">
        <f ca="1">N177+N178</f>
        <v>24338</v>
      </c>
      <c r="O176" s="72">
        <f t="shared" ca="1" si="51"/>
        <v>124.23685553854007</v>
      </c>
      <c r="P176" s="72">
        <f t="shared" ca="1" si="52"/>
        <v>81.863437605112679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IFERROR(__xludf.DUMMYFUNCTION("IMPORTRANGE(""https://docs.google.com/spreadsheets/d/1-uDff_7J0KD5mKrp0Vvzr7lt3OU09vwQwhkpOPPYv2Y/edit?usp=sharing"",""งบพรบ!CK65"")"),19590)</f>
        <v>19590</v>
      </c>
      <c r="M178" s="72">
        <f ca="1">IFERROR(__xludf.DUMMYFUNCTION("IMPORTRANGE(""https://docs.google.com/spreadsheets/d/1-uDff_7J0KD5mKrp0Vvzr7lt3OU09vwQwhkpOPPYv2Y/edit?usp=sharing"",""งบพรบ!CP65"")"),29730)</f>
        <v>29730</v>
      </c>
      <c r="N178" s="72">
        <f ca="1">IFERROR(__xludf.DUMMYFUNCTION("IMPORTRANGE(""https://docs.google.com/spreadsheets/d/1-uDff_7J0KD5mKrp0Vvzr7lt3OU09vwQwhkpOPPYv2Y/edit?usp=sharing"",""งบพรบ!CR65"")"),24338)</f>
        <v>24338</v>
      </c>
      <c r="O178" s="72">
        <f t="shared" ca="1" si="51"/>
        <v>124.23685553854007</v>
      </c>
      <c r="P178" s="72">
        <f t="shared" ca="1" si="52"/>
        <v>81.863437605112679</v>
      </c>
      <c r="Q178" s="72">
        <f ca="1">IFERROR(__xludf.DUMMYFUNCTION("IMPORTRANGE(""https://docs.google.com/spreadsheets/d/1ItG2mGa2ceCfYo0BwxsXqNm01IGEUdYcSSLTEv9YCik/edit?usp=sharing"",""เบิกจ่ายกองทุน!DG65"")"),0)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IFERROR(__xludf.DUMMYFUNCTION("IMPORTRANGE(""https://docs.google.com/spreadsheets/d/1ItG2mGa2ceCfYo0BwxsXqNm01IGEUdYcSSLTEv9YCik/edit?usp=sharing"",""เบิกจ่ายกองทุน!DH65"")"),0)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IFERROR(__xludf.DUMMYFUNCTION("IMPORTRANGE(""https://docs.google.com/spreadsheets/d/1ItG2mGa2ceCfYo0BwxsXqNm01IGEUdYcSSLTEv9YCik/edit?usp=sharing"",""เบิกจ่ายกองทุน!DI65"")"),0)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IFERROR(__xludf.DUMMYFUNCTION("IMPORTRANGE(""https://docs.google.com/spreadsheets/d/1-uDff_7J0KD5mKrp0Vvzr7lt3OU09vwQwhkpOPPYv2Y/edit?usp=sharing"",""งบพรบ!CN65"")"),0)</f>
        <v>0</v>
      </c>
      <c r="M181" s="72">
        <f ca="1">IFERROR(__xludf.DUMMYFUNCTION("IMPORTRANGE(""https://docs.google.com/spreadsheets/d/1-uDff_7J0KD5mKrp0Vvzr7lt3OU09vwQwhkpOPPYv2Y/edit?usp=sharing"",""งบพรบ!CQ65"")"),0)</f>
        <v>0</v>
      </c>
      <c r="N181" s="72">
        <f ca="1">IFERROR(__xludf.DUMMYFUNCTION("IMPORTRANGE(""https://docs.google.com/spreadsheets/d/1-uDff_7J0KD5mKrp0Vvzr7lt3OU09vwQwhkpOPPYv2Y/edit?usp=sharing"",""งบพรบ!CS65"")"),0)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IFERROR(__xludf.DUMMYFUNCTION("IMPORTRANGE(""https://docs.google.com/spreadsheets/d/1eHaY18a8A9IcSdp1K8H6x8fbOy06t2VsZHhMHf-1x7Y/edit?usp=sharing"",""แผน!AA65"")"),7)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22500</v>
      </c>
      <c r="M186" s="262">
        <f ca="1">M187+M188</f>
        <v>24500</v>
      </c>
      <c r="N186" s="262">
        <f ca="1">N187+N188</f>
        <v>0</v>
      </c>
      <c r="O186" s="262">
        <f t="shared" ref="O186:O194" ca="1" si="57">IF(L186&gt;0,N186*100/L186,0)</f>
        <v>0</v>
      </c>
      <c r="P186" s="262">
        <f t="shared" ref="P186:P194" ca="1" si="58">IF(M186&gt;0,N186*100/M186,0)</f>
        <v>0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22500</v>
      </c>
      <c r="M188" s="72">
        <f t="shared" ca="1" si="61"/>
        <v>24500</v>
      </c>
      <c r="N188" s="72">
        <f t="shared" ca="1" si="61"/>
        <v>0</v>
      </c>
      <c r="O188" s="72">
        <f t="shared" ca="1" si="57"/>
        <v>0</v>
      </c>
      <c r="P188" s="72">
        <f t="shared" ca="1" si="58"/>
        <v>0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22500</v>
      </c>
      <c r="M189" s="72">
        <f ca="1">M190+M191</f>
        <v>24500</v>
      </c>
      <c r="N189" s="72">
        <f ca="1">N190+N191</f>
        <v>0</v>
      </c>
      <c r="O189" s="72">
        <f t="shared" ca="1" si="57"/>
        <v>0</v>
      </c>
      <c r="P189" s="72">
        <f t="shared" ca="1" si="58"/>
        <v>0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IFERROR(__xludf.DUMMYFUNCTION("IMPORTRANGE(""https://docs.google.com/spreadsheets/d/1-uDff_7J0KD5mKrp0Vvzr7lt3OU09vwQwhkpOPPYv2Y/edit?usp=sharing"",""งบพรบ!CU65"")"),22500)</f>
        <v>22500</v>
      </c>
      <c r="M191" s="72">
        <f ca="1">IFERROR(__xludf.DUMMYFUNCTION("IMPORTRANGE(""https://docs.google.com/spreadsheets/d/1-uDff_7J0KD5mKrp0Vvzr7lt3OU09vwQwhkpOPPYv2Y/edit?usp=sharing"",""งบพรบ!CZ65"")"),24500)</f>
        <v>24500</v>
      </c>
      <c r="N191" s="72">
        <f ca="1">IFERROR(__xludf.DUMMYFUNCTION("IMPORTRANGE(""https://docs.google.com/spreadsheets/d/1-uDff_7J0KD5mKrp0Vvzr7lt3OU09vwQwhkpOPPYv2Y/edit?usp=sharing"",""งบพรบ!DB65"")"),0)</f>
        <v>0</v>
      </c>
      <c r="O191" s="72">
        <f t="shared" ca="1" si="57"/>
        <v>0</v>
      </c>
      <c r="P191" s="72">
        <f t="shared" ca="1" si="58"/>
        <v>0</v>
      </c>
      <c r="Q191" s="72">
        <f ca="1">IFERROR(__xludf.DUMMYFUNCTION("IMPORTRANGE(""https://docs.google.com/spreadsheets/d/1ItG2mGa2ceCfYo0BwxsXqNm01IGEUdYcSSLTEv9YCik/edit?usp=sharing"",""เบิกจ่ายกองทุน!BQ65"")"),28000)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IFERROR(__xludf.DUMMYFUNCTION("IMPORTRANGE(""https://docs.google.com/spreadsheets/d/1ItG2mGa2ceCfYo0BwxsXqNm01IGEUdYcSSLTEv9YCik/edit?usp=sharing"",""เบิกจ่ายกองทุน!BR65"")"),28000)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IFERROR(__xludf.DUMMYFUNCTION("IMPORTRANGE(""https://docs.google.com/spreadsheets/d/1ItG2mGa2ceCfYo0BwxsXqNm01IGEUdYcSSLTEv9YCik/edit?usp=sharing"",""เบิกจ่ายกองทุน!BS65"")"),0)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IFERROR(__xludf.DUMMYFUNCTION("IMPORTRANGE(""https://docs.google.com/spreadsheets/d/1-uDff_7J0KD5mKrp0Vvzr7lt3OU09vwQwhkpOPPYv2Y/edit?usp=sharing"",""งบพรบ!CX65"")"),0)</f>
        <v>0</v>
      </c>
      <c r="M194" s="72">
        <f ca="1">IFERROR(__xludf.DUMMYFUNCTION("IMPORTRANGE(""https://docs.google.com/spreadsheets/d/1-uDff_7J0KD5mKrp0Vvzr7lt3OU09vwQwhkpOPPYv2Y/edit?usp=sharing"",""งบพรบ!DA65"")"),0)</f>
        <v>0</v>
      </c>
      <c r="N194" s="72">
        <f ca="1">IFERROR(__xludf.DUMMYFUNCTION("IMPORTRANGE(""https://docs.google.com/spreadsheets/d/1-uDff_7J0KD5mKrp0Vvzr7lt3OU09vwQwhkpOPPYv2Y/edit?usp=sharing"",""งบพรบ!DC65"")"),0)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IFERROR(__xludf.DUMMYFUNCTION("IMPORTRANGE(""https://docs.google.com/spreadsheets/d/1ItG2mGa2ceCfYo0BwxsXqNm01IGEUdYcSSLTEv9YCik/edit?usp=sharing"",""เบิกจ่ายกองทุน!BT65"")"),0)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IFERROR(__xludf.DUMMYFUNCTION("IMPORTRANGE(""https://docs.google.com/spreadsheets/d/1ItG2mGa2ceCfYo0BwxsXqNm01IGEUdYcSSLTEv9YCik/edit?usp=sharing"",""เบิกจ่ายกองทุน!BU65"")"),0)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IFERROR(__xludf.DUMMYFUNCTION("IMPORTRANGE(""https://docs.google.com/spreadsheets/d/1ItG2mGa2ceCfYo0BwxsXqNm01IGEUdYcSSLTEv9YCik/edit?usp=sharing"",""เบิกจ่ายกองทุน!BV65"")"),0)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IFERROR(__xludf.DUMMYFUNCTION("IMPORTRANGE(""https://docs.google.com/spreadsheets/d/1eHaY18a8A9IcSdp1K8H6x8fbOy06t2VsZHhMHf-1x7Y/edit?usp=sharing"",""แผน!AB65"")"),6000)</f>
        <v>6000</v>
      </c>
      <c r="M196" s="85"/>
      <c r="N196" s="961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IFERROR(__xludf.DUMMYFUNCTION("IMPORTRANGE(""https://docs.google.com/spreadsheets/d/1eHaY18a8A9IcSdp1K8H6x8fbOy06t2VsZHhMHf-1x7Y/edit?usp=sharing"",""แผน!AE65"")"),4)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106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106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2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IFERROR(__xludf.DUMMYFUNCTION("IMPORTRANGE(""https://docs.google.com/spreadsheets/d/1eHaY18a8A9IcSdp1K8H6x8fbOy06t2VsZHhMHf-1x7Y/edit?usp=sharing"",""แผน!AG65"")"),2000)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IFERROR(__xludf.DUMMYFUNCTION("IMPORTRANGE(""https://docs.google.com/spreadsheets/d/1eHaY18a8A9IcSdp1K8H6x8fbOy06t2VsZHhMHf-1x7Y/edit?usp=sharing"",""แผน!AH65"")"),0)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IFERROR(__xludf.DUMMYFUNCTION("IMPORTRANGE(""https://docs.google.com/spreadsheets/d/1eHaY18a8A9IcSdp1K8H6x8fbOy06t2VsZHhMHf-1x7Y/edit?usp=sharing"",""แผน!AI65"")"),0)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IFERROR(__xludf.DUMMYFUNCTION("IMPORTRANGE(""https://docs.google.com/spreadsheets/d/1eHaY18a8A9IcSdp1K8H6x8fbOy06t2VsZHhMHf-1x7Y/edit?usp=sharing"",""แผน!LV65"")"),28000)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IFERROR(__xludf.DUMMYFUNCTION("IMPORTRANGE(""https://docs.google.com/spreadsheets/d/1eHaY18a8A9IcSdp1K8H6x8fbOy06t2VsZHhMHf-1x7Y/edit?usp=sharing"",""แผน!AJ65"")"),8000)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IFERROR(__xludf.DUMMYFUNCTION("IMPORTRANGE(""https://docs.google.com/spreadsheets/d/1eHaY18a8A9IcSdp1K8H6x8fbOy06t2VsZHhMHf-1x7Y/edit?usp=sharing"",""แผน!AK65"")"),2)</f>
        <v>2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IFERROR(__xludf.DUMMYFUNCTION("IMPORTRANGE(""https://docs.google.com/spreadsheets/d/1eHaY18a8A9IcSdp1K8H6x8fbOy06t2VsZHhMHf-1x7Y/edit?usp=sharing"",""แผน!JX65"")"),2)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IFERROR(__xludf.DUMMYFUNCTION("IMPORTRANGE(""https://docs.google.com/spreadsheets/d/1eHaY18a8A9IcSdp1K8H6x8fbOy06t2VsZHhMHf-1x7Y/edit?usp=sharing"",""แผน!JY65"")"),0)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IFERROR(__xludf.DUMMYFUNCTION("IMPORTRANGE(""https://docs.google.com/spreadsheets/d/1eHaY18a8A9IcSdp1K8H6x8fbOy06t2VsZHhMHf-1x7Y/edit?usp=sharing"",""แผน!AM65"")"),0)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IFERROR(__xludf.DUMMYFUNCTION("IMPORTRANGE(""https://docs.google.com/spreadsheets/d/1eHaY18a8A9IcSdp1K8H6x8fbOy06t2VsZHhMHf-1x7Y/edit?usp=sharing"",""แผน!AN65"")"),0)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IFERROR(__xludf.DUMMYFUNCTION("IMPORTRANGE(""https://docs.google.com/spreadsheets/d/1eHaY18a8A9IcSdp1K8H6x8fbOy06t2VsZHhMHf-1x7Y/edit?usp=sharing"",""แผน!AO65"")"),0)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IFERROR(__xludf.DUMMYFUNCTION("IMPORTRANGE(""https://docs.google.com/spreadsheets/d/1eHaY18a8A9IcSdp1K8H6x8fbOy06t2VsZHhMHf-1x7Y/edit?usp=sharing"",""แผน!LY65"")"),0)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IFERROR(__xludf.DUMMYFUNCTION("IMPORTRANGE(""https://docs.google.com/spreadsheets/d/1eHaY18a8A9IcSdp1K8H6x8fbOy06t2VsZHhMHf-1x7Y/edit?usp=sharing"",""แผน!AP65"")"),0)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IFERROR(__xludf.DUMMYFUNCTION("IMPORTRANGE(""https://docs.google.com/spreadsheets/d/1eHaY18a8A9IcSdp1K8H6x8fbOy06t2VsZHhMHf-1x7Y/edit?usp=sharing"",""แผน!AP65"")"),0)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30000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IFERROR(__xludf.DUMMYFUNCTION("IMPORTRANGE(""https://docs.google.com/spreadsheets/d/1eHaY18a8A9IcSdp1K8H6x8fbOy06t2VsZHhMHf-1x7Y/edit?usp=sharing"",""แผน!AR65"")"),2500)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IFERROR(__xludf.DUMMYFUNCTION("IMPORTRANGE(""https://docs.google.com/spreadsheets/d/1eHaY18a8A9IcSdp1K8H6x8fbOy06t2VsZHhMHf-1x7Y/edit?usp=sharing"",""แผน!AS65"")"),4000)</f>
        <v>4000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IFERROR(__xludf.DUMMYFUNCTION("IMPORTRANGE(""https://docs.google.com/spreadsheets/d/1eHaY18a8A9IcSdp1K8H6x8fbOy06t2VsZHhMHf-1x7Y/edit?usp=sharing"",""แผน!AT65"")"),0)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IFERROR(__xludf.DUMMYFUNCTION("IMPORTRANGE(""https://docs.google.com/spreadsheets/d/1eHaY18a8A9IcSdp1K8H6x8fbOy06t2VsZHhMHf-1x7Y/edit?usp=sharing"",""แผน!AV65"")"),30000)</f>
        <v>30000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IFERROR(__xludf.DUMMYFUNCTION("IMPORTRANGE(""https://docs.google.com/spreadsheets/d/1eHaY18a8A9IcSdp1K8H6x8fbOy06t2VsZHhMHf-1x7Y/edit?usp=sharing"",""แผน!AV65"")"),30000)</f>
        <v>30000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IFERROR(__xludf.DUMMYFUNCTION("IMPORTRANGE(""https://docs.google.com/spreadsheets/d/1eHaY18a8A9IcSdp1K8H6x8fbOy06t2VsZHhMHf-1x7Y/edit?usp=sharing"",""แผน!AU65"")"),0)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958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53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34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IFERROR(__xludf.DUMMYFUNCTION("IMPORTRANGE(""https://docs.google.com/spreadsheets/d/1eHaY18a8A9IcSdp1K8H6x8fbOy06t2VsZHhMHf-1x7Y/edit?usp=sharing"",""แผน!AX65"")"),0)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IFERROR(__xludf.DUMMYFUNCTION("IMPORTRANGE(""https://docs.google.com/spreadsheets/d/1eHaY18a8A9IcSdp1K8H6x8fbOy06t2VsZHhMHf-1x7Y/edit?usp=sharing"",""แผน!AY65"")"),0)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IFERROR(__xludf.DUMMYFUNCTION("IMPORTRANGE(""https://docs.google.com/spreadsheets/d/1eHaY18a8A9IcSdp1K8H6x8fbOy06t2VsZHhMHf-1x7Y/edit?usp=sharing"",""แผน!AZ65"")"),0)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IFERROR(__xludf.DUMMYFUNCTION("IMPORTRANGE(""https://docs.google.com/spreadsheets/d/1eHaY18a8A9IcSdp1K8H6x8fbOy06t2VsZHhMHf-1x7Y/edit?usp=sharing"",""แผน!BA65"")"),0)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45" t="s">
        <v>35</v>
      </c>
      <c r="I249" s="570">
        <f ca="1">IFERROR(__xludf.DUMMYFUNCTION("IMPORTRANGE(""https://docs.google.com/spreadsheets/d/1eHaY18a8A9IcSdp1K8H6x8fbOy06t2VsZHhMHf-1x7Y/edit?usp=sharing"",""แผน!BG65"")"),0)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945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945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IFERROR(__xludf.DUMMYFUNCTION("IMPORTRANGE(""https://docs.google.com/spreadsheets/d/1eHaY18a8A9IcSdp1K8H6x8fbOy06t2VsZHhMHf-1x7Y/edit?usp=sharing"",""แผน!BB65"")"),0)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IFERROR(__xludf.DUMMYFUNCTION("IMPORTRANGE(""https://docs.google.com/spreadsheets/d/1eHaY18a8A9IcSdp1K8H6x8fbOy06t2VsZHhMHf-1x7Y/edit?usp=sharing"",""แผน!BC65"")"),0)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IFERROR(__xludf.DUMMYFUNCTION("IMPORTRANGE(""https://docs.google.com/spreadsheets/d/1eHaY18a8A9IcSdp1K8H6x8fbOy06t2VsZHhMHf-1x7Y/edit?usp=sharing"",""แผน!BD65"")"),0)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IFERROR(__xludf.DUMMYFUNCTION("IMPORTRANGE(""https://docs.google.com/spreadsheets/d/1eHaY18a8A9IcSdp1K8H6x8fbOy06t2VsZHhMHf-1x7Y/edit?usp=sharing"",""แผน!BE65"")"),0)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IFERROR(__xludf.DUMMYFUNCTION("IMPORTRANGE(""https://docs.google.com/spreadsheets/d/1eHaY18a8A9IcSdp1K8H6x8fbOy06t2VsZHhMHf-1x7Y/edit?usp=sharing"",""แผน!BH65"")"),0)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4976</v>
      </c>
      <c r="O266" s="211">
        <f t="shared" ref="O266:O274" ca="1" si="63">IF(L266&gt;0,N266*100/L266,0)</f>
        <v>99.52</v>
      </c>
      <c r="P266" s="211">
        <f t="shared" ref="P266:P274" ca="1" si="64">IF(M266&gt;0,N266*100/M266,0)</f>
        <v>99.52</v>
      </c>
      <c r="Q266" s="211">
        <f ca="1">Q267+Q268</f>
        <v>50660</v>
      </c>
      <c r="R266" s="211">
        <f ca="1">R267+R268</f>
        <v>50660</v>
      </c>
      <c r="S266" s="211">
        <f ca="1">S267+S268</f>
        <v>43116</v>
      </c>
      <c r="T266" s="211">
        <f t="shared" ref="T266:T274" ca="1" si="65">IF(Q266&gt;0,S266*100/Q266,0)</f>
        <v>85.108566916699559</v>
      </c>
      <c r="U266" s="211">
        <f t="shared" ref="U266:U274" ca="1" si="66">IF(R266&gt;0,S266*100/R266,0)</f>
        <v>85.108566916699559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4976</v>
      </c>
      <c r="O268" s="86">
        <f t="shared" ca="1" si="63"/>
        <v>99.52</v>
      </c>
      <c r="P268" s="86">
        <f t="shared" ca="1" si="64"/>
        <v>99.52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43116</v>
      </c>
      <c r="T268" s="86">
        <f t="shared" ca="1" si="65"/>
        <v>85.108566916699559</v>
      </c>
      <c r="U268" s="86">
        <f t="shared" ca="1" si="66"/>
        <v>85.108566916699559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4976</v>
      </c>
      <c r="O269" s="86">
        <f t="shared" ca="1" si="63"/>
        <v>99.52</v>
      </c>
      <c r="P269" s="86">
        <f t="shared" ca="1" si="64"/>
        <v>99.52</v>
      </c>
      <c r="Q269" s="86">
        <f ca="1">Q270+Q271</f>
        <v>50660</v>
      </c>
      <c r="R269" s="86">
        <f ca="1">R270+R271</f>
        <v>50660</v>
      </c>
      <c r="S269" s="86">
        <f ca="1">S270+S271</f>
        <v>43116</v>
      </c>
      <c r="T269" s="86">
        <f t="shared" ca="1" si="65"/>
        <v>85.108566916699559</v>
      </c>
      <c r="U269" s="86">
        <f t="shared" ca="1" si="66"/>
        <v>85.108566916699559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IFERROR(__xludf.DUMMYFUNCTION("IMPORTRANGE(""https://docs.google.com/spreadsheets/d/1-uDff_7J0KD5mKrp0Vvzr7lt3OU09vwQwhkpOPPYv2Y/edit?usp=sharing"",""งบพรบ!DE65"")"),5000)</f>
        <v>5000</v>
      </c>
      <c r="M271" s="86">
        <f ca="1">IFERROR(__xludf.DUMMYFUNCTION("IMPORTRANGE(""https://docs.google.com/spreadsheets/d/1-uDff_7J0KD5mKrp0Vvzr7lt3OU09vwQwhkpOPPYv2Y/edit?usp=sharing"",""งบพรบ!DJ65"")"),5000)</f>
        <v>5000</v>
      </c>
      <c r="N271" s="86">
        <f ca="1">IFERROR(__xludf.DUMMYFUNCTION("IMPORTRANGE(""https://docs.google.com/spreadsheets/d/1-uDff_7J0KD5mKrp0Vvzr7lt3OU09vwQwhkpOPPYv2Y/edit?usp=sharing"",""งบพรบ!DL65"")"),4976)</f>
        <v>4976</v>
      </c>
      <c r="O271" s="86">
        <f t="shared" ca="1" si="63"/>
        <v>99.52</v>
      </c>
      <c r="P271" s="86">
        <f t="shared" ca="1" si="64"/>
        <v>99.52</v>
      </c>
      <c r="Q271" s="86">
        <f ca="1">IFERROR(__xludf.DUMMYFUNCTION("IMPORTRANGE(""https://docs.google.com/spreadsheets/d/1ItG2mGa2ceCfYo0BwxsXqNm01IGEUdYcSSLTEv9YCik/edit?usp=sharing"",""เบิกจ่ายกองทุน!AP65"")"),50660)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IFERROR(__xludf.DUMMYFUNCTION("IMPORTRANGE(""https://docs.google.com/spreadsheets/d/1ItG2mGa2ceCfYo0BwxsXqNm01IGEUdYcSSLTEv9YCik/edit?usp=sharing"",""เบิกจ่ายกองทุน!AQ65"")"),50660)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IFERROR(__xludf.DUMMYFUNCTION("IMPORTRANGE(""https://docs.google.com/spreadsheets/d/1ItG2mGa2ceCfYo0BwxsXqNm01IGEUdYcSSLTEv9YCik/edit?usp=sharing"",""เบิกจ่ายกองทุน!AR65"")"),43116)</f>
        <v>43116</v>
      </c>
      <c r="T271" s="86">
        <f t="shared" ca="1" si="65"/>
        <v>85.108566916699559</v>
      </c>
      <c r="U271" s="86">
        <f t="shared" ca="1" si="66"/>
        <v>85.108566916699559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IFERROR(__xludf.DUMMYFUNCTION("IMPORTRANGE(""https://docs.google.com/spreadsheets/d/1-uDff_7J0KD5mKrp0Vvzr7lt3OU09vwQwhkpOPPYv2Y/edit?usp=sharing"",""งบพรบ!DH65"")"),0)</f>
        <v>0</v>
      </c>
      <c r="M274" s="86">
        <f ca="1">IFERROR(__xludf.DUMMYFUNCTION("IMPORTRANGE(""https://docs.google.com/spreadsheets/d/1-uDff_7J0KD5mKrp0Vvzr7lt3OU09vwQwhkpOPPYv2Y/edit?usp=sharing"",""งบพรบ!DK65"")"),0)</f>
        <v>0</v>
      </c>
      <c r="N274" s="86">
        <f ca="1">IFERROR(__xludf.DUMMYFUNCTION("IMPORTRANGE(""https://docs.google.com/spreadsheets/d/1-uDff_7J0KD5mKrp0Vvzr7lt3OU09vwQwhkpOPPYv2Y/edit?usp=sharing"",""งบพรบ!DM65"")"),0)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669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1">
        <f ca="1">IFERROR(__xludf.DUMMYFUNCTION("IMPORTRANGE(""https://docs.google.com/spreadsheets/d/1eHaY18a8A9IcSdp1K8H6x8fbOy06t2VsZHhMHf-1x7Y/edit?usp=sharing"",""แผน!EC65"")"),22)</f>
        <v>22</v>
      </c>
      <c r="J276" s="672">
        <v>22</v>
      </c>
      <c r="K276" s="671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929" t="s">
        <v>116</v>
      </c>
      <c r="E277" s="736"/>
      <c r="F277" s="736"/>
      <c r="G277" s="737"/>
      <c r="H277" s="928" t="s">
        <v>35</v>
      </c>
      <c r="I277" s="760">
        <v>0</v>
      </c>
      <c r="J277" s="760">
        <v>0</v>
      </c>
      <c r="K277" s="927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IFERROR(__xludf.DUMMYFUNCTION("IMPORTRANGE(""https://docs.google.com/spreadsheets/d/1-uDff_7J0KD5mKrp0Vvzr7lt3OU09vwQwhkpOPPYv2Y/edit?usp=sharing"",""งบพรบ!DO65"")"),0)</f>
        <v>0</v>
      </c>
      <c r="M287" s="72">
        <f ca="1">IFERROR(__xludf.DUMMYFUNCTION("IMPORTRANGE(""https://docs.google.com/spreadsheets/d/1-uDff_7J0KD5mKrp0Vvzr7lt3OU09vwQwhkpOPPYv2Y/edit?usp=sharing"",""งบพรบ!DT65"")"),0)</f>
        <v>0</v>
      </c>
      <c r="N287" s="72">
        <f ca="1">IFERROR(__xludf.DUMMYFUNCTION("IMPORTRANGE(""https://docs.google.com/spreadsheets/d/1-uDff_7J0KD5mKrp0Vvzr7lt3OU09vwQwhkpOPPYv2Y/edit?usp=sharing"",""งบพรบ!DV65"")"),0)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IFERROR(__xludf.DUMMYFUNCTION("IMPORTRANGE(""https://docs.google.com/spreadsheets/d/1-uDff_7J0KD5mKrp0Vvzr7lt3OU09vwQwhkpOPPYv2Y/edit?usp=sharing"",""งบพรบ!DR65"")"),0)</f>
        <v>0</v>
      </c>
      <c r="M290" s="72">
        <f ca="1">IFERROR(__xludf.DUMMYFUNCTION("IMPORTRANGE(""https://docs.google.com/spreadsheets/d/1-uDff_7J0KD5mKrp0Vvzr7lt3OU09vwQwhkpOPPYv2Y/edit?usp=sharing"",""งบพรบ!DU65"")"),0)</f>
        <v>0</v>
      </c>
      <c r="N290" s="72">
        <f ca="1">IFERROR(__xludf.DUMMYFUNCTION("IMPORTRANGE(""https://docs.google.com/spreadsheets/d/1-uDff_7J0KD5mKrp0Vvzr7lt3OU09vwQwhkpOPPYv2Y/edit?usp=sharing"",""งบพรบ!DW65"")"),0)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IFERROR(__xludf.DUMMYFUNCTION("IMPORTRANGE(""https://docs.google.com/spreadsheets/d/1eHaY18a8A9IcSdp1K8H6x8fbOy06t2VsZHhMHf-1x7Y/edit?usp=sharing"",""แผน!EE65"")"),0)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IFERROR(__xludf.DUMMYFUNCTION("IMPORTRANGE(""https://docs.google.com/spreadsheets/d/1eHaY18a8A9IcSdp1K8H6x8fbOy06t2VsZHhMHf-1x7Y/edit?usp=sharing"",""แผน!ED65"")"),0)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IFERROR(__xludf.DUMMYFUNCTION("IMPORTRANGE(""https://docs.google.com/spreadsheets/d/1eHaY18a8A9IcSdp1K8H6x8fbOy06t2VsZHhMHf-1x7Y/edit?usp=sharing"",""แผน!ED65"")"),0)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IFERROR(__xludf.DUMMYFUNCTION("IMPORTRANGE(""https://docs.google.com/spreadsheets/d/1eHaY18a8A9IcSdp1K8H6x8fbOy06t2VsZHhMHf-1x7Y/edit?usp=sharing"",""แผน!ED65"")"),0)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126960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126960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126960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IFERROR(__xludf.DUMMYFUNCTION("IMPORTRANGE(""https://docs.google.com/spreadsheets/d/1-uDff_7J0KD5mKrp0Vvzr7lt3OU09vwQwhkpOPPYv2Y/edit?usp=sharing"",""งบพรบ!DY65"")"),0)</f>
        <v>0</v>
      </c>
      <c r="M308" s="72">
        <f ca="1">IFERROR(__xludf.DUMMYFUNCTION("IMPORTRANGE(""https://docs.google.com/spreadsheets/d/1-uDff_7J0KD5mKrp0Vvzr7lt3OU09vwQwhkpOPPYv2Y/edit?usp=sharing"",""งบพรบ!ED65"")"),126960)</f>
        <v>126960</v>
      </c>
      <c r="N308" s="72">
        <f ca="1">IFERROR(__xludf.DUMMYFUNCTION("IMPORTRANGE(""https://docs.google.com/spreadsheets/d/1-uDff_7J0KD5mKrp0Vvzr7lt3OU09vwQwhkpOPPYv2Y/edit?usp=sharing"",""งบพรบ!EF65"")"),0)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IFERROR(__xludf.DUMMYFUNCTION("IMPORTRANGE(""https://docs.google.com/spreadsheets/d/1ItG2mGa2ceCfYo0BwxsXqNm01IGEUdYcSSLTEv9YCik/edit?usp=sharing"",""เบิกจ่ายกองทุน!BB65"")"),0)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IFERROR(__xludf.DUMMYFUNCTION("IMPORTRANGE(""https://docs.google.com/spreadsheets/d/1ItG2mGa2ceCfYo0BwxsXqNm01IGEUdYcSSLTEv9YCik/edit?usp=sharing"",""เบิกจ่ายกองทุน!BC65"")"),0)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IFERROR(__xludf.DUMMYFUNCTION("IMPORTRANGE(""https://docs.google.com/spreadsheets/d/1ItG2mGa2ceCfYo0BwxsXqNm01IGEUdYcSSLTEv9YCik/edit?usp=sharing"",""เบิกจ่ายกองทุน!BD65"")"),0)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IFERROR(__xludf.DUMMYFUNCTION("IMPORTRANGE(""https://docs.google.com/spreadsheets/d/1-uDff_7J0KD5mKrp0Vvzr7lt3OU09vwQwhkpOPPYv2Y/edit?usp=sharing"",""งบพรบ!EB65"")"),0)</f>
        <v>0</v>
      </c>
      <c r="M311" s="72">
        <f ca="1">IFERROR(__xludf.DUMMYFUNCTION("IMPORTRANGE(""https://docs.google.com/spreadsheets/d/1-uDff_7J0KD5mKrp0Vvzr7lt3OU09vwQwhkpOPPYv2Y/edit?usp=sharing"",""งบพรบ!EE65"")"),0)</f>
        <v>0</v>
      </c>
      <c r="N311" s="72">
        <f ca="1">IFERROR(__xludf.DUMMYFUNCTION("IMPORTRANGE(""https://docs.google.com/spreadsheets/d/1-uDff_7J0KD5mKrp0Vvzr7lt3OU09vwQwhkpOPPYv2Y/edit?usp=sharing"",""งบพรบ!EG65"")"),0)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57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IFERROR(__xludf.DUMMYFUNCTION("IMPORTRANGE(""https://docs.google.com/spreadsheets/d/1eHaY18a8A9IcSdp1K8H6x8fbOy06t2VsZHhMHf-1x7Y/edit?usp=sharing"",""แผน!EF65"")"),0)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893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IFERROR(__xludf.DUMMYFUNCTION("IMPORTRANGE(""https://docs.google.com/spreadsheets/d/1-uDff_7J0KD5mKrp0Vvzr7lt3OU09vwQwhkpOPPYv2Y/edit?usp=sharing"",""งบพรบ!EI65"")"),0)</f>
        <v>0</v>
      </c>
      <c r="M325" s="72">
        <f ca="1">IFERROR(__xludf.DUMMYFUNCTION("IMPORTRANGE(""https://docs.google.com/spreadsheets/d/1-uDff_7J0KD5mKrp0Vvzr7lt3OU09vwQwhkpOPPYv2Y/edit?usp=sharing"",""งบพรบ!EN65"")"),0)</f>
        <v>0</v>
      </c>
      <c r="N325" s="72">
        <f ca="1">IFERROR(__xludf.DUMMYFUNCTION("IMPORTRANGE(""https://docs.google.com/spreadsheets/d/1-uDff_7J0KD5mKrp0Vvzr7lt3OU09vwQwhkpOPPYv2Y/edit?usp=sharing"",""งบพรบ!EP65"")"),0)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IFERROR(__xludf.DUMMYFUNCTION("IMPORTRANGE(""https://docs.google.com/spreadsheets/d/1-uDff_7J0KD5mKrp0Vvzr7lt3OU09vwQwhkpOPPYv2Y/edit?usp=sharing"",""งบพรบ!EL65"")"),0)</f>
        <v>0</v>
      </c>
      <c r="M328" s="72">
        <f ca="1">IFERROR(__xludf.DUMMYFUNCTION("IMPORTRANGE(""https://docs.google.com/spreadsheets/d/1-uDff_7J0KD5mKrp0Vvzr7lt3OU09vwQwhkpOPPYv2Y/edit?usp=sharing"",""งบพรบ!EO65"")"),0)</f>
        <v>0</v>
      </c>
      <c r="N328" s="72">
        <f ca="1">IFERROR(__xludf.DUMMYFUNCTION("IMPORTRANGE(""https://docs.google.com/spreadsheets/d/1-uDff_7J0KD5mKrp0Vvzr7lt3OU09vwQwhkpOPPYv2Y/edit?usp=sharing"",""งบพรบ!EQ65"")"),0)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IFERROR(__xludf.DUMMYFUNCTION("IMPORTRANGE(""https://docs.google.com/spreadsheets/d/1eHaY18a8A9IcSdp1K8H6x8fbOy06t2VsZHhMHf-1x7Y/edit?usp=sharing"",""แผน!EJ65"")"),0)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460</v>
      </c>
      <c r="J332" s="515">
        <f ca="1">J344+J347+J348+J349+J353+J354</f>
        <v>1530</v>
      </c>
      <c r="K332" s="516">
        <f ca="1">IF(I332&gt;0,J332*100/I332,0)</f>
        <v>332.60869565217394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360800</v>
      </c>
      <c r="M333" s="262">
        <f ca="1">M334+M335</f>
        <v>360800</v>
      </c>
      <c r="N333" s="262">
        <f ca="1">N334+N335</f>
        <v>257980</v>
      </c>
      <c r="O333" s="262">
        <f t="shared" ref="O333:O341" ca="1" si="87">IF(L333&gt;0,N333*100/L333,0)</f>
        <v>71.50221729490022</v>
      </c>
      <c r="P333" s="262">
        <f t="shared" ref="P333:P341" ca="1" si="88">IF(M333&gt;0,N333*100/M333,0)</f>
        <v>71.50221729490022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360800</v>
      </c>
      <c r="M335" s="72">
        <f t="shared" ca="1" si="91"/>
        <v>360800</v>
      </c>
      <c r="N335" s="72">
        <f t="shared" ca="1" si="91"/>
        <v>257980</v>
      </c>
      <c r="O335" s="72">
        <f t="shared" ca="1" si="87"/>
        <v>71.50221729490022</v>
      </c>
      <c r="P335" s="72">
        <f t="shared" ca="1" si="88"/>
        <v>71.50221729490022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360800</v>
      </c>
      <c r="M336" s="72">
        <f ca="1">M337+M338</f>
        <v>360800</v>
      </c>
      <c r="N336" s="72">
        <f ca="1">N337+N338</f>
        <v>257980</v>
      </c>
      <c r="O336" s="72">
        <f t="shared" ca="1" si="87"/>
        <v>71.50221729490022</v>
      </c>
      <c r="P336" s="72">
        <f t="shared" ca="1" si="88"/>
        <v>71.50221729490022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IFERROR(__xludf.DUMMYFUNCTION("IMPORTRANGE(""https://docs.google.com/spreadsheets/d/1-uDff_7J0KD5mKrp0Vvzr7lt3OU09vwQwhkpOPPYv2Y/edit?usp=sharing"",""งบพรบ!ES65"")"),360800)</f>
        <v>360800</v>
      </c>
      <c r="M338" s="72">
        <f ca="1">IFERROR(__xludf.DUMMYFUNCTION("IMPORTRANGE(""https://docs.google.com/spreadsheets/d/1-uDff_7J0KD5mKrp0Vvzr7lt3OU09vwQwhkpOPPYv2Y/edit?usp=sharing"",""งบพรบ!EX65"")"),360800)</f>
        <v>360800</v>
      </c>
      <c r="N338" s="72">
        <f ca="1">IFERROR(__xludf.DUMMYFUNCTION("IMPORTRANGE(""https://docs.google.com/spreadsheets/d/1-uDff_7J0KD5mKrp0Vvzr7lt3OU09vwQwhkpOPPYv2Y/edit?usp=sharing"",""งบพรบ!EZ65"")"),257980)</f>
        <v>257980</v>
      </c>
      <c r="O338" s="72">
        <f t="shared" ca="1" si="87"/>
        <v>71.50221729490022</v>
      </c>
      <c r="P338" s="72">
        <f t="shared" ca="1" si="88"/>
        <v>71.50221729490022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IFERROR(__xludf.DUMMYFUNCTION("IMPORTRANGE(""https://docs.google.com/spreadsheets/d/1-uDff_7J0KD5mKrp0Vvzr7lt3OU09vwQwhkpOPPYv2Y/edit?usp=sharing"",""งบพรบ!EV65"")"),0)</f>
        <v>0</v>
      </c>
      <c r="M341" s="72">
        <f ca="1">IFERROR(__xludf.DUMMYFUNCTION("IMPORTRANGE(""https://docs.google.com/spreadsheets/d/1-uDff_7J0KD5mKrp0Vvzr7lt3OU09vwQwhkpOPPYv2Y/edit?usp=sharing"",""งบพรบ!EY65"")"),0)</f>
        <v>0</v>
      </c>
      <c r="N341" s="72">
        <f ca="1">IFERROR(__xludf.DUMMYFUNCTION("IMPORTRANGE(""https://docs.google.com/spreadsheets/d/1-uDff_7J0KD5mKrp0Vvzr7lt3OU09vwQwhkpOPPYv2Y/edit?usp=sharing"",""งบพรบ!FA65"")"),0)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366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IFERROR(__xludf.DUMMYFUNCTION("IMPORTRANGE(""https://docs.google.com/spreadsheets/d/1eHaY18a8A9IcSdp1K8H6x8fbOy06t2VsZHhMHf-1x7Y/edit?usp=sharing"",""แผน!EK65"")"),460)</f>
        <v>460</v>
      </c>
      <c r="J344" s="291">
        <f ca="1">IFERROR(__xludf.DUMMYFUNCTION("IMPORTRANGE(""https://docs.google.com/spreadsheets/d/1awYsYK3VOup2i3Pq_Yjnu8DRu_mYwSBnCR2QPthd0rU/edit?usp=sharing"",""ศูนย์ยกเว้นโฉนด!D65"")"),315)</f>
        <v>315</v>
      </c>
      <c r="K344" s="72">
        <f ca="1">IF(I344&gt;0,J344*100/I344,0)</f>
        <v>68.478260869565219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IFERROR(__xludf.DUMMYFUNCTION("IMPORTRANGE(""https://docs.google.com/spreadsheets/d/1eHaY18a8A9IcSdp1K8H6x8fbOy06t2VsZHhMHf-1x7Y/edit?usp=sharing"",""แผน!EL65"")"),3)</f>
        <v>3</v>
      </c>
      <c r="J346" s="291">
        <f ca="1">IFERROR(__xludf.DUMMYFUNCTION("IMPORTRANGE(""https://docs.google.com/spreadsheets/d/1awYsYK3VOup2i3Pq_Yjnu8DRu_mYwSBnCR2QPthd0rU/edit?usp=sharing"",""ศูนย์รวม!E65"")"),2)</f>
        <v>2</v>
      </c>
      <c r="K346" s="72">
        <f ca="1">IF(I346&gt;0,J346*100/I346,0)</f>
        <v>66.666666666666671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IFERROR(__xludf.DUMMYFUNCTION("IMPORTRANGE(""https://docs.google.com/spreadsheets/d/1awYsYK3VOup2i3Pq_Yjnu8DRu_mYwSBnCR2QPthd0rU/edit?usp=sharing"",""ศูนย์ยกเว้นโฉนด!F65"")"),29)</f>
        <v>29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IFERROR(__xludf.DUMMYFUNCTION("IMPORTRANGE(""https://docs.google.com/spreadsheets/d/1awYsYK3VOup2i3Pq_Yjnu8DRu_mYwSBnCR2QPthd0rU/edit?usp=sharing"",""ศูนย์ยกเว้นโฉนด!G65"")"),22)</f>
        <v>22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IFERROR(__xludf.DUMMYFUNCTION("IMPORTRANGE(""https://docs.google.com/spreadsheets/d/1awYsYK3VOup2i3Pq_Yjnu8DRu_mYwSBnCR2QPthd0rU/edit?usp=sharing"",""ศูนย์ยกเว้นโฉนด!H65"")"),0)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1168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IFERROR(__xludf.DUMMYFUNCTION("IMPORTRANGE(""https://docs.google.com/spreadsheets/d/1awYsYK3VOup2i3Pq_Yjnu8DRu_mYwSBnCR2QPthd0rU/edit?usp=sharing"",""โฉนดM3!G65"")"),4)</f>
        <v>4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IFERROR(__xludf.DUMMYFUNCTION("IMPORTRANGE(""https://docs.google.com/spreadsheets/d/1awYsYK3VOup2i3Pq_Yjnu8DRu_mYwSBnCR2QPthd0rU/edit?usp=sharing"",""โฉนดM3!H65"")"),873)</f>
        <v>873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IFERROR(__xludf.DUMMYFUNCTION("IMPORTRANGE(""https://docs.google.com/spreadsheets/d/1awYsYK3VOup2i3Pq_Yjnu8DRu_mYwSBnCR2QPthd0rU/edit?usp=sharing"",""โฉนดM3!I65"")"),291)</f>
        <v>291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363380</v>
      </c>
      <c r="M356" s="262">
        <f ca="1">M357+M358</f>
        <v>451870</v>
      </c>
      <c r="N356" s="262">
        <f ca="1">N357+N358</f>
        <v>272640</v>
      </c>
      <c r="O356" s="262">
        <f t="shared" ref="O356:O364" ca="1" si="93">IF(L356&gt;0,N356*100/L356,0)</f>
        <v>75.028895371236729</v>
      </c>
      <c r="P356" s="262">
        <f t="shared" ref="P356:P364" ca="1" si="94">IF(M356&gt;0,N356*100/M356,0)</f>
        <v>60.335937327107352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363380</v>
      </c>
      <c r="M358" s="72">
        <f t="shared" ca="1" si="97"/>
        <v>451870</v>
      </c>
      <c r="N358" s="72">
        <f t="shared" ca="1" si="97"/>
        <v>272640</v>
      </c>
      <c r="O358" s="72">
        <f t="shared" ca="1" si="93"/>
        <v>75.028895371236729</v>
      </c>
      <c r="P358" s="72">
        <f t="shared" ca="1" si="94"/>
        <v>60.335937327107352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363380</v>
      </c>
      <c r="M359" s="72">
        <f ca="1">M360+M361</f>
        <v>451870</v>
      </c>
      <c r="N359" s="72">
        <f ca="1">N360+N361</f>
        <v>272640</v>
      </c>
      <c r="O359" s="72">
        <f t="shared" ca="1" si="93"/>
        <v>75.028895371236729</v>
      </c>
      <c r="P359" s="72">
        <f t="shared" ca="1" si="94"/>
        <v>60.335937327107352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IFERROR(__xludf.DUMMYFUNCTION("IMPORTRANGE(""https://docs.google.com/spreadsheets/d/1-uDff_7J0KD5mKrp0Vvzr7lt3OU09vwQwhkpOPPYv2Y/edit?usp=sharing"",""งบพรบ!FC65"")"),363380)</f>
        <v>363380</v>
      </c>
      <c r="M361" s="72">
        <f ca="1">IFERROR(__xludf.DUMMYFUNCTION("IMPORTRANGE(""https://docs.google.com/spreadsheets/d/1-uDff_7J0KD5mKrp0Vvzr7lt3OU09vwQwhkpOPPYv2Y/edit?usp=sharing"",""งบพรบ!FH65"")"),451870)</f>
        <v>451870</v>
      </c>
      <c r="N361" s="72">
        <f ca="1">IFERROR(__xludf.DUMMYFUNCTION("IMPORTRANGE(""https://docs.google.com/spreadsheets/d/1-uDff_7J0KD5mKrp0Vvzr7lt3OU09vwQwhkpOPPYv2Y/edit?usp=sharing"",""งบพรบ!FJ65"")"),272640)</f>
        <v>272640</v>
      </c>
      <c r="O361" s="72">
        <f t="shared" ca="1" si="93"/>
        <v>75.028895371236729</v>
      </c>
      <c r="P361" s="72">
        <f t="shared" ca="1" si="94"/>
        <v>60.335937327107352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IFERROR(__xludf.DUMMYFUNCTION("IMPORTRANGE(""https://docs.google.com/spreadsheets/d/1-uDff_7J0KD5mKrp0Vvzr7lt3OU09vwQwhkpOPPYv2Y/edit?usp=sharing"",""งบพรบ!FF65"")"),0)</f>
        <v>0</v>
      </c>
      <c r="M364" s="72">
        <f ca="1">IFERROR(__xludf.DUMMYFUNCTION("IMPORTRANGE(""https://docs.google.com/spreadsheets/d/1-uDff_7J0KD5mKrp0Vvzr7lt3OU09vwQwhkpOPPYv2Y/edit?usp=sharing"",""งบพรบ!FI65"")"),0)</f>
        <v>0</v>
      </c>
      <c r="N364" s="72">
        <f ca="1">IFERROR(__xludf.DUMMYFUNCTION("IMPORTRANGE(""https://docs.google.com/spreadsheets/d/1-uDff_7J0KD5mKrp0Vvzr7lt3OU09vwQwhkpOPPYv2Y/edit?usp=sharing"",""งบพรบ!FK65"")"),0)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60</v>
      </c>
      <c r="J365" s="538">
        <f ca="1">J371</f>
        <v>14</v>
      </c>
      <c r="K365" s="539">
        <f ca="1">IF(I365&gt;0,J365*100/I365,0)</f>
        <v>23.333333333333332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IFERROR(__xludf.DUMMYFUNCTION("IMPORTRANGE(""https://docs.google.com/spreadsheets/d/1tdoBKaGub7dwA3U6UFTqxio9LNnvDCQjHKmttSEBsFQ/edit?usp=sharing"",""จัดที่ดิน!AB65"")"),6)</f>
        <v>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IFERROR(__xludf.DUMMYFUNCTION("IMPORTRANGE(""https://docs.google.com/spreadsheets/d/1eHaY18a8A9IcSdp1K8H6x8fbOy06t2VsZHhMHf-1x7Y/edit?usp=sharing"",""แผน!EW65"")"),180)</f>
        <v>180</v>
      </c>
      <c r="J368" s="879">
        <f ca="1">IFERROR(__xludf.DUMMYFUNCTION("IMPORTRANGE(""https://docs.google.com/spreadsheets/d/1tdoBKaGub7dwA3U6UFTqxio9LNnvDCQjHKmttSEBsFQ/edit?usp=sharing"",""จัดที่ดิน!AC65"")"),71.78)</f>
        <v>71.78</v>
      </c>
      <c r="K368" s="72">
        <f t="shared" ca="1" si="99"/>
        <v>39.87777777777778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IFERROR(__xludf.DUMMYFUNCTION("IMPORTRANGE(""https://docs.google.com/spreadsheets/d/1eHaY18a8A9IcSdp1K8H6x8fbOy06t2VsZHhMHf-1x7Y/edit?usp=sharing"",""แผน!EX65"")"),60)</f>
        <v>60</v>
      </c>
      <c r="J369" s="291">
        <f ca="1">IFERROR(__xludf.DUMMYFUNCTION("IMPORTRANGE(""https://docs.google.com/spreadsheets/d/1tdoBKaGub7dwA3U6UFTqxio9LNnvDCQjHKmttSEBsFQ/edit?usp=sharing"",""จัดที่ดิน!AD65"")"),20)</f>
        <v>20</v>
      </c>
      <c r="K369" s="72">
        <f t="shared" ca="1" si="99"/>
        <v>33.333333333333336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IFERROR(__xludf.DUMMYFUNCTION("IMPORTRANGE(""https://docs.google.com/spreadsheets/d/1tdoBKaGub7dwA3U6UFTqxio9LNnvDCQjHKmttSEBsFQ/edit?usp=sharing"",""จัดที่ดิน!AE65"")"),298.24)</f>
        <v>298.24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IFERROR(__xludf.DUMMYFUNCTION("IMPORTRANGE(""https://docs.google.com/spreadsheets/d/1eHaY18a8A9IcSdp1K8H6x8fbOy06t2VsZHhMHf-1x7Y/edit?usp=sharing"",""แผน!EY65"")"),60)</f>
        <v>60</v>
      </c>
      <c r="J371" s="291">
        <f ca="1">IFERROR(__xludf.DUMMYFUNCTION("IMPORTRANGE(""https://docs.google.com/spreadsheets/d/1tdoBKaGub7dwA3U6UFTqxio9LNnvDCQjHKmttSEBsFQ/edit?usp=sharing"",""จัดที่ดิน!AF65"")"),14)</f>
        <v>14</v>
      </c>
      <c r="K371" s="72">
        <f t="shared" ca="1" si="99"/>
        <v>23.333333333333332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IFERROR(__xludf.DUMMYFUNCTION("IMPORTRANGE(""https://docs.google.com/spreadsheets/d/1tdoBKaGub7dwA3U6UFTqxio9LNnvDCQjHKmttSEBsFQ/edit?usp=sharing"",""จัดที่ดิน!AG65"")"),226.46)</f>
        <v>226.46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IFERROR(__xludf.DUMMYFUNCTION("IMPORTRANGE(""https://docs.google.com/spreadsheets/d/1-uDff_7J0KD5mKrp0Vvzr7lt3OU09vwQwhkpOPPYv2Y/edit?usp=sharing"",""งบพรบ!IE65"")"),0)</f>
        <v>0</v>
      </c>
      <c r="M380" s="72">
        <f ca="1">IFERROR(__xludf.DUMMYFUNCTION("IMPORTRANGE(""https://docs.google.com/spreadsheets/d/1-uDff_7J0KD5mKrp0Vvzr7lt3OU09vwQwhkpOPPYv2Y/edit?usp=sharing"",""งบพรบ!IJ65"")"),0)</f>
        <v>0</v>
      </c>
      <c r="N380" s="72">
        <f ca="1">IFERROR(__xludf.DUMMYFUNCTION("IMPORTRANGE(""https://docs.google.com/spreadsheets/d/1-uDff_7J0KD5mKrp0Vvzr7lt3OU09vwQwhkpOPPYv2Y/edit?usp=sharing"",""งบพรบ!IL65"")"),0)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IFERROR(__xludf.DUMMYFUNCTION("IMPORTRANGE(""https://docs.google.com/spreadsheets/d/1ItG2mGa2ceCfYo0BwxsXqNm01IGEUdYcSSLTEv9YCik/edit?usp=sharing"",""เบิกจ่ายกองทุน!BW65"")"),0)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IFERROR(__xludf.DUMMYFUNCTION("IMPORTRANGE(""https://docs.google.com/spreadsheets/d/1ItG2mGa2ceCfYo0BwxsXqNm01IGEUdYcSSLTEv9YCik/edit?usp=sharing"",""เบิกจ่ายกองทุน!BX65"")"),0)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IFERROR(__xludf.DUMMYFUNCTION("IMPORTRANGE(""https://docs.google.com/spreadsheets/d/1ItG2mGa2ceCfYo0BwxsXqNm01IGEUdYcSSLTEv9YCik/edit?usp=sharing"",""เบิกจ่ายกองทุน!BY65"")"),0)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IFERROR(__xludf.DUMMYFUNCTION("IMPORTRANGE(""https://docs.google.com/spreadsheets/d/1-uDff_7J0KD5mKrp0Vvzr7lt3OU09vwQwhkpOPPYv2Y/edit?usp=sharing"",""งบพรบ!IH65"")"),0)</f>
        <v>0</v>
      </c>
      <c r="M383" s="72">
        <f ca="1">IFERROR(__xludf.DUMMYFUNCTION("IMPORTRANGE(""https://docs.google.com/spreadsheets/d/1-uDff_7J0KD5mKrp0Vvzr7lt3OU09vwQwhkpOPPYv2Y/edit?usp=sharing"",""งบพรบ!IK65"")"),0)</f>
        <v>0</v>
      </c>
      <c r="N383" s="72">
        <f ca="1">IFERROR(__xludf.DUMMYFUNCTION("IMPORTRANGE(""https://docs.google.com/spreadsheets/d/1-uDff_7J0KD5mKrp0Vvzr7lt3OU09vwQwhkpOPPYv2Y/edit?usp=sharing"",""งบพรบ!IM65"")"),0)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IFERROR(__xludf.DUMMYFUNCTION("IMPORTRANGE(""https://docs.google.com/spreadsheets/d/1eHaY18a8A9IcSdp1K8H6x8fbOy06t2VsZHhMHf-1x7Y/edit?usp=sharing"",""แผน!JQ65"")"),0)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IFERROR(__xludf.DUMMYFUNCTION("IMPORTRANGE(""https://docs.google.com/spreadsheets/d/1eHaY18a8A9IcSdp1K8H6x8fbOy06t2VsZHhMHf-1x7Y/edit?usp=sharing"",""แผน!JQ65"")"),0)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IFERROR(__xludf.DUMMYFUNCTION("IMPORTRANGE(""https://docs.google.com/spreadsheets/d/1ItG2mGa2ceCfYo0BwxsXqNm01IGEUdYcSSLTEv9YCik/edit?usp=sharing"",""เบิกจ่ายกองทุน!CL65"")"),0)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IFERROR(__xludf.DUMMYFUNCTION("IMPORTRANGE(""https://docs.google.com/spreadsheets/d/1ItG2mGa2ceCfYo0BwxsXqNm01IGEUdYcSSLTEv9YCik/edit?usp=sharing"",""เบิกจ่ายกองทุน!CM65"")"),0)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IFERROR(__xludf.DUMMYFUNCTION("IMPORTRANGE(""https://docs.google.com/spreadsheets/d/1ItG2mGa2ceCfYo0BwxsXqNm01IGEUdYcSSLTEv9YCik/edit?usp=sharing"",""เบิกจ่ายกองทุน!CN65"")"),0)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54520</v>
      </c>
      <c r="M413" s="262">
        <f ca="1">M414+M415</f>
        <v>54520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16320</v>
      </c>
      <c r="R413" s="262">
        <f ca="1">R414+R415</f>
        <v>16320</v>
      </c>
      <c r="S413" s="262">
        <f ca="1">S414+S415</f>
        <v>800</v>
      </c>
      <c r="T413" s="262">
        <f t="shared" ref="T413:T421" ca="1" si="114">IF(Q413&gt;0,S413*100/Q413,0)</f>
        <v>4.9019607843137258</v>
      </c>
      <c r="U413" s="262">
        <f t="shared" ref="U413:U421" ca="1" si="115">IF(R413&gt;0,S413*100/R413,0)</f>
        <v>4.9019607843137258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54520</v>
      </c>
      <c r="M415" s="72">
        <f t="shared" ca="1" si="116"/>
        <v>54520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16320</v>
      </c>
      <c r="R415" s="72">
        <f t="shared" ca="1" si="117"/>
        <v>16320</v>
      </c>
      <c r="S415" s="72">
        <f t="shared" ca="1" si="117"/>
        <v>800</v>
      </c>
      <c r="T415" s="72">
        <f t="shared" ca="1" si="114"/>
        <v>4.9019607843137258</v>
      </c>
      <c r="U415" s="72">
        <f t="shared" ca="1" si="115"/>
        <v>4.9019607843137258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54520</v>
      </c>
      <c r="M416" s="72">
        <f ca="1">M417+M418</f>
        <v>54520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16320</v>
      </c>
      <c r="R416" s="72">
        <f ca="1">R417+R418</f>
        <v>16320</v>
      </c>
      <c r="S416" s="72">
        <f ca="1">S417+S418</f>
        <v>800</v>
      </c>
      <c r="T416" s="72">
        <f t="shared" ca="1" si="114"/>
        <v>4.9019607843137258</v>
      </c>
      <c r="U416" s="72">
        <f t="shared" ca="1" si="115"/>
        <v>4.9019607843137258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IFERROR(__xludf.DUMMYFUNCTION("IMPORTRANGE(""https://docs.google.com/spreadsheets/d/1-uDff_7J0KD5mKrp0Vvzr7lt3OU09vwQwhkpOPPYv2Y/edit?usp=sharing"",""งบพรบ!IO65"")"),54520)</f>
        <v>54520</v>
      </c>
      <c r="M418" s="72">
        <f ca="1">IFERROR(__xludf.DUMMYFUNCTION("IMPORTRANGE(""https://docs.google.com/spreadsheets/d/1-uDff_7J0KD5mKrp0Vvzr7lt3OU09vwQwhkpOPPYv2Y/edit?usp=sharing"",""งบพรบ!IT65"")"),54520)</f>
        <v>54520</v>
      </c>
      <c r="N418" s="72">
        <f ca="1">IFERROR(__xludf.DUMMYFUNCTION("IMPORTRANGE(""https://docs.google.com/spreadsheets/d/1-uDff_7J0KD5mKrp0Vvzr7lt3OU09vwQwhkpOPPYv2Y/edit?usp=sharing"",""งบพรบ!IV65"")"),0)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IFERROR(__xludf.DUMMYFUNCTION("IMPORTRANGE(""https://docs.google.com/spreadsheets/d/1ItG2mGa2ceCfYo0BwxsXqNm01IGEUdYcSSLTEv9YCik/edit?usp=sharing"",""เบิกจ่ายกองทุน!BZ65"")"),16320)</f>
        <v>16320</v>
      </c>
      <c r="R418" s="72">
        <f ca="1">IFERROR(__xludf.DUMMYFUNCTION("IMPORTRANGE(""https://docs.google.com/spreadsheets/d/1ItG2mGa2ceCfYo0BwxsXqNm01IGEUdYcSSLTEv9YCik/edit?usp=sharing"",""เบิกจ่ายกองทุน!CA65"")"),16320)</f>
        <v>16320</v>
      </c>
      <c r="S418" s="72">
        <f ca="1">IFERROR(__xludf.DUMMYFUNCTION("IMPORTRANGE(""https://docs.google.com/spreadsheets/d/1ItG2mGa2ceCfYo0BwxsXqNm01IGEUdYcSSLTEv9YCik/edit?usp=sharing"",""เบิกจ่ายกองทุน!CB65"")"),800)</f>
        <v>800</v>
      </c>
      <c r="T418" s="72">
        <f t="shared" ca="1" si="114"/>
        <v>4.9019607843137258</v>
      </c>
      <c r="U418" s="72">
        <f t="shared" ca="1" si="115"/>
        <v>4.9019607843137258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IFERROR(__xludf.DUMMYFUNCTION("IMPORTRANGE(""https://docs.google.com/spreadsheets/d/1-uDff_7J0KD5mKrp0Vvzr7lt3OU09vwQwhkpOPPYv2Y/edit?usp=sharing"",""งบพรบ!IR65"")"),0)</f>
        <v>0</v>
      </c>
      <c r="M421" s="72">
        <f ca="1">IFERROR(__xludf.DUMMYFUNCTION("IMPORTRANGE(""https://docs.google.com/spreadsheets/d/1-uDff_7J0KD5mKrp0Vvzr7lt3OU09vwQwhkpOPPYv2Y/edit?usp=sharing"",""งบพรบ!IU65"")"),0)</f>
        <v>0</v>
      </c>
      <c r="N421" s="72">
        <f ca="1">IFERROR(__xludf.DUMMYFUNCTION("IMPORTRANGE(""https://docs.google.com/spreadsheets/d/1-uDff_7J0KD5mKrp0Vvzr7lt3OU09vwQwhkpOPPYv2Y/edit?usp=sharing"",""งบพรบ!IW65"")"),0)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IFERROR(__xludf.DUMMYFUNCTION("IMPORTRANGE(""https://docs.google.com/spreadsheets/d/1eHaY18a8A9IcSdp1K8H6x8fbOy06t2VsZHhMHf-1x7Y/edit?usp=sharing"",""แผน!HJ65"")"),0)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IFERROR(__xludf.DUMMYFUNCTION("IMPORTRANGE(""https://docs.google.com/spreadsheets/d/1eHaY18a8A9IcSdp1K8H6x8fbOy06t2VsZHhMHf-1x7Y/edit?usp=sharing"",""แผน!HK65"")"),0)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IFERROR(__xludf.DUMMYFUNCTION("IMPORTRANGE(""https://docs.google.com/spreadsheets/d/1eHaY18a8A9IcSdp1K8H6x8fbOy06t2VsZHhMHf-1x7Y/edit?usp=sharing"",""แผน!HJ65"")"),0)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IFERROR(__xludf.DUMMYFUNCTION("IMPORTRANGE(""https://docs.google.com/spreadsheets/d/1eHaY18a8A9IcSdp1K8H6x8fbOy06t2VsZHhMHf-1x7Y/edit?usp=sharing"",""แผน!HK65"")"),0)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IFERROR(__xludf.DUMMYFUNCTION("IMPORTRANGE(""https://docs.google.com/spreadsheets/d/1eHaY18a8A9IcSdp1K8H6x8fbOy06t2VsZHhMHf-1x7Y/edit?usp=sharing"",""แผน!HJ65"")"),0)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IFERROR(__xludf.DUMMYFUNCTION("IMPORTRANGE(""https://docs.google.com/spreadsheets/d/1eHaY18a8A9IcSdp1K8H6x8fbOy06t2VsZHhMHf-1x7Y/edit?usp=sharing"",""แผน!HK65"")"),0)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182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IFERROR(__xludf.DUMMYFUNCTION("IMPORTRANGE(""https://docs.google.com/spreadsheets/d/1eHaY18a8A9IcSdp1K8H6x8fbOy06t2VsZHhMHf-1x7Y/edit?usp=sharing"",""แผน!HL65"")"),182)</f>
        <v>182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IFERROR(__xludf.DUMMYFUNCTION("IMPORTRANGE(""https://docs.google.com/spreadsheets/d/1eHaY18a8A9IcSdp1K8H6x8fbOy06t2VsZHhMHf-1x7Y/edit?usp=sharing"",""แผน!HM65"")"),0)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IFERROR(__xludf.DUMMYFUNCTION("IMPORTRANGE(""https://docs.google.com/spreadsheets/d/1-uDff_7J0KD5mKrp0Vvzr7lt3OU09vwQwhkpOPPYv2Y/edit?usp=sharing"",""งบพรบ!HU65"")"),0)</f>
        <v>0</v>
      </c>
      <c r="M498" s="72">
        <f ca="1">IFERROR(__xludf.DUMMYFUNCTION("IMPORTRANGE(""https://docs.google.com/spreadsheets/d/1-uDff_7J0KD5mKrp0Vvzr7lt3OU09vwQwhkpOPPYv2Y/edit?usp=sharing"",""งบพรบ!HZ65"")"),0)</f>
        <v>0</v>
      </c>
      <c r="N498" s="72">
        <f ca="1">IFERROR(__xludf.DUMMYFUNCTION("IMPORTRANGE(""https://docs.google.com/spreadsheets/d/1-uDff_7J0KD5mKrp0Vvzr7lt3OU09vwQwhkpOPPYv2Y/edit?usp=sharing"",""งบพรบ!IB65"")"),0)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IFERROR(__xludf.DUMMYFUNCTION("IMPORTRANGE(""https://docs.google.com/spreadsheets/d/1ItG2mGa2ceCfYo0BwxsXqNm01IGEUdYcSSLTEv9YCik/edit?usp=sharing"",""เบิกจ่ายกองทุน!AD65"")"),0)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IFERROR(__xludf.DUMMYFUNCTION("IMPORTRANGE(""https://docs.google.com/spreadsheets/d/1ItG2mGa2ceCfYo0BwxsXqNm01IGEUdYcSSLTEv9YCik/edit?usp=sharing"",""เบิกจ่ายกองทุน!AE65"")"),0)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IFERROR(__xludf.DUMMYFUNCTION("IMPORTRANGE(""https://docs.google.com/spreadsheets/d/1ItG2mGa2ceCfYo0BwxsXqNm01IGEUdYcSSLTEv9YCik/edit?usp=sharing"",""เบิกจ่ายกองทุน!AF65"")"),0)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IFERROR(__xludf.DUMMYFUNCTION("IMPORTRANGE(""https://docs.google.com/spreadsheets/d/1-uDff_7J0KD5mKrp0Vvzr7lt3OU09vwQwhkpOPPYv2Y/edit?usp=sharing"",""งบพรบ!HX65"")"),0)</f>
        <v>0</v>
      </c>
      <c r="M501" s="72">
        <f ca="1">IFERROR(__xludf.DUMMYFUNCTION("IMPORTRANGE(""https://docs.google.com/spreadsheets/d/1-uDff_7J0KD5mKrp0Vvzr7lt3OU09vwQwhkpOPPYv2Y/edit?usp=sharing"",""งบพรบ!IA65"")"),0)</f>
        <v>0</v>
      </c>
      <c r="N501" s="72">
        <f ca="1">IFERROR(__xludf.DUMMYFUNCTION("IMPORTRANGE(""https://docs.google.com/spreadsheets/d/1-uDff_7J0KD5mKrp0Vvzr7lt3OU09vwQwhkpOPPYv2Y/edit?usp=sharing"",""งบพรบ!IC65"")"),0)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IFERROR(__xludf.DUMMYFUNCTION("IMPORTRANGE(""https://docs.google.com/spreadsheets/d/1eHaY18a8A9IcSdp1K8H6x8fbOy06t2VsZHhMHf-1x7Y/edit?usp=sharing"",""แผน!GX65"")"),0)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IFERROR(__xludf.DUMMYFUNCTION("IMPORTRANGE(""https://docs.google.com/spreadsheets/d/1eHaY18a8A9IcSdp1K8H6x8fbOy06t2VsZHhMHf-1x7Y/edit?usp=sharing"",""แผน!GY65"")"),0)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IFERROR(__xludf.DUMMYFUNCTION("IMPORTRANGE(""https://docs.google.com/spreadsheets/d/1eHaY18a8A9IcSdp1K8H6x8fbOy06t2VsZHhMHf-1x7Y/edit?usp=sharing"",""แผน!GZ65"")"),0)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IFERROR(__xludf.DUMMYFUNCTION("IMPORTRANGE(""https://docs.google.com/spreadsheets/d/1eHaY18a8A9IcSdp1K8H6x8fbOy06t2VsZHhMHf-1x7Y/edit?usp=sharing"",""แผน!HA65"")"),0)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IFERROR(__xludf.DUMMYFUNCTION("IMPORTRANGE(""https://docs.google.com/spreadsheets/d/1eHaY18a8A9IcSdp1K8H6x8fbOy06t2VsZHhMHf-1x7Y/edit?usp=sharing"",""แผน!HB65"")"),0)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IFERROR(__xludf.DUMMYFUNCTION("IMPORTRANGE(""https://docs.google.com/spreadsheets/d/1eHaY18a8A9IcSdp1K8H6x8fbOy06t2VsZHhMHf-1x7Y/edit?usp=sharing"",""แผน!HC65"")"),0)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098" t="s">
        <v>206</v>
      </c>
      <c r="B510" s="1097"/>
      <c r="C510" s="1097"/>
      <c r="D510" s="1097"/>
      <c r="E510" s="1096"/>
      <c r="F510" s="1096"/>
      <c r="G510" s="1096"/>
      <c r="H510" s="1096"/>
      <c r="I510" s="1095"/>
      <c r="J510" s="1095"/>
      <c r="K510" s="1094"/>
      <c r="L510" s="1093"/>
      <c r="M510" s="1092"/>
      <c r="N510" s="1092"/>
      <c r="O510" s="1092"/>
      <c r="P510" s="1092"/>
      <c r="Q510" s="1092"/>
      <c r="R510" s="1092"/>
      <c r="S510" s="1092"/>
      <c r="T510" s="1092"/>
      <c r="U510" s="1092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IFERROR(__xludf.DUMMYFUNCTION("IMPORTRANGE(""https://docs.google.com/spreadsheets/d/1-uDff_7J0KD5mKrp0Vvzr7lt3OU09vwQwhkpOPPYv2Y/edit?usp=sharing"",""งบพรบ!FM65"")"),0)</f>
        <v>0</v>
      </c>
      <c r="M518" s="72">
        <f ca="1">IFERROR(__xludf.DUMMYFUNCTION("IMPORTRANGE(""https://docs.google.com/spreadsheets/d/1-uDff_7J0KD5mKrp0Vvzr7lt3OU09vwQwhkpOPPYv2Y/edit?usp=sharing"",""งบพรบ!FR65"")"),0)</f>
        <v>0</v>
      </c>
      <c r="N518" s="72">
        <f ca="1">IFERROR(__xludf.DUMMYFUNCTION("IMPORTRANGE(""https://docs.google.com/spreadsheets/d/1-uDff_7J0KD5mKrp0Vvzr7lt3OU09vwQwhkpOPPYv2Y/edit?usp=sharing"",""งบพรบ!FT65"")"),0)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IFERROR(__xludf.DUMMYFUNCTION("IMPORTRANGE(""https://docs.google.com/spreadsheets/d/1-uDff_7J0KD5mKrp0Vvzr7lt3OU09vwQwhkpOPPYv2Y/edit?usp=sharing"",""งบพรบ!FP65"")"),0)</f>
        <v>0</v>
      </c>
      <c r="M521" s="72">
        <f ca="1">IFERROR(__xludf.DUMMYFUNCTION("IMPORTRANGE(""https://docs.google.com/spreadsheets/d/1-uDff_7J0KD5mKrp0Vvzr7lt3OU09vwQwhkpOPPYv2Y/edit?usp=sharing"",""งบพรบ!FS65"")"),0)</f>
        <v>0</v>
      </c>
      <c r="N521" s="72">
        <f ca="1">IFERROR(__xludf.DUMMYFUNCTION("IMPORTRANGE(""https://docs.google.com/spreadsheets/d/1-uDff_7J0KD5mKrp0Vvzr7lt3OU09vwQwhkpOPPYv2Y/edit?usp=sharing"",""งบพรบ!FU65"")"),0)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IFERROR(__xludf.DUMMYFUNCTION("IMPORTRANGE(""https://docs.google.com/spreadsheets/d/1-uDff_7J0KD5mKrp0Vvzr7lt3OU09vwQwhkpOPPYv2Y/edit?usp=sharing"",""งบพรบ!FW65"")"),0)</f>
        <v>0</v>
      </c>
      <c r="M539" s="72">
        <f ca="1">IFERROR(__xludf.DUMMYFUNCTION("IMPORTRANGE(""https://docs.google.com/spreadsheets/d/1-uDff_7J0KD5mKrp0Vvzr7lt3OU09vwQwhkpOPPYv2Y/edit?usp=sharing"",""งบพรบ!GB65"")"),0)</f>
        <v>0</v>
      </c>
      <c r="N539" s="72">
        <f ca="1">IFERROR(__xludf.DUMMYFUNCTION("IMPORTRANGE(""https://docs.google.com/spreadsheets/d/1-uDff_7J0KD5mKrp0Vvzr7lt3OU09vwQwhkpOPPYv2Y/edit?usp=sharing"",""งบพรบ!GD65"")"),0)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IFERROR(__xludf.DUMMYFUNCTION("IMPORTRANGE(""https://docs.google.com/spreadsheets/d/1-uDff_7J0KD5mKrp0Vvzr7lt3OU09vwQwhkpOPPYv2Y/edit?usp=sharing"",""งบพรบ!FZ65"")"),0)</f>
        <v>0</v>
      </c>
      <c r="M542" s="72">
        <f ca="1">IFERROR(__xludf.DUMMYFUNCTION("IMPORTRANGE(""https://docs.google.com/spreadsheets/d/1-uDff_7J0KD5mKrp0Vvzr7lt3OU09vwQwhkpOPPYv2Y/edit?usp=sharing"",""งบพรบ!GC65"")"),0)</f>
        <v>0</v>
      </c>
      <c r="N542" s="72">
        <f ca="1">IFERROR(__xludf.DUMMYFUNCTION("IMPORTRANGE(""https://docs.google.com/spreadsheets/d/1-uDff_7J0KD5mKrp0Vvzr7lt3OU09vwQwhkpOPPYv2Y/edit?usp=sharing"",""งบพรบ!GE65"")"),0)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666">
        <f>I565</f>
        <v>1</v>
      </c>
      <c r="J554" s="666">
        <f>J565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x14ac:dyDescent="0.3">
      <c r="A555" s="255"/>
      <c r="B555" s="256"/>
      <c r="C555" s="668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1671400</v>
      </c>
      <c r="M555" s="262">
        <f ca="1">M556+M557</f>
        <v>960000</v>
      </c>
      <c r="N555" s="262">
        <f ca="1">N556+N557</f>
        <v>960000</v>
      </c>
      <c r="O555" s="262">
        <f t="shared" ref="O555:O563" ca="1" si="137">IF(L555&gt;0,N555*100/L555,0)</f>
        <v>57.436879262893385</v>
      </c>
      <c r="P555" s="262">
        <f t="shared" ref="P555:P563" ca="1" si="138">IF(M555&gt;0,N555*100/M555,0)</f>
        <v>100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1671400</v>
      </c>
      <c r="M557" s="72">
        <f t="shared" ca="1" si="141"/>
        <v>960000</v>
      </c>
      <c r="N557" s="72">
        <f t="shared" ca="1" si="141"/>
        <v>960000</v>
      </c>
      <c r="O557" s="72">
        <f t="shared" ca="1" si="137"/>
        <v>57.436879262893385</v>
      </c>
      <c r="P557" s="72">
        <f t="shared" ca="1" si="138"/>
        <v>100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IFERROR(__xludf.DUMMYFUNCTION("IMPORTRANGE(""https://docs.google.com/spreadsheets/d/1-uDff_7J0KD5mKrp0Vvzr7lt3OU09vwQwhkpOPPYv2Y/edit?usp=sharing"",""งบพรบ!GG65"")"),0)</f>
        <v>0</v>
      </c>
      <c r="M560" s="72">
        <f ca="1">IFERROR(__xludf.DUMMYFUNCTION("IMPORTRANGE(""https://docs.google.com/spreadsheets/d/1-uDff_7J0KD5mKrp0Vvzr7lt3OU09vwQwhkpOPPYv2Y/edit?usp=sharing"",""งบพรบ!GL65"")"),0)</f>
        <v>0</v>
      </c>
      <c r="N560" s="72">
        <f ca="1">IFERROR(__xludf.DUMMYFUNCTION("IMPORTRANGE(""https://docs.google.com/spreadsheets/d/1-uDff_7J0KD5mKrp0Vvzr7lt3OU09vwQwhkpOPPYv2Y/edit?usp=sharing"",""งบพรบ!GN65"")"),0)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1671400</v>
      </c>
      <c r="M561" s="72">
        <f ca="1">M562+M563</f>
        <v>960000</v>
      </c>
      <c r="N561" s="72">
        <f ca="1">N562+N563</f>
        <v>960000</v>
      </c>
      <c r="O561" s="72">
        <f t="shared" ca="1" si="137"/>
        <v>57.436879262893385</v>
      </c>
      <c r="P561" s="72">
        <f t="shared" ca="1" si="138"/>
        <v>100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IFERROR(__xludf.DUMMYFUNCTION("IMPORTRANGE(""https://docs.google.com/spreadsheets/d/1-uDff_7J0KD5mKrp0Vvzr7lt3OU09vwQwhkpOPPYv2Y/edit?usp=sharing"",""งบพรบ!GJ65"")"),1671400)</f>
        <v>1671400</v>
      </c>
      <c r="M563" s="72">
        <f ca="1">IFERROR(__xludf.DUMMYFUNCTION("IMPORTRANGE(""https://docs.google.com/spreadsheets/d/1-uDff_7J0KD5mKrp0Vvzr7lt3OU09vwQwhkpOPPYv2Y/edit?usp=sharing"",""งบพรบ!GM65"")"),960000)</f>
        <v>960000</v>
      </c>
      <c r="N563" s="72">
        <f ca="1">IFERROR(__xludf.DUMMYFUNCTION("IMPORTRANGE(""https://docs.google.com/spreadsheets/d/1-uDff_7J0KD5mKrp0Vvzr7lt3OU09vwQwhkpOPPYv2Y/edit?usp=sharing"",""งบพรบ!GO65"")"),960000)</f>
        <v>960000</v>
      </c>
      <c r="O563" s="72">
        <f t="shared" ca="1" si="137"/>
        <v>57.436879262893385</v>
      </c>
      <c r="P563" s="72">
        <f t="shared" ca="1" si="138"/>
        <v>100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8.75" x14ac:dyDescent="0.25">
      <c r="A565" s="669"/>
      <c r="B565" s="427"/>
      <c r="C565" s="425"/>
      <c r="D565" s="540" t="s">
        <v>213</v>
      </c>
      <c r="E565" s="425"/>
      <c r="F565" s="427"/>
      <c r="G565" s="428"/>
      <c r="H565" s="429" t="s">
        <v>14</v>
      </c>
      <c r="I565" s="431">
        <v>1</v>
      </c>
      <c r="J565" s="672">
        <v>0</v>
      </c>
      <c r="K565" s="671">
        <f>IF(I565&gt;0,J565*100/I565,0)</f>
        <v>0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IFERROR(__xludf.DUMMYFUNCTION("IMPORTRANGE(""https://docs.google.com/spreadsheets/d/1-uDff_7J0KD5mKrp0Vvzr7lt3OU09vwQwhkpOPPYv2Y/edit?usp=sharing"",""งบพรบ!GQ65"")"),0)</f>
        <v>0</v>
      </c>
      <c r="M581" s="72">
        <f ca="1">IFERROR(__xludf.DUMMYFUNCTION("IMPORTRANGE(""https://docs.google.com/spreadsheets/d/1-uDff_7J0KD5mKrp0Vvzr7lt3OU09vwQwhkpOPPYv2Y/edit?usp=sharing"",""งบพรบ!GV65"")"),0)</f>
        <v>0</v>
      </c>
      <c r="N581" s="72">
        <f ca="1">IFERROR(__xludf.DUMMYFUNCTION("IMPORTRANGE(""https://docs.google.com/spreadsheets/d/1-uDff_7J0KD5mKrp0Vvzr7lt3OU09vwQwhkpOPPYv2Y/edit?usp=sharing"",""งบพรบ!GX65"")"),0)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IFERROR(__xludf.DUMMYFUNCTION("IMPORTRANGE(""https://docs.google.com/spreadsheets/d/1-uDff_7J0KD5mKrp0Vvzr7lt3OU09vwQwhkpOPPYv2Y/edit?usp=sharing"",""งบพรบ!GT65"")"),0)</f>
        <v>0</v>
      </c>
      <c r="M584" s="72">
        <f ca="1">IFERROR(__xludf.DUMMYFUNCTION("IMPORTRANGE(""https://docs.google.com/spreadsheets/d/1-uDff_7J0KD5mKrp0Vvzr7lt3OU09vwQwhkpOPPYv2Y/edit?usp=sharing"",""งบพรบ!GW65"")"),0)</f>
        <v>0</v>
      </c>
      <c r="N584" s="72">
        <f ca="1">IFERROR(__xludf.DUMMYFUNCTION("IMPORTRANGE(""https://docs.google.com/spreadsheets/d/1-uDff_7J0KD5mKrp0Vvzr7lt3OU09vwQwhkpOPPYv2Y/edit?usp=sharing"",""งบพรบ!GY65"")"),0)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47486</v>
      </c>
      <c r="M599" s="211">
        <f ca="1">M600+M601</f>
        <v>47486</v>
      </c>
      <c r="N599" s="211">
        <f ca="1">N600+N601</f>
        <v>0</v>
      </c>
      <c r="O599" s="211">
        <f t="shared" ref="O599:O607" ca="1" si="149">IF(L599&gt;0,N599*100/L599,0)</f>
        <v>0</v>
      </c>
      <c r="P599" s="211">
        <f t="shared" ref="P599:P607" ca="1" si="150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47486</v>
      </c>
      <c r="M601" s="86">
        <f t="shared" ca="1" si="153"/>
        <v>47486</v>
      </c>
      <c r="N601" s="86">
        <f t="shared" ca="1" si="153"/>
        <v>0</v>
      </c>
      <c r="O601" s="86">
        <f t="shared" ca="1" si="149"/>
        <v>0</v>
      </c>
      <c r="P601" s="86">
        <f t="shared" ca="1" si="150"/>
        <v>0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47486</v>
      </c>
      <c r="M602" s="86">
        <f ca="1">M603+M604</f>
        <v>47486</v>
      </c>
      <c r="N602" s="86">
        <f ca="1">N603+N604</f>
        <v>0</v>
      </c>
      <c r="O602" s="86">
        <f t="shared" ca="1" si="149"/>
        <v>0</v>
      </c>
      <c r="P602" s="86">
        <f t="shared" ca="1" si="150"/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IFERROR(__xludf.DUMMYFUNCTION("IMPORTRANGE(""https://docs.google.com/spreadsheets/d/1-uDff_7J0KD5mKrp0Vvzr7lt3OU09vwQwhkpOPPYv2Y/edit?usp=sharing"",""งบพรบ!HK65"")"),47486)</f>
        <v>47486</v>
      </c>
      <c r="M604" s="86">
        <f ca="1">IFERROR(__xludf.DUMMYFUNCTION("IMPORTRANGE(""https://docs.google.com/spreadsheets/d/1-uDff_7J0KD5mKrp0Vvzr7lt3OU09vwQwhkpOPPYv2Y/edit?usp=sharing"",""งบพรบ!HP65"")"),47486)</f>
        <v>47486</v>
      </c>
      <c r="N604" s="86">
        <f ca="1">IFERROR(__xludf.DUMMYFUNCTION("IMPORTRANGE(""https://docs.google.com/spreadsheets/d/1-uDff_7J0KD5mKrp0Vvzr7lt3OU09vwQwhkpOPPYv2Y/edit?usp=sharing"",""งบพรบ!HR65"")"),0)</f>
        <v>0</v>
      </c>
      <c r="O604" s="86">
        <f t="shared" ca="1" si="149"/>
        <v>0</v>
      </c>
      <c r="P604" s="86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IFERROR(__xludf.DUMMYFUNCTION("IMPORTRANGE(""https://docs.google.com/spreadsheets/d/1ItG2mGa2ceCfYo0BwxsXqNm01IGEUdYcSSLTEv9YCik/edit?usp=sharing"",""เบิกจ่ายกองทุน!AV65"")"),0)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IFERROR(__xludf.DUMMYFUNCTION("IMPORTRANGE(""https://docs.google.com/spreadsheets/d/1ItG2mGa2ceCfYo0BwxsXqNm01IGEUdYcSSLTEv9YCik/edit?usp=sharing"",""เบิกจ่ายกองทุน!AW65"")"),0)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IFERROR(__xludf.DUMMYFUNCTION("IMPORTRANGE(""https://docs.google.com/spreadsheets/d/1ItG2mGa2ceCfYo0BwxsXqNm01IGEUdYcSSLTEv9YCik/edit?usp=sharing"",""เบิกจ่ายกองทุน!AX65"")"),0)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IFERROR(__xludf.DUMMYFUNCTION("IMPORTRANGE(""https://docs.google.com/spreadsheets/d/1-uDff_7J0KD5mKrp0Vvzr7lt3OU09vwQwhkpOPPYv2Y/edit?usp=sharing"",""งบพรบ!HN65"")"),0)</f>
        <v>0</v>
      </c>
      <c r="M607" s="86">
        <f ca="1">IFERROR(__xludf.DUMMYFUNCTION("IMPORTRANGE(""https://docs.google.com/spreadsheets/d/1-uDff_7J0KD5mKrp0Vvzr7lt3OU09vwQwhkpOPPYv2Y/edit?usp=sharing"",""งบพรบ!HQ65"")"),0)</f>
        <v>0</v>
      </c>
      <c r="N607" s="86">
        <f ca="1">IFERROR(__xludf.DUMMYFUNCTION("IMPORTRANGE(""https://docs.google.com/spreadsheets/d/1-uDff_7J0KD5mKrp0Vvzr7lt3OU09vwQwhkpOPPYv2Y/edit?usp=sharing"",""งบพรบ!HS65"")"),0)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IFERROR(__xludf.DUMMYFUNCTION("IMPORTRANGE(""https://docs.google.com/spreadsheets/d/1ItG2mGa2ceCfYo0BwxsXqNm01IGEUdYcSSLTEv9YCik/edit?usp=sharing"",""เบิกจ่ายกองทุน!AY65"")"),0)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IFERROR(__xludf.DUMMYFUNCTION("IMPORTRANGE(""https://docs.google.com/spreadsheets/d/1ItG2mGa2ceCfYo0BwxsXqNm01IGEUdYcSSLTEv9YCik/edit?usp=sharing"",""เบิกจ่ายกองทุน!AZ65"")"),0)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IFERROR(__xludf.DUMMYFUNCTION("IMPORTRANGE(""https://docs.google.com/spreadsheets/d/1ItG2mGa2ceCfYo0BwxsXqNm01IGEUdYcSSLTEv9YCik/edit?usp=sharing"",""เบิกจ่ายกองทุน!BA65"")"),0)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6700</v>
      </c>
      <c r="R616" s="262">
        <f ca="1">R617+R618</f>
        <v>6700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6700</v>
      </c>
      <c r="R618" s="72">
        <f t="shared" ca="1" si="160"/>
        <v>6700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6700</v>
      </c>
      <c r="R619" s="72">
        <f ca="1">R620+R621</f>
        <v>6700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IFERROR(__xludf.DUMMYFUNCTION("IMPORTRANGE(""https://docs.google.com/spreadsheets/d/1ItG2mGa2ceCfYo0BwxsXqNm01IGEUdYcSSLTEv9YCik/edit?usp=sharing"",""เบิกจ่ายกองทุน!F65"")"),6700)</f>
        <v>6700</v>
      </c>
      <c r="R621" s="72">
        <f ca="1">IFERROR(__xludf.DUMMYFUNCTION("IMPORTRANGE(""https://docs.google.com/spreadsheets/d/1ItG2mGa2ceCfYo0BwxsXqNm01IGEUdYcSSLTEv9YCik/edit?usp=sharing"",""เบิกจ่ายกองทุน!G65"")"),6700)</f>
        <v>6700</v>
      </c>
      <c r="S621" s="72">
        <f ca="1">IFERROR(__xludf.DUMMYFUNCTION("IMPORTRANGE(""https://docs.google.com/spreadsheets/d/1ItG2mGa2ceCfYo0BwxsXqNm01IGEUdYcSSLTEv9YCik/edit?usp=sharing"",""เบิกจ่ายกองทุน!H65"")"),0)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IFERROR(__xludf.DUMMYFUNCTION("IMPORTRANGE(""https://docs.google.com/spreadsheets/d/1eHaY18a8A9IcSdp1K8H6x8fbOy06t2VsZHhMHf-1x7Y/edit?usp=sharing"",""แผน!ID65"")"),50)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IFERROR(__xludf.DUMMYFUNCTION("IMPORTRANGE(""https://docs.google.com/spreadsheets/d/1eHaY18a8A9IcSdp1K8H6x8fbOy06t2VsZHhMHf-1x7Y/edit?usp=sharing"",""แผน!IC65"")"),0)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IFERROR(__xludf.DUMMYFUNCTION("IMPORTRANGE(""https://docs.google.com/spreadsheets/d/1eHaY18a8A9IcSdp1K8H6x8fbOy06t2VsZHhMHf-1x7Y/edit?usp=sharing"",""แผน!IC65"")"),0)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IFERROR(__xludf.DUMMYFUNCTION("IMPORTRANGE(""https://docs.google.com/spreadsheets/d/1eHaY18a8A9IcSdp1K8H6x8fbOy06t2VsZHhMHf-1x7Y/edit?usp=sharing"",""แผน!IE65"")"),0)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8600</v>
      </c>
      <c r="R642" s="262">
        <f ca="1">R643+R644</f>
        <v>8600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8600</v>
      </c>
      <c r="R644" s="72">
        <f t="shared" ca="1" si="166"/>
        <v>8600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8600</v>
      </c>
      <c r="R645" s="72">
        <f ca="1">R646+R647</f>
        <v>8600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IFERROR(__xludf.DUMMYFUNCTION("IMPORTRANGE(""https://docs.google.com/spreadsheets/d/1ItG2mGa2ceCfYo0BwxsXqNm01IGEUdYcSSLTEv9YCik/edit?usp=sharing"",""เบิกจ่ายกองทุน!I65"")"),8600)</f>
        <v>8600</v>
      </c>
      <c r="R647" s="72">
        <f ca="1">IFERROR(__xludf.DUMMYFUNCTION("IMPORTRANGE(""https://docs.google.com/spreadsheets/d/1ItG2mGa2ceCfYo0BwxsXqNm01IGEUdYcSSLTEv9YCik/edit?usp=sharing"",""เบิกจ่ายกองทุน!J65"")"),8600)</f>
        <v>8600</v>
      </c>
      <c r="S647" s="72">
        <f ca="1">IFERROR(__xludf.DUMMYFUNCTION("IMPORTRANGE(""https://docs.google.com/spreadsheets/d/1ItG2mGa2ceCfYo0BwxsXqNm01IGEUdYcSSLTEv9YCik/edit?usp=sharing"",""เบิกจ่ายกองทุน!K65"")"),0)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IFERROR(__xludf.DUMMYFUNCTION("IMPORTRANGE(""https://docs.google.com/spreadsheets/d/1eHaY18a8A9IcSdp1K8H6x8fbOy06t2VsZHhMHf-1x7Y/edit?usp=sharing"",""แผน!IF65"")"),0)</f>
        <v>0</v>
      </c>
      <c r="J652" s="291">
        <f ca="1">IFERROR(__xludf.DUMMYFUNCTION("IMPORTRANGE(""https://docs.google.com/spreadsheets/d/1tdoBKaGub7dwA3U6UFTqxio9LNnvDCQjHKmttSEBsFQ/edit?usp=sharing"",""จัดที่ดิน!AU65"")"),0)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IFERROR(__xludf.DUMMYFUNCTION("IMPORTRANGE(""https://docs.google.com/spreadsheets/d/1eHaY18a8A9IcSdp1K8H6x8fbOy06t2VsZHhMHf-1x7Y/edit?usp=sharing"",""แผน!IG65"")"),0)</f>
        <v>0</v>
      </c>
      <c r="J653" s="291">
        <f ca="1">IFERROR(__xludf.DUMMYFUNCTION("IMPORTRANGE(""https://docs.google.com/spreadsheets/d/1tdoBKaGub7dwA3U6UFTqxio9LNnvDCQjHKmttSEBsFQ/edit?usp=sharing"",""จัดที่ดิน!AW65"")"),2)</f>
        <v>2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IFERROR(__xludf.DUMMYFUNCTION("IMPORTRANGE(""https://docs.google.com/spreadsheets/d/1eHaY18a8A9IcSdp1K8H6x8fbOy06t2VsZHhMHf-1x7Y/edit?usp=sharing"",""แผน!IH65"")"),350)</f>
        <v>350</v>
      </c>
      <c r="J654" s="601">
        <f>J657+J660</f>
        <v>68.650000000000006</v>
      </c>
      <c r="K654" s="262">
        <f ca="1">IF(I654&gt;0,J654*100/I654,0)</f>
        <v>19.614285714285717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6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7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IFERROR(__xludf.DUMMYFUNCTION("IMPORTRANGE(""https://docs.google.com/spreadsheets/d/1eHaY18a8A9IcSdp1K8H6x8fbOy06t2VsZHhMHf-1x7Y/edit?usp=sharing"",""แผน!II65"")"),0)</f>
        <v>0</v>
      </c>
      <c r="J657" s="292">
        <v>68.650000000000006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IFERROR(__xludf.DUMMYFUNCTION("IMPORTRANGE(""https://docs.google.com/spreadsheets/d/1eHaY18a8A9IcSdp1K8H6x8fbOy06t2VsZHhMHf-1x7Y/edit?usp=sharing"",""แผน!IJ65"")"),350)</f>
        <v>350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IFERROR(__xludf.DUMMYFUNCTION("IMPORTRANGE(""https://docs.google.com/spreadsheets/d/1eHaY18a8A9IcSdp1K8H6x8fbOy06t2VsZHhMHf-1x7Y/edit?usp=sharing"",""แผน!IK65"")"),0)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IFERROR(__xludf.DUMMYFUNCTION("IMPORTRANGE(""https://docs.google.com/spreadsheets/d/1tdoBKaGub7dwA3U6UFTqxio9LNnvDCQjHKmttSEBsFQ/edit?usp=sharing"",""จัดที่ดิน!AY65"")"),0)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IFERROR(__xludf.DUMMYFUNCTION("IMPORTRANGE(""https://docs.google.com/spreadsheets/d/1tdoBKaGub7dwA3U6UFTqxio9LNnvDCQjHKmttSEBsFQ/edit?usp=sharing"",""จัดที่ดิน!AZ65"")"),0)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IFERROR(__xludf.DUMMYFUNCTION("IMPORTRANGE(""https://docs.google.com/spreadsheets/d/1eHaY18a8A9IcSdp1K8H6x8fbOy06t2VsZHhMHf-1x7Y/edit?usp=sharing"",""แผน!IL65"")"),0)</f>
        <v>0</v>
      </c>
      <c r="J673" s="291">
        <f ca="1">IFERROR(__xludf.DUMMYFUNCTION("IMPORTRANGE(""https://docs.google.com/spreadsheets/d/1tdoBKaGub7dwA3U6UFTqxio9LNnvDCQjHKmttSEBsFQ/edit?usp=sharing"",""จัดที่ดิน!BA65"")"),0)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IFERROR(__xludf.DUMMYFUNCTION("IMPORTRANGE(""https://docs.google.com/spreadsheets/d/1eHaY18a8A9IcSdp1K8H6x8fbOy06t2VsZHhMHf-1x7Y/edit?usp=sharing"",""แผน!IM65"")"),5)</f>
        <v>5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IFERROR(__xludf.DUMMYFUNCTION("IMPORTRANGE(""https://docs.google.com/spreadsheets/d/1eHaY18a8A9IcSdp1K8H6x8fbOy06t2VsZHhMHf-1x7Y/edit?usp=sharing"",""แผน!IN65"")"),140)</f>
        <v>140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IFERROR(__xludf.DUMMYFUNCTION("IMPORTRANGE(""https://docs.google.com/spreadsheets/d/1eHaY18a8A9IcSdp1K8H6x8fbOy06t2VsZHhMHf-1x7Y/edit?usp=sharing"",""แผน!IO65"")"),5)</f>
        <v>5</v>
      </c>
      <c r="J676" s="291">
        <f ca="1">IFERROR(__xludf.DUMMYFUNCTION("IMPORTRANGE(""https://docs.google.com/spreadsheets/d/1tdoBKaGub7dwA3U6UFTqxio9LNnvDCQjHKmttSEBsFQ/edit?usp=sharing"",""จัดที่ดิน!BF65"")"),0)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IFERROR(__xludf.DUMMYFUNCTION("IMPORTRANGE(""https://docs.google.com/spreadsheets/d/1tdoBKaGub7dwA3U6UFTqxio9LNnvDCQjHKmttSEBsFQ/edit?usp=sharing"",""จัดที่ดิน!BG65"")"),0)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IFERROR(__xludf.DUMMYFUNCTION("IMPORTRANGE(""https://docs.google.com/spreadsheets/d/1eHaY18a8A9IcSdp1K8H6x8fbOy06t2VsZHhMHf-1x7Y/edit?usp=sharing"",""แผน!IP65"")"),140)</f>
        <v>140</v>
      </c>
      <c r="J678" s="291">
        <f ca="1">IFERROR(__xludf.DUMMYFUNCTION("IMPORTRANGE(""https://docs.google.com/spreadsheets/d/1tdoBKaGub7dwA3U6UFTqxio9LNnvDCQjHKmttSEBsFQ/edit?usp=sharing"",""จัดที่ดิน!BH65"")"),0)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IFERROR(__xludf.DUMMYFUNCTION("IMPORTRANGE(""https://docs.google.com/spreadsheets/d/1eHaY18a8A9IcSdp1K8H6x8fbOy06t2VsZHhMHf-1x7Y/edit?usp=sharing"",""แผน!IQ65"")"),0)</f>
        <v>0</v>
      </c>
      <c r="J679" s="291">
        <f ca="1">IFERROR(__xludf.DUMMYFUNCTION("IMPORTRANGE(""https://docs.google.com/spreadsheets/d/1tdoBKaGub7dwA3U6UFTqxio9LNnvDCQjHKmttSEBsFQ/edit?usp=sharing"",""จัดที่ดิน!BK65"")"),0)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IFERROR(__xludf.DUMMYFUNCTION("IMPORTRANGE(""https://docs.google.com/spreadsheets/d/1tdoBKaGub7dwA3U6UFTqxio9LNnvDCQjHKmttSEBsFQ/edit?usp=sharing"",""จัดที่ดิน!BL65"")"),0)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IFERROR(__xludf.DUMMYFUNCTION("IMPORTRANGE(""https://docs.google.com/spreadsheets/d/1eHaY18a8A9IcSdp1K8H6x8fbOy06t2VsZHhMHf-1x7Y/edit?usp=sharing"",""แผน!IR65"")"),0)</f>
        <v>0</v>
      </c>
      <c r="J681" s="291">
        <f ca="1">IFERROR(__xludf.DUMMYFUNCTION("IMPORTRANGE(""https://docs.google.com/spreadsheets/d/1tdoBKaGub7dwA3U6UFTqxio9LNnvDCQjHKmttSEBsFQ/edit?usp=sharing"",""จัดที่ดิน!BM65"")"),0)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IFERROR(__xludf.DUMMYFUNCTION("IMPORTRANGE(""https://docs.google.com/spreadsheets/d/1eHaY18a8A9IcSdp1K8H6x8fbOy06t2VsZHhMHf-1x7Y/edit?usp=sharing"",""แผน!IS65"")"),0)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57710</v>
      </c>
      <c r="R690" s="262">
        <f ca="1">R691+R692</f>
        <v>57710</v>
      </c>
      <c r="S690" s="262">
        <f ca="1">S691+S692</f>
        <v>50340</v>
      </c>
      <c r="T690" s="262">
        <f t="shared" ref="T690:T698" ca="1" si="169">IF(Q690&gt;0,S690*100/Q690,0)</f>
        <v>87.229249696759666</v>
      </c>
      <c r="U690" s="262">
        <f t="shared" ref="U690:U698" ca="1" si="170">IF(R690&gt;0,S690*100/R690,0)</f>
        <v>87.229249696759666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57710</v>
      </c>
      <c r="R692" s="72">
        <f t="shared" ca="1" si="172"/>
        <v>57710</v>
      </c>
      <c r="S692" s="72">
        <f t="shared" ca="1" si="172"/>
        <v>50340</v>
      </c>
      <c r="T692" s="72">
        <f t="shared" ca="1" si="169"/>
        <v>87.229249696759666</v>
      </c>
      <c r="U692" s="72">
        <f t="shared" ca="1" si="170"/>
        <v>87.229249696759666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57710</v>
      </c>
      <c r="R693" s="72">
        <f ca="1">R694+R695</f>
        <v>57710</v>
      </c>
      <c r="S693" s="72">
        <f ca="1">S694+S695</f>
        <v>50340</v>
      </c>
      <c r="T693" s="72">
        <f t="shared" ca="1" si="169"/>
        <v>87.229249696759666</v>
      </c>
      <c r="U693" s="72">
        <f t="shared" ca="1" si="170"/>
        <v>87.229249696759666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IFERROR(__xludf.DUMMYFUNCTION("IMPORTRANGE(""https://docs.google.com/spreadsheets/d/1ItG2mGa2ceCfYo0BwxsXqNm01IGEUdYcSSLTEv9YCik/edit?usp=sharing"",""เบิกจ่ายกองทุน!L65"")"),57710)</f>
        <v>57710</v>
      </c>
      <c r="R695" s="72">
        <f ca="1">IFERROR(__xludf.DUMMYFUNCTION("IMPORTRANGE(""https://docs.google.com/spreadsheets/d/1ItG2mGa2ceCfYo0BwxsXqNm01IGEUdYcSSLTEv9YCik/edit?usp=sharing"",""เบิกจ่ายกองทุน!M65"")"),57710)</f>
        <v>57710</v>
      </c>
      <c r="S695" s="72">
        <f ca="1">IFERROR(__xludf.DUMMYFUNCTION("IMPORTRANGE(""https://docs.google.com/spreadsheets/d/1ItG2mGa2ceCfYo0BwxsXqNm01IGEUdYcSSLTEv9YCik/edit?usp=sharing"",""เบิกจ่ายกองทุน!N65"")"),50340)</f>
        <v>50340</v>
      </c>
      <c r="T695" s="72">
        <f t="shared" ca="1" si="169"/>
        <v>87.229249696759666</v>
      </c>
      <c r="U695" s="72">
        <f t="shared" ca="1" si="170"/>
        <v>87.229249696759666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IFERROR(__xludf.DUMMYFUNCTION("IMPORTRANGE(""https://docs.google.com/spreadsheets/d/1eHaY18a8A9IcSdp1K8H6x8fbOy06t2VsZHhMHf-1x7Y/edit?usp=sharing"",""แผน!LC65"")"),0)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1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IFERROR(__xludf.DUMMYFUNCTION("IMPORTRANGE(""https://docs.google.com/spreadsheets/d/1eHaY18a8A9IcSdp1K8H6x8fbOy06t2VsZHhMHf-1x7Y/edit?usp=sharing"",""แผน!LJ65"")"),0)</f>
        <v>0</v>
      </c>
      <c r="J703" s="291">
        <f ca="1">IFERROR(__xludf.DUMMYFUNCTION("IMPORTRANGE(""https://docs.google.com/spreadsheets/d/1tdoBKaGub7dwA3U6UFTqxio9LNnvDCQjHKmttSEBsFQ/edit?usp=sharing"",""จัดที่ดิน!AP65"")"),0)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IFERROR(__xludf.DUMMYFUNCTION("IMPORTRANGE(""https://docs.google.com/spreadsheets/d/1tdoBKaGub7dwA3U6UFTqxio9LNnvDCQjHKmttSEBsFQ/edit?usp=sharing"",""จัดที่ดิน!AQ65"")"),0)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IFERROR(__xludf.DUMMYFUNCTION("IMPORTRANGE(""https://docs.google.com/spreadsheets/d/1eHaY18a8A9IcSdp1K8H6x8fbOy06t2VsZHhMHf-1x7Y/edit?usp=sharing"",""แผน!LK65"")"),1)</f>
        <v>1</v>
      </c>
      <c r="J705" s="291">
        <f ca="1">IFERROR(__xludf.DUMMYFUNCTION("IMPORTRANGE(""https://docs.google.com/spreadsheets/d/1tdoBKaGub7dwA3U6UFTqxio9LNnvDCQjHKmttSEBsFQ/edit?usp=sharing"",""จัดที่ดิน!AR65"")"),0)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IFERROR(__xludf.DUMMYFUNCTION("IMPORTRANGE(""https://docs.google.com/spreadsheets/d/1tdoBKaGub7dwA3U6UFTqxio9LNnvDCQjHKmttSEBsFQ/edit?usp=sharing"",""จัดที่ดิน!AS65"")"),0)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IFERROR(__xludf.DUMMYFUNCTION("IMPORTRANGE(""https://docs.google.com/spreadsheets/d/1eHaY18a8A9IcSdp1K8H6x8fbOy06t2VsZHhMHf-1x7Y/edit?usp=sharing"",""แผน!LJ65"")"),0)</f>
        <v>0</v>
      </c>
      <c r="J707" s="291">
        <f ca="1">IFERROR(__xludf.DUMMYFUNCTION("IMPORTRANGE(""https://docs.google.com/spreadsheets/d/1tdoBKaGub7dwA3U6UFTqxio9LNnvDCQjHKmttSEBsFQ/edit?usp=sharing"",""จัดที่ดิน!BN65"")"),0)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IFERROR(__xludf.DUMMYFUNCTION("IMPORTRANGE(""https://docs.google.com/spreadsheets/d/1tdoBKaGub7dwA3U6UFTqxio9LNnvDCQjHKmttSEBsFQ/edit?usp=sharing"",""จัดที่ดิน!BO65"")"),0)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IFERROR(__xludf.DUMMYFUNCTION("IMPORTRANGE(""https://docs.google.com/spreadsheets/d/1eHaY18a8A9IcSdp1K8H6x8fbOy06t2VsZHhMHf-1x7Y/edit?usp=sharing"",""แผน!LK65"")"),1)</f>
        <v>1</v>
      </c>
      <c r="J709" s="291">
        <f ca="1">IFERROR(__xludf.DUMMYFUNCTION("IMPORTRANGE(""https://docs.google.com/spreadsheets/d/1tdoBKaGub7dwA3U6UFTqxio9LNnvDCQjHKmttSEBsFQ/edit?usp=sharing"",""จัดที่ดิน!BP65"")"),1)</f>
        <v>1</v>
      </c>
      <c r="K709" s="72">
        <f t="shared" ca="1" si="173"/>
        <v>100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IFERROR(__xludf.DUMMYFUNCTION("IMPORTRANGE(""https://docs.google.com/spreadsheets/d/1tdoBKaGub7dwA3U6UFTqxio9LNnvDCQjHKmttSEBsFQ/edit?usp=sharing"",""จัดที่ดิน!BQ65"")"),0)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IFERROR(__xludf.DUMMYFUNCTION("IMPORTRANGE(""https://docs.google.com/spreadsheets/d/1eHaY18a8A9IcSdp1K8H6x8fbOy06t2VsZHhMHf-1x7Y/edit?usp=sharing"",""แผน!GA65"")"),11)</f>
        <v>11</v>
      </c>
      <c r="J726" s="743">
        <f>J742+J746+J749</f>
        <v>12</v>
      </c>
      <c r="K726" s="744">
        <f ca="1">IF(I726&gt;0,J726*100/I726,0)</f>
        <v>109.09090909090909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IFERROR(__xludf.DUMMYFUNCTION("IMPORTRANGE(""https://docs.google.com/spreadsheets/d/1eHaY18a8A9IcSdp1K8H6x8fbOy06t2VsZHhMHf-1x7Y/edit?usp=sharing"",""แผน!FZ65"")"),100)</f>
        <v>100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111642</v>
      </c>
      <c r="R728" s="262">
        <f ca="1">R729+R730</f>
        <v>111642</v>
      </c>
      <c r="S728" s="262">
        <f ca="1">S729+S730</f>
        <v>78130</v>
      </c>
      <c r="T728" s="262">
        <f t="shared" ref="T728:T736" ca="1" si="182">IF(Q728&gt;0,S728*100/Q728,0)</f>
        <v>69.982623027176146</v>
      </c>
      <c r="U728" s="262">
        <f t="shared" ref="U728:U736" ca="1" si="183">IF(R728&gt;0,S728*100/R728,0)</f>
        <v>69.982623027176146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111642</v>
      </c>
      <c r="R730" s="72">
        <f t="shared" ca="1" si="185"/>
        <v>111642</v>
      </c>
      <c r="S730" s="72">
        <f t="shared" ca="1" si="185"/>
        <v>78130</v>
      </c>
      <c r="T730" s="72">
        <f t="shared" ca="1" si="182"/>
        <v>69.982623027176146</v>
      </c>
      <c r="U730" s="72">
        <f t="shared" ca="1" si="183"/>
        <v>69.982623027176146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111642</v>
      </c>
      <c r="R731" s="72">
        <f ca="1">R732+R733</f>
        <v>111642</v>
      </c>
      <c r="S731" s="72">
        <f ca="1">S732+S733</f>
        <v>78130</v>
      </c>
      <c r="T731" s="72">
        <f t="shared" ca="1" si="182"/>
        <v>69.982623027176146</v>
      </c>
      <c r="U731" s="72">
        <f t="shared" ca="1" si="183"/>
        <v>69.982623027176146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IFERROR(__xludf.DUMMYFUNCTION("IMPORTRANGE(""https://docs.google.com/spreadsheets/d/1ItG2mGa2ceCfYo0BwxsXqNm01IGEUdYcSSLTEv9YCik/edit?usp=sharing"",""เบิกจ่ายกองทุน!O65"")"),111642)</f>
        <v>111642</v>
      </c>
      <c r="R733" s="72">
        <f ca="1">IFERROR(__xludf.DUMMYFUNCTION("IMPORTRANGE(""https://docs.google.com/spreadsheets/d/1ItG2mGa2ceCfYo0BwxsXqNm01IGEUdYcSSLTEv9YCik/edit?usp=sharing"",""เบิกจ่ายกองทุน!P65"")"),111642)</f>
        <v>111642</v>
      </c>
      <c r="S733" s="72">
        <f ca="1">IFERROR(__xludf.DUMMYFUNCTION("IMPORTRANGE(""https://docs.google.com/spreadsheets/d/1ItG2mGa2ceCfYo0BwxsXqNm01IGEUdYcSSLTEv9YCik/edit?usp=sharing"",""เบิกจ่ายกองทุน!Q65"")"),78130)</f>
        <v>78130</v>
      </c>
      <c r="T733" s="72">
        <f t="shared" ca="1" si="182"/>
        <v>69.982623027176146</v>
      </c>
      <c r="U733" s="72">
        <f t="shared" ca="1" si="183"/>
        <v>69.982623027176146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IFERROR(__xludf.DUMMYFUNCTION("IMPORTRANGE(""https://docs.google.com/spreadsheets/d/1eHaY18a8A9IcSdp1K8H6x8fbOy06t2VsZHhMHf-1x7Y/edit?usp=sharing"",""แผน!GB65"")"),80)</f>
        <v>80</v>
      </c>
      <c r="J740" s="794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IFERROR(__xludf.DUMMYFUNCTION("IMPORTRANGE(""https://docs.google.com/spreadsheets/d/1eHaY18a8A9IcSdp1K8H6x8fbOy06t2VsZHhMHf-1x7Y/edit?usp=sharing"",""แผน!GC65"")"),8)</f>
        <v>8</v>
      </c>
      <c r="J742" s="794">
        <v>9</v>
      </c>
      <c r="K742" s="86">
        <f ca="1">IF(I742&gt;0,J742*100/I742,0)</f>
        <v>112.5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IFERROR(__xludf.DUMMYFUNCTION("IMPORTRANGE(""https://docs.google.com/spreadsheets/d/1eHaY18a8A9IcSdp1K8H6x8fbOy06t2VsZHhMHf-1x7Y/edit?usp=sharing"",""แผน!GD65"")"),20)</f>
        <v>20</v>
      </c>
      <c r="J744" s="794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IFERROR(__xludf.DUMMYFUNCTION("IMPORTRANGE(""https://docs.google.com/spreadsheets/d/1eHaY18a8A9IcSdp1K8H6x8fbOy06t2VsZHhMHf-1x7Y/edit?usp=sharing"",""แผน!GE65"")"),2)</f>
        <v>2</v>
      </c>
      <c r="J746" s="794">
        <v>2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IFERROR(__xludf.DUMMYFUNCTION("IMPORTRANGE(""https://docs.google.com/spreadsheets/d/1eHaY18a8A9IcSdp1K8H6x8fbOy06t2VsZHhMHf-1x7Y/edit?usp=sharing"",""แผน!GF65"")"),1)</f>
        <v>1</v>
      </c>
      <c r="J749" s="794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IFERROR(__xludf.DUMMYFUNCTION("IMPORTRANGE(""https://docs.google.com/spreadsheets/d/1eHaY18a8A9IcSdp1K8H6x8fbOy06t2VsZHhMHf-1x7Y/edit?usp=sharing"",""แผน!GB65"")"),80)</f>
        <v>80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IFERROR(__xludf.DUMMYFUNCTION("IMPORTRANGE(""https://docs.google.com/spreadsheets/d/1eHaY18a8A9IcSdp1K8H6x8fbOy06t2VsZHhMHf-1x7Y/edit?usp=sharing"",""แผน!GD65"")"),20)</f>
        <v>20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IFERROR(__xludf.DUMMYFUNCTION("IMPORTRANGE(""https://docs.google.com/spreadsheets/d/1ItG2mGa2ceCfYo0BwxsXqNm01IGEUdYcSSLTEv9YCik/edit?usp=sharing"",""เบิกจ่ายกองทุน!AA65"")"),0)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IFERROR(__xludf.DUMMYFUNCTION("IMPORTRANGE(""https://docs.google.com/spreadsheets/d/1ItG2mGa2ceCfYo0BwxsXqNm01IGEUdYcSSLTEv9YCik/edit?usp=sharing"",""เบิกจ่ายกองทุน!AB65"")"),0)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IFERROR(__xludf.DUMMYFUNCTION("IMPORTRANGE(""https://docs.google.com/spreadsheets/d/1ItG2mGa2ceCfYo0BwxsXqNm01IGEUdYcSSLTEv9YCik/edit?usp=sharing"",""เบิกจ่ายกองทุน!AC65"")"),0)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IFERROR(__xludf.DUMMYFUNCTION("IMPORTRANGE(""https://docs.google.com/spreadsheets/d/1eHaY18a8A9IcSdp1K8H6x8fbOy06t2VsZHhMHf-1x7Y/edit?usp=sharing"",""แผน!FI65"")"),0)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IFERROR(__xludf.DUMMYFUNCTION("IMPORTRANGE(""https://docs.google.com/spreadsheets/d/1eHaY18a8A9IcSdp1K8H6x8fbOy06t2VsZHhMHf-1x7Y/edit?usp=sharing"",""แผน!FQ65"")"),0)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IFERROR(__xludf.DUMMYFUNCTION("IMPORTRANGE(""https://docs.google.com/spreadsheets/d/1eHaY18a8A9IcSdp1K8H6x8fbOy06t2VsZHhMHf-1x7Y/edit?usp=sharing"",""แผน!FR65"")"),0)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IFERROR(__xludf.DUMMYFUNCTION("IMPORTRANGE(""https://docs.google.com/spreadsheets/d/1eHaY18a8A9IcSdp1K8H6x8fbOy06t2VsZHhMHf-1x7Y/edit?usp=sharing"",""แผน!FS65"")"),0)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IFERROR(__xludf.DUMMYFUNCTION("IMPORTRANGE(""https://docs.google.com/spreadsheets/d/1eHaY18a8A9IcSdp1K8H6x8fbOy06t2VsZHhMHf-1x7Y/edit?usp=sharing"",""แผน!FT65"")"),0)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IFERROR(__xludf.DUMMYFUNCTION("IMPORTRANGE(""https://docs.google.com/spreadsheets/d/10OvvATaaLtwErnr3qtWFcTmtbfpFEt5Bsqel9sXx0uE/edit?usp=sharing"",""งานกองทุน!D65"")"),886748.68)</f>
        <v>886748.68</v>
      </c>
      <c r="J778" s="291">
        <f ca="1">IFERROR(__xludf.DUMMYFUNCTION("IMPORTRANGE(""https://docs.google.com/spreadsheets/d/10OvvATaaLtwErnr3qtWFcTmtbfpFEt5Bsqel9sXx0uE/edit?usp=sharing"",""งานกองทุน!F65"")"),764127.78)</f>
        <v>764127.78</v>
      </c>
      <c r="K778" s="72">
        <f t="shared" ref="K778:K785" ca="1" si="192">IF(I778&gt;0,J778*100/I778,0)</f>
        <v>86.171854239467265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IFERROR(__xludf.DUMMYFUNCTION("IMPORTRANGE(""https://docs.google.com/spreadsheets/d/10OvvATaaLtwErnr3qtWFcTmtbfpFEt5Bsqel9sXx0uE/edit?usp=sharing"",""งานกองทุน!C65"")"),67)</f>
        <v>67</v>
      </c>
      <c r="J779" s="291">
        <f ca="1">IFERROR(__xludf.DUMMYFUNCTION("IMPORTRANGE(""https://docs.google.com/spreadsheets/d/10OvvATaaLtwErnr3qtWFcTmtbfpFEt5Bsqel9sXx0uE/edit?usp=sharing"",""งานกองทุน!E65"")"),49)</f>
        <v>49</v>
      </c>
      <c r="K779" s="72">
        <f t="shared" ca="1" si="192"/>
        <v>73.134328358208961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IFERROR(__xludf.DUMMYFUNCTION("IMPORTRANGE(""https://docs.google.com/spreadsheets/d/10OvvATaaLtwErnr3qtWFcTmtbfpFEt5Bsqel9sXx0uE/edit?usp=sharing"",""งานกองทุน!I65"")"),430494.37)</f>
        <v>430494.37</v>
      </c>
      <c r="J780" s="291">
        <f ca="1">IFERROR(__xludf.DUMMYFUNCTION("IMPORTRANGE(""https://docs.google.com/spreadsheets/d/10OvvATaaLtwErnr3qtWFcTmtbfpFEt5Bsqel9sXx0uE/edit?usp=sharing"",""งานกองทุน!K65"")"),121534.34)</f>
        <v>121534.34</v>
      </c>
      <c r="K780" s="72">
        <f t="shared" ca="1" si="192"/>
        <v>28.231342491192162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IFERROR(__xludf.DUMMYFUNCTION("IMPORTRANGE(""https://docs.google.com/spreadsheets/d/10OvvATaaLtwErnr3qtWFcTmtbfpFEt5Bsqel9sXx0uE/edit?usp=sharing"",""งานกองทุน!H65"")"),20)</f>
        <v>20</v>
      </c>
      <c r="J781" s="291">
        <f ca="1">IFERROR(__xludf.DUMMYFUNCTION("IMPORTRANGE(""https://docs.google.com/spreadsheets/d/10OvvATaaLtwErnr3qtWFcTmtbfpFEt5Bsqel9sXx0uE/edit?usp=sharing"",""งานกองทุน!J65"")"),9)</f>
        <v>9</v>
      </c>
      <c r="K781" s="72">
        <f t="shared" ca="1" si="192"/>
        <v>45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IFERROR(__xludf.DUMMYFUNCTION("IMPORTRANGE(""https://docs.google.com/spreadsheets/d/10OvvATaaLtwErnr3qtWFcTmtbfpFEt5Bsqel9sXx0uE/edit?usp=sharing"",""งานกองทุน!N65"")"),114213.92)</f>
        <v>114213.92</v>
      </c>
      <c r="J782" s="291">
        <f ca="1">IFERROR(__xludf.DUMMYFUNCTION("IMPORTRANGE(""https://docs.google.com/spreadsheets/d/10OvvATaaLtwErnr3qtWFcTmtbfpFEt5Bsqel9sXx0uE/edit?usp=sharing"",""งานกองทุน!P65"")"),338957.57)</f>
        <v>338957.57</v>
      </c>
      <c r="K782" s="72">
        <f t="shared" ca="1" si="192"/>
        <v>296.77430736988975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IFERROR(__xludf.DUMMYFUNCTION("IMPORTRANGE(""https://docs.google.com/spreadsheets/d/10OvvATaaLtwErnr3qtWFcTmtbfpFEt5Bsqel9sXx0uE/edit?usp=sharing"",""งานกองทุน!M65"")"),49)</f>
        <v>49</v>
      </c>
      <c r="J783" s="291">
        <f ca="1">IFERROR(__xludf.DUMMYFUNCTION("IMPORTRANGE(""https://docs.google.com/spreadsheets/d/10OvvATaaLtwErnr3qtWFcTmtbfpFEt5Bsqel9sXx0uE/edit?usp=sharing"",""งานกองทุน!O65"")"),7)</f>
        <v>7</v>
      </c>
      <c r="K783" s="72">
        <f t="shared" ca="1" si="192"/>
        <v>14.285714285714286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IFERROR(__xludf.DUMMYFUNCTION("IMPORTRANGE(""https://docs.google.com/spreadsheets/d/10OvvATaaLtwErnr3qtWFcTmtbfpFEt5Bsqel9sXx0uE/edit?usp=sharing"",""งานกองทุน!S65"")"),1092000)</f>
        <v>1092000</v>
      </c>
      <c r="J784" s="291">
        <f ca="1">IFERROR(__xludf.DUMMYFUNCTION("IMPORTRANGE(""https://docs.google.com/spreadsheets/d/10OvvATaaLtwErnr3qtWFcTmtbfpFEt5Bsqel9sXx0uE/edit?usp=sharing"",""งานกองทุน!U65"")"),1385000)</f>
        <v>1385000</v>
      </c>
      <c r="K784" s="72">
        <f t="shared" ca="1" si="192"/>
        <v>126.83150183150182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IFERROR(__xludf.DUMMYFUNCTION("IMPORTRANGE(""https://docs.google.com/spreadsheets/d/10OvvATaaLtwErnr3qtWFcTmtbfpFEt5Bsqel9sXx0uE/edit?usp=sharing"",""งานกองทุน!R65"")"),39)</f>
        <v>39</v>
      </c>
      <c r="J785" s="773">
        <f ca="1">IFERROR(__xludf.DUMMYFUNCTION("IMPORTRANGE(""https://docs.google.com/spreadsheets/d/10OvvATaaLtwErnr3qtWFcTmtbfpFEt5Bsqel9sXx0uE/edit?usp=sharing"",""งานกองทุน!T65"")"),32)</f>
        <v>32</v>
      </c>
      <c r="K785" s="181">
        <f t="shared" ca="1" si="192"/>
        <v>82.051282051282058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88DB0-1F48-4B18-9131-433FB352D043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359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1892280</v>
      </c>
      <c r="M18" s="57">
        <f ca="1">M19+M20</f>
        <v>2184830</v>
      </c>
      <c r="N18" s="57">
        <f ca="1">N19+N20</f>
        <v>1579023.66</v>
      </c>
      <c r="O18" s="57">
        <f t="shared" ref="O18:O26" ca="1" si="0">IF(L18&gt;0,N18*100/L18,0)</f>
        <v>83.445560910647472</v>
      </c>
      <c r="P18" s="57">
        <f t="shared" ref="P18:P26" ca="1" si="1">IF(M18&gt;0,N18*100/M18,0)</f>
        <v>72.27215206675119</v>
      </c>
      <c r="Q18" s="57">
        <f ca="1">Q19+Q20</f>
        <v>976623.24</v>
      </c>
      <c r="R18" s="57">
        <f ca="1">R19+R20</f>
        <v>976623</v>
      </c>
      <c r="S18" s="57">
        <f ca="1">S19+S20</f>
        <v>495595</v>
      </c>
      <c r="T18" s="57">
        <f t="shared" ref="T18:T26" ca="1" si="2">IF(Q18&gt;0,S18*100/Q18,0)</f>
        <v>50.745771726669133</v>
      </c>
      <c r="U18" s="57">
        <f t="shared" ref="U18:U26" ca="1" si="3">IF(R18&gt;0,S18*100/R18,0)</f>
        <v>50.745784197177414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1892280</v>
      </c>
      <c r="M20" s="63">
        <f t="shared" ca="1" si="4"/>
        <v>2184830</v>
      </c>
      <c r="N20" s="63">
        <f t="shared" ca="1" si="4"/>
        <v>1579023.66</v>
      </c>
      <c r="O20" s="63">
        <f t="shared" ca="1" si="0"/>
        <v>83.445560910647472</v>
      </c>
      <c r="P20" s="63">
        <f t="shared" ca="1" si="1"/>
        <v>72.27215206675119</v>
      </c>
      <c r="Q20" s="63">
        <f t="shared" ca="1" si="5"/>
        <v>976623.24</v>
      </c>
      <c r="R20" s="63">
        <f t="shared" ca="1" si="5"/>
        <v>976623</v>
      </c>
      <c r="S20" s="63">
        <f t="shared" ca="1" si="5"/>
        <v>495595</v>
      </c>
      <c r="T20" s="63">
        <f t="shared" ca="1" si="2"/>
        <v>50.745771726669133</v>
      </c>
      <c r="U20" s="63">
        <f t="shared" ca="1" si="3"/>
        <v>50.745784197177414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1892280</v>
      </c>
      <c r="M21" s="72">
        <f ca="1">M22+M23</f>
        <v>2184830</v>
      </c>
      <c r="N21" s="72">
        <f ca="1">N22+N23</f>
        <v>1579023.66</v>
      </c>
      <c r="O21" s="72">
        <f t="shared" ca="1" si="0"/>
        <v>83.445560910647472</v>
      </c>
      <c r="P21" s="72">
        <f t="shared" ca="1" si="1"/>
        <v>72.27215206675119</v>
      </c>
      <c r="Q21" s="72">
        <f ca="1">Q22+Q23</f>
        <v>976623.24</v>
      </c>
      <c r="R21" s="72">
        <f ca="1">R22+R23</f>
        <v>976623</v>
      </c>
      <c r="S21" s="72">
        <f ca="1">S22+S23</f>
        <v>495595</v>
      </c>
      <c r="T21" s="72">
        <f t="shared" ca="1" si="2"/>
        <v>50.745771726669133</v>
      </c>
      <c r="U21" s="72">
        <f t="shared" ca="1" si="3"/>
        <v>50.745784197177414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1892280</v>
      </c>
      <c r="M23" s="72">
        <f ca="1">M49+M64+M77+M99+M122+M144+M162+M191+M178+M271+M287+M308+M325+M338+M361+M380+M418+M498+M518+M539+M560+M581+M604+M621+M647+M695+M719+M733+M765</f>
        <v>2184830</v>
      </c>
      <c r="N23" s="72">
        <f ca="1">N49+N64+N77+N99+N122+N144+N162+N191+N178+N271+N287+N308+N325+N338+N361+N380+N418+N498+N518+N539+N560+N581+N604+N621+N647+N695+N719+N733+N765</f>
        <v>1579023.66</v>
      </c>
      <c r="O23" s="72">
        <f t="shared" ca="1" si="0"/>
        <v>83.445560910647472</v>
      </c>
      <c r="P23" s="72">
        <f t="shared" ca="1" si="1"/>
        <v>72.27215206675119</v>
      </c>
      <c r="Q23" s="72">
        <f t="shared" ca="1" si="6"/>
        <v>976623.24</v>
      </c>
      <c r="R23" s="72">
        <f t="shared" ca="1" si="6"/>
        <v>976623</v>
      </c>
      <c r="S23" s="72">
        <f t="shared" ca="1" si="6"/>
        <v>495595</v>
      </c>
      <c r="T23" s="72">
        <f t="shared" ca="1" si="2"/>
        <v>50.745771726669133</v>
      </c>
      <c r="U23" s="72">
        <f t="shared" ca="1" si="3"/>
        <v>50.745784197177414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1825548</v>
      </c>
      <c r="M40" s="1050">
        <f ca="1">M44+M59+M72+M94+M125+M139+M157+M173+M186+M266+M282+M303+M320+M333+M356</f>
        <v>2118098</v>
      </c>
      <c r="N40" s="1050">
        <f ca="1">N44+N59+N72+N94+N125+N139+N157+N173+N186+N266+N282+N303+N320+N333+N356</f>
        <v>1576239.46</v>
      </c>
      <c r="O40" s="1050">
        <f ca="1">IF(L40&gt;0,N40*100/L40,0)</f>
        <v>86.34335881609249</v>
      </c>
      <c r="P40" s="1050">
        <f ca="1">IF(M40&gt;0,N40*100/M40,0)</f>
        <v>74.417683223344724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329298</v>
      </c>
      <c r="M44" s="1031">
        <f ca="1">M45+M46</f>
        <v>332238</v>
      </c>
      <c r="N44" s="1031">
        <f ca="1">N45+N46</f>
        <v>254868</v>
      </c>
      <c r="O44" s="1031">
        <f t="shared" ref="O44:O52" ca="1" si="8">IF(L44&gt;0,N44*100/L44,0)</f>
        <v>77.397372592606089</v>
      </c>
      <c r="P44" s="1031">
        <f t="shared" ref="P44:P52" ca="1" si="9">IF(M44&gt;0,N44*100/M44,0)</f>
        <v>76.712477200079462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329298</v>
      </c>
      <c r="M46" s="1018">
        <f t="shared" ca="1" si="12"/>
        <v>332238</v>
      </c>
      <c r="N46" s="1018">
        <f t="shared" ca="1" si="12"/>
        <v>254868</v>
      </c>
      <c r="O46" s="1018">
        <f t="shared" ca="1" si="8"/>
        <v>77.397372592606089</v>
      </c>
      <c r="P46" s="1018">
        <f t="shared" ca="1" si="9"/>
        <v>76.712477200079462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329298</v>
      </c>
      <c r="M47" s="72">
        <f ca="1">M48+M49</f>
        <v>332238</v>
      </c>
      <c r="N47" s="72">
        <f ca="1">N48+N49</f>
        <v>254868</v>
      </c>
      <c r="O47" s="72">
        <f t="shared" ca="1" si="8"/>
        <v>77.397372592606089</v>
      </c>
      <c r="P47" s="72">
        <f t="shared" ca="1" si="9"/>
        <v>76.712477200079462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IFERROR(__xludf.DUMMYFUNCTION("IMPORTRANGE(""https://docs.google.com/spreadsheets/d/1-uDff_7J0KD5mKrp0Vvzr7lt3OU09vwQwhkpOPPYv2Y/edit?usp=sharing"",""งบพรบ!P66"")"),329298)</f>
        <v>329298</v>
      </c>
      <c r="M49" s="72">
        <f ca="1">IFERROR(__xludf.DUMMYFUNCTION("IMPORTRANGE(""https://docs.google.com/spreadsheets/d/1-uDff_7J0KD5mKrp0Vvzr7lt3OU09vwQwhkpOPPYv2Y/edit?usp=sharing"",""งบพรบ!V66"")"),332238)</f>
        <v>332238</v>
      </c>
      <c r="N49" s="72">
        <f ca="1">IFERROR(__xludf.DUMMYFUNCTION("IMPORTRANGE(""https://docs.google.com/spreadsheets/d/1-uDff_7J0KD5mKrp0Vvzr7lt3OU09vwQwhkpOPPYv2Y/edit?usp=sharing"",""งบพรบ!Y66"")"),254868)</f>
        <v>254868</v>
      </c>
      <c r="O49" s="72">
        <f t="shared" ca="1" si="8"/>
        <v>77.397372592606089</v>
      </c>
      <c r="P49" s="72">
        <f t="shared" ca="1" si="9"/>
        <v>76.712477200079462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IFERROR(__xludf.DUMMYFUNCTION("IMPORTRANGE(""https://docs.google.com/spreadsheets/d/1-uDff_7J0KD5mKrp0Vvzr7lt3OU09vwQwhkpOPPYv2Y/edit?usp=sharing"",""งบพรบ!S66"")"),0)</f>
        <v>0</v>
      </c>
      <c r="M52" s="72">
        <f ca="1">IFERROR(__xludf.DUMMYFUNCTION("IMPORTRANGE(""https://docs.google.com/spreadsheets/d/1-uDff_7J0KD5mKrp0Vvzr7lt3OU09vwQwhkpOPPYv2Y/edit?usp=sharing"",""งบพรบ!W66"")"),0)</f>
        <v>0</v>
      </c>
      <c r="N52" s="72">
        <f ca="1">IFERROR(__xludf.DUMMYFUNCTION("IMPORTRANGE(""https://docs.google.com/spreadsheets/d/1-uDff_7J0KD5mKrp0Vvzr7lt3OU09vwQwhkpOPPYv2Y/edit?usp=sharing"",""งบพรบ!Z66"")"),0)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325200</v>
      </c>
      <c r="M59" s="1001">
        <f ca="1">M60+M61</f>
        <v>483740</v>
      </c>
      <c r="N59" s="1001">
        <f ca="1">N60+N61</f>
        <v>402880.89</v>
      </c>
      <c r="O59" s="1001">
        <f t="shared" ref="O59:O67" ca="1" si="14">IF(L59&gt;0,N59*100/L59,0)</f>
        <v>123.88711254612546</v>
      </c>
      <c r="P59" s="1001">
        <f t="shared" ref="P59:P67" ca="1" si="15">IF(M59&gt;0,N59*100/M59,0)</f>
        <v>83.284592963162027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325200</v>
      </c>
      <c r="M61" s="988">
        <f t="shared" ca="1" si="18"/>
        <v>483740</v>
      </c>
      <c r="N61" s="988">
        <f t="shared" ca="1" si="18"/>
        <v>402880.89</v>
      </c>
      <c r="O61" s="988">
        <f t="shared" ca="1" si="14"/>
        <v>123.88711254612546</v>
      </c>
      <c r="P61" s="988">
        <f t="shared" ca="1" si="15"/>
        <v>83.284592963162027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325200</v>
      </c>
      <c r="M62" s="72">
        <f ca="1">M63+M64</f>
        <v>483740</v>
      </c>
      <c r="N62" s="72">
        <f ca="1">N63+N64</f>
        <v>402880.89</v>
      </c>
      <c r="O62" s="72">
        <f t="shared" ca="1" si="14"/>
        <v>123.88711254612546</v>
      </c>
      <c r="P62" s="72">
        <f t="shared" ca="1" si="15"/>
        <v>83.284592963162027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IFERROR(__xludf.DUMMYFUNCTION("IMPORTRANGE(""https://docs.google.com/spreadsheets/d/1-uDff_7J0KD5mKrp0Vvzr7lt3OU09vwQwhkpOPPYv2Y/edit?usp=sharing"",""งบพรบ!AC66"")"),325200)</f>
        <v>325200</v>
      </c>
      <c r="M64" s="72">
        <f ca="1">IFERROR(__xludf.DUMMYFUNCTION("IMPORTRANGE(""https://docs.google.com/spreadsheets/d/1-uDff_7J0KD5mKrp0Vvzr7lt3OU09vwQwhkpOPPYv2Y/edit?usp=sharing"",""งบพรบ!AH66"")"),483740)</f>
        <v>483740</v>
      </c>
      <c r="N64" s="72">
        <f ca="1">IFERROR(__xludf.DUMMYFUNCTION("IMPORTRANGE(""https://docs.google.com/spreadsheets/d/1-uDff_7J0KD5mKrp0Vvzr7lt3OU09vwQwhkpOPPYv2Y/edit?usp=sharing"",""งบพรบ!AJ66"")"),402880.89)</f>
        <v>402880.89</v>
      </c>
      <c r="O64" s="72">
        <f t="shared" ca="1" si="14"/>
        <v>123.88711254612546</v>
      </c>
      <c r="P64" s="72">
        <f t="shared" ca="1" si="15"/>
        <v>83.284592963162027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IFERROR(__xludf.DUMMYFUNCTION("IMPORTRANGE(""https://docs.google.com/spreadsheets/d/1-uDff_7J0KD5mKrp0Vvzr7lt3OU09vwQwhkpOPPYv2Y/edit?usp=sharing"",""งบพรบ!AF66"")"),0)</f>
        <v>0</v>
      </c>
      <c r="M67" s="181">
        <f ca="1">IFERROR(__xludf.DUMMYFUNCTION("IMPORTRANGE(""https://docs.google.com/spreadsheets/d/1-uDff_7J0KD5mKrp0Vvzr7lt3OU09vwQwhkpOPPYv2Y/edit?usp=sharing"",""งบพรบ!AI66"")"),0)</f>
        <v>0</v>
      </c>
      <c r="N67" s="181">
        <f ca="1">IFERROR(__xludf.DUMMYFUNCTION("IMPORTRANGE(""https://docs.google.com/spreadsheets/d/1-uDff_7J0KD5mKrp0Vvzr7lt3OU09vwQwhkpOPPYv2Y/edit?usp=sharing"",""งบพรบ!AK66"")"),0)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IFERROR(__xludf.DUMMYFUNCTION("IMPORTRANGE(""https://docs.google.com/spreadsheets/d/1-uDff_7J0KD5mKrp0Vvzr7lt3OU09vwQwhkpOPPYv2Y/edit?usp=sharing"",""งบพรบ!AM66"")"),0)</f>
        <v>0</v>
      </c>
      <c r="M77" s="72">
        <f ca="1">IFERROR(__xludf.DUMMYFUNCTION("IMPORTRANGE(""https://docs.google.com/spreadsheets/d/1-uDff_7J0KD5mKrp0Vvzr7lt3OU09vwQwhkpOPPYv2Y/edit?usp=sharing"",""งบพรบ!AR66"")"),0)</f>
        <v>0</v>
      </c>
      <c r="N77" s="72">
        <f ca="1">IFERROR(__xludf.DUMMYFUNCTION("IMPORTRANGE(""https://docs.google.com/spreadsheets/d/1-uDff_7J0KD5mKrp0Vvzr7lt3OU09vwQwhkpOPPYv2Y/edit?usp=sharing"",""งบพรบ!AT66"")"),0)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IFERROR(__xludf.DUMMYFUNCTION("IMPORTRANGE(""https://docs.google.com/spreadsheets/d/1ItG2mGa2ceCfYo0BwxsXqNm01IGEUdYcSSLTEv9YCik/edit?usp=sharing"",""เบิกจ่ายกองทุน!BH66"")"),0)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IFERROR(__xludf.DUMMYFUNCTION("IMPORTRANGE(""https://docs.google.com/spreadsheets/d/1ItG2mGa2ceCfYo0BwxsXqNm01IGEUdYcSSLTEv9YCik/edit?usp=sharing"",""เบิกจ่ายกองทุน!BI66"")"),0)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IFERROR(__xludf.DUMMYFUNCTION("IMPORTRANGE(""https://docs.google.com/spreadsheets/d/1ItG2mGa2ceCfYo0BwxsXqNm01IGEUdYcSSLTEv9YCik/edit?usp=sharing"",""เบิกจ่ายกองทุน!BJ66"")"),0)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IFERROR(__xludf.DUMMYFUNCTION("IMPORTRANGE(""https://docs.google.com/spreadsheets/d/1-uDff_7J0KD5mKrp0Vvzr7lt3OU09vwQwhkpOPPYv2Y/edit?usp=sharing"",""งบพรบ!AP66"")"),0)</f>
        <v>0</v>
      </c>
      <c r="M80" s="72">
        <f ca="1">IFERROR(__xludf.DUMMYFUNCTION("IMPORTRANGE(""https://docs.google.com/spreadsheets/d/1-uDff_7J0KD5mKrp0Vvzr7lt3OU09vwQwhkpOPPYv2Y/edit?usp=sharing"",""งบพรบ!AS66"")"),0)</f>
        <v>0</v>
      </c>
      <c r="N80" s="72">
        <f ca="1">IFERROR(__xludf.DUMMYFUNCTION("IMPORTRANGE(""https://docs.google.com/spreadsheets/d/1-uDff_7J0KD5mKrp0Vvzr7lt3OU09vwQwhkpOPPYv2Y/edit?usp=sharing"",""งบพรบ!AU66"")"),0)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IFERROR(__xludf.DUMMYFUNCTION("IMPORTRANGE(""https://docs.google.com/spreadsheets/d/1ItG2mGa2ceCfYo0BwxsXqNm01IGEUdYcSSLTEv9YCik/edit?usp=sharing"",""เบิกจ่ายกองทุน!BK66"")"),0)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IFERROR(__xludf.DUMMYFUNCTION("IMPORTRANGE(""https://docs.google.com/spreadsheets/d/1ItG2mGa2ceCfYo0BwxsXqNm01IGEUdYcSSLTEv9YCik/edit?usp=sharing"",""เบิกจ่ายกองทุน!BL66"")"),0)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IFERROR(__xludf.DUMMYFUNCTION("IMPORTRANGE(""https://docs.google.com/spreadsheets/d/1ItG2mGa2ceCfYo0BwxsXqNm01IGEUdYcSSLTEv9YCik/edit?usp=sharing"",""เบิกจ่ายกองทุน!BM66"")"),0)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IFERROR(__xludf.DUMMYFUNCTION("IMPORTRANGE(""https://docs.google.com/spreadsheets/d/1eHaY18a8A9IcSdp1K8H6x8fbOy06t2VsZHhMHf-1x7Y/edit?usp=sharing"",""แผน!H66"")"),0)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IFERROR(__xludf.DUMMYFUNCTION("IMPORTRANGE(""https://docs.google.com/spreadsheets/d/1eHaY18a8A9IcSdp1K8H6x8fbOy06t2VsZHhMHf-1x7Y/edit?usp=sharing"",""แผน!I66"")"),0)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IFERROR(__xludf.DUMMYFUNCTION("IMPORTRANGE(""https://docs.google.com/spreadsheets/d/1eHaY18a8A9IcSdp1K8H6x8fbOy06t2VsZHhMHf-1x7Y/edit?usp=sharing"",""แผน!F66"")"),0)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IFERROR(__xludf.DUMMYFUNCTION("IMPORTRANGE(""https://docs.google.com/spreadsheets/d/1eHaY18a8A9IcSdp1K8H6x8fbOy06t2VsZHhMHf-1x7Y/edit?usp=sharing"",""แผน!G66"")"),0)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IFERROR(__xludf.DUMMYFUNCTION("IMPORTRANGE(""https://docs.google.com/spreadsheets/d/1eHaY18a8A9IcSdp1K8H6x8fbOy06t2VsZHhMHf-1x7Y/edit?usp=sharing"",""แผน!D66"")"),0)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IFERROR(__xludf.DUMMYFUNCTION("IMPORTRANGE(""https://docs.google.com/spreadsheets/d/1eHaY18a8A9IcSdp1K8H6x8fbOy06t2VsZHhMHf-1x7Y/edit?usp=sharing"",""แผน!E66"")"),0)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IFERROR(__xludf.DUMMYFUNCTION("IMPORTRANGE(""https://docs.google.com/spreadsheets/d/1eHaY18a8A9IcSdp1K8H6x8fbOy06t2VsZHhMHf-1x7Y/edit?usp=sharing"",""แผน!J66"")"),0)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IFERROR(__xludf.DUMMYFUNCTION("IMPORTRANGE(""https://docs.google.com/spreadsheets/d/1-uDff_7J0KD5mKrp0Vvzr7lt3OU09vwQwhkpOPPYv2Y/edit?usp=sharing"",""งบพรบ!AW66"")"),0)</f>
        <v>0</v>
      </c>
      <c r="M99" s="72">
        <f ca="1">IFERROR(__xludf.DUMMYFUNCTION("IMPORTRANGE(""https://docs.google.com/spreadsheets/d/1-uDff_7J0KD5mKrp0Vvzr7lt3OU09vwQwhkpOPPYv2Y/edit?usp=sharing"",""งบพรบ!BB66"")"),0)</f>
        <v>0</v>
      </c>
      <c r="N99" s="72">
        <f ca="1">IFERROR(__xludf.DUMMYFUNCTION("IMPORTRANGE(""https://docs.google.com/spreadsheets/d/1-uDff_7J0KD5mKrp0Vvzr7lt3OU09vwQwhkpOPPYv2Y/edit?usp=sharing"",""งบพรบ!BD66"")"),0)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IFERROR(__xludf.DUMMYFUNCTION("IMPORTRANGE(""https://docs.google.com/spreadsheets/d/1ItG2mGa2ceCfYo0BwxsXqNm01IGEUdYcSSLTEv9YCik/edit?usp=sharing"",""เบิกจ่ายกองทุน!AJ66"")"),0)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IFERROR(__xludf.DUMMYFUNCTION("IMPORTRANGE(""https://docs.google.com/spreadsheets/d/1ItG2mGa2ceCfYo0BwxsXqNm01IGEUdYcSSLTEv9YCik/edit?usp=sharing"",""เบิกจ่ายกองทุน!AK66"")"),0)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IFERROR(__xludf.DUMMYFUNCTION("IMPORTRANGE(""https://docs.google.com/spreadsheets/d/1ItG2mGa2ceCfYo0BwxsXqNm01IGEUdYcSSLTEv9YCik/edit?usp=sharing"",""เบิกจ่ายกองทุน!AL66"")"),0)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IFERROR(__xludf.DUMMYFUNCTION("IMPORTRANGE(""https://docs.google.com/spreadsheets/d/1-uDff_7J0KD5mKrp0Vvzr7lt3OU09vwQwhkpOPPYv2Y/edit?usp=sharing"",""งบพรบ!AZ66"")"),0)</f>
        <v>0</v>
      </c>
      <c r="M102" s="72">
        <f ca="1">IFERROR(__xludf.DUMMYFUNCTION("IMPORTRANGE(""https://docs.google.com/spreadsheets/d/1-uDff_7J0KD5mKrp0Vvzr7lt3OU09vwQwhkpOPPYv2Y/edit?usp=sharing"",""งบพรบ!BC66"")"),0)</f>
        <v>0</v>
      </c>
      <c r="N102" s="72">
        <f ca="1">IFERROR(__xludf.DUMMYFUNCTION("IMPORTRANGE(""https://docs.google.com/spreadsheets/d/1-uDff_7J0KD5mKrp0Vvzr7lt3OU09vwQwhkpOPPYv2Y/edit?usp=sharing"",""งบพรบ!BE66"")"),0)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IFERROR(__xludf.DUMMYFUNCTION("IMPORTRANGE(""https://docs.google.com/spreadsheets/d/1eHaY18a8A9IcSdp1K8H6x8fbOy06t2VsZHhMHf-1x7Y/edit?usp=sharing"",""แผน!N66"")"),0)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IFERROR(__xludf.DUMMYFUNCTION("IMPORTRANGE(""https://docs.google.com/spreadsheets/d/1eHaY18a8A9IcSdp1K8H6x8fbOy06t2VsZHhMHf-1x7Y/edit?usp=sharing"",""แผน!O66"")"),0)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IFERROR(__xludf.DUMMYFUNCTION("IMPORTRANGE(""https://docs.google.com/spreadsheets/d/1eHaY18a8A9IcSdp1K8H6x8fbOy06t2VsZHhMHf-1x7Y/edit?usp=sharing"",""แผน!R66"")"),0)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118863</v>
      </c>
      <c r="T117" s="262">
        <f t="shared" ref="T117:T125" ca="1" si="35">IF(Q117&gt;0,S117*100/Q117,0)</f>
        <v>56.774455483377913</v>
      </c>
      <c r="U117" s="262">
        <f t="shared" ref="U117:U125" ca="1" si="36">IF(R117&gt;0,S117*100/R117,0)</f>
        <v>56.774455483377913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118863</v>
      </c>
      <c r="T119" s="72">
        <f t="shared" ca="1" si="35"/>
        <v>56.774455483377913</v>
      </c>
      <c r="U119" s="72">
        <f t="shared" ca="1" si="36"/>
        <v>56.774455483377913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118863</v>
      </c>
      <c r="T120" s="72">
        <f t="shared" ca="1" si="35"/>
        <v>56.774455483377913</v>
      </c>
      <c r="U120" s="72">
        <f t="shared" ca="1" si="36"/>
        <v>56.774455483377913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IFERROR(__xludf.DUMMYFUNCTION("IMPORTRANGE(""https://docs.google.com/spreadsheets/d/1-uDff_7J0KD5mKrp0Vvzr7lt3OU09vwQwhkpOPPYv2Y/edit?usp=sharing"",""งบพรบ!BG66"")"),0)</f>
        <v>0</v>
      </c>
      <c r="M122" s="72">
        <f ca="1">IFERROR(__xludf.DUMMYFUNCTION("IMPORTRANGE(""https://docs.google.com/spreadsheets/d/1-uDff_7J0KD5mKrp0Vvzr7lt3OU09vwQwhkpOPPYv2Y/edit?usp=sharing"",""งบพรบ!BL66"")"),0)</f>
        <v>0</v>
      </c>
      <c r="N122" s="72">
        <f ca="1">IFERROR(__xludf.DUMMYFUNCTION("IMPORTRANGE(""https://docs.google.com/spreadsheets/d/1-uDff_7J0KD5mKrp0Vvzr7lt3OU09vwQwhkpOPPYv2Y/edit?usp=sharing"",""งบพรบ!BN66"")"),0)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IFERROR(__xludf.DUMMYFUNCTION("IMPORTRANGE(""https://docs.google.com/spreadsheets/d/1ItG2mGa2ceCfYo0BwxsXqNm01IGEUdYcSSLTEv9YCik/edit?usp=sharing"",""เบิกจ่ายกองทุน!U66"")"),209360)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IFERROR(__xludf.DUMMYFUNCTION("IMPORTRANGE(""https://docs.google.com/spreadsheets/d/1ItG2mGa2ceCfYo0BwxsXqNm01IGEUdYcSSLTEv9YCik/edit?usp=sharing"",""เบิกจ่ายกองทุน!V66"")"),209360)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IFERROR(__xludf.DUMMYFUNCTION("IMPORTRANGE(""https://docs.google.com/spreadsheets/d/1ItG2mGa2ceCfYo0BwxsXqNm01IGEUdYcSSLTEv9YCik/edit?usp=sharing"",""เบิกจ่ายกองทุน!W66"")"),118863)</f>
        <v>118863</v>
      </c>
      <c r="T122" s="72">
        <f t="shared" ca="1" si="35"/>
        <v>56.774455483377913</v>
      </c>
      <c r="U122" s="72">
        <f t="shared" ca="1" si="36"/>
        <v>56.774455483377913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IFERROR(__xludf.DUMMYFUNCTION("IMPORTRANGE(""https://docs.google.com/spreadsheets/d/1-uDff_7J0KD5mKrp0Vvzr7lt3OU09vwQwhkpOPPYv2Y/edit?usp=sharing"",""งบพรบ!BJ66"")"),0)</f>
        <v>0</v>
      </c>
      <c r="M125" s="72">
        <f ca="1">IFERROR(__xludf.DUMMYFUNCTION("IMPORTRANGE(""https://docs.google.com/spreadsheets/d/1-uDff_7J0KD5mKrp0Vvzr7lt3OU09vwQwhkpOPPYv2Y/edit?usp=sharing"",""งบพรบ!BM66"")"),0)</f>
        <v>0</v>
      </c>
      <c r="N125" s="72">
        <f ca="1">IFERROR(__xludf.DUMMYFUNCTION("IMPORTRANGE(""https://docs.google.com/spreadsheets/d/1-uDff_7J0KD5mKrp0Vvzr7lt3OU09vwQwhkpOPPYv2Y/edit?usp=sharing"",""งบพรบ!BO66"")"),0)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IFERROR(__xludf.DUMMYFUNCTION("IMPORTRANGE(""https://docs.google.com/spreadsheets/d/1ItG2mGa2ceCfYo0BwxsXqNm01IGEUdYcSSLTEv9YCik/edit?usp=sharing"",""เบิกจ่ายกองทุน!X66"")"),0)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IFERROR(__xludf.DUMMYFUNCTION("IMPORTRANGE(""https://docs.google.com/spreadsheets/d/1ItG2mGa2ceCfYo0BwxsXqNm01IGEUdYcSSLTEv9YCik/edit?usp=sharing"",""เบิกจ่ายกองทุน!Y66"")"),0)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IFERROR(__xludf.DUMMYFUNCTION("IMPORTRANGE(""https://docs.google.com/spreadsheets/d/1ItG2mGa2ceCfYo0BwxsXqNm01IGEUdYcSSLTEv9YCik/edit?usp=sharing"",""เบิกจ่ายกองทุน!Z66"")"),0)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68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IFERROR(__xludf.DUMMYFUNCTION("IMPORTRANGE(""https://docs.google.com/spreadsheets/d/1eHaY18a8A9IcSdp1K8H6x8fbOy06t2VsZHhMHf-1x7Y/edit?usp=sharing"",""แผน!FF66"")"),20)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IFERROR(__xludf.DUMMYFUNCTION("IMPORTRANGE(""https://docs.google.com/spreadsheets/d/1eHaY18a8A9IcSdp1K8H6x8fbOy06t2VsZHhMHf-1x7Y/edit?usp=sharing"",""แผน!FG66"")"),0)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IFERROR(__xludf.DUMMYFUNCTION("IMPORTRANGE(""https://docs.google.com/spreadsheets/d/1eHaY18a8A9IcSdp1K8H6x8fbOy06t2VsZHhMHf-1x7Y/edit?usp=sharing"",""แผน!FH66"")"),20)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IFERROR(__xludf.DUMMYFUNCTION("IMPORTRANGE(""https://docs.google.com/spreadsheets/d/1eHaY18a8A9IcSdp1K8H6x8fbOy06t2VsZHhMHf-1x7Y/edit?usp=sharing"",""แผน!FI66"")"),0)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IFERROR(__xludf.DUMMYFUNCTION("IMPORTRANGE(""https://docs.google.com/spreadsheets/d/1-uDff_7J0KD5mKrp0Vvzr7lt3OU09vwQwhkpOPPYv2Y/edit?usp=sharing"",""งบพรบ!BQ66"")"),0)</f>
        <v>0</v>
      </c>
      <c r="M144" s="72">
        <f ca="1">IFERROR(__xludf.DUMMYFUNCTION("IMPORTRANGE(""https://docs.google.com/spreadsheets/d/1-uDff_7J0KD5mKrp0Vvzr7lt3OU09vwQwhkpOPPYv2Y/edit?usp=sharing"",""งบพรบ!BV66"")"),0)</f>
        <v>0</v>
      </c>
      <c r="N144" s="72">
        <f ca="1">IFERROR(__xludf.DUMMYFUNCTION("IMPORTRANGE(""https://docs.google.com/spreadsheets/d/1-uDff_7J0KD5mKrp0Vvzr7lt3OU09vwQwhkpOPPYv2Y/edit?usp=sharing"",""งบพรบ!BX66"")"),0)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IFERROR(__xludf.DUMMYFUNCTION("IMPORTRANGE(""https://docs.google.com/spreadsheets/d/1ItG2mGa2ceCfYo0BwxsXqNm01IGEUdYcSSLTEv9YCik/edit?usp=sharing"",""เบิกจ่ายกองทุน!CF66"")"),0)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IFERROR(__xludf.DUMMYFUNCTION("IMPORTRANGE(""https://docs.google.com/spreadsheets/d/1ItG2mGa2ceCfYo0BwxsXqNm01IGEUdYcSSLTEv9YCik/edit?usp=sharing"",""เบิกจ่ายกองทุน!CG66"")"),0)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IFERROR(__xludf.DUMMYFUNCTION("IMPORTRANGE(""https://docs.google.com/spreadsheets/d/1ItG2mGa2ceCfYo0BwxsXqNm01IGEUdYcSSLTEv9YCik/edit?usp=sharing"",""เบิกจ่ายกองทุน!CH66"")"),0)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IFERROR(__xludf.DUMMYFUNCTION("IMPORTRANGE(""https://docs.google.com/spreadsheets/d/1-uDff_7J0KD5mKrp0Vvzr7lt3OU09vwQwhkpOPPYv2Y/edit?usp=sharing"",""งบพรบ!BT66"")"),0)</f>
        <v>0</v>
      </c>
      <c r="M147" s="72">
        <f ca="1">IFERROR(__xludf.DUMMYFUNCTION("IMPORTRANGE(""https://docs.google.com/spreadsheets/d/1-uDff_7J0KD5mKrp0Vvzr7lt3OU09vwQwhkpOPPYv2Y/edit?usp=sharing"",""งบพรบ!BW66"")"),0)</f>
        <v>0</v>
      </c>
      <c r="N147" s="72">
        <f ca="1">IFERROR(__xludf.DUMMYFUNCTION("IMPORTRANGE(""https://docs.google.com/spreadsheets/d/1-uDff_7J0KD5mKrp0Vvzr7lt3OU09vwQwhkpOPPYv2Y/edit?usp=sharing"",""งบพรบ!BY66"")"),0)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IFERROR(__xludf.DUMMYFUNCTION("IMPORTRANGE(""https://docs.google.com/spreadsheets/d/1ItG2mGa2ceCfYo0BwxsXqNm01IGEUdYcSSLTEv9YCik/edit?usp=sharing"",""เบิกจ่ายกองทุน!CI66"")"),0)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IFERROR(__xludf.DUMMYFUNCTION("IMPORTRANGE(""https://docs.google.com/spreadsheets/d/1ItG2mGa2ceCfYo0BwxsXqNm01IGEUdYcSSLTEv9YCik/edit?usp=sharing"",""เบิกจ่ายกองทุน!CJ66"")"),0)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IFERROR(__xludf.DUMMYFUNCTION("IMPORTRANGE(""https://docs.google.com/spreadsheets/d/1ItG2mGa2ceCfYo0BwxsXqNm01IGEUdYcSSLTEv9YCik/edit?usp=sharing"",""เบิกจ่ายกองทุน!CK66"")"),0)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IFERROR(__xludf.DUMMYFUNCTION("IMPORTRANGE(""https://docs.google.com/spreadsheets/d/1eHaY18a8A9IcSdp1K8H6x8fbOy06t2VsZHhMHf-1x7Y/edit?usp=sharing"",""แผน!U66"")"),0)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IFERROR(__xludf.DUMMYFUNCTION("IMPORTRANGE(""https://docs.google.com/spreadsheets/d/1eHaY18a8A9IcSdp1K8H6x8fbOy06t2VsZHhMHf-1x7Y/edit?usp=sharing"",""แผน!V66"")"),0)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IFERROR(__xludf.DUMMYFUNCTION("IMPORTRANGE(""https://docs.google.com/spreadsheets/d/1eHaY18a8A9IcSdp1K8H6x8fbOy06t2VsZHhMHf-1x7Y/edit?usp=sharing"",""แผน!W66"")"),0)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IFERROR(__xludf.DUMMYFUNCTION("IMPORTRANGE(""https://docs.google.com/spreadsheets/d/1eHaY18a8A9IcSdp1K8H6x8fbOy06t2VsZHhMHf-1x7Y/edit?usp=sharing"",""แผน!X66"")"),0)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IFERROR(__xludf.DUMMYFUNCTION("IMPORTRANGE(""https://docs.google.com/spreadsheets/d/1eHaY18a8A9IcSdp1K8H6x8fbOy06t2VsZHhMHf-1x7Y/edit?usp=sharing"",""แผน!Y66"")"),0)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IFERROR(__xludf.DUMMYFUNCTION("IMPORTRANGE(""https://docs.google.com/spreadsheets/d/1-uDff_7J0KD5mKrp0Vvzr7lt3OU09vwQwhkpOPPYv2Y/edit?usp=sharing"",""งบพรบ!CA66"")"),0)</f>
        <v>0</v>
      </c>
      <c r="M162" s="72">
        <f ca="1">IFERROR(__xludf.DUMMYFUNCTION("IMPORTRANGE(""https://docs.google.com/spreadsheets/d/1-uDff_7J0KD5mKrp0Vvzr7lt3OU09vwQwhkpOPPYv2Y/edit?usp=sharing"",""งบพรบ!CF66"")"),0)</f>
        <v>0</v>
      </c>
      <c r="N162" s="72">
        <f ca="1">IFERROR(__xludf.DUMMYFUNCTION("IMPORTRANGE(""https://docs.google.com/spreadsheets/d/1-uDff_7J0KD5mKrp0Vvzr7lt3OU09vwQwhkpOPPYv2Y/edit?usp=sharing"",""งบพรบ!CH66"")"),0)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IFERROR(__xludf.DUMMYFUNCTION("IMPORTRANGE(""https://docs.google.com/spreadsheets/d/1ItG2mGa2ceCfYo0BwxsXqNm01IGEUdYcSSLTEv9YCik/edit?usp=sharing"",""เบิกจ่ายกองทุน!AM66"")"),0)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IFERROR(__xludf.DUMMYFUNCTION("IMPORTRANGE(""https://docs.google.com/spreadsheets/d/1ItG2mGa2ceCfYo0BwxsXqNm01IGEUdYcSSLTEv9YCik/edit?usp=sharing"",""เบิกจ่ายกองทุน!AN66"")"),0)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IFERROR(__xludf.DUMMYFUNCTION("IMPORTRANGE(""https://docs.google.com/spreadsheets/d/1ItG2mGa2ceCfYo0BwxsXqNm01IGEUdYcSSLTEv9YCik/edit?usp=sharing"",""เบิกจ่ายกองทุน!AO66"")"),0)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IFERROR(__xludf.DUMMYFUNCTION("IMPORTRANGE(""https://docs.google.com/spreadsheets/d/1-uDff_7J0KD5mKrp0Vvzr7lt3OU09vwQwhkpOPPYv2Y/edit?usp=sharing"",""งบพรบ!CD66"")"),0)</f>
        <v>0</v>
      </c>
      <c r="M165" s="72">
        <f ca="1">IFERROR(__xludf.DUMMYFUNCTION("IMPORTRANGE(""https://docs.google.com/spreadsheets/d/1-uDff_7J0KD5mKrp0Vvzr7lt3OU09vwQwhkpOPPYv2Y/edit?usp=sharing"",""งบพรบ!CG66"")"),0)</f>
        <v>0</v>
      </c>
      <c r="N165" s="72">
        <f ca="1">IFERROR(__xludf.DUMMYFUNCTION("IMPORTRANGE(""https://docs.google.com/spreadsheets/d/1-uDff_7J0KD5mKrp0Vvzr7lt3OU09vwQwhkpOPPYv2Y/edit?usp=sharing"",""งบพรบ!CI66"")"),0)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IFERROR(__xludf.DUMMYFUNCTION("IMPORTRANGE(""https://docs.google.com/spreadsheets/d/1eHaY18a8A9IcSdp1K8H6x8fbOy06t2VsZHhMHf-1x7Y/edit?usp=sharing"",""แผน!Z66"")"),0)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IFERROR(__xludf.DUMMYFUNCTION("IMPORTRANGE(""https://docs.google.com/spreadsheets/d/1eHaY18a8A9IcSdp1K8H6x8fbOy06t2VsZHhMHf-1x7Y/edit?usp=sharing"",""แผน!Z66"")"),0)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IFERROR(__xludf.DUMMYFUNCTION("IMPORTRANGE(""https://docs.google.com/spreadsheets/d/1eHaY18a8A9IcSdp1K8H6x8fbOy06t2VsZHhMHf-1x7Y/edit?usp=sharing"",""แผน!Z66"")"),0)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30100</v>
      </c>
      <c r="N173" s="262">
        <f ca="1">N174+N175</f>
        <v>28530</v>
      </c>
      <c r="O173" s="262">
        <f t="shared" ref="O173:O181" ca="1" si="51">IF(L173&gt;0,N173*100/L173,0)</f>
        <v>145.635528330781</v>
      </c>
      <c r="P173" s="262">
        <f t="shared" ref="P173:P181" ca="1" si="52">IF(M173&gt;0,N173*100/M173,0)</f>
        <v>94.784053156146186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30100</v>
      </c>
      <c r="N175" s="72">
        <f t="shared" ca="1" si="55"/>
        <v>28530</v>
      </c>
      <c r="O175" s="72">
        <f t="shared" ca="1" si="51"/>
        <v>145.635528330781</v>
      </c>
      <c r="P175" s="72">
        <f t="shared" ca="1" si="52"/>
        <v>94.784053156146186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30100</v>
      </c>
      <c r="N176" s="72">
        <f ca="1">N177+N178</f>
        <v>28530</v>
      </c>
      <c r="O176" s="72">
        <f t="shared" ca="1" si="51"/>
        <v>145.635528330781</v>
      </c>
      <c r="P176" s="72">
        <f t="shared" ca="1" si="52"/>
        <v>94.784053156146186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IFERROR(__xludf.DUMMYFUNCTION("IMPORTRANGE(""https://docs.google.com/spreadsheets/d/1-uDff_7J0KD5mKrp0Vvzr7lt3OU09vwQwhkpOPPYv2Y/edit?usp=sharing"",""งบพรบ!CK66"")"),19590)</f>
        <v>19590</v>
      </c>
      <c r="M178" s="72">
        <f ca="1">IFERROR(__xludf.DUMMYFUNCTION("IMPORTRANGE(""https://docs.google.com/spreadsheets/d/1-uDff_7J0KD5mKrp0Vvzr7lt3OU09vwQwhkpOPPYv2Y/edit?usp=sharing"",""งบพรบ!CP66"")"),30100)</f>
        <v>30100</v>
      </c>
      <c r="N178" s="72">
        <f ca="1">IFERROR(__xludf.DUMMYFUNCTION("IMPORTRANGE(""https://docs.google.com/spreadsheets/d/1-uDff_7J0KD5mKrp0Vvzr7lt3OU09vwQwhkpOPPYv2Y/edit?usp=sharing"",""งบพรบ!CR66"")"),28530)</f>
        <v>28530</v>
      </c>
      <c r="O178" s="72">
        <f t="shared" ca="1" si="51"/>
        <v>145.635528330781</v>
      </c>
      <c r="P178" s="72">
        <f t="shared" ca="1" si="52"/>
        <v>94.784053156146186</v>
      </c>
      <c r="Q178" s="72">
        <f ca="1">IFERROR(__xludf.DUMMYFUNCTION("IMPORTRANGE(""https://docs.google.com/spreadsheets/d/1ItG2mGa2ceCfYo0BwxsXqNm01IGEUdYcSSLTEv9YCik/edit?usp=sharing"",""เบิกจ่ายกองทุน!DG66"")"),0)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IFERROR(__xludf.DUMMYFUNCTION("IMPORTRANGE(""https://docs.google.com/spreadsheets/d/1ItG2mGa2ceCfYo0BwxsXqNm01IGEUdYcSSLTEv9YCik/edit?usp=sharing"",""เบิกจ่ายกองทุน!DH66"")"),0)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IFERROR(__xludf.DUMMYFUNCTION("IMPORTRANGE(""https://docs.google.com/spreadsheets/d/1ItG2mGa2ceCfYo0BwxsXqNm01IGEUdYcSSLTEv9YCik/edit?usp=sharing"",""เบิกจ่ายกองทุน!DI66"")"),0)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IFERROR(__xludf.DUMMYFUNCTION("IMPORTRANGE(""https://docs.google.com/spreadsheets/d/1-uDff_7J0KD5mKrp0Vvzr7lt3OU09vwQwhkpOPPYv2Y/edit?usp=sharing"",""งบพรบ!CN66"")"),0)</f>
        <v>0</v>
      </c>
      <c r="M181" s="72">
        <f ca="1">IFERROR(__xludf.DUMMYFUNCTION("IMPORTRANGE(""https://docs.google.com/spreadsheets/d/1-uDff_7J0KD5mKrp0Vvzr7lt3OU09vwQwhkpOPPYv2Y/edit?usp=sharing"",""งบพรบ!CQ66"")"),0)</f>
        <v>0</v>
      </c>
      <c r="N181" s="72">
        <f ca="1">IFERROR(__xludf.DUMMYFUNCTION("IMPORTRANGE(""https://docs.google.com/spreadsheets/d/1-uDff_7J0KD5mKrp0Vvzr7lt3OU09vwQwhkpOPPYv2Y/edit?usp=sharing"",""งบพรบ!CS66"")"),0)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IFERROR(__xludf.DUMMYFUNCTION("IMPORTRANGE(""https://docs.google.com/spreadsheets/d/1eHaY18a8A9IcSdp1K8H6x8fbOy06t2VsZHhMHf-1x7Y/edit?usp=sharing"",""แผน!AA66"")"),7)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20</v>
      </c>
      <c r="J185" s="963">
        <f>J230+J231</f>
        <v>20</v>
      </c>
      <c r="K185" s="962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165700</v>
      </c>
      <c r="M186" s="262">
        <f ca="1">M187+M188</f>
        <v>171260</v>
      </c>
      <c r="N186" s="262">
        <f ca="1">N187+N188</f>
        <v>160061.6</v>
      </c>
      <c r="O186" s="262">
        <f t="shared" ref="O186:O194" ca="1" si="57">IF(L186&gt;0,N186*100/L186,0)</f>
        <v>96.597223898611944</v>
      </c>
      <c r="P186" s="262">
        <f t="shared" ref="P186:P194" ca="1" si="58">IF(M186&gt;0,N186*100/M186,0)</f>
        <v>93.461170150648144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165700</v>
      </c>
      <c r="M188" s="72">
        <f t="shared" ca="1" si="61"/>
        <v>171260</v>
      </c>
      <c r="N188" s="72">
        <f t="shared" ca="1" si="61"/>
        <v>160061.6</v>
      </c>
      <c r="O188" s="72">
        <f t="shared" ca="1" si="57"/>
        <v>96.597223898611944</v>
      </c>
      <c r="P188" s="72">
        <f t="shared" ca="1" si="58"/>
        <v>93.461170150648144</v>
      </c>
      <c r="Q188" s="72">
        <f t="shared" ca="1" si="62"/>
        <v>14000</v>
      </c>
      <c r="R188" s="72">
        <f t="shared" ca="1" si="62"/>
        <v>14000</v>
      </c>
      <c r="S188" s="72">
        <f t="shared" ca="1" si="62"/>
        <v>14000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165700</v>
      </c>
      <c r="M189" s="72">
        <f ca="1">M190+M191</f>
        <v>171260</v>
      </c>
      <c r="N189" s="72">
        <f ca="1">N190+N191</f>
        <v>160061.6</v>
      </c>
      <c r="O189" s="72">
        <f t="shared" ca="1" si="57"/>
        <v>96.597223898611944</v>
      </c>
      <c r="P189" s="72">
        <f t="shared" ca="1" si="58"/>
        <v>93.461170150648144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IFERROR(__xludf.DUMMYFUNCTION("IMPORTRANGE(""https://docs.google.com/spreadsheets/d/1-uDff_7J0KD5mKrp0Vvzr7lt3OU09vwQwhkpOPPYv2Y/edit?usp=sharing"",""งบพรบ!CU66"")"),165700)</f>
        <v>165700</v>
      </c>
      <c r="M191" s="72">
        <f ca="1">IFERROR(__xludf.DUMMYFUNCTION("IMPORTRANGE(""https://docs.google.com/spreadsheets/d/1-uDff_7J0KD5mKrp0Vvzr7lt3OU09vwQwhkpOPPYv2Y/edit?usp=sharing"",""งบพรบ!CZ66"")"),171260)</f>
        <v>171260</v>
      </c>
      <c r="N191" s="72">
        <f ca="1">IFERROR(__xludf.DUMMYFUNCTION("IMPORTRANGE(""https://docs.google.com/spreadsheets/d/1-uDff_7J0KD5mKrp0Vvzr7lt3OU09vwQwhkpOPPYv2Y/edit?usp=sharing"",""งบพรบ!DB66"")"),160061.6)</f>
        <v>160061.6</v>
      </c>
      <c r="O191" s="72">
        <f t="shared" ca="1" si="57"/>
        <v>96.597223898611944</v>
      </c>
      <c r="P191" s="72">
        <f t="shared" ca="1" si="58"/>
        <v>93.461170150648144</v>
      </c>
      <c r="Q191" s="72">
        <f ca="1">IFERROR(__xludf.DUMMYFUNCTION("IMPORTRANGE(""https://docs.google.com/spreadsheets/d/1ItG2mGa2ceCfYo0BwxsXqNm01IGEUdYcSSLTEv9YCik/edit?usp=sharing"",""เบิกจ่ายกองทุน!BQ66"")"),14000)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IFERROR(__xludf.DUMMYFUNCTION("IMPORTRANGE(""https://docs.google.com/spreadsheets/d/1ItG2mGa2ceCfYo0BwxsXqNm01IGEUdYcSSLTEv9YCik/edit?usp=sharing"",""เบิกจ่ายกองทุน!BR66"")"),14000)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IFERROR(__xludf.DUMMYFUNCTION("IMPORTRANGE(""https://docs.google.com/spreadsheets/d/1ItG2mGa2ceCfYo0BwxsXqNm01IGEUdYcSSLTEv9YCik/edit?usp=sharing"",""เบิกจ่ายกองทุน!BS66"")"),14000)</f>
        <v>14000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IFERROR(__xludf.DUMMYFUNCTION("IMPORTRANGE(""https://docs.google.com/spreadsheets/d/1-uDff_7J0KD5mKrp0Vvzr7lt3OU09vwQwhkpOPPYv2Y/edit?usp=sharing"",""งบพรบ!CX66"")"),0)</f>
        <v>0</v>
      </c>
      <c r="M194" s="72">
        <f ca="1">IFERROR(__xludf.DUMMYFUNCTION("IMPORTRANGE(""https://docs.google.com/spreadsheets/d/1-uDff_7J0KD5mKrp0Vvzr7lt3OU09vwQwhkpOPPYv2Y/edit?usp=sharing"",""งบพรบ!DA66"")"),0)</f>
        <v>0</v>
      </c>
      <c r="N194" s="72">
        <f ca="1">IFERROR(__xludf.DUMMYFUNCTION("IMPORTRANGE(""https://docs.google.com/spreadsheets/d/1-uDff_7J0KD5mKrp0Vvzr7lt3OU09vwQwhkpOPPYv2Y/edit?usp=sharing"",""งบพรบ!DC66"")"),0)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IFERROR(__xludf.DUMMYFUNCTION("IMPORTRANGE(""https://docs.google.com/spreadsheets/d/1ItG2mGa2ceCfYo0BwxsXqNm01IGEUdYcSSLTEv9YCik/edit?usp=sharing"",""เบิกจ่ายกองทุน!BT66"")"),0)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IFERROR(__xludf.DUMMYFUNCTION("IMPORTRANGE(""https://docs.google.com/spreadsheets/d/1ItG2mGa2ceCfYo0BwxsXqNm01IGEUdYcSSLTEv9YCik/edit?usp=sharing"",""เบิกจ่ายกองทุน!BU66"")"),0)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IFERROR(__xludf.DUMMYFUNCTION("IMPORTRANGE(""https://docs.google.com/spreadsheets/d/1ItG2mGa2ceCfYo0BwxsXqNm01IGEUdYcSSLTEv9YCik/edit?usp=sharing"",""เบิกจ่ายกองทุน!BV66"")"),0)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IFERROR(__xludf.DUMMYFUNCTION("IMPORTRANGE(""https://docs.google.com/spreadsheets/d/1eHaY18a8A9IcSdp1K8H6x8fbOy06t2VsZHhMHf-1x7Y/edit?usp=sharing"",""แผน!AB66"")"),6000)</f>
        <v>6000</v>
      </c>
      <c r="M196" s="85"/>
      <c r="N196" s="961">
        <v>3050</v>
      </c>
      <c r="O196" s="262">
        <f ca="1">IF(L196&gt;0,N196*100/L196,0)</f>
        <v>50.833333333333336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IFERROR(__xludf.DUMMYFUNCTION("IMPORTRANGE(""https://docs.google.com/spreadsheets/d/1eHaY18a8A9IcSdp1K8H6x8fbOy06t2VsZHhMHf-1x7Y/edit?usp=sharing"",""แผน!AE66"")"),4)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103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103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4240</v>
      </c>
      <c r="O203" s="262">
        <f ca="1">IF(L203&gt;0,N203*100/L203,0)</f>
        <v>84.8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IFERROR(__xludf.DUMMYFUNCTION("IMPORTRANGE(""https://docs.google.com/spreadsheets/d/1eHaY18a8A9IcSdp1K8H6x8fbOy06t2VsZHhMHf-1x7Y/edit?usp=sharing"",""แผน!AG66"")"),1000)</f>
        <v>1000</v>
      </c>
      <c r="M204" s="85"/>
      <c r="N204" s="387">
        <v>240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IFERROR(__xludf.DUMMYFUNCTION("IMPORTRANGE(""https://docs.google.com/spreadsheets/d/1eHaY18a8A9IcSdp1K8H6x8fbOy06t2VsZHhMHf-1x7Y/edit?usp=sharing"",""แผน!AH66"")"),0)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IFERROR(__xludf.DUMMYFUNCTION("IMPORTRANGE(""https://docs.google.com/spreadsheets/d/1eHaY18a8A9IcSdp1K8H6x8fbOy06t2VsZHhMHf-1x7Y/edit?usp=sharing"",""แผน!AI66"")"),0)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IFERROR(__xludf.DUMMYFUNCTION("IMPORTRANGE(""https://docs.google.com/spreadsheets/d/1eHaY18a8A9IcSdp1K8H6x8fbOy06t2VsZHhMHf-1x7Y/edit?usp=sharing"",""แผน!LV66"")"),14000)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IFERROR(__xludf.DUMMYFUNCTION("IMPORTRANGE(""https://docs.google.com/spreadsheets/d/1eHaY18a8A9IcSdp1K8H6x8fbOy06t2VsZHhMHf-1x7Y/edit?usp=sharing"",""แผน!AJ66"")"),4000)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IFERROR(__xludf.DUMMYFUNCTION("IMPORTRANGE(""https://docs.google.com/spreadsheets/d/1eHaY18a8A9IcSdp1K8H6x8fbOy06t2VsZHhMHf-1x7Y/edit?usp=sharing"",""แผน!AK66"")"),1)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IFERROR(__xludf.DUMMYFUNCTION("IMPORTRANGE(""https://docs.google.com/spreadsheets/d/1eHaY18a8A9IcSdp1K8H6x8fbOy06t2VsZHhMHf-1x7Y/edit?usp=sharing"",""แผน!JX66"")"),1)</f>
        <v>1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IFERROR(__xludf.DUMMYFUNCTION("IMPORTRANGE(""https://docs.google.com/spreadsheets/d/1eHaY18a8A9IcSdp1K8H6x8fbOy06t2VsZHhMHf-1x7Y/edit?usp=sharing"",""แผน!JY66"")"),0)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IFERROR(__xludf.DUMMYFUNCTION("IMPORTRANGE(""https://docs.google.com/spreadsheets/d/1eHaY18a8A9IcSdp1K8H6x8fbOy06t2VsZHhMHf-1x7Y/edit?usp=sharing"",""แผน!AM66"")"),0)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IFERROR(__xludf.DUMMYFUNCTION("IMPORTRANGE(""https://docs.google.com/spreadsheets/d/1eHaY18a8A9IcSdp1K8H6x8fbOy06t2VsZHhMHf-1x7Y/edit?usp=sharing"",""แผน!AN66"")"),0)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IFERROR(__xludf.DUMMYFUNCTION("IMPORTRANGE(""https://docs.google.com/spreadsheets/d/1eHaY18a8A9IcSdp1K8H6x8fbOy06t2VsZHhMHf-1x7Y/edit?usp=sharing"",""แผน!AO66"")"),0)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IFERROR(__xludf.DUMMYFUNCTION("IMPORTRANGE(""https://docs.google.com/spreadsheets/d/1eHaY18a8A9IcSdp1K8H6x8fbOy06t2VsZHhMHf-1x7Y/edit?usp=sharing"",""แผน!LY66"")"),0)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IFERROR(__xludf.DUMMYFUNCTION("IMPORTRANGE(""https://docs.google.com/spreadsheets/d/1eHaY18a8A9IcSdp1K8H6x8fbOy06t2VsZHhMHf-1x7Y/edit?usp=sharing"",""แผน!AP66"")"),0)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IFERROR(__xludf.DUMMYFUNCTION("IMPORTRANGE(""https://docs.google.com/spreadsheets/d/1eHaY18a8A9IcSdp1K8H6x8fbOy06t2VsZHhMHf-1x7Y/edit?usp=sharing"",""แผน!AP66"")"),0)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6400</v>
      </c>
      <c r="J221" s="538">
        <f>J229</f>
        <v>6400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IFERROR(__xludf.DUMMYFUNCTION("IMPORTRANGE(""https://docs.google.com/spreadsheets/d/1eHaY18a8A9IcSdp1K8H6x8fbOy06t2VsZHhMHf-1x7Y/edit?usp=sharing"",""แผน!AR66"")"),2500)</f>
        <v>2500</v>
      </c>
      <c r="M223" s="85"/>
      <c r="N223" s="387"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IFERROR(__xludf.DUMMYFUNCTION("IMPORTRANGE(""https://docs.google.com/spreadsheets/d/1eHaY18a8A9IcSdp1K8H6x8fbOy06t2VsZHhMHf-1x7Y/edit?usp=sharing"",""แผน!AS66"")"),2000)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IFERROR(__xludf.DUMMYFUNCTION("IMPORTRANGE(""https://docs.google.com/spreadsheets/d/1eHaY18a8A9IcSdp1K8H6x8fbOy06t2VsZHhMHf-1x7Y/edit?usp=sharing"",""แผน!AT66"")"),0)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IFERROR(__xludf.DUMMYFUNCTION("IMPORTRANGE(""https://docs.google.com/spreadsheets/d/1eHaY18a8A9IcSdp1K8H6x8fbOy06t2VsZHhMHf-1x7Y/edit?usp=sharing"",""แผน!AV66"")"),6400)</f>
        <v>6400</v>
      </c>
      <c r="J228" s="292">
        <v>6400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IFERROR(__xludf.DUMMYFUNCTION("IMPORTRANGE(""https://docs.google.com/spreadsheets/d/1eHaY18a8A9IcSdp1K8H6x8fbOy06t2VsZHhMHf-1x7Y/edit?usp=sharing"",""แผน!AV66"")"),6400)</f>
        <v>6400</v>
      </c>
      <c r="J229" s="292">
        <v>6400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IFERROR(__xludf.DUMMYFUNCTION("IMPORTRANGE(""https://docs.google.com/spreadsheets/d/1eHaY18a8A9IcSdp1K8H6x8fbOy06t2VsZHhMHf-1x7Y/edit?usp=sharing"",""แผน!AU66"")"),0)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953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20</v>
      </c>
      <c r="J231" s="951">
        <f>J242+J253</f>
        <v>20</v>
      </c>
      <c r="K231" s="950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935"/>
      <c r="C232" s="834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7">
        <f ca="1">L243+L254</f>
        <v>73000</v>
      </c>
      <c r="M232" s="85"/>
      <c r="N232" s="956">
        <f>N243+N254</f>
        <v>69000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936"/>
      <c r="B233" s="1082"/>
      <c r="C233" s="935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74">
        <f ca="1">L244+L255</f>
        <v>16000</v>
      </c>
      <c r="M233" s="85"/>
      <c r="N233" s="75">
        <f>N244+N255</f>
        <v>16000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74">
        <f ca="1">L245+L256</f>
        <v>4000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74">
        <f ca="1">L246+L257</f>
        <v>28000</v>
      </c>
      <c r="M235" s="85"/>
      <c r="N235" s="75">
        <f>N246+N257</f>
        <v>28000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74">
        <f ca="1">L247+L258</f>
        <v>25000</v>
      </c>
      <c r="M236" s="85"/>
      <c r="N236" s="75">
        <f>N247+N258</f>
        <v>25000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07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945" t="s">
        <v>35</v>
      </c>
      <c r="I238" s="570">
        <f ca="1">I249+I260</f>
        <v>20</v>
      </c>
      <c r="J238" s="57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07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945" t="s">
        <v>35</v>
      </c>
      <c r="I240" s="570">
        <f ca="1">I251+I262</f>
        <v>15</v>
      </c>
      <c r="J240" s="570">
        <f>J251+J262</f>
        <v>20</v>
      </c>
      <c r="K240" s="75">
        <f ca="1">IF(I240&gt;0,J240*100/I240,0)</f>
        <v>133.33333333333334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945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336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73000</v>
      </c>
      <c r="M243" s="85"/>
      <c r="N243" s="262">
        <f>N244+N245+N246+N247</f>
        <v>69000</v>
      </c>
      <c r="O243" s="262">
        <f ca="1">IF(L243&gt;0,N243*100/L243,0)</f>
        <v>94.520547945205479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IFERROR(__xludf.DUMMYFUNCTION("IMPORTRANGE(""https://docs.google.com/spreadsheets/d/1eHaY18a8A9IcSdp1K8H6x8fbOy06t2VsZHhMHf-1x7Y/edit?usp=sharing"",""แผน!AX66"")"),16000)</f>
        <v>16000</v>
      </c>
      <c r="M244" s="85"/>
      <c r="N244" s="387">
        <v>16000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IFERROR(__xludf.DUMMYFUNCTION("IMPORTRANGE(""https://docs.google.com/spreadsheets/d/1eHaY18a8A9IcSdp1K8H6x8fbOy06t2VsZHhMHf-1x7Y/edit?usp=sharing"",""แผน!dg66"")"),4000)</f>
        <v>4000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IFERROR(__xludf.DUMMYFUNCTION("IMPORTRANGE(""https://docs.google.com/spreadsheets/d/1eHaY18a8A9IcSdp1K8H6x8fbOy06t2VsZHhMHf-1x7Y/edit?usp=sharing"",""แผน!AZ66"")"),28000)</f>
        <v>28000</v>
      </c>
      <c r="M246" s="85"/>
      <c r="N246" s="387">
        <v>28000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IFERROR(__xludf.DUMMYFUNCTION("IMPORTRANGE(""https://docs.google.com/spreadsheets/d/1eHaY18a8A9IcSdp1K8H6x8fbOy06t2VsZHhMHf-1x7Y/edit?usp=sharing"",""แผน!BA66"")"),25000)</f>
        <v>25000</v>
      </c>
      <c r="M247" s="85"/>
      <c r="N247" s="387">
        <v>25000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IFERROR(__xludf.DUMMYFUNCTION("IMPORTRANGE(""https://docs.google.com/spreadsheets/d/1eHaY18a8A9IcSdp1K8H6x8fbOy06t2VsZHhMHf-1x7Y/edit?usp=sharing"",""แผน!BG66"")"),20)</f>
        <v>20</v>
      </c>
      <c r="J249" s="794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IFERROR(__xludf.DUMMYFUNCTION("IMPORTRANGE(""https://docs.google.com/spreadsheets/d/1eHaY18a8A9IcSdp1K8H6x8fbOy06t2VsZHhMHf-1x7Y/edit?usp=sharing"",""แผน!KD66"")"),15)</f>
        <v>15</v>
      </c>
      <c r="J251" s="794">
        <v>20</v>
      </c>
      <c r="K251" s="86">
        <f ca="1">IF(I251&gt;0,J251*100/I251,0)</f>
        <v>133.33333333333334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IFERROR(__xludf.DUMMYFUNCTION("IMPORTRANGE(""https://docs.google.com/spreadsheets/d/1eHaY18a8A9IcSdp1K8H6x8fbOy06t2VsZHhMHf-1x7Y/edit?usp=sharing"",""แผน!KE66"")"),1)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IFERROR(__xludf.DUMMYFUNCTION("IMPORTRANGE(""https://docs.google.com/spreadsheets/d/1eHaY18a8A9IcSdp1K8H6x8fbOy06t2VsZHhMHf-1x7Y/edit?usp=sharing"",""แผน!BB66"")"),0)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IFERROR(__xludf.DUMMYFUNCTION("IMPORTRANGE(""https://docs.google.com/spreadsheets/d/1eHaY18a8A9IcSdp1K8H6x8fbOy06t2VsZHhMHf-1x7Y/edit?usp=sharing"",""แผน!BC66"")"),0)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IFERROR(__xludf.DUMMYFUNCTION("IMPORTRANGE(""https://docs.google.com/spreadsheets/d/1eHaY18a8A9IcSdp1K8H6x8fbOy06t2VsZHhMHf-1x7Y/edit?usp=sharing"",""แผน!BD66"")"),0)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IFERROR(__xludf.DUMMYFUNCTION("IMPORTRANGE(""https://docs.google.com/spreadsheets/d/1eHaY18a8A9IcSdp1K8H6x8fbOy06t2VsZHhMHf-1x7Y/edit?usp=sharing"",""แผน!BE66"")"),0)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IFERROR(__xludf.DUMMYFUNCTION("IMPORTRANGE(""https://docs.google.com/spreadsheets/d/1eHaY18a8A9IcSdp1K8H6x8fbOy06t2VsZHhMHf-1x7Y/edit?usp=sharing"",""แผน!BH66"")"),0)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44980</v>
      </c>
      <c r="T266" s="211">
        <f t="shared" ref="T266:T274" ca="1" si="65">IF(Q266&gt;0,S266*100/Q266,0)</f>
        <v>88.787998420844843</v>
      </c>
      <c r="U266" s="211">
        <f t="shared" ref="U266:U274" ca="1" si="66">IF(R266&gt;0,S266*100/R266,0)</f>
        <v>88.787998420844843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44980</v>
      </c>
      <c r="T268" s="86">
        <f t="shared" ca="1" si="65"/>
        <v>88.787998420844843</v>
      </c>
      <c r="U268" s="86">
        <f t="shared" ca="1" si="66"/>
        <v>88.787998420844843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44980</v>
      </c>
      <c r="T269" s="86">
        <f t="shared" ca="1" si="65"/>
        <v>88.787998420844843</v>
      </c>
      <c r="U269" s="86">
        <f t="shared" ca="1" si="66"/>
        <v>88.787998420844843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IFERROR(__xludf.DUMMYFUNCTION("IMPORTRANGE(""https://docs.google.com/spreadsheets/d/1-uDff_7J0KD5mKrp0Vvzr7lt3OU09vwQwhkpOPPYv2Y/edit?usp=sharing"",""งบพรบ!DE66"")"),5000)</f>
        <v>5000</v>
      </c>
      <c r="M271" s="86">
        <f ca="1">IFERROR(__xludf.DUMMYFUNCTION("IMPORTRANGE(""https://docs.google.com/spreadsheets/d/1-uDff_7J0KD5mKrp0Vvzr7lt3OU09vwQwhkpOPPYv2Y/edit?usp=sharing"",""งบพรบ!DJ66"")"),5000)</f>
        <v>5000</v>
      </c>
      <c r="N271" s="86">
        <f ca="1">IFERROR(__xludf.DUMMYFUNCTION("IMPORTRANGE(""https://docs.google.com/spreadsheets/d/1-uDff_7J0KD5mKrp0Vvzr7lt3OU09vwQwhkpOPPYv2Y/edit?usp=sharing"",""งบพรบ!DL66"")"),5000)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IFERROR(__xludf.DUMMYFUNCTION("IMPORTRANGE(""https://docs.google.com/spreadsheets/d/1ItG2mGa2ceCfYo0BwxsXqNm01IGEUdYcSSLTEv9YCik/edit?usp=sharing"",""เบิกจ่ายกองทุน!AP66"")"),50660)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IFERROR(__xludf.DUMMYFUNCTION("IMPORTRANGE(""https://docs.google.com/spreadsheets/d/1ItG2mGa2ceCfYo0BwxsXqNm01IGEUdYcSSLTEv9YCik/edit?usp=sharing"",""เบิกจ่ายกองทุน!AQ66"")"),50660)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IFERROR(__xludf.DUMMYFUNCTION("IMPORTRANGE(""https://docs.google.com/spreadsheets/d/1ItG2mGa2ceCfYo0BwxsXqNm01IGEUdYcSSLTEv9YCik/edit?usp=sharing"",""เบิกจ่ายกองทุน!AR66"")"),44980)</f>
        <v>44980</v>
      </c>
      <c r="T271" s="86">
        <f t="shared" ca="1" si="65"/>
        <v>88.787998420844843</v>
      </c>
      <c r="U271" s="86">
        <f t="shared" ca="1" si="66"/>
        <v>88.787998420844843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IFERROR(__xludf.DUMMYFUNCTION("IMPORTRANGE(""https://docs.google.com/spreadsheets/d/1-uDff_7J0KD5mKrp0Vvzr7lt3OU09vwQwhkpOPPYv2Y/edit?usp=sharing"",""งบพรบ!DH66"")"),0)</f>
        <v>0</v>
      </c>
      <c r="M274" s="86">
        <f ca="1">IFERROR(__xludf.DUMMYFUNCTION("IMPORTRANGE(""https://docs.google.com/spreadsheets/d/1-uDff_7J0KD5mKrp0Vvzr7lt3OU09vwQwhkpOPPYv2Y/edit?usp=sharing"",""งบพรบ!DK66"")"),0)</f>
        <v>0</v>
      </c>
      <c r="N274" s="86">
        <f ca="1">IFERROR(__xludf.DUMMYFUNCTION("IMPORTRANGE(""https://docs.google.com/spreadsheets/d/1-uDff_7J0KD5mKrp0Vvzr7lt3OU09vwQwhkpOPPYv2Y/edit?usp=sharing"",""งบพรบ!DM66"")"),0)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IFERROR(__xludf.DUMMYFUNCTION("IMPORTRANGE(""https://docs.google.com/spreadsheets/d/1eHaY18a8A9IcSdp1K8H6x8fbOy06t2VsZHhMHf-1x7Y/edit?usp=sharing"",""แผน!EC66"")"),22)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IFERROR(__xludf.DUMMYFUNCTION("IMPORTRANGE(""https://docs.google.com/spreadsheets/d/1-uDff_7J0KD5mKrp0Vvzr7lt3OU09vwQwhkpOPPYv2Y/edit?usp=sharing"",""งบพรบ!DO66"")"),0)</f>
        <v>0</v>
      </c>
      <c r="M287" s="72">
        <f ca="1">IFERROR(__xludf.DUMMYFUNCTION("IMPORTRANGE(""https://docs.google.com/spreadsheets/d/1-uDff_7J0KD5mKrp0Vvzr7lt3OU09vwQwhkpOPPYv2Y/edit?usp=sharing"",""งบพรบ!DT66"")"),0)</f>
        <v>0</v>
      </c>
      <c r="N287" s="72">
        <f ca="1">IFERROR(__xludf.DUMMYFUNCTION("IMPORTRANGE(""https://docs.google.com/spreadsheets/d/1-uDff_7J0KD5mKrp0Vvzr7lt3OU09vwQwhkpOPPYv2Y/edit?usp=sharing"",""งบพรบ!DV66"")"),0)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IFERROR(__xludf.DUMMYFUNCTION("IMPORTRANGE(""https://docs.google.com/spreadsheets/d/1-uDff_7J0KD5mKrp0Vvzr7lt3OU09vwQwhkpOPPYv2Y/edit?usp=sharing"",""งบพรบ!DR66"")"),0)</f>
        <v>0</v>
      </c>
      <c r="M290" s="72">
        <f ca="1">IFERROR(__xludf.DUMMYFUNCTION("IMPORTRANGE(""https://docs.google.com/spreadsheets/d/1-uDff_7J0KD5mKrp0Vvzr7lt3OU09vwQwhkpOPPYv2Y/edit?usp=sharing"",""งบพรบ!DU66"")"),0)</f>
        <v>0</v>
      </c>
      <c r="N290" s="72">
        <f ca="1">IFERROR(__xludf.DUMMYFUNCTION("IMPORTRANGE(""https://docs.google.com/spreadsheets/d/1-uDff_7J0KD5mKrp0Vvzr7lt3OU09vwQwhkpOPPYv2Y/edit?usp=sharing"",""งบพรบ!DW66"")"),0)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IFERROR(__xludf.DUMMYFUNCTION("IMPORTRANGE(""https://docs.google.com/spreadsheets/d/1eHaY18a8A9IcSdp1K8H6x8fbOy06t2VsZHhMHf-1x7Y/edit?usp=sharing"",""แผน!EE66"")"),0)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IFERROR(__xludf.DUMMYFUNCTION("IMPORTRANGE(""https://docs.google.com/spreadsheets/d/1eHaY18a8A9IcSdp1K8H6x8fbOy06t2VsZHhMHf-1x7Y/edit?usp=sharing"",""แผน!ED66"")"),0)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IFERROR(__xludf.DUMMYFUNCTION("IMPORTRANGE(""https://docs.google.com/spreadsheets/d/1eHaY18a8A9IcSdp1K8H6x8fbOy06t2VsZHhMHf-1x7Y/edit?usp=sharing"",""แผน!ED66"")"),0)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IFERROR(__xludf.DUMMYFUNCTION("IMPORTRANGE(""https://docs.google.com/spreadsheets/d/1eHaY18a8A9IcSdp1K8H6x8fbOy06t2VsZHhMHf-1x7Y/edit?usp=sharing"",""แผน!ED66"")"),0)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125500</v>
      </c>
      <c r="M303" s="262">
        <f ca="1">M304+M305</f>
        <v>125500</v>
      </c>
      <c r="N303" s="262">
        <f ca="1">N304+N305</f>
        <v>101000</v>
      </c>
      <c r="O303" s="262">
        <f t="shared" ref="O303:O311" ca="1" si="75">IF(L303&gt;0,N303*100/L303,0)</f>
        <v>80.478087649402397</v>
      </c>
      <c r="P303" s="262">
        <f t="shared" ref="P303:P311" ca="1" si="76">IF(M303&gt;0,N303*100/M303,0)</f>
        <v>80.478087649402397</v>
      </c>
      <c r="Q303" s="262">
        <f ca="1">Q304+Q305</f>
        <v>166057.24</v>
      </c>
      <c r="R303" s="262">
        <f ca="1">R304+R305</f>
        <v>166057</v>
      </c>
      <c r="S303" s="262">
        <f ca="1">S304+S305</f>
        <v>26365</v>
      </c>
      <c r="T303" s="262">
        <f t="shared" ref="T303:T311" ca="1" si="77">IF(Q303&gt;0,S303*100/Q303,0)</f>
        <v>15.877055405714319</v>
      </c>
      <c r="U303" s="262">
        <f t="shared" ref="U303:U311" ca="1" si="78">IF(R303&gt;0,S303*100/R303,0)</f>
        <v>15.877078352613861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125500</v>
      </c>
      <c r="M305" s="72">
        <f t="shared" ca="1" si="79"/>
        <v>125500</v>
      </c>
      <c r="N305" s="72">
        <f t="shared" ca="1" si="79"/>
        <v>101000</v>
      </c>
      <c r="O305" s="72">
        <f t="shared" ca="1" si="75"/>
        <v>80.478087649402397</v>
      </c>
      <c r="P305" s="72">
        <f t="shared" ca="1" si="76"/>
        <v>80.478087649402397</v>
      </c>
      <c r="Q305" s="72">
        <f t="shared" ca="1" si="80"/>
        <v>166057.24</v>
      </c>
      <c r="R305" s="72">
        <f t="shared" ca="1" si="80"/>
        <v>166057</v>
      </c>
      <c r="S305" s="72">
        <f t="shared" ca="1" si="80"/>
        <v>26365</v>
      </c>
      <c r="T305" s="72">
        <f t="shared" ca="1" si="77"/>
        <v>15.877055405714319</v>
      </c>
      <c r="U305" s="72">
        <f t="shared" ca="1" si="78"/>
        <v>15.877078352613861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125500</v>
      </c>
      <c r="M306" s="72">
        <f ca="1">M307+M308</f>
        <v>125500</v>
      </c>
      <c r="N306" s="72">
        <f ca="1">N307+N308</f>
        <v>101000</v>
      </c>
      <c r="O306" s="72">
        <f t="shared" ca="1" si="75"/>
        <v>80.478087649402397</v>
      </c>
      <c r="P306" s="72">
        <f t="shared" ca="1" si="76"/>
        <v>80.478087649402397</v>
      </c>
      <c r="Q306" s="72">
        <f ca="1">Q307+Q308</f>
        <v>166057.24</v>
      </c>
      <c r="R306" s="72">
        <f ca="1">R307+R308</f>
        <v>166057</v>
      </c>
      <c r="S306" s="72">
        <f ca="1">S307+S308</f>
        <v>26365</v>
      </c>
      <c r="T306" s="72">
        <f t="shared" ca="1" si="77"/>
        <v>15.877055405714319</v>
      </c>
      <c r="U306" s="72">
        <f t="shared" ca="1" si="78"/>
        <v>15.877078352613861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IFERROR(__xludf.DUMMYFUNCTION("IMPORTRANGE(""https://docs.google.com/spreadsheets/d/1-uDff_7J0KD5mKrp0Vvzr7lt3OU09vwQwhkpOPPYv2Y/edit?usp=sharing"",""งบพรบ!DY66"")"),125500)</f>
        <v>125500</v>
      </c>
      <c r="M308" s="72">
        <f ca="1">IFERROR(__xludf.DUMMYFUNCTION("IMPORTRANGE(""https://docs.google.com/spreadsheets/d/1-uDff_7J0KD5mKrp0Vvzr7lt3OU09vwQwhkpOPPYv2Y/edit?usp=sharing"",""งบพรบ!ED66"")"),125500)</f>
        <v>125500</v>
      </c>
      <c r="N308" s="72">
        <f ca="1">IFERROR(__xludf.DUMMYFUNCTION("IMPORTRANGE(""https://docs.google.com/spreadsheets/d/1-uDff_7J0KD5mKrp0Vvzr7lt3OU09vwQwhkpOPPYv2Y/edit?usp=sharing"",""งบพรบ!EF66"")"),101000)</f>
        <v>101000</v>
      </c>
      <c r="O308" s="72">
        <f t="shared" ca="1" si="75"/>
        <v>80.478087649402397</v>
      </c>
      <c r="P308" s="72">
        <f t="shared" ca="1" si="76"/>
        <v>80.478087649402397</v>
      </c>
      <c r="Q308" s="72">
        <f ca="1">IFERROR(__xludf.DUMMYFUNCTION("IMPORTRANGE(""https://docs.google.com/spreadsheets/d/1ItG2mGa2ceCfYo0BwxsXqNm01IGEUdYcSSLTEv9YCik/edit?usp=sharing"",""เบิกจ่ายกองทุน!BB66"")"),166057.24)</f>
        <v>166057.24</v>
      </c>
      <c r="R308" s="72">
        <f ca="1">IFERROR(__xludf.DUMMYFUNCTION("IMPORTRANGE(""https://docs.google.com/spreadsheets/d/1ItG2mGa2ceCfYo0BwxsXqNm01IGEUdYcSSLTEv9YCik/edit?usp=sharing"",""เบิกจ่ายกองทุน!BC66"")"),166057)</f>
        <v>166057</v>
      </c>
      <c r="S308" s="72">
        <f ca="1">IFERROR(__xludf.DUMMYFUNCTION("IMPORTRANGE(""https://docs.google.com/spreadsheets/d/1ItG2mGa2ceCfYo0BwxsXqNm01IGEUdYcSSLTEv9YCik/edit?usp=sharing"",""เบิกจ่ายกองทุน!BD66"")"),26365)</f>
        <v>26365</v>
      </c>
      <c r="T308" s="72">
        <f t="shared" ca="1" si="77"/>
        <v>15.877055405714319</v>
      </c>
      <c r="U308" s="72">
        <f t="shared" ca="1" si="78"/>
        <v>15.877078352613861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IFERROR(__xludf.DUMMYFUNCTION("IMPORTRANGE(""https://docs.google.com/spreadsheets/d/1-uDff_7J0KD5mKrp0Vvzr7lt3OU09vwQwhkpOPPYv2Y/edit?usp=sharing"",""งบพรบ!EB66"")"),0)</f>
        <v>0</v>
      </c>
      <c r="M311" s="72">
        <f ca="1">IFERROR(__xludf.DUMMYFUNCTION("IMPORTRANGE(""https://docs.google.com/spreadsheets/d/1-uDff_7J0KD5mKrp0Vvzr7lt3OU09vwQwhkpOPPYv2Y/edit?usp=sharing"",""งบพรบ!EE66"")"),0)</f>
        <v>0</v>
      </c>
      <c r="N311" s="72">
        <f ca="1">IFERROR(__xludf.DUMMYFUNCTION("IMPORTRANGE(""https://docs.google.com/spreadsheets/d/1-uDff_7J0KD5mKrp0Vvzr7lt3OU09vwQwhkpOPPYv2Y/edit?usp=sharing"",""งบพรบ!EG66"")"),0)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IFERROR(__xludf.DUMMYFUNCTION("IMPORTRANGE(""https://docs.google.com/spreadsheets/d/1eHaY18a8A9IcSdp1K8H6x8fbOy06t2VsZHhMHf-1x7Y/edit?usp=sharing"",""แผน!EF66"")"),25)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IFERROR(__xludf.DUMMYFUNCTION("IMPORTRANGE(""https://docs.google.com/spreadsheets/d/1-uDff_7J0KD5mKrp0Vvzr7lt3OU09vwQwhkpOPPYv2Y/edit?usp=sharing"",""งบพรบ!EI66"")"),0)</f>
        <v>0</v>
      </c>
      <c r="M325" s="72">
        <f ca="1">IFERROR(__xludf.DUMMYFUNCTION("IMPORTRANGE(""https://docs.google.com/spreadsheets/d/1-uDff_7J0KD5mKrp0Vvzr7lt3OU09vwQwhkpOPPYv2Y/edit?usp=sharing"",""งบพรบ!EN66"")"),0)</f>
        <v>0</v>
      </c>
      <c r="N325" s="72">
        <f ca="1">IFERROR(__xludf.DUMMYFUNCTION("IMPORTRANGE(""https://docs.google.com/spreadsheets/d/1-uDff_7J0KD5mKrp0Vvzr7lt3OU09vwQwhkpOPPYv2Y/edit?usp=sharing"",""งบพรบ!EP66"")"),0)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IFERROR(__xludf.DUMMYFUNCTION("IMPORTRANGE(""https://docs.google.com/spreadsheets/d/1-uDff_7J0KD5mKrp0Vvzr7lt3OU09vwQwhkpOPPYv2Y/edit?usp=sharing"",""งบพรบ!EL66"")"),0)</f>
        <v>0</v>
      </c>
      <c r="M328" s="72">
        <f ca="1">IFERROR(__xludf.DUMMYFUNCTION("IMPORTRANGE(""https://docs.google.com/spreadsheets/d/1-uDff_7J0KD5mKrp0Vvzr7lt3OU09vwQwhkpOPPYv2Y/edit?usp=sharing"",""งบพรบ!EO66"")"),0)</f>
        <v>0</v>
      </c>
      <c r="N328" s="72">
        <f ca="1">IFERROR(__xludf.DUMMYFUNCTION("IMPORTRANGE(""https://docs.google.com/spreadsheets/d/1-uDff_7J0KD5mKrp0Vvzr7lt3OU09vwQwhkpOPPYv2Y/edit?usp=sharing"",""งบพรบ!EQ66"")"),0)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IFERROR(__xludf.DUMMYFUNCTION("IMPORTRANGE(""https://docs.google.com/spreadsheets/d/1eHaY18a8A9IcSdp1K8H6x8fbOy06t2VsZHhMHf-1x7Y/edit?usp=sharing"",""แผน!EJ66"")"),0)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260</v>
      </c>
      <c r="J332" s="515">
        <f ca="1">J344+J347+J348+J349+J353+J354</f>
        <v>1912</v>
      </c>
      <c r="K332" s="516">
        <f ca="1">IF(I332&gt;0,J332*100/I332,0)</f>
        <v>735.38461538461536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252300</v>
      </c>
      <c r="M333" s="262">
        <f ca="1">M334+M335</f>
        <v>252300</v>
      </c>
      <c r="N333" s="262">
        <f ca="1">N334+N335</f>
        <v>178678.12</v>
      </c>
      <c r="O333" s="262">
        <f t="shared" ref="O333:O341" ca="1" si="87">IF(L333&gt;0,N333*100/L333,0)</f>
        <v>70.819706698374944</v>
      </c>
      <c r="P333" s="262">
        <f t="shared" ref="P333:P341" ca="1" si="88">IF(M333&gt;0,N333*100/M333,0)</f>
        <v>70.819706698374944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252300</v>
      </c>
      <c r="M335" s="72">
        <f t="shared" ca="1" si="91"/>
        <v>252300</v>
      </c>
      <c r="N335" s="72">
        <f t="shared" ca="1" si="91"/>
        <v>178678.12</v>
      </c>
      <c r="O335" s="72">
        <f t="shared" ca="1" si="87"/>
        <v>70.819706698374944</v>
      </c>
      <c r="P335" s="72">
        <f t="shared" ca="1" si="88"/>
        <v>70.819706698374944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252300</v>
      </c>
      <c r="M336" s="72">
        <f ca="1">M337+M338</f>
        <v>252300</v>
      </c>
      <c r="N336" s="72">
        <f ca="1">N337+N338</f>
        <v>178678.12</v>
      </c>
      <c r="O336" s="72">
        <f t="shared" ca="1" si="87"/>
        <v>70.819706698374944</v>
      </c>
      <c r="P336" s="72">
        <f t="shared" ca="1" si="88"/>
        <v>70.819706698374944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IFERROR(__xludf.DUMMYFUNCTION("IMPORTRANGE(""https://docs.google.com/spreadsheets/d/1-uDff_7J0KD5mKrp0Vvzr7lt3OU09vwQwhkpOPPYv2Y/edit?usp=sharing"",""งบพรบ!ES66"")"),252300)</f>
        <v>252300</v>
      </c>
      <c r="M338" s="72">
        <f ca="1">IFERROR(__xludf.DUMMYFUNCTION("IMPORTRANGE(""https://docs.google.com/spreadsheets/d/1-uDff_7J0KD5mKrp0Vvzr7lt3OU09vwQwhkpOPPYv2Y/edit?usp=sharing"",""งบพรบ!EX66"")"),252300)</f>
        <v>252300</v>
      </c>
      <c r="N338" s="72">
        <f ca="1">IFERROR(__xludf.DUMMYFUNCTION("IMPORTRANGE(""https://docs.google.com/spreadsheets/d/1-uDff_7J0KD5mKrp0Vvzr7lt3OU09vwQwhkpOPPYv2Y/edit?usp=sharing"",""งบพรบ!EZ66"")"),178678.12)</f>
        <v>178678.12</v>
      </c>
      <c r="O338" s="72">
        <f t="shared" ca="1" si="87"/>
        <v>70.819706698374944</v>
      </c>
      <c r="P338" s="72">
        <f t="shared" ca="1" si="88"/>
        <v>70.819706698374944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IFERROR(__xludf.DUMMYFUNCTION("IMPORTRANGE(""https://docs.google.com/spreadsheets/d/1-uDff_7J0KD5mKrp0Vvzr7lt3OU09vwQwhkpOPPYv2Y/edit?usp=sharing"",""งบพรบ!EV66"")"),0)</f>
        <v>0</v>
      </c>
      <c r="M341" s="72">
        <f ca="1">IFERROR(__xludf.DUMMYFUNCTION("IMPORTRANGE(""https://docs.google.com/spreadsheets/d/1-uDff_7J0KD5mKrp0Vvzr7lt3OU09vwQwhkpOPPYv2Y/edit?usp=sharing"",""งบพรบ!EY66"")"),0)</f>
        <v>0</v>
      </c>
      <c r="N341" s="72">
        <f ca="1">IFERROR(__xludf.DUMMYFUNCTION("IMPORTRANGE(""https://docs.google.com/spreadsheets/d/1-uDff_7J0KD5mKrp0Vvzr7lt3OU09vwQwhkpOPPYv2Y/edit?usp=sharing"",""งบพรบ!FA66"")"),0)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196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IFERROR(__xludf.DUMMYFUNCTION("IMPORTRANGE(""https://docs.google.com/spreadsheets/d/1eHaY18a8A9IcSdp1K8H6x8fbOy06t2VsZHhMHf-1x7Y/edit?usp=sharing"",""แผน!EK66"")"),260)</f>
        <v>260</v>
      </c>
      <c r="J344" s="291">
        <f ca="1">IFERROR(__xludf.DUMMYFUNCTION("IMPORTRANGE(""https://docs.google.com/spreadsheets/d/1awYsYK3VOup2i3Pq_Yjnu8DRu_mYwSBnCR2QPthd0rU/edit?usp=sharing"",""ศูนย์ยกเว้นโฉนด!D66"")"),191)</f>
        <v>191</v>
      </c>
      <c r="K344" s="72">
        <f ca="1">IF(I344&gt;0,J344*100/I344,0)</f>
        <v>73.461538461538467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IFERROR(__xludf.DUMMYFUNCTION("IMPORTRANGE(""https://docs.google.com/spreadsheets/d/1eHaY18a8A9IcSdp1K8H6x8fbOy06t2VsZHhMHf-1x7Y/edit?usp=sharing"",""แผน!EL66"")"),1)</f>
        <v>1</v>
      </c>
      <c r="J346" s="291">
        <f ca="1">IFERROR(__xludf.DUMMYFUNCTION("IMPORTRANGE(""https://docs.google.com/spreadsheets/d/1awYsYK3VOup2i3Pq_Yjnu8DRu_mYwSBnCR2QPthd0rU/edit?usp=sharing"",""ศูนย์รวม!E66"")"),1)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IFERROR(__xludf.DUMMYFUNCTION("IMPORTRANGE(""https://docs.google.com/spreadsheets/d/1awYsYK3VOup2i3Pq_Yjnu8DRu_mYwSBnCR2QPthd0rU/edit?usp=sharing"",""ศูนย์ยกเว้นโฉนด!F66"")"),0)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IFERROR(__xludf.DUMMYFUNCTION("IMPORTRANGE(""https://docs.google.com/spreadsheets/d/1awYsYK3VOup2i3Pq_Yjnu8DRu_mYwSBnCR2QPthd0rU/edit?usp=sharing"",""ศูนย์ยกเว้นโฉนด!G66"")"),5)</f>
        <v>5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IFERROR(__xludf.DUMMYFUNCTION("IMPORTRANGE(""https://docs.google.com/spreadsheets/d/1awYsYK3VOup2i3Pq_Yjnu8DRu_mYwSBnCR2QPthd0rU/edit?usp=sharing"",""ศูนย์ยกเว้นโฉนด!H66"")"),0)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1875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IFERROR(__xludf.DUMMYFUNCTION("IMPORTRANGE(""https://docs.google.com/spreadsheets/d/1awYsYK3VOup2i3Pq_Yjnu8DRu_mYwSBnCR2QPthd0rU/edit?usp=sharing"",""โฉนดM3!G66"")"),159)</f>
        <v>159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IFERROR(__xludf.DUMMYFUNCTION("IMPORTRANGE(""https://docs.google.com/spreadsheets/d/1awYsYK3VOup2i3Pq_Yjnu8DRu_mYwSBnCR2QPthd0rU/edit?usp=sharing"",""โฉนดM3!H66"")"),1571)</f>
        <v>1571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IFERROR(__xludf.DUMMYFUNCTION("IMPORTRANGE(""https://docs.google.com/spreadsheets/d/1awYsYK3VOup2i3Pq_Yjnu8DRu_mYwSBnCR2QPthd0rU/edit?usp=sharing"",""โฉนดM3!I66"")"),145)</f>
        <v>145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602960</v>
      </c>
      <c r="M356" s="262">
        <f ca="1">M357+M358</f>
        <v>717960</v>
      </c>
      <c r="N356" s="262">
        <f ca="1">N357+N358</f>
        <v>445220.85</v>
      </c>
      <c r="O356" s="262">
        <f t="shared" ref="O356:O364" ca="1" si="93">IF(L356&gt;0,N356*100/L356,0)</f>
        <v>73.839201605413294</v>
      </c>
      <c r="P356" s="262">
        <f t="shared" ref="P356:P364" ca="1" si="94">IF(M356&gt;0,N356*100/M356,0)</f>
        <v>62.011929633962893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602960</v>
      </c>
      <c r="M358" s="72">
        <f t="shared" ca="1" si="97"/>
        <v>717960</v>
      </c>
      <c r="N358" s="72">
        <f t="shared" ca="1" si="97"/>
        <v>445220.85</v>
      </c>
      <c r="O358" s="72">
        <f t="shared" ca="1" si="93"/>
        <v>73.839201605413294</v>
      </c>
      <c r="P358" s="72">
        <f t="shared" ca="1" si="94"/>
        <v>62.011929633962893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602960</v>
      </c>
      <c r="M359" s="72">
        <f ca="1">M360+M361</f>
        <v>717960</v>
      </c>
      <c r="N359" s="72">
        <f ca="1">N360+N361</f>
        <v>445220.85</v>
      </c>
      <c r="O359" s="72">
        <f t="shared" ca="1" si="93"/>
        <v>73.839201605413294</v>
      </c>
      <c r="P359" s="72">
        <f t="shared" ca="1" si="94"/>
        <v>62.011929633962893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IFERROR(__xludf.DUMMYFUNCTION("IMPORTRANGE(""https://docs.google.com/spreadsheets/d/1-uDff_7J0KD5mKrp0Vvzr7lt3OU09vwQwhkpOPPYv2Y/edit?usp=sharing"",""งบพรบ!FC66"")"),602960)</f>
        <v>602960</v>
      </c>
      <c r="M361" s="72">
        <f ca="1">IFERROR(__xludf.DUMMYFUNCTION("IMPORTRANGE(""https://docs.google.com/spreadsheets/d/1-uDff_7J0KD5mKrp0Vvzr7lt3OU09vwQwhkpOPPYv2Y/edit?usp=sharing"",""งบพรบ!FH66"")"),717960)</f>
        <v>717960</v>
      </c>
      <c r="N361" s="72">
        <f ca="1">IFERROR(__xludf.DUMMYFUNCTION("IMPORTRANGE(""https://docs.google.com/spreadsheets/d/1-uDff_7J0KD5mKrp0Vvzr7lt3OU09vwQwhkpOPPYv2Y/edit?usp=sharing"",""งบพรบ!FJ66"")"),445220.85)</f>
        <v>445220.85</v>
      </c>
      <c r="O361" s="72">
        <f t="shared" ca="1" si="93"/>
        <v>73.839201605413294</v>
      </c>
      <c r="P361" s="72">
        <f t="shared" ca="1" si="94"/>
        <v>62.011929633962893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IFERROR(__xludf.DUMMYFUNCTION("IMPORTRANGE(""https://docs.google.com/spreadsheets/d/1-uDff_7J0KD5mKrp0Vvzr7lt3OU09vwQwhkpOPPYv2Y/edit?usp=sharing"",""งบพรบ!FF66"")"),0)</f>
        <v>0</v>
      </c>
      <c r="M364" s="72">
        <f ca="1">IFERROR(__xludf.DUMMYFUNCTION("IMPORTRANGE(""https://docs.google.com/spreadsheets/d/1-uDff_7J0KD5mKrp0Vvzr7lt3OU09vwQwhkpOPPYv2Y/edit?usp=sharing"",""งบพรบ!FI66"")"),0)</f>
        <v>0</v>
      </c>
      <c r="N364" s="72">
        <f ca="1">IFERROR(__xludf.DUMMYFUNCTION("IMPORTRANGE(""https://docs.google.com/spreadsheets/d/1-uDff_7J0KD5mKrp0Vvzr7lt3OU09vwQwhkpOPPYv2Y/edit?usp=sharing"",""งบพรบ!FK66"")"),0)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67</v>
      </c>
      <c r="J365" s="538">
        <f ca="1">J371</f>
        <v>22</v>
      </c>
      <c r="K365" s="539">
        <f ca="1">IF(I365&gt;0,J365*100/I365,0)</f>
        <v>32.835820895522389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IFERROR(__xludf.DUMMYFUNCTION("IMPORTRANGE(""https://docs.google.com/spreadsheets/d/1tdoBKaGub7dwA3U6UFTqxio9LNnvDCQjHKmttSEBsFQ/edit?usp=sharing"",""จัดที่ดิน!AB66"")"),76)</f>
        <v>76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IFERROR(__xludf.DUMMYFUNCTION("IMPORTRANGE(""https://docs.google.com/spreadsheets/d/1eHaY18a8A9IcSdp1K8H6x8fbOy06t2VsZHhMHf-1x7Y/edit?usp=sharing"",""แผน!EW66"")"),490)</f>
        <v>490</v>
      </c>
      <c r="J368" s="879">
        <f ca="1">IFERROR(__xludf.DUMMYFUNCTION("IMPORTRANGE(""https://docs.google.com/spreadsheets/d/1tdoBKaGub7dwA3U6UFTqxio9LNnvDCQjHKmttSEBsFQ/edit?usp=sharing"",""จัดที่ดิน!AC66"")"),729.069999999999)</f>
        <v>729.06999999999903</v>
      </c>
      <c r="K368" s="72">
        <f t="shared" ca="1" si="99"/>
        <v>148.78979591836713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IFERROR(__xludf.DUMMYFUNCTION("IMPORTRANGE(""https://docs.google.com/spreadsheets/d/1eHaY18a8A9IcSdp1K8H6x8fbOy06t2VsZHhMHf-1x7Y/edit?usp=sharing"",""แผน!EX66"")"),67)</f>
        <v>67</v>
      </c>
      <c r="J369" s="291">
        <f ca="1">IFERROR(__xludf.DUMMYFUNCTION("IMPORTRANGE(""https://docs.google.com/spreadsheets/d/1tdoBKaGub7dwA3U6UFTqxio9LNnvDCQjHKmttSEBsFQ/edit?usp=sharing"",""จัดที่ดิน!AD66"")"),144)</f>
        <v>144</v>
      </c>
      <c r="K369" s="72">
        <f t="shared" ca="1" si="99"/>
        <v>214.92537313432837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IFERROR(__xludf.DUMMYFUNCTION("IMPORTRANGE(""https://docs.google.com/spreadsheets/d/1tdoBKaGub7dwA3U6UFTqxio9LNnvDCQjHKmttSEBsFQ/edit?usp=sharing"",""จัดที่ดิน!AE66"")"),1826.91)</f>
        <v>1826.91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IFERROR(__xludf.DUMMYFUNCTION("IMPORTRANGE(""https://docs.google.com/spreadsheets/d/1eHaY18a8A9IcSdp1K8H6x8fbOy06t2VsZHhMHf-1x7Y/edit?usp=sharing"",""แผน!EY66"")"),67)</f>
        <v>67</v>
      </c>
      <c r="J371" s="291">
        <f ca="1">IFERROR(__xludf.DUMMYFUNCTION("IMPORTRANGE(""https://docs.google.com/spreadsheets/d/1tdoBKaGub7dwA3U6UFTqxio9LNnvDCQjHKmttSEBsFQ/edit?usp=sharing"",""จัดที่ดิน!AF66"")"),22)</f>
        <v>22</v>
      </c>
      <c r="K371" s="72">
        <f t="shared" ca="1" si="99"/>
        <v>32.835820895522389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IFERROR(__xludf.DUMMYFUNCTION("IMPORTRANGE(""https://docs.google.com/spreadsheets/d/1tdoBKaGub7dwA3U6UFTqxio9LNnvDCQjHKmttSEBsFQ/edit?usp=sharing"",""จัดที่ดิน!AG66"")"),250.07)</f>
        <v>250.07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500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42500</v>
      </c>
      <c r="M375" s="262">
        <f ca="1">M376+M377</f>
        <v>42500</v>
      </c>
      <c r="N375" s="262">
        <f ca="1">N376+N377</f>
        <v>2784.2</v>
      </c>
      <c r="O375" s="262">
        <f t="shared" ref="O375:O383" ca="1" si="100">IF(L375&gt;0,N375*100/L375,0)</f>
        <v>6.551058823529412</v>
      </c>
      <c r="P375" s="262">
        <f t="shared" ref="P375:P383" ca="1" si="101">IF(M375&gt;0,N375*100/M375,0)</f>
        <v>6.551058823529412</v>
      </c>
      <c r="Q375" s="262">
        <f ca="1">Q376+Q377</f>
        <v>31250</v>
      </c>
      <c r="R375" s="262">
        <f ca="1">R376+R377</f>
        <v>31250</v>
      </c>
      <c r="S375" s="262">
        <f ca="1">S376+S377</f>
        <v>15740</v>
      </c>
      <c r="T375" s="262">
        <f t="shared" ref="T375:T383" ca="1" si="102">IF(Q375&gt;0,S375*100/Q375,0)</f>
        <v>50.368000000000002</v>
      </c>
      <c r="U375" s="262">
        <f t="shared" ref="U375:U383" ca="1" si="103">IF(R375&gt;0,S375*100/R375,0)</f>
        <v>50.368000000000002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42500</v>
      </c>
      <c r="M377" s="72">
        <f t="shared" ca="1" si="104"/>
        <v>42500</v>
      </c>
      <c r="N377" s="72">
        <f t="shared" ca="1" si="104"/>
        <v>2784.2</v>
      </c>
      <c r="O377" s="72">
        <f t="shared" ca="1" si="100"/>
        <v>6.551058823529412</v>
      </c>
      <c r="P377" s="72">
        <f t="shared" ca="1" si="101"/>
        <v>6.551058823529412</v>
      </c>
      <c r="Q377" s="72">
        <f t="shared" ca="1" si="105"/>
        <v>31250</v>
      </c>
      <c r="R377" s="72">
        <f t="shared" ca="1" si="105"/>
        <v>31250</v>
      </c>
      <c r="S377" s="72">
        <f t="shared" ca="1" si="105"/>
        <v>15740</v>
      </c>
      <c r="T377" s="72">
        <f t="shared" ca="1" si="102"/>
        <v>50.368000000000002</v>
      </c>
      <c r="U377" s="72">
        <f t="shared" ca="1" si="103"/>
        <v>50.368000000000002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42500</v>
      </c>
      <c r="M378" s="72">
        <f ca="1">M379+M380</f>
        <v>42500</v>
      </c>
      <c r="N378" s="72">
        <f ca="1">N379+N380</f>
        <v>2784.2</v>
      </c>
      <c r="O378" s="72">
        <f t="shared" ca="1" si="100"/>
        <v>6.551058823529412</v>
      </c>
      <c r="P378" s="72">
        <f t="shared" ca="1" si="101"/>
        <v>6.551058823529412</v>
      </c>
      <c r="Q378" s="72">
        <f ca="1">Q379+Q380</f>
        <v>31250</v>
      </c>
      <c r="R378" s="72">
        <f ca="1">R379+R380</f>
        <v>31250</v>
      </c>
      <c r="S378" s="72">
        <f ca="1">S379+S380</f>
        <v>15740</v>
      </c>
      <c r="T378" s="72">
        <f t="shared" ca="1" si="102"/>
        <v>50.368000000000002</v>
      </c>
      <c r="U378" s="72">
        <f t="shared" ca="1" si="103"/>
        <v>50.368000000000002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IFERROR(__xludf.DUMMYFUNCTION("IMPORTRANGE(""https://docs.google.com/spreadsheets/d/1-uDff_7J0KD5mKrp0Vvzr7lt3OU09vwQwhkpOPPYv2Y/edit?usp=sharing"",""งบพรบ!IE66"")"),42500)</f>
        <v>42500</v>
      </c>
      <c r="M380" s="72">
        <f ca="1">IFERROR(__xludf.DUMMYFUNCTION("IMPORTRANGE(""https://docs.google.com/spreadsheets/d/1-uDff_7J0KD5mKrp0Vvzr7lt3OU09vwQwhkpOPPYv2Y/edit?usp=sharing"",""งบพรบ!IJ66"")"),42500)</f>
        <v>42500</v>
      </c>
      <c r="N380" s="72">
        <f ca="1">IFERROR(__xludf.DUMMYFUNCTION("IMPORTRANGE(""https://docs.google.com/spreadsheets/d/1-uDff_7J0KD5mKrp0Vvzr7lt3OU09vwQwhkpOPPYv2Y/edit?usp=sharing"",""งบพรบ!IL66"")"),2784.2)</f>
        <v>2784.2</v>
      </c>
      <c r="O380" s="72">
        <f t="shared" ca="1" si="100"/>
        <v>6.551058823529412</v>
      </c>
      <c r="P380" s="72">
        <f t="shared" ca="1" si="101"/>
        <v>6.551058823529412</v>
      </c>
      <c r="Q380" s="72">
        <f ca="1">IFERROR(__xludf.DUMMYFUNCTION("IMPORTRANGE(""https://docs.google.com/spreadsheets/d/1ItG2mGa2ceCfYo0BwxsXqNm01IGEUdYcSSLTEv9YCik/edit?usp=sharing"",""เบิกจ่ายกองทุน!BW66"")"),31250)</f>
        <v>31250</v>
      </c>
      <c r="R380" s="72">
        <f ca="1">IFERROR(__xludf.DUMMYFUNCTION("IMPORTRANGE(""https://docs.google.com/spreadsheets/d/1ItG2mGa2ceCfYo0BwxsXqNm01IGEUdYcSSLTEv9YCik/edit?usp=sharing"",""เบิกจ่ายกองทุน!BX66"")"),31250)</f>
        <v>31250</v>
      </c>
      <c r="S380" s="72">
        <f ca="1">IFERROR(__xludf.DUMMYFUNCTION("IMPORTRANGE(""https://docs.google.com/spreadsheets/d/1ItG2mGa2ceCfYo0BwxsXqNm01IGEUdYcSSLTEv9YCik/edit?usp=sharing"",""เบิกจ่ายกองทุน!BY66"")"),15740)</f>
        <v>15740</v>
      </c>
      <c r="T380" s="72">
        <f t="shared" ca="1" si="102"/>
        <v>50.368000000000002</v>
      </c>
      <c r="U380" s="72">
        <f t="shared" ca="1" si="103"/>
        <v>50.368000000000002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IFERROR(__xludf.DUMMYFUNCTION("IMPORTRANGE(""https://docs.google.com/spreadsheets/d/1-uDff_7J0KD5mKrp0Vvzr7lt3OU09vwQwhkpOPPYv2Y/edit?usp=sharing"",""งบพรบ!IH66"")"),0)</f>
        <v>0</v>
      </c>
      <c r="M383" s="72">
        <f ca="1">IFERROR(__xludf.DUMMYFUNCTION("IMPORTRANGE(""https://docs.google.com/spreadsheets/d/1-uDff_7J0KD5mKrp0Vvzr7lt3OU09vwQwhkpOPPYv2Y/edit?usp=sharing"",""งบพรบ!IK66"")"),0)</f>
        <v>0</v>
      </c>
      <c r="N383" s="72">
        <f ca="1">IFERROR(__xludf.DUMMYFUNCTION("IMPORTRANGE(""https://docs.google.com/spreadsheets/d/1-uDff_7J0KD5mKrp0Vvzr7lt3OU09vwQwhkpOPPYv2Y/edit?usp=sharing"",""งบพรบ!IM66"")"),0)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IFERROR(__xludf.DUMMYFUNCTION("IMPORTRANGE(""https://docs.google.com/spreadsheets/d/1w5rwWK1o49a35cNtocGL0gxDwhFSTZUQu90BiH9_zqM/edit?usp=sharing"",""RTK!H66"")"),0)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IFERROR(__xludf.DUMMYFUNCTION("IMPORTRANGE(""https://docs.google.com/spreadsheets/d/1w5rwWK1o49a35cNtocGL0gxDwhFSTZUQu90BiH9_zqM/edit?usp=sharing"",""RTK!G66"")"),500)</f>
        <v>500</v>
      </c>
      <c r="J386" s="291">
        <f ca="1">IFERROR(__xludf.DUMMYFUNCTION("IMPORTRANGE(""https://docs.google.com/spreadsheets/d/1w5rwWK1o49a35cNtocGL0gxDwhFSTZUQu90BiH9_zqM/edit?usp=sharing"",""RTK!I66"")"),0)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IFERROR(__xludf.DUMMYFUNCTION("IMPORTRANGE(""https://docs.google.com/spreadsheets/d/1w5rwWK1o49a35cNtocGL0gxDwhFSTZUQu90BiH9_zqM/edit?usp=sharing"",""RTK!L66"")"),0)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IFERROR(__xludf.DUMMYFUNCTION("IMPORTRANGE(""https://docs.google.com/spreadsheets/d/1w5rwWK1o49a35cNtocGL0gxDwhFSTZUQu90BiH9_zqM/edit?usp=sharing"",""RTK!K66"")"),0)</f>
        <v>0</v>
      </c>
      <c r="J388" s="237">
        <f ca="1">IFERROR(__xludf.DUMMYFUNCTION("IMPORTRANGE(""https://docs.google.com/spreadsheets/d/1w5rwWK1o49a35cNtocGL0gxDwhFSTZUQu90BiH9_zqM/edit?usp=sharing"",""RTK!M66"")"),0)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IFERROR(__xludf.DUMMYFUNCTION("IMPORTRANGE(""https://docs.google.com/spreadsheets/d/1ItG2mGa2ceCfYo0BwxsXqNm01IGEUdYcSSLTEv9YCik/edit?usp=sharing"",""เบิกจ่ายกองทุน!CL66"")"),0)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IFERROR(__xludf.DUMMYFUNCTION("IMPORTRANGE(""https://docs.google.com/spreadsheets/d/1ItG2mGa2ceCfYo0BwxsXqNm01IGEUdYcSSLTEv9YCik/edit?usp=sharing"",""เบิกจ่ายกองทุน!CM66"")"),0)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IFERROR(__xludf.DUMMYFUNCTION("IMPORTRANGE(""https://docs.google.com/spreadsheets/d/1ItG2mGa2ceCfYo0BwxsXqNm01IGEUdYcSSLTEv9YCik/edit?usp=sharing"",""เบิกจ่ายกองทุน!CN66"")"),0)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16720</v>
      </c>
      <c r="M413" s="262">
        <f ca="1">M414+M415</f>
        <v>16720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15550</v>
      </c>
      <c r="R413" s="262">
        <f ca="1">R414+R415</f>
        <v>15550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16720</v>
      </c>
      <c r="M415" s="72">
        <f t="shared" ca="1" si="116"/>
        <v>16720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15550</v>
      </c>
      <c r="R415" s="72">
        <f t="shared" ca="1" si="117"/>
        <v>15550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16720</v>
      </c>
      <c r="M416" s="72">
        <f ca="1">M417+M418</f>
        <v>16720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15550</v>
      </c>
      <c r="R416" s="72">
        <f ca="1">R417+R418</f>
        <v>15550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IFERROR(__xludf.DUMMYFUNCTION("IMPORTRANGE(""https://docs.google.com/spreadsheets/d/1-uDff_7J0KD5mKrp0Vvzr7lt3OU09vwQwhkpOPPYv2Y/edit?usp=sharing"",""งบพรบ!IO66"")"),16720)</f>
        <v>16720</v>
      </c>
      <c r="M418" s="72">
        <f ca="1">IFERROR(__xludf.DUMMYFUNCTION("IMPORTRANGE(""https://docs.google.com/spreadsheets/d/1-uDff_7J0KD5mKrp0Vvzr7lt3OU09vwQwhkpOPPYv2Y/edit?usp=sharing"",""งบพรบ!IT66"")"),16720)</f>
        <v>16720</v>
      </c>
      <c r="N418" s="72">
        <f ca="1">IFERROR(__xludf.DUMMYFUNCTION("IMPORTRANGE(""https://docs.google.com/spreadsheets/d/1-uDff_7J0KD5mKrp0Vvzr7lt3OU09vwQwhkpOPPYv2Y/edit?usp=sharing"",""งบพรบ!IV66"")"),0)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IFERROR(__xludf.DUMMYFUNCTION("IMPORTRANGE(""https://docs.google.com/spreadsheets/d/1ItG2mGa2ceCfYo0BwxsXqNm01IGEUdYcSSLTEv9YCik/edit?usp=sharing"",""เบิกจ่ายกองทุน!BZ66"")"),15550)</f>
        <v>15550</v>
      </c>
      <c r="R418" s="72">
        <f ca="1">IFERROR(__xludf.DUMMYFUNCTION("IMPORTRANGE(""https://docs.google.com/spreadsheets/d/1ItG2mGa2ceCfYo0BwxsXqNm01IGEUdYcSSLTEv9YCik/edit?usp=sharing"",""เบิกจ่ายกองทุน!CA66"")"),15550)</f>
        <v>15550</v>
      </c>
      <c r="S418" s="72">
        <f ca="1">IFERROR(__xludf.DUMMYFUNCTION("IMPORTRANGE(""https://docs.google.com/spreadsheets/d/1ItG2mGa2ceCfYo0BwxsXqNm01IGEUdYcSSLTEv9YCik/edit?usp=sharing"",""เบิกจ่ายกองทุน!CB66"")"),0)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IFERROR(__xludf.DUMMYFUNCTION("IMPORTRANGE(""https://docs.google.com/spreadsheets/d/1-uDff_7J0KD5mKrp0Vvzr7lt3OU09vwQwhkpOPPYv2Y/edit?usp=sharing"",""งบพรบ!IR66"")"),0)</f>
        <v>0</v>
      </c>
      <c r="M421" s="72">
        <f ca="1">IFERROR(__xludf.DUMMYFUNCTION("IMPORTRANGE(""https://docs.google.com/spreadsheets/d/1-uDff_7J0KD5mKrp0Vvzr7lt3OU09vwQwhkpOPPYv2Y/edit?usp=sharing"",""งบพรบ!IU66"")"),0)</f>
        <v>0</v>
      </c>
      <c r="N421" s="72">
        <f ca="1">IFERROR(__xludf.DUMMYFUNCTION("IMPORTRANGE(""https://docs.google.com/spreadsheets/d/1-uDff_7J0KD5mKrp0Vvzr7lt3OU09vwQwhkpOPPYv2Y/edit?usp=sharing"",""งบพรบ!IW66"")"),0)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IFERROR(__xludf.DUMMYFUNCTION("IMPORTRANGE(""https://docs.google.com/spreadsheets/d/1eHaY18a8A9IcSdp1K8H6x8fbOy06t2VsZHhMHf-1x7Y/edit?usp=sharing"",""แผน!HJ66"")"),0)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IFERROR(__xludf.DUMMYFUNCTION("IMPORTRANGE(""https://docs.google.com/spreadsheets/d/1eHaY18a8A9IcSdp1K8H6x8fbOy06t2VsZHhMHf-1x7Y/edit?usp=sharing"",""แผน!HK66"")"),0)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IFERROR(__xludf.DUMMYFUNCTION("IMPORTRANGE(""https://docs.google.com/spreadsheets/d/1eHaY18a8A9IcSdp1K8H6x8fbOy06t2VsZHhMHf-1x7Y/edit?usp=sharing"",""แผน!HJ66"")"),0)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IFERROR(__xludf.DUMMYFUNCTION("IMPORTRANGE(""https://docs.google.com/spreadsheets/d/1eHaY18a8A9IcSdp1K8H6x8fbOy06t2VsZHhMHf-1x7Y/edit?usp=sharing"",""แผน!HK66"")"),0)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IFERROR(__xludf.DUMMYFUNCTION("IMPORTRANGE(""https://docs.google.com/spreadsheets/d/1eHaY18a8A9IcSdp1K8H6x8fbOy06t2VsZHhMHf-1x7Y/edit?usp=sharing"",""แผน!HJ66"")"),0)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IFERROR(__xludf.DUMMYFUNCTION("IMPORTRANGE(""https://docs.google.com/spreadsheets/d/1eHaY18a8A9IcSdp1K8H6x8fbOy06t2VsZHhMHf-1x7Y/edit?usp=sharing"",""แผน!HK66"")"),0)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2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IFERROR(__xludf.DUMMYFUNCTION("IMPORTRANGE(""https://docs.google.com/spreadsheets/d/1eHaY18a8A9IcSdp1K8H6x8fbOy06t2VsZHhMHf-1x7Y/edit?usp=sharing"",""แผน!HL66"")"),2)</f>
        <v>2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IFERROR(__xludf.DUMMYFUNCTION("IMPORTRANGE(""https://docs.google.com/spreadsheets/d/1eHaY18a8A9IcSdp1K8H6x8fbOy06t2VsZHhMHf-1x7Y/edit?usp=sharing"",""แผน!HM66"")"),0)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IFERROR(__xludf.DUMMYFUNCTION("IMPORTRANGE(""https://docs.google.com/spreadsheets/d/1-uDff_7J0KD5mKrp0Vvzr7lt3OU09vwQwhkpOPPYv2Y/edit?usp=sharing"",""งบพรบ!HU66"")"),0)</f>
        <v>0</v>
      </c>
      <c r="M498" s="72">
        <f ca="1">IFERROR(__xludf.DUMMYFUNCTION("IMPORTRANGE(""https://docs.google.com/spreadsheets/d/1-uDff_7J0KD5mKrp0Vvzr7lt3OU09vwQwhkpOPPYv2Y/edit?usp=sharing"",""งบพรบ!HZ66"")"),0)</f>
        <v>0</v>
      </c>
      <c r="N498" s="72">
        <f ca="1">IFERROR(__xludf.DUMMYFUNCTION("IMPORTRANGE(""https://docs.google.com/spreadsheets/d/1-uDff_7J0KD5mKrp0Vvzr7lt3OU09vwQwhkpOPPYv2Y/edit?usp=sharing"",""งบพรบ!IB66"")"),0)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IFERROR(__xludf.DUMMYFUNCTION("IMPORTRANGE(""https://docs.google.com/spreadsheets/d/1ItG2mGa2ceCfYo0BwxsXqNm01IGEUdYcSSLTEv9YCik/edit?usp=sharing"",""เบิกจ่ายกองทุน!AD66"")"),0)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IFERROR(__xludf.DUMMYFUNCTION("IMPORTRANGE(""https://docs.google.com/spreadsheets/d/1ItG2mGa2ceCfYo0BwxsXqNm01IGEUdYcSSLTEv9YCik/edit?usp=sharing"",""เบิกจ่ายกองทุน!AE66"")"),0)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IFERROR(__xludf.DUMMYFUNCTION("IMPORTRANGE(""https://docs.google.com/spreadsheets/d/1ItG2mGa2ceCfYo0BwxsXqNm01IGEUdYcSSLTEv9YCik/edit?usp=sharing"",""เบิกจ่ายกองทุน!AF66"")"),0)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IFERROR(__xludf.DUMMYFUNCTION("IMPORTRANGE(""https://docs.google.com/spreadsheets/d/1-uDff_7J0KD5mKrp0Vvzr7lt3OU09vwQwhkpOPPYv2Y/edit?usp=sharing"",""งบพรบ!HX66"")"),0)</f>
        <v>0</v>
      </c>
      <c r="M501" s="72">
        <f ca="1">IFERROR(__xludf.DUMMYFUNCTION("IMPORTRANGE(""https://docs.google.com/spreadsheets/d/1-uDff_7J0KD5mKrp0Vvzr7lt3OU09vwQwhkpOPPYv2Y/edit?usp=sharing"",""งบพรบ!IA66"")"),0)</f>
        <v>0</v>
      </c>
      <c r="N501" s="72">
        <f ca="1">IFERROR(__xludf.DUMMYFUNCTION("IMPORTRANGE(""https://docs.google.com/spreadsheets/d/1-uDff_7J0KD5mKrp0Vvzr7lt3OU09vwQwhkpOPPYv2Y/edit?usp=sharing"",""งบพรบ!IC66"")"),0)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IFERROR(__xludf.DUMMYFUNCTION("IMPORTRANGE(""https://docs.google.com/spreadsheets/d/1eHaY18a8A9IcSdp1K8H6x8fbOy06t2VsZHhMHf-1x7Y/edit?usp=sharing"",""แผน!GX66"")"),0)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IFERROR(__xludf.DUMMYFUNCTION("IMPORTRANGE(""https://docs.google.com/spreadsheets/d/1eHaY18a8A9IcSdp1K8H6x8fbOy06t2VsZHhMHf-1x7Y/edit?usp=sharing"",""แผน!GY66"")"),0)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IFERROR(__xludf.DUMMYFUNCTION("IMPORTRANGE(""https://docs.google.com/spreadsheets/d/1eHaY18a8A9IcSdp1K8H6x8fbOy06t2VsZHhMHf-1x7Y/edit?usp=sharing"",""แผน!GZ66"")"),0)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IFERROR(__xludf.DUMMYFUNCTION("IMPORTRANGE(""https://docs.google.com/spreadsheets/d/1eHaY18a8A9IcSdp1K8H6x8fbOy06t2VsZHhMHf-1x7Y/edit?usp=sharing"",""แผน!HA66"")"),0)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IFERROR(__xludf.DUMMYFUNCTION("IMPORTRANGE(""https://docs.google.com/spreadsheets/d/1eHaY18a8A9IcSdp1K8H6x8fbOy06t2VsZHhMHf-1x7Y/edit?usp=sharing"",""แผน!HB66"")"),0)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IFERROR(__xludf.DUMMYFUNCTION("IMPORTRANGE(""https://docs.google.com/spreadsheets/d/1eHaY18a8A9IcSdp1K8H6x8fbOy06t2VsZHhMHf-1x7Y/edit?usp=sharing"",""แผน!HC66"")"),0)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IFERROR(__xludf.DUMMYFUNCTION("IMPORTRANGE(""https://docs.google.com/spreadsheets/d/1-uDff_7J0KD5mKrp0Vvzr7lt3OU09vwQwhkpOPPYv2Y/edit?usp=sharing"",""งบพรบ!FM66"")"),0)</f>
        <v>0</v>
      </c>
      <c r="M518" s="72">
        <f ca="1">IFERROR(__xludf.DUMMYFUNCTION("IMPORTRANGE(""https://docs.google.com/spreadsheets/d/1-uDff_7J0KD5mKrp0Vvzr7lt3OU09vwQwhkpOPPYv2Y/edit?usp=sharing"",""งบพรบ!FR66"")"),0)</f>
        <v>0</v>
      </c>
      <c r="N518" s="72">
        <f ca="1">IFERROR(__xludf.DUMMYFUNCTION("IMPORTRANGE(""https://docs.google.com/spreadsheets/d/1-uDff_7J0KD5mKrp0Vvzr7lt3OU09vwQwhkpOPPYv2Y/edit?usp=sharing"",""งบพรบ!FT66"")"),0)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IFERROR(__xludf.DUMMYFUNCTION("IMPORTRANGE(""https://docs.google.com/spreadsheets/d/1-uDff_7J0KD5mKrp0Vvzr7lt3OU09vwQwhkpOPPYv2Y/edit?usp=sharing"",""งบพรบ!FP66"")"),0)</f>
        <v>0</v>
      </c>
      <c r="M521" s="72">
        <f ca="1">IFERROR(__xludf.DUMMYFUNCTION("IMPORTRANGE(""https://docs.google.com/spreadsheets/d/1-uDff_7J0KD5mKrp0Vvzr7lt3OU09vwQwhkpOPPYv2Y/edit?usp=sharing"",""งบพรบ!FS66"")"),0)</f>
        <v>0</v>
      </c>
      <c r="N521" s="72">
        <f ca="1">IFERROR(__xludf.DUMMYFUNCTION("IMPORTRANGE(""https://docs.google.com/spreadsheets/d/1-uDff_7J0KD5mKrp0Vvzr7lt3OU09vwQwhkpOPPYv2Y/edit?usp=sharing"",""งบพรบ!FU66"")"),0)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IFERROR(__xludf.DUMMYFUNCTION("IMPORTRANGE(""https://docs.google.com/spreadsheets/d/1-uDff_7J0KD5mKrp0Vvzr7lt3OU09vwQwhkpOPPYv2Y/edit?usp=sharing"",""งบพรบ!FW66"")"),0)</f>
        <v>0</v>
      </c>
      <c r="M539" s="72">
        <f ca="1">IFERROR(__xludf.DUMMYFUNCTION("IMPORTRANGE(""https://docs.google.com/spreadsheets/d/1-uDff_7J0KD5mKrp0Vvzr7lt3OU09vwQwhkpOPPYv2Y/edit?usp=sharing"",""งบพรบ!GB66"")"),0)</f>
        <v>0</v>
      </c>
      <c r="N539" s="72">
        <f ca="1">IFERROR(__xludf.DUMMYFUNCTION("IMPORTRANGE(""https://docs.google.com/spreadsheets/d/1-uDff_7J0KD5mKrp0Vvzr7lt3OU09vwQwhkpOPPYv2Y/edit?usp=sharing"",""งบพรบ!GD66"")"),0)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IFERROR(__xludf.DUMMYFUNCTION("IMPORTRANGE(""https://docs.google.com/spreadsheets/d/1-uDff_7J0KD5mKrp0Vvzr7lt3OU09vwQwhkpOPPYv2Y/edit?usp=sharing"",""งบพรบ!FZ66"")"),0)</f>
        <v>0</v>
      </c>
      <c r="M542" s="72">
        <f ca="1">IFERROR(__xludf.DUMMYFUNCTION("IMPORTRANGE(""https://docs.google.com/spreadsheets/d/1-uDff_7J0KD5mKrp0Vvzr7lt3OU09vwQwhkpOPPYv2Y/edit?usp=sharing"",""งบพรบ!GC66"")"),0)</f>
        <v>0</v>
      </c>
      <c r="N542" s="72">
        <f ca="1">IFERROR(__xludf.DUMMYFUNCTION("IMPORTRANGE(""https://docs.google.com/spreadsheets/d/1-uDff_7J0KD5mKrp0Vvzr7lt3OU09vwQwhkpOPPYv2Y/edit?usp=sharing"",""งบพรบ!GE66"")"),0)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IFERROR(__xludf.DUMMYFUNCTION("IMPORTRANGE(""https://docs.google.com/spreadsheets/d/1-uDff_7J0KD5mKrp0Vvzr7lt3OU09vwQwhkpOPPYv2Y/edit?usp=sharing"",""งบพรบ!GG66"")"),0)</f>
        <v>0</v>
      </c>
      <c r="M560" s="72">
        <f ca="1">IFERROR(__xludf.DUMMYFUNCTION("IMPORTRANGE(""https://docs.google.com/spreadsheets/d/1-uDff_7J0KD5mKrp0Vvzr7lt3OU09vwQwhkpOPPYv2Y/edit?usp=sharing"",""งบพรบ!GL66"")"),0)</f>
        <v>0</v>
      </c>
      <c r="N560" s="72">
        <f ca="1">IFERROR(__xludf.DUMMYFUNCTION("IMPORTRANGE(""https://docs.google.com/spreadsheets/d/1-uDff_7J0KD5mKrp0Vvzr7lt3OU09vwQwhkpOPPYv2Y/edit?usp=sharing"",""งบพรบ!GN66"")"),0)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IFERROR(__xludf.DUMMYFUNCTION("IMPORTRANGE(""https://docs.google.com/spreadsheets/d/1-uDff_7J0KD5mKrp0Vvzr7lt3OU09vwQwhkpOPPYv2Y/edit?usp=sharing"",""งบพรบ!GJ66"")"),0)</f>
        <v>0</v>
      </c>
      <c r="M563" s="72">
        <f ca="1">IFERROR(__xludf.DUMMYFUNCTION("IMPORTRANGE(""https://docs.google.com/spreadsheets/d/1-uDff_7J0KD5mKrp0Vvzr7lt3OU09vwQwhkpOPPYv2Y/edit?usp=sharing"",""งบพรบ!GM66"")"),0)</f>
        <v>0</v>
      </c>
      <c r="N563" s="72">
        <f ca="1">IFERROR(__xludf.DUMMYFUNCTION("IMPORTRANGE(""https://docs.google.com/spreadsheets/d/1-uDff_7J0KD5mKrp0Vvzr7lt3OU09vwQwhkpOPPYv2Y/edit?usp=sharing"",""งบพรบ!GO66"")"),0)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IFERROR(__xludf.DUMMYFUNCTION("IMPORTRANGE(""https://docs.google.com/spreadsheets/d/1-uDff_7J0KD5mKrp0Vvzr7lt3OU09vwQwhkpOPPYv2Y/edit?usp=sharing"",""งบพรบ!GQ66"")"),0)</f>
        <v>0</v>
      </c>
      <c r="M581" s="72">
        <f ca="1">IFERROR(__xludf.DUMMYFUNCTION("IMPORTRANGE(""https://docs.google.com/spreadsheets/d/1-uDff_7J0KD5mKrp0Vvzr7lt3OU09vwQwhkpOPPYv2Y/edit?usp=sharing"",""งบพรบ!GV66"")"),0)</f>
        <v>0</v>
      </c>
      <c r="N581" s="72">
        <f ca="1">IFERROR(__xludf.DUMMYFUNCTION("IMPORTRANGE(""https://docs.google.com/spreadsheets/d/1-uDff_7J0KD5mKrp0Vvzr7lt3OU09vwQwhkpOPPYv2Y/edit?usp=sharing"",""งบพรบ!GX66"")"),0)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IFERROR(__xludf.DUMMYFUNCTION("IMPORTRANGE(""https://docs.google.com/spreadsheets/d/1-uDff_7J0KD5mKrp0Vvzr7lt3OU09vwQwhkpOPPYv2Y/edit?usp=sharing"",""งบพรบ!GT66"")"),0)</f>
        <v>0</v>
      </c>
      <c r="M584" s="72">
        <f ca="1">IFERROR(__xludf.DUMMYFUNCTION("IMPORTRANGE(""https://docs.google.com/spreadsheets/d/1-uDff_7J0KD5mKrp0Vvzr7lt3OU09vwQwhkpOPPYv2Y/edit?usp=sharing"",""งบพรบ!GW66"")"),0)</f>
        <v>0</v>
      </c>
      <c r="N584" s="72">
        <f ca="1">IFERROR(__xludf.DUMMYFUNCTION("IMPORTRANGE(""https://docs.google.com/spreadsheets/d/1-uDff_7J0KD5mKrp0Vvzr7lt3OU09vwQwhkpOPPYv2Y/edit?usp=sharing"",""งบพรบ!GY66"")"),0)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7512</v>
      </c>
      <c r="M599" s="211">
        <f ca="1">M600+M601</f>
        <v>7512</v>
      </c>
      <c r="N599" s="211">
        <f ca="1">N600+N601</f>
        <v>0</v>
      </c>
      <c r="O599" s="211">
        <f t="shared" ref="O599:O607" ca="1" si="149">IF(L599&gt;0,N599*100/L599,0)</f>
        <v>0</v>
      </c>
      <c r="P599" s="211">
        <f t="shared" ref="P599:P607" ca="1" si="150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7512</v>
      </c>
      <c r="M601" s="86">
        <f t="shared" ca="1" si="153"/>
        <v>7512</v>
      </c>
      <c r="N601" s="86">
        <f t="shared" ca="1" si="153"/>
        <v>0</v>
      </c>
      <c r="O601" s="86">
        <f t="shared" ca="1" si="149"/>
        <v>0</v>
      </c>
      <c r="P601" s="86">
        <f t="shared" ca="1" si="150"/>
        <v>0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9.5" x14ac:dyDescent="0.3">
      <c r="A602" s="207"/>
      <c r="B602" s="367"/>
      <c r="C602" s="367"/>
      <c r="D602" s="941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5">
        <f ca="1">L603+L604</f>
        <v>7512</v>
      </c>
      <c r="M602" s="86">
        <f ca="1">M603+M604</f>
        <v>7512</v>
      </c>
      <c r="N602" s="86">
        <f ca="1">N603+N604</f>
        <v>0</v>
      </c>
      <c r="O602" s="86">
        <f t="shared" ca="1" si="149"/>
        <v>0</v>
      </c>
      <c r="P602" s="86">
        <f t="shared" ca="1" si="150"/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IFERROR(__xludf.DUMMYFUNCTION("IMPORTRANGE(""https://docs.google.com/spreadsheets/d/1-uDff_7J0KD5mKrp0Vvzr7lt3OU09vwQwhkpOPPYv2Y/edit?usp=sharing"",""งบพรบ!HK66"")"),7512)</f>
        <v>7512</v>
      </c>
      <c r="M604" s="86">
        <f ca="1">IFERROR(__xludf.DUMMYFUNCTION("IMPORTRANGE(""https://docs.google.com/spreadsheets/d/1-uDff_7J0KD5mKrp0Vvzr7lt3OU09vwQwhkpOPPYv2Y/edit?usp=sharing"",""งบพรบ!HP66"")"),7512)</f>
        <v>7512</v>
      </c>
      <c r="N604" s="86">
        <f ca="1">IFERROR(__xludf.DUMMYFUNCTION("IMPORTRANGE(""https://docs.google.com/spreadsheets/d/1-uDff_7J0KD5mKrp0Vvzr7lt3OU09vwQwhkpOPPYv2Y/edit?usp=sharing"",""งบพรบ!HR66"")"),0)</f>
        <v>0</v>
      </c>
      <c r="O604" s="86">
        <f t="shared" ca="1" si="149"/>
        <v>0</v>
      </c>
      <c r="P604" s="86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IFERROR(__xludf.DUMMYFUNCTION("IMPORTRANGE(""https://docs.google.com/spreadsheets/d/1ItG2mGa2ceCfYo0BwxsXqNm01IGEUdYcSSLTEv9YCik/edit?usp=sharing"",""เบิกจ่ายกองทุน!AV66"")"),0)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IFERROR(__xludf.DUMMYFUNCTION("IMPORTRANGE(""https://docs.google.com/spreadsheets/d/1ItG2mGa2ceCfYo0BwxsXqNm01IGEUdYcSSLTEv9YCik/edit?usp=sharing"",""เบิกจ่ายกองทุน!AW66"")"),0)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IFERROR(__xludf.DUMMYFUNCTION("IMPORTRANGE(""https://docs.google.com/spreadsheets/d/1ItG2mGa2ceCfYo0BwxsXqNm01IGEUdYcSSLTEv9YCik/edit?usp=sharing"",""เบิกจ่ายกองทุน!AX66"")"),0)</f>
        <v>0</v>
      </c>
      <c r="T604" s="86">
        <f t="shared" ca="1" si="151"/>
        <v>0</v>
      </c>
      <c r="U604" s="86">
        <f t="shared" ca="1" si="152"/>
        <v>0</v>
      </c>
    </row>
    <row r="605" spans="1:21" ht="19.5" x14ac:dyDescent="0.3">
      <c r="A605" s="207"/>
      <c r="B605" s="367"/>
      <c r="C605" s="367"/>
      <c r="D605" s="941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IFERROR(__xludf.DUMMYFUNCTION("IMPORTRANGE(""https://docs.google.com/spreadsheets/d/1-uDff_7J0KD5mKrp0Vvzr7lt3OU09vwQwhkpOPPYv2Y/edit?usp=sharing"",""งบพรบ!HN66"")"),0)</f>
        <v>0</v>
      </c>
      <c r="M607" s="86">
        <f ca="1">IFERROR(__xludf.DUMMYFUNCTION("IMPORTRANGE(""https://docs.google.com/spreadsheets/d/1-uDff_7J0KD5mKrp0Vvzr7lt3OU09vwQwhkpOPPYv2Y/edit?usp=sharing"",""งบพรบ!HQ66"")"),0)</f>
        <v>0</v>
      </c>
      <c r="N607" s="86">
        <f ca="1">IFERROR(__xludf.DUMMYFUNCTION("IMPORTRANGE(""https://docs.google.com/spreadsheets/d/1-uDff_7J0KD5mKrp0Vvzr7lt3OU09vwQwhkpOPPYv2Y/edit?usp=sharing"",""งบพรบ!HS66"")"),0)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IFERROR(__xludf.DUMMYFUNCTION("IMPORTRANGE(""https://docs.google.com/spreadsheets/d/1ItG2mGa2ceCfYo0BwxsXqNm01IGEUdYcSSLTEv9YCik/edit?usp=sharing"",""เบิกจ่ายกองทุน!AY66"")"),0)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IFERROR(__xludf.DUMMYFUNCTION("IMPORTRANGE(""https://docs.google.com/spreadsheets/d/1ItG2mGa2ceCfYo0BwxsXqNm01IGEUdYcSSLTEv9YCik/edit?usp=sharing"",""เบิกจ่ายกองทุน!AZ66"")"),0)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IFERROR(__xludf.DUMMYFUNCTION("IMPORTRANGE(""https://docs.google.com/spreadsheets/d/1ItG2mGa2ceCfYo0BwxsXqNm01IGEUdYcSSLTEv9YCik/edit?usp=sharing"",""เบิกจ่ายกองทุน!BA66"")"),0)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7300</v>
      </c>
      <c r="R616" s="262">
        <f ca="1">R617+R618</f>
        <v>7300</v>
      </c>
      <c r="S616" s="262">
        <f ca="1">S617+S618</f>
        <v>600</v>
      </c>
      <c r="T616" s="262">
        <f t="shared" ref="T616:T624" ca="1" si="157">IF(Q616&gt;0,S616*100/Q616,0)</f>
        <v>8.2191780821917817</v>
      </c>
      <c r="U616" s="262">
        <f t="shared" ref="U616:U624" ca="1" si="158">IF(R616&gt;0,S616*100/R616,0)</f>
        <v>8.2191780821917817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7300</v>
      </c>
      <c r="R618" s="72">
        <f t="shared" ca="1" si="160"/>
        <v>7300</v>
      </c>
      <c r="S618" s="72">
        <f t="shared" ca="1" si="160"/>
        <v>600</v>
      </c>
      <c r="T618" s="72">
        <f t="shared" ca="1" si="157"/>
        <v>8.2191780821917817</v>
      </c>
      <c r="U618" s="72">
        <f t="shared" ca="1" si="158"/>
        <v>8.2191780821917817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7300</v>
      </c>
      <c r="R619" s="72">
        <f ca="1">R620+R621</f>
        <v>7300</v>
      </c>
      <c r="S619" s="72">
        <f ca="1">S620+S621</f>
        <v>600</v>
      </c>
      <c r="T619" s="72">
        <f t="shared" ca="1" si="157"/>
        <v>8.2191780821917817</v>
      </c>
      <c r="U619" s="72">
        <f t="shared" ca="1" si="158"/>
        <v>8.2191780821917817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IFERROR(__xludf.DUMMYFUNCTION("IMPORTRANGE(""https://docs.google.com/spreadsheets/d/1ItG2mGa2ceCfYo0BwxsXqNm01IGEUdYcSSLTEv9YCik/edit?usp=sharing"",""เบิกจ่ายกองทุน!F66"")"),7300)</f>
        <v>7300</v>
      </c>
      <c r="R621" s="72">
        <f ca="1">IFERROR(__xludf.DUMMYFUNCTION("IMPORTRANGE(""https://docs.google.com/spreadsheets/d/1ItG2mGa2ceCfYo0BwxsXqNm01IGEUdYcSSLTEv9YCik/edit?usp=sharing"",""เบิกจ่ายกองทุน!G66"")"),7300)</f>
        <v>7300</v>
      </c>
      <c r="S621" s="72">
        <f ca="1">IFERROR(__xludf.DUMMYFUNCTION("IMPORTRANGE(""https://docs.google.com/spreadsheets/d/1ItG2mGa2ceCfYo0BwxsXqNm01IGEUdYcSSLTEv9YCik/edit?usp=sharing"",""เบิกจ่ายกองทุน!H66"")"),600)</f>
        <v>600</v>
      </c>
      <c r="T621" s="72">
        <f t="shared" ca="1" si="157"/>
        <v>8.2191780821917817</v>
      </c>
      <c r="U621" s="72">
        <f t="shared" ca="1" si="158"/>
        <v>8.2191780821917817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IFERROR(__xludf.DUMMYFUNCTION("IMPORTRANGE(""https://docs.google.com/spreadsheets/d/1eHaY18a8A9IcSdp1K8H6x8fbOy06t2VsZHhMHf-1x7Y/edit?usp=sharing"",""แผน!ID66"")"),50)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IFERROR(__xludf.DUMMYFUNCTION("IMPORTRANGE(""https://docs.google.com/spreadsheets/d/1eHaY18a8A9IcSdp1K8H6x8fbOy06t2VsZHhMHf-1x7Y/edit?usp=sharing"",""แผน!IC66"")"),1)</f>
        <v>1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IFERROR(__xludf.DUMMYFUNCTION("IMPORTRANGE(""https://docs.google.com/spreadsheets/d/1eHaY18a8A9IcSdp1K8H6x8fbOy06t2VsZHhMHf-1x7Y/edit?usp=sharing"",""แผน!IC66"")"),1)</f>
        <v>1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IFERROR(__xludf.DUMMYFUNCTION("IMPORTRANGE(""https://docs.google.com/spreadsheets/d/1eHaY18a8A9IcSdp1K8H6x8fbOy06t2VsZHhMHf-1x7Y/edit?usp=sharing"",""แผน!IE66"")"),0)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IFERROR(__xludf.DUMMYFUNCTION("IMPORTRANGE(""https://docs.google.com/spreadsheets/d/1ItG2mGa2ceCfYo0BwxsXqNm01IGEUdYcSSLTEv9YCik/edit?usp=sharing"",""เบิกจ่ายกองทุน!I66"")"),0)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IFERROR(__xludf.DUMMYFUNCTION("IMPORTRANGE(""https://docs.google.com/spreadsheets/d/1ItG2mGa2ceCfYo0BwxsXqNm01IGEUdYcSSLTEv9YCik/edit?usp=sharing"",""เบิกจ่ายกองทุน!J66"")"),0)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IFERROR(__xludf.DUMMYFUNCTION("IMPORTRANGE(""https://docs.google.com/spreadsheets/d/1ItG2mGa2ceCfYo0BwxsXqNm01IGEUdYcSSLTEv9YCik/edit?usp=sharing"",""เบิกจ่ายกองทุน!K66"")"),0)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67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IFERROR(__xludf.DUMMYFUNCTION("IMPORTRANGE(""https://docs.google.com/spreadsheets/d/1eHaY18a8A9IcSdp1K8H6x8fbOy06t2VsZHhMHf-1x7Y/edit?usp=sharing"",""แผน!IF66"")"),0)</f>
        <v>0</v>
      </c>
      <c r="J652" s="291">
        <f ca="1">IFERROR(__xludf.DUMMYFUNCTION("IMPORTRANGE(""https://docs.google.com/spreadsheets/d/1tdoBKaGub7dwA3U6UFTqxio9LNnvDCQjHKmttSEBsFQ/edit?usp=sharing"",""จัดที่ดิน!AU66"")"),0)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IFERROR(__xludf.DUMMYFUNCTION("IMPORTRANGE(""https://docs.google.com/spreadsheets/d/1eHaY18a8A9IcSdp1K8H6x8fbOy06t2VsZHhMHf-1x7Y/edit?usp=sharing"",""แผน!IG66"")"),0)</f>
        <v>0</v>
      </c>
      <c r="J653" s="291">
        <f ca="1">IFERROR(__xludf.DUMMYFUNCTION("IMPORTRANGE(""https://docs.google.com/spreadsheets/d/1tdoBKaGub7dwA3U6UFTqxio9LNnvDCQjHKmttSEBsFQ/edit?usp=sharing"",""จัดที่ดิน!AW66"")"),0)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IFERROR(__xludf.DUMMYFUNCTION("IMPORTRANGE(""https://docs.google.com/spreadsheets/d/1eHaY18a8A9IcSdp1K8H6x8fbOy06t2VsZHhMHf-1x7Y/edit?usp=sharing"",""แผน!IH66"")"),0)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IFERROR(__xludf.DUMMYFUNCTION("IMPORTRANGE(""https://docs.google.com/spreadsheets/d/1eHaY18a8A9IcSdp1K8H6x8fbOy06t2VsZHhMHf-1x7Y/edit?usp=sharing"",""แผน!II66"")"),0)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IFERROR(__xludf.DUMMYFUNCTION("IMPORTRANGE(""https://docs.google.com/spreadsheets/d/1eHaY18a8A9IcSdp1K8H6x8fbOy06t2VsZHhMHf-1x7Y/edit?usp=sharing"",""แผน!IJ66"")"),0)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IFERROR(__xludf.DUMMYFUNCTION("IMPORTRANGE(""https://docs.google.com/spreadsheets/d/1eHaY18a8A9IcSdp1K8H6x8fbOy06t2VsZHhMHf-1x7Y/edit?usp=sharing"",""แผน!IK66"")"),0)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IFERROR(__xludf.DUMMYFUNCTION("IMPORTRANGE(""https://docs.google.com/spreadsheets/d/1tdoBKaGub7dwA3U6UFTqxio9LNnvDCQjHKmttSEBsFQ/edit?usp=sharing"",""จัดที่ดิน!AY66"")"),0)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IFERROR(__xludf.DUMMYFUNCTION("IMPORTRANGE(""https://docs.google.com/spreadsheets/d/1tdoBKaGub7dwA3U6UFTqxio9LNnvDCQjHKmttSEBsFQ/edit?usp=sharing"",""จัดที่ดิน!AZ66"")"),0)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IFERROR(__xludf.DUMMYFUNCTION("IMPORTRANGE(""https://docs.google.com/spreadsheets/d/1eHaY18a8A9IcSdp1K8H6x8fbOy06t2VsZHhMHf-1x7Y/edit?usp=sharing"",""แผน!IL66"")"),0)</f>
        <v>0</v>
      </c>
      <c r="J673" s="291">
        <f ca="1">IFERROR(__xludf.DUMMYFUNCTION("IMPORTRANGE(""https://docs.google.com/spreadsheets/d/1tdoBKaGub7dwA3U6UFTqxio9LNnvDCQjHKmttSEBsFQ/edit?usp=sharing"",""จัดที่ดิน!BA66"")"),0)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IFERROR(__xludf.DUMMYFUNCTION("IMPORTRANGE(""https://docs.google.com/spreadsheets/d/1eHaY18a8A9IcSdp1K8H6x8fbOy06t2VsZHhMHf-1x7Y/edit?usp=sharing"",""แผน!IM66"")"),0)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IFERROR(__xludf.DUMMYFUNCTION("IMPORTRANGE(""https://docs.google.com/spreadsheets/d/1eHaY18a8A9IcSdp1K8H6x8fbOy06t2VsZHhMHf-1x7Y/edit?usp=sharing"",""แผน!IN66"")"),0)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IFERROR(__xludf.DUMMYFUNCTION("IMPORTRANGE(""https://docs.google.com/spreadsheets/d/1eHaY18a8A9IcSdp1K8H6x8fbOy06t2VsZHhMHf-1x7Y/edit?usp=sharing"",""แผน!IO66"")"),0)</f>
        <v>0</v>
      </c>
      <c r="J676" s="291">
        <f ca="1">IFERROR(__xludf.DUMMYFUNCTION("IMPORTRANGE(""https://docs.google.com/spreadsheets/d/1tdoBKaGub7dwA3U6UFTqxio9LNnvDCQjHKmttSEBsFQ/edit?usp=sharing"",""จัดที่ดิน!BF66"")"),0)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IFERROR(__xludf.DUMMYFUNCTION("IMPORTRANGE(""https://docs.google.com/spreadsheets/d/1tdoBKaGub7dwA3U6UFTqxio9LNnvDCQjHKmttSEBsFQ/edit?usp=sharing"",""จัดที่ดิน!BG66"")"),0)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IFERROR(__xludf.DUMMYFUNCTION("IMPORTRANGE(""https://docs.google.com/spreadsheets/d/1eHaY18a8A9IcSdp1K8H6x8fbOy06t2VsZHhMHf-1x7Y/edit?usp=sharing"",""แผน!IP66"")"),0)</f>
        <v>0</v>
      </c>
      <c r="J678" s="291">
        <f ca="1">IFERROR(__xludf.DUMMYFUNCTION("IMPORTRANGE(""https://docs.google.com/spreadsheets/d/1tdoBKaGub7dwA3U6UFTqxio9LNnvDCQjHKmttSEBsFQ/edit?usp=sharing"",""จัดที่ดิน!BH66"")"),0)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IFERROR(__xludf.DUMMYFUNCTION("IMPORTRANGE(""https://docs.google.com/spreadsheets/d/1eHaY18a8A9IcSdp1K8H6x8fbOy06t2VsZHhMHf-1x7Y/edit?usp=sharing"",""แผน!IQ66"")"),0)</f>
        <v>0</v>
      </c>
      <c r="J679" s="291">
        <f ca="1">IFERROR(__xludf.DUMMYFUNCTION("IMPORTRANGE(""https://docs.google.com/spreadsheets/d/1tdoBKaGub7dwA3U6UFTqxio9LNnvDCQjHKmttSEBsFQ/edit?usp=sharing"",""จัดที่ดิน!BK66"")"),0)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IFERROR(__xludf.DUMMYFUNCTION("IMPORTRANGE(""https://docs.google.com/spreadsheets/d/1tdoBKaGub7dwA3U6UFTqxio9LNnvDCQjHKmttSEBsFQ/edit?usp=sharing"",""จัดที่ดิน!BL66"")"),0)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IFERROR(__xludf.DUMMYFUNCTION("IMPORTRANGE(""https://docs.google.com/spreadsheets/d/1eHaY18a8A9IcSdp1K8H6x8fbOy06t2VsZHhMHf-1x7Y/edit?usp=sharing"",""แผน!IR66"")"),0)</f>
        <v>0</v>
      </c>
      <c r="J681" s="291">
        <f ca="1">IFERROR(__xludf.DUMMYFUNCTION("IMPORTRANGE(""https://docs.google.com/spreadsheets/d/1tdoBKaGub7dwA3U6UFTqxio9LNnvDCQjHKmttSEBsFQ/edit?usp=sharing"",""จัดที่ดิน!BM66"")"),0)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IFERROR(__xludf.DUMMYFUNCTION("IMPORTRANGE(""https://docs.google.com/spreadsheets/d/1eHaY18a8A9IcSdp1K8H6x8fbOy06t2VsZHhMHf-1x7Y/edit?usp=sharing"",""แผน!IS66"")"),0)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10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72160</v>
      </c>
      <c r="R690" s="262">
        <f ca="1">R691+R692</f>
        <v>72160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72160</v>
      </c>
      <c r="R692" s="72">
        <f t="shared" ca="1" si="172"/>
        <v>72160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72160</v>
      </c>
      <c r="R693" s="72">
        <f ca="1">R694+R695</f>
        <v>72160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IFERROR(__xludf.DUMMYFUNCTION("IMPORTRANGE(""https://docs.google.com/spreadsheets/d/1ItG2mGa2ceCfYo0BwxsXqNm01IGEUdYcSSLTEv9YCik/edit?usp=sharing"",""เบิกจ่ายกองทุน!L66"")"),72160)</f>
        <v>72160</v>
      </c>
      <c r="R695" s="72">
        <f ca="1">IFERROR(__xludf.DUMMYFUNCTION("IMPORTRANGE(""https://docs.google.com/spreadsheets/d/1ItG2mGa2ceCfYo0BwxsXqNm01IGEUdYcSSLTEv9YCik/edit?usp=sharing"",""เบิกจ่ายกองทุน!M66"")"),72160)</f>
        <v>72160</v>
      </c>
      <c r="S695" s="72">
        <f ca="1">IFERROR(__xludf.DUMMYFUNCTION("IMPORTRANGE(""https://docs.google.com/spreadsheets/d/1ItG2mGa2ceCfYo0BwxsXqNm01IGEUdYcSSLTEv9YCik/edit?usp=sharing"",""เบิกจ่ายกองทุน!N66"")"),0)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IFERROR(__xludf.DUMMYFUNCTION("IMPORTRANGE(""https://docs.google.com/spreadsheets/d/1eHaY18a8A9IcSdp1K8H6x8fbOy06t2VsZHhMHf-1x7Y/edit?usp=sharing"",""แผน!LC66"")"),0)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14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IFERROR(__xludf.DUMMYFUNCTION("IMPORTRANGE(""https://docs.google.com/spreadsheets/d/1eHaY18a8A9IcSdp1K8H6x8fbOy06t2VsZHhMHf-1x7Y/edit?usp=sharing"",""แผน!LJ66"")"),10)</f>
        <v>10</v>
      </c>
      <c r="J703" s="291">
        <f ca="1">IFERROR(__xludf.DUMMYFUNCTION("IMPORTRANGE(""https://docs.google.com/spreadsheets/d/1tdoBKaGub7dwA3U6UFTqxio9LNnvDCQjHKmttSEBsFQ/edit?usp=sharing"",""จัดที่ดิน!AP66"")"),0)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IFERROR(__xludf.DUMMYFUNCTION("IMPORTRANGE(""https://docs.google.com/spreadsheets/d/1tdoBKaGub7dwA3U6UFTqxio9LNnvDCQjHKmttSEBsFQ/edit?usp=sharing"",""จัดที่ดิน!AQ66"")"),0)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IFERROR(__xludf.DUMMYFUNCTION("IMPORTRANGE(""https://docs.google.com/spreadsheets/d/1eHaY18a8A9IcSdp1K8H6x8fbOy06t2VsZHhMHf-1x7Y/edit?usp=sharing"",""แผน!LK66"")"),4)</f>
        <v>4</v>
      </c>
      <c r="J705" s="291">
        <f ca="1">IFERROR(__xludf.DUMMYFUNCTION("IMPORTRANGE(""https://docs.google.com/spreadsheets/d/1tdoBKaGub7dwA3U6UFTqxio9LNnvDCQjHKmttSEBsFQ/edit?usp=sharing"",""จัดที่ดิน!AR66"")"),0)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IFERROR(__xludf.DUMMYFUNCTION("IMPORTRANGE(""https://docs.google.com/spreadsheets/d/1tdoBKaGub7dwA3U6UFTqxio9LNnvDCQjHKmttSEBsFQ/edit?usp=sharing"",""จัดที่ดิน!AS66"")"),0)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IFERROR(__xludf.DUMMYFUNCTION("IMPORTRANGE(""https://docs.google.com/spreadsheets/d/1eHaY18a8A9IcSdp1K8H6x8fbOy06t2VsZHhMHf-1x7Y/edit?usp=sharing"",""แผน!LJ66"")"),10)</f>
        <v>10</v>
      </c>
      <c r="J707" s="291">
        <f ca="1">IFERROR(__xludf.DUMMYFUNCTION("IMPORTRANGE(""https://docs.google.com/spreadsheets/d/1tdoBKaGub7dwA3U6UFTqxio9LNnvDCQjHKmttSEBsFQ/edit?usp=sharing"",""จัดที่ดิน!BN66"")"),0)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IFERROR(__xludf.DUMMYFUNCTION("IMPORTRANGE(""https://docs.google.com/spreadsheets/d/1tdoBKaGub7dwA3U6UFTqxio9LNnvDCQjHKmttSEBsFQ/edit?usp=sharing"",""จัดที่ดิน!BO66"")"),0)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IFERROR(__xludf.DUMMYFUNCTION("IMPORTRANGE(""https://docs.google.com/spreadsheets/d/1eHaY18a8A9IcSdp1K8H6x8fbOy06t2VsZHhMHf-1x7Y/edit?usp=sharing"",""แผน!LK66"")"),4)</f>
        <v>4</v>
      </c>
      <c r="J709" s="291">
        <f ca="1">IFERROR(__xludf.DUMMYFUNCTION("IMPORTRANGE(""https://docs.google.com/spreadsheets/d/1tdoBKaGub7dwA3U6UFTqxio9LNnvDCQjHKmttSEBsFQ/edit?usp=sharing"",""จัดที่ดิน!BP66"")"),6)</f>
        <v>6</v>
      </c>
      <c r="K709" s="72">
        <f t="shared" ca="1" si="173"/>
        <v>150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IFERROR(__xludf.DUMMYFUNCTION("IMPORTRANGE(""https://docs.google.com/spreadsheets/d/1tdoBKaGub7dwA3U6UFTqxio9LNnvDCQjHKmttSEBsFQ/edit?usp=sharing"",""จัดที่ดิน!BQ66"")"),0)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IFERROR(__xludf.DUMMYFUNCTION("IMPORTRANGE(""https://docs.google.com/spreadsheets/d/1eHaY18a8A9IcSdp1K8H6x8fbOy06t2VsZHhMHf-1x7Y/edit?usp=sharing"",""แผน!GA66"")"),6)</f>
        <v>6</v>
      </c>
      <c r="J726" s="743">
        <f>J742+J746+J749</f>
        <v>6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IFERROR(__xludf.DUMMYFUNCTION("IMPORTRANGE(""https://docs.google.com/spreadsheets/d/1eHaY18a8A9IcSdp1K8H6x8fbOy06t2VsZHhMHf-1x7Y/edit?usp=sharing"",""แผน!FZ66"")"),50)</f>
        <v>50</v>
      </c>
      <c r="J727" s="743">
        <f>J752+J755</f>
        <v>50</v>
      </c>
      <c r="K727" s="744">
        <f ca="1">IF(I727&gt;0,J727*100/I727,0)</f>
        <v>100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79606</v>
      </c>
      <c r="R728" s="262">
        <f ca="1">R729+R730</f>
        <v>79606</v>
      </c>
      <c r="S728" s="262">
        <f ca="1">S729+S730</f>
        <v>55866</v>
      </c>
      <c r="T728" s="262">
        <f t="shared" ref="T728:T736" ca="1" si="182">IF(Q728&gt;0,S728*100/Q728,0)</f>
        <v>70.178127276838424</v>
      </c>
      <c r="U728" s="262">
        <f t="shared" ref="U728:U736" ca="1" si="183">IF(R728&gt;0,S728*100/R728,0)</f>
        <v>70.178127276838424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79606</v>
      </c>
      <c r="R730" s="72">
        <f t="shared" ca="1" si="185"/>
        <v>79606</v>
      </c>
      <c r="S730" s="72">
        <f t="shared" ca="1" si="185"/>
        <v>55866</v>
      </c>
      <c r="T730" s="72">
        <f t="shared" ca="1" si="182"/>
        <v>70.178127276838424</v>
      </c>
      <c r="U730" s="72">
        <f t="shared" ca="1" si="183"/>
        <v>70.178127276838424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79606</v>
      </c>
      <c r="R731" s="72">
        <f ca="1">R732+R733</f>
        <v>79606</v>
      </c>
      <c r="S731" s="72">
        <f ca="1">S732+S733</f>
        <v>55866</v>
      </c>
      <c r="T731" s="72">
        <f t="shared" ca="1" si="182"/>
        <v>70.178127276838424</v>
      </c>
      <c r="U731" s="72">
        <f t="shared" ca="1" si="183"/>
        <v>70.178127276838424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IFERROR(__xludf.DUMMYFUNCTION("IMPORTRANGE(""https://docs.google.com/spreadsheets/d/1ItG2mGa2ceCfYo0BwxsXqNm01IGEUdYcSSLTEv9YCik/edit?usp=sharing"",""เบิกจ่ายกองทุน!O66"")"),79606)</f>
        <v>79606</v>
      </c>
      <c r="R733" s="72">
        <f ca="1">IFERROR(__xludf.DUMMYFUNCTION("IMPORTRANGE(""https://docs.google.com/spreadsheets/d/1ItG2mGa2ceCfYo0BwxsXqNm01IGEUdYcSSLTEv9YCik/edit?usp=sharing"",""เบิกจ่ายกองทุน!P66"")"),79606)</f>
        <v>79606</v>
      </c>
      <c r="S733" s="72">
        <f ca="1">IFERROR(__xludf.DUMMYFUNCTION("IMPORTRANGE(""https://docs.google.com/spreadsheets/d/1ItG2mGa2ceCfYo0BwxsXqNm01IGEUdYcSSLTEv9YCik/edit?usp=sharing"",""เบิกจ่ายกองทุน!Q66"")"),55866)</f>
        <v>55866</v>
      </c>
      <c r="T733" s="72">
        <f t="shared" ca="1" si="182"/>
        <v>70.178127276838424</v>
      </c>
      <c r="U733" s="72">
        <f t="shared" ca="1" si="183"/>
        <v>70.178127276838424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IFERROR(__xludf.DUMMYFUNCTION("IMPORTRANGE(""https://docs.google.com/spreadsheets/d/1eHaY18a8A9IcSdp1K8H6x8fbOy06t2VsZHhMHf-1x7Y/edit?usp=sharing"",""แผน!GB66"")"),40)</f>
        <v>40</v>
      </c>
      <c r="J740" s="794">
        <v>40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IFERROR(__xludf.DUMMYFUNCTION("IMPORTRANGE(""https://docs.google.com/spreadsheets/d/1eHaY18a8A9IcSdp1K8H6x8fbOy06t2VsZHhMHf-1x7Y/edit?usp=sharing"",""แผน!GC66"")"),4)</f>
        <v>4</v>
      </c>
      <c r="J742" s="794">
        <v>4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IFERROR(__xludf.DUMMYFUNCTION("IMPORTRANGE(""https://docs.google.com/spreadsheets/d/1eHaY18a8A9IcSdp1K8H6x8fbOy06t2VsZHhMHf-1x7Y/edit?usp=sharing"",""แผน!GD66"")"),10)</f>
        <v>10</v>
      </c>
      <c r="J744" s="794">
        <v>10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IFERROR(__xludf.DUMMYFUNCTION("IMPORTRANGE(""https://docs.google.com/spreadsheets/d/1eHaY18a8A9IcSdp1K8H6x8fbOy06t2VsZHhMHf-1x7Y/edit?usp=sharing"",""แผน!GE66"")"),1)</f>
        <v>1</v>
      </c>
      <c r="J746" s="794">
        <v>1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IFERROR(__xludf.DUMMYFUNCTION("IMPORTRANGE(""https://docs.google.com/spreadsheets/d/1eHaY18a8A9IcSdp1K8H6x8fbOy06t2VsZHhMHf-1x7Y/edit?usp=sharing"",""แผน!GF66"")"),1)</f>
        <v>1</v>
      </c>
      <c r="J749" s="794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IFERROR(__xludf.DUMMYFUNCTION("IMPORTRANGE(""https://docs.google.com/spreadsheets/d/1eHaY18a8A9IcSdp1K8H6x8fbOy06t2VsZHhMHf-1x7Y/edit?usp=sharing"",""แผน!GB66"")"),40)</f>
        <v>40</v>
      </c>
      <c r="J752" s="794">
        <v>40</v>
      </c>
      <c r="K752" s="86">
        <f ca="1">IF(I752&gt;0,J752*100/I752,0)</f>
        <v>100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40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IFERROR(__xludf.DUMMYFUNCTION("IMPORTRANGE(""https://docs.google.com/spreadsheets/d/1eHaY18a8A9IcSdp1K8H6x8fbOy06t2VsZHhMHf-1x7Y/edit?usp=sharing"",""แผน!GD66"")"),10)</f>
        <v>10</v>
      </c>
      <c r="J755" s="794">
        <v>10</v>
      </c>
      <c r="K755" s="86">
        <f ca="1">IF(I755&gt;0,J755*100/I755,0)</f>
        <v>100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1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1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30</v>
      </c>
      <c r="J758" s="743">
        <f>J772</f>
        <v>30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100</v>
      </c>
      <c r="J759" s="743">
        <f>J774</f>
        <v>100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330680</v>
      </c>
      <c r="R760" s="262">
        <f ca="1">R761+R762</f>
        <v>330680</v>
      </c>
      <c r="S760" s="262">
        <f ca="1">S761+S762</f>
        <v>219181</v>
      </c>
      <c r="T760" s="262">
        <f t="shared" ref="T760:T768" ca="1" si="188">IF(Q760&gt;0,S760*100/Q760,0)</f>
        <v>66.28190395548566</v>
      </c>
      <c r="U760" s="262">
        <f t="shared" ref="U760:U768" ca="1" si="189">IF(R760&gt;0,S760*100/R760,0)</f>
        <v>66.28190395548566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330680</v>
      </c>
      <c r="R762" s="72">
        <f t="shared" ca="1" si="191"/>
        <v>330680</v>
      </c>
      <c r="S762" s="72">
        <f t="shared" ca="1" si="191"/>
        <v>219181</v>
      </c>
      <c r="T762" s="72">
        <f t="shared" ca="1" si="188"/>
        <v>66.28190395548566</v>
      </c>
      <c r="U762" s="72">
        <f t="shared" ca="1" si="189"/>
        <v>66.28190395548566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330680</v>
      </c>
      <c r="R763" s="72">
        <f ca="1">R764+R765</f>
        <v>330680</v>
      </c>
      <c r="S763" s="72">
        <f ca="1">S764+S765</f>
        <v>219181</v>
      </c>
      <c r="T763" s="72">
        <f t="shared" ca="1" si="188"/>
        <v>66.28190395548566</v>
      </c>
      <c r="U763" s="72">
        <f t="shared" ca="1" si="189"/>
        <v>66.28190395548566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IFERROR(__xludf.DUMMYFUNCTION("IMPORTRANGE(""https://docs.google.com/spreadsheets/d/1ItG2mGa2ceCfYo0BwxsXqNm01IGEUdYcSSLTEv9YCik/edit?usp=sharing"",""เบิกจ่ายกองทุน!AA66"")"),330680)</f>
        <v>330680</v>
      </c>
      <c r="R765" s="72">
        <f ca="1">IFERROR(__xludf.DUMMYFUNCTION("IMPORTRANGE(""https://docs.google.com/spreadsheets/d/1ItG2mGa2ceCfYo0BwxsXqNm01IGEUdYcSSLTEv9YCik/edit?usp=sharing"",""เบิกจ่ายกองทุน!AB66"")"),330680)</f>
        <v>330680</v>
      </c>
      <c r="S765" s="72">
        <f ca="1">IFERROR(__xludf.DUMMYFUNCTION("IMPORTRANGE(""https://docs.google.com/spreadsheets/d/1ItG2mGa2ceCfYo0BwxsXqNm01IGEUdYcSSLTEv9YCik/edit?usp=sharing"",""เบิกจ่ายกองทุน!AC66"")"),219181)</f>
        <v>219181</v>
      </c>
      <c r="T765" s="72">
        <f t="shared" ca="1" si="188"/>
        <v>66.28190395548566</v>
      </c>
      <c r="U765" s="72">
        <f t="shared" ca="1" si="189"/>
        <v>66.28190395548566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IFERROR(__xludf.DUMMYFUNCTION("IMPORTRANGE(""https://docs.google.com/spreadsheets/d/1eHaY18a8A9IcSdp1K8H6x8fbOy06t2VsZHhMHf-1x7Y/edit?usp=sharing"",""แผน!FI66"")"),0)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IFERROR(__xludf.DUMMYFUNCTION("IMPORTRANGE(""https://docs.google.com/spreadsheets/d/1eHaY18a8A9IcSdp1K8H6x8fbOy06t2VsZHhMHf-1x7Y/edit?usp=sharing"",""แผน!FQ66"")"),30)</f>
        <v>30</v>
      </c>
      <c r="J772" s="292">
        <v>30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IFERROR(__xludf.DUMMYFUNCTION("IMPORTRANGE(""https://docs.google.com/spreadsheets/d/1eHaY18a8A9IcSdp1K8H6x8fbOy06t2VsZHhMHf-1x7Y/edit?usp=sharing"",""แผน!FR66"")"),100)</f>
        <v>100</v>
      </c>
      <c r="J774" s="292">
        <v>100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IFERROR(__xludf.DUMMYFUNCTION("IMPORTRANGE(""https://docs.google.com/spreadsheets/d/1eHaY18a8A9IcSdp1K8H6x8fbOy06t2VsZHhMHf-1x7Y/edit?usp=sharing"",""แผน!FS66"")"),100)</f>
        <v>100</v>
      </c>
      <c r="J775" s="292">
        <v>100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IFERROR(__xludf.DUMMYFUNCTION("IMPORTRANGE(""https://docs.google.com/spreadsheets/d/1eHaY18a8A9IcSdp1K8H6x8fbOy06t2VsZHhMHf-1x7Y/edit?usp=sharing"",""แผน!FT66"")"),30)</f>
        <v>30</v>
      </c>
      <c r="J776" s="739">
        <v>30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IFERROR(__xludf.DUMMYFUNCTION("IMPORTRANGE(""https://docs.google.com/spreadsheets/d/10OvvATaaLtwErnr3qtWFcTmtbfpFEt5Bsqel9sXx0uE/edit?usp=sharing"",""งานกองทุน!D66"")"),1405124.15)</f>
        <v>1405124.15</v>
      </c>
      <c r="J778" s="291">
        <f ca="1">IFERROR(__xludf.DUMMYFUNCTION("IMPORTRANGE(""https://docs.google.com/spreadsheets/d/10OvvATaaLtwErnr3qtWFcTmtbfpFEt5Bsqel9sXx0uE/edit?usp=sharing"",""งานกองทุน!F66"")"),980220.47)</f>
        <v>980220.47</v>
      </c>
      <c r="K778" s="72">
        <f t="shared" ref="K778:K785" ca="1" si="192">IF(I778&gt;0,J778*100/I778,0)</f>
        <v>69.760417255656733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IFERROR(__xludf.DUMMYFUNCTION("IMPORTRANGE(""https://docs.google.com/spreadsheets/d/10OvvATaaLtwErnr3qtWFcTmtbfpFEt5Bsqel9sXx0uE/edit?usp=sharing"",""งานกองทุน!C66"")"),85)</f>
        <v>85</v>
      </c>
      <c r="J779" s="291">
        <f ca="1">IFERROR(__xludf.DUMMYFUNCTION("IMPORTRANGE(""https://docs.google.com/spreadsheets/d/10OvvATaaLtwErnr3qtWFcTmtbfpFEt5Bsqel9sXx0uE/edit?usp=sharing"",""งานกองทุน!E66"")"),51)</f>
        <v>51</v>
      </c>
      <c r="K779" s="72">
        <f t="shared" ca="1" si="192"/>
        <v>60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IFERROR(__xludf.DUMMYFUNCTION("IMPORTRANGE(""https://docs.google.com/spreadsheets/d/10OvvATaaLtwErnr3qtWFcTmtbfpFEt5Bsqel9sXx0uE/edit?usp=sharing"",""งานกองทุน!I66"")"),1230016.65)</f>
        <v>1230016.6499999999</v>
      </c>
      <c r="J780" s="291">
        <f ca="1">IFERROR(__xludf.DUMMYFUNCTION("IMPORTRANGE(""https://docs.google.com/spreadsheets/d/10OvvATaaLtwErnr3qtWFcTmtbfpFEt5Bsqel9sXx0uE/edit?usp=sharing"",""งานกองทุน!K66"")"),171893.86)</f>
        <v>171893.86</v>
      </c>
      <c r="K780" s="72">
        <f t="shared" ca="1" si="192"/>
        <v>13.974921396389229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IFERROR(__xludf.DUMMYFUNCTION("IMPORTRANGE(""https://docs.google.com/spreadsheets/d/10OvvATaaLtwErnr3qtWFcTmtbfpFEt5Bsqel9sXx0uE/edit?usp=sharing"",""งานกองทุน!H66"")"),39)</f>
        <v>39</v>
      </c>
      <c r="J781" s="291">
        <f ca="1">IFERROR(__xludf.DUMMYFUNCTION("IMPORTRANGE(""https://docs.google.com/spreadsheets/d/10OvvATaaLtwErnr3qtWFcTmtbfpFEt5Bsqel9sXx0uE/edit?usp=sharing"",""งานกองทุน!J66"")"),19)</f>
        <v>19</v>
      </c>
      <c r="K781" s="72">
        <f t="shared" ca="1" si="192"/>
        <v>48.717948717948715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IFERROR(__xludf.DUMMYFUNCTION("IMPORTRANGE(""https://docs.google.com/spreadsheets/d/10OvvATaaLtwErnr3qtWFcTmtbfpFEt5Bsqel9sXx0uE/edit?usp=sharing"",""งานกองทุน!N66"")"),0)</f>
        <v>0</v>
      </c>
      <c r="J782" s="291">
        <f ca="1">IFERROR(__xludf.DUMMYFUNCTION("IMPORTRANGE(""https://docs.google.com/spreadsheets/d/10OvvATaaLtwErnr3qtWFcTmtbfpFEt5Bsqel9sXx0uE/edit?usp=sharing"",""งานกองทุน!P66"")"),0)</f>
        <v>0</v>
      </c>
      <c r="K782" s="72">
        <f t="shared" ca="1" si="192"/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IFERROR(__xludf.DUMMYFUNCTION("IMPORTRANGE(""https://docs.google.com/spreadsheets/d/10OvvATaaLtwErnr3qtWFcTmtbfpFEt5Bsqel9sXx0uE/edit?usp=sharing"",""งานกองทุน!M66"")"),0)</f>
        <v>0</v>
      </c>
      <c r="J783" s="291">
        <f ca="1">IFERROR(__xludf.DUMMYFUNCTION("IMPORTRANGE(""https://docs.google.com/spreadsheets/d/10OvvATaaLtwErnr3qtWFcTmtbfpFEt5Bsqel9sXx0uE/edit?usp=sharing"",""งานกองทุน!O66"")"),0)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IFERROR(__xludf.DUMMYFUNCTION("IMPORTRANGE(""https://docs.google.com/spreadsheets/d/10OvvATaaLtwErnr3qtWFcTmtbfpFEt5Bsqel9sXx0uE/edit?usp=sharing"",""งานกองทุน!S66"")"),2156000)</f>
        <v>2156000</v>
      </c>
      <c r="J784" s="291">
        <f ca="1">IFERROR(__xludf.DUMMYFUNCTION("IMPORTRANGE(""https://docs.google.com/spreadsheets/d/10OvvATaaLtwErnr3qtWFcTmtbfpFEt5Bsqel9sXx0uE/edit?usp=sharing"",""งานกองทุน!U66"")"),1200000)</f>
        <v>1200000</v>
      </c>
      <c r="K784" s="72">
        <f t="shared" ca="1" si="192"/>
        <v>55.658627087198518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IFERROR(__xludf.DUMMYFUNCTION("IMPORTRANGE(""https://docs.google.com/spreadsheets/d/10OvvATaaLtwErnr3qtWFcTmtbfpFEt5Bsqel9sXx0uE/edit?usp=sharing"",""งานกองทุน!R66"")"),77)</f>
        <v>77</v>
      </c>
      <c r="J785" s="773">
        <f ca="1">IFERROR(__xludf.DUMMYFUNCTION("IMPORTRANGE(""https://docs.google.com/spreadsheets/d/10OvvATaaLtwErnr3qtWFcTmtbfpFEt5Bsqel9sXx0uE/edit?usp=sharing"",""งานกองทุน!T66"")"),24)</f>
        <v>24</v>
      </c>
      <c r="K785" s="181">
        <f t="shared" ca="1" si="192"/>
        <v>31.168831168831169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37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36DDE-7BA3-409F-BA44-79E1BB423EE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360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5" t="s">
        <v>2</v>
      </c>
      <c r="B4" s="1405"/>
      <c r="C4" s="1405"/>
      <c r="D4" s="1405"/>
      <c r="E4" s="1405"/>
      <c r="F4" s="1405"/>
      <c r="G4" s="1406"/>
      <c r="H4" s="1464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2542446</v>
      </c>
      <c r="M18" s="57">
        <f ca="1">M19+M20</f>
        <v>2651546</v>
      </c>
      <c r="N18" s="57">
        <f ca="1">N19+N20</f>
        <v>2099067.61</v>
      </c>
      <c r="O18" s="57">
        <f t="shared" ref="O18:O26" ca="1" si="0">IF(L18&gt;0,N18*100/L18,0)</f>
        <v>82.560951540367029</v>
      </c>
      <c r="P18" s="57">
        <f t="shared" ref="P18:P26" ca="1" si="1">IF(M18&gt;0,N18*100/M18,0)</f>
        <v>79.163914561542583</v>
      </c>
      <c r="Q18" s="57">
        <f ca="1">Q19+Q20</f>
        <v>1403409.3900000001</v>
      </c>
      <c r="R18" s="57">
        <f ca="1">R19+R20</f>
        <v>1403409</v>
      </c>
      <c r="S18" s="57">
        <f ca="1">S19+S20</f>
        <v>511268</v>
      </c>
      <c r="T18" s="57">
        <f t="shared" ref="T18:T26" ca="1" si="2">IF(Q18&gt;0,S18*100/Q18,0)</f>
        <v>36.430424624706262</v>
      </c>
      <c r="U18" s="57">
        <f t="shared" ref="U18:U26" ca="1" si="3">IF(R18&gt;0,S18*100/R18,0)</f>
        <v>36.430434748530189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2542446</v>
      </c>
      <c r="M20" s="63">
        <f t="shared" ca="1" si="4"/>
        <v>2651546</v>
      </c>
      <c r="N20" s="63">
        <f t="shared" ca="1" si="4"/>
        <v>2099067.61</v>
      </c>
      <c r="O20" s="63">
        <f t="shared" ca="1" si="0"/>
        <v>82.560951540367029</v>
      </c>
      <c r="P20" s="63">
        <f t="shared" ca="1" si="1"/>
        <v>79.163914561542583</v>
      </c>
      <c r="Q20" s="63">
        <f t="shared" ca="1" si="5"/>
        <v>1403409.3900000001</v>
      </c>
      <c r="R20" s="63">
        <f t="shared" ca="1" si="5"/>
        <v>1403409</v>
      </c>
      <c r="S20" s="63">
        <f t="shared" ca="1" si="5"/>
        <v>511268</v>
      </c>
      <c r="T20" s="63">
        <f t="shared" ca="1" si="2"/>
        <v>36.430424624706262</v>
      </c>
      <c r="U20" s="63">
        <f t="shared" ca="1" si="3"/>
        <v>36.430434748530189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2448846</v>
      </c>
      <c r="M21" s="72">
        <f ca="1">M22+M23</f>
        <v>2557946</v>
      </c>
      <c r="N21" s="72">
        <f ca="1">N22+N23</f>
        <v>2006577.6099999999</v>
      </c>
      <c r="O21" s="72">
        <f t="shared" ca="1" si="0"/>
        <v>81.939722220180442</v>
      </c>
      <c r="P21" s="72">
        <f t="shared" ca="1" si="1"/>
        <v>78.444877647925324</v>
      </c>
      <c r="Q21" s="72">
        <f ca="1">Q22+Q23</f>
        <v>1403409.3900000001</v>
      </c>
      <c r="R21" s="72">
        <f ca="1">R22+R23</f>
        <v>1403409</v>
      </c>
      <c r="S21" s="72">
        <f ca="1">S22+S23</f>
        <v>511268</v>
      </c>
      <c r="T21" s="72">
        <f t="shared" ca="1" si="2"/>
        <v>36.430424624706262</v>
      </c>
      <c r="U21" s="72">
        <f t="shared" ca="1" si="3"/>
        <v>36.430434748530189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2448846</v>
      </c>
      <c r="M23" s="72">
        <f ca="1">M49+M64+M77+M99+M122+M144+M162+M191+M178+M271+M287+M308+M325+M338+M361+M380+M418+M498+M518+M539+M560+M581+M604+M621+M647+M695+M719+M733+M765</f>
        <v>2557946</v>
      </c>
      <c r="N23" s="72">
        <f ca="1">N49+N64+N77+N99+N122+N144+N162+N191+N178+N271+N287+N308+N325+N338+N361+N380+N418+N498+N518+N539+N560+N581+N604+N621+N647+N695+N719+N733+N765</f>
        <v>2006577.6099999999</v>
      </c>
      <c r="O23" s="72">
        <f t="shared" ca="1" si="0"/>
        <v>81.939722220180442</v>
      </c>
      <c r="P23" s="72">
        <f t="shared" ca="1" si="1"/>
        <v>78.444877647925324</v>
      </c>
      <c r="Q23" s="72">
        <f t="shared" ca="1" si="6"/>
        <v>1403409.3900000001</v>
      </c>
      <c r="R23" s="72">
        <f t="shared" ca="1" si="6"/>
        <v>1403409</v>
      </c>
      <c r="S23" s="72">
        <f t="shared" ca="1" si="6"/>
        <v>511268</v>
      </c>
      <c r="T23" s="72">
        <f t="shared" ca="1" si="2"/>
        <v>36.430424624706262</v>
      </c>
      <c r="U23" s="72">
        <f t="shared" ca="1" si="3"/>
        <v>36.430434748530189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93600</v>
      </c>
      <c r="M24" s="72">
        <f ca="1">M25+M26</f>
        <v>93600</v>
      </c>
      <c r="N24" s="72">
        <f ca="1">N25+N26</f>
        <v>92490</v>
      </c>
      <c r="O24" s="72">
        <f t="shared" ca="1" si="0"/>
        <v>98.814102564102569</v>
      </c>
      <c r="P24" s="72">
        <f t="shared" ca="1" si="1"/>
        <v>98.814102564102569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93600</v>
      </c>
      <c r="M26" s="72">
        <f ca="1">M52+M67+M80+M102+M125+M147+M165+M194+M181+M274+M290+M311+M328+M341+M364+M383+M421+M501+M521+M542+M563+M584+M607+M624+M650+M698+M722+M736+M768</f>
        <v>93600</v>
      </c>
      <c r="N26" s="72">
        <f ca="1">N52+N67+N80+N102+N125+N147+N165+N194+N181+N274+N290+N311+N328+N341+N364+N383+N421+N501+N521+N542+N563+N584+N607+N624+N650+N698+N722+N736+N768</f>
        <v>92490</v>
      </c>
      <c r="O26" s="72">
        <f t="shared" ca="1" si="0"/>
        <v>98.814102564102569</v>
      </c>
      <c r="P26" s="72">
        <f t="shared" ca="1" si="1"/>
        <v>98.814102564102569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2364740</v>
      </c>
      <c r="M40" s="1050">
        <f ca="1">M44+M59+M72+M94+M125+M139+M157+M173+M186+M266+M282+M303+M320+M333+M356</f>
        <v>2473840</v>
      </c>
      <c r="N40" s="1050">
        <f ca="1">N44+N59+N72+N94+N125+N139+N157+N173+N186+N266+N282+N303+N320+N333+N356</f>
        <v>2022812.6099999999</v>
      </c>
      <c r="O40" s="1050">
        <f ca="1">IF(L40&gt;0,N40*100/L40,0)</f>
        <v>85.540592623290507</v>
      </c>
      <c r="P40" s="1050">
        <f ca="1">IF(M40&gt;0,N40*100/M40,0)</f>
        <v>81.768126071209139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358300</v>
      </c>
      <c r="M44" s="1031">
        <f ca="1">M45+M46</f>
        <v>364660</v>
      </c>
      <c r="N44" s="1031">
        <f ca="1">N45+N46</f>
        <v>358737</v>
      </c>
      <c r="O44" s="1031">
        <f t="shared" ref="O44:O52" ca="1" si="8">IF(L44&gt;0,N44*100/L44,0)</f>
        <v>100.12196483393804</v>
      </c>
      <c r="P44" s="1031">
        <f t="shared" ref="P44:P52" ca="1" si="9">IF(M44&gt;0,N44*100/M44,0)</f>
        <v>98.375747271430924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358300</v>
      </c>
      <c r="M46" s="1018">
        <f t="shared" ca="1" si="12"/>
        <v>364660</v>
      </c>
      <c r="N46" s="1018">
        <f t="shared" ca="1" si="12"/>
        <v>358737</v>
      </c>
      <c r="O46" s="1018">
        <f t="shared" ca="1" si="8"/>
        <v>100.12196483393804</v>
      </c>
      <c r="P46" s="1018">
        <f t="shared" ca="1" si="9"/>
        <v>98.375747271430924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358300</v>
      </c>
      <c r="M47" s="72">
        <f ca="1">M48+M49</f>
        <v>364660</v>
      </c>
      <c r="N47" s="72">
        <f ca="1">N48+N49</f>
        <v>358737</v>
      </c>
      <c r="O47" s="72">
        <f t="shared" ca="1" si="8"/>
        <v>100.12196483393804</v>
      </c>
      <c r="P47" s="72">
        <f t="shared" ca="1" si="9"/>
        <v>98.375747271430924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IFERROR(__xludf.DUMMYFUNCTION("IMPORTRANGE(""https://docs.google.com/spreadsheets/d/1-uDff_7J0KD5mKrp0Vvzr7lt3OU09vwQwhkpOPPYv2Y/edit?usp=sharing"",""งบพรบ!P67"")"),358300)</f>
        <v>358300</v>
      </c>
      <c r="M49" s="72">
        <f ca="1">IFERROR(__xludf.DUMMYFUNCTION("IMPORTRANGE(""https://docs.google.com/spreadsheets/d/1-uDff_7J0KD5mKrp0Vvzr7lt3OU09vwQwhkpOPPYv2Y/edit?usp=sharing"",""งบพรบ!V67"")"),364660)</f>
        <v>364660</v>
      </c>
      <c r="N49" s="72">
        <f ca="1">IFERROR(__xludf.DUMMYFUNCTION("IMPORTRANGE(""https://docs.google.com/spreadsheets/d/1-uDff_7J0KD5mKrp0Vvzr7lt3OU09vwQwhkpOPPYv2Y/edit?usp=sharing"",""งบพรบ!Y67"")"),358737)</f>
        <v>358737</v>
      </c>
      <c r="O49" s="72">
        <f t="shared" ca="1" si="8"/>
        <v>100.12196483393804</v>
      </c>
      <c r="P49" s="72">
        <f t="shared" ca="1" si="9"/>
        <v>98.375747271430924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IFERROR(__xludf.DUMMYFUNCTION("IMPORTRANGE(""https://docs.google.com/spreadsheets/d/1-uDff_7J0KD5mKrp0Vvzr7lt3OU09vwQwhkpOPPYv2Y/edit?usp=sharing"",""งบพรบ!S67"")"),0)</f>
        <v>0</v>
      </c>
      <c r="M52" s="72">
        <f ca="1">IFERROR(__xludf.DUMMYFUNCTION("IMPORTRANGE(""https://docs.google.com/spreadsheets/d/1-uDff_7J0KD5mKrp0Vvzr7lt3OU09vwQwhkpOPPYv2Y/edit?usp=sharing"",""งบพรบ!W67"")"),0)</f>
        <v>0</v>
      </c>
      <c r="N52" s="72">
        <f ca="1">IFERROR(__xludf.DUMMYFUNCTION("IMPORTRANGE(""https://docs.google.com/spreadsheets/d/1-uDff_7J0KD5mKrp0Vvzr7lt3OU09vwQwhkpOPPYv2Y/edit?usp=sharing"",""งบพรบ!Z67"")"),0)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708700</v>
      </c>
      <c r="M59" s="1001">
        <f ca="1">M60+M61</f>
        <v>708700</v>
      </c>
      <c r="N59" s="1001">
        <f ca="1">N60+N61</f>
        <v>683269.03</v>
      </c>
      <c r="O59" s="1001">
        <f t="shared" ref="O59:O67" ca="1" si="14">IF(L59&gt;0,N59*100/L59,0)</f>
        <v>96.411602934951318</v>
      </c>
      <c r="P59" s="1001">
        <f t="shared" ref="P59:P67" ca="1" si="15">IF(M59&gt;0,N59*100/M59,0)</f>
        <v>96.411602934951318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708700</v>
      </c>
      <c r="M61" s="988">
        <f t="shared" ca="1" si="18"/>
        <v>708700</v>
      </c>
      <c r="N61" s="988">
        <f t="shared" ca="1" si="18"/>
        <v>683269.03</v>
      </c>
      <c r="O61" s="988">
        <f t="shared" ca="1" si="14"/>
        <v>96.411602934951318</v>
      </c>
      <c r="P61" s="988">
        <f t="shared" ca="1" si="15"/>
        <v>96.411602934951318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615100</v>
      </c>
      <c r="M62" s="72">
        <f ca="1">M63+M64</f>
        <v>615100</v>
      </c>
      <c r="N62" s="72">
        <f ca="1">N63+N64</f>
        <v>590779.03</v>
      </c>
      <c r="O62" s="72">
        <f t="shared" ca="1" si="14"/>
        <v>96.046013656316049</v>
      </c>
      <c r="P62" s="72">
        <f t="shared" ca="1" si="15"/>
        <v>96.046013656316049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IFERROR(__xludf.DUMMYFUNCTION("IMPORTRANGE(""https://docs.google.com/spreadsheets/d/1-uDff_7J0KD5mKrp0Vvzr7lt3OU09vwQwhkpOPPYv2Y/edit?usp=sharing"",""งบพรบ!AC67"")"),615100)</f>
        <v>615100</v>
      </c>
      <c r="M64" s="72">
        <f ca="1">IFERROR(__xludf.DUMMYFUNCTION("IMPORTRANGE(""https://docs.google.com/spreadsheets/d/1-uDff_7J0KD5mKrp0Vvzr7lt3OU09vwQwhkpOPPYv2Y/edit?usp=sharing"",""งบพรบ!AH67"")"),615100)</f>
        <v>615100</v>
      </c>
      <c r="N64" s="72">
        <f ca="1">IFERROR(__xludf.DUMMYFUNCTION("IMPORTRANGE(""https://docs.google.com/spreadsheets/d/1-uDff_7J0KD5mKrp0Vvzr7lt3OU09vwQwhkpOPPYv2Y/edit?usp=sharing"",""งบพรบ!AJ67"")"),590779.03)</f>
        <v>590779.03</v>
      </c>
      <c r="O64" s="72">
        <f t="shared" ca="1" si="14"/>
        <v>96.046013656316049</v>
      </c>
      <c r="P64" s="72">
        <f t="shared" ca="1" si="15"/>
        <v>96.046013656316049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93600</v>
      </c>
      <c r="M65" s="72">
        <f ca="1">M66+M67</f>
        <v>93600</v>
      </c>
      <c r="N65" s="72">
        <f ca="1">N66+N67</f>
        <v>92490</v>
      </c>
      <c r="O65" s="72">
        <f t="shared" ca="1" si="14"/>
        <v>98.814102564102569</v>
      </c>
      <c r="P65" s="72">
        <f t="shared" ca="1" si="15"/>
        <v>98.814102564102569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IFERROR(__xludf.DUMMYFUNCTION("IMPORTRANGE(""https://docs.google.com/spreadsheets/d/1-uDff_7J0KD5mKrp0Vvzr7lt3OU09vwQwhkpOPPYv2Y/edit?usp=sharing"",""งบพรบ!AF67"")"),93600)</f>
        <v>93600</v>
      </c>
      <c r="M67" s="181">
        <f ca="1">IFERROR(__xludf.DUMMYFUNCTION("IMPORTRANGE(""https://docs.google.com/spreadsheets/d/1-uDff_7J0KD5mKrp0Vvzr7lt3OU09vwQwhkpOPPYv2Y/edit?usp=sharing"",""งบพรบ!AI67"")"),93600)</f>
        <v>93600</v>
      </c>
      <c r="N67" s="181">
        <f ca="1">IFERROR(__xludf.DUMMYFUNCTION("IMPORTRANGE(""https://docs.google.com/spreadsheets/d/1-uDff_7J0KD5mKrp0Vvzr7lt3OU09vwQwhkpOPPYv2Y/edit?usp=sharing"",""งบพรบ!AK67"")"),92490)</f>
        <v>92490</v>
      </c>
      <c r="O67" s="181">
        <f t="shared" ca="1" si="14"/>
        <v>98.814102564102569</v>
      </c>
      <c r="P67" s="181">
        <f t="shared" ca="1" si="15"/>
        <v>98.814102564102569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IFERROR(__xludf.DUMMYFUNCTION("IMPORTRANGE(""https://docs.google.com/spreadsheets/d/1-uDff_7J0KD5mKrp0Vvzr7lt3OU09vwQwhkpOPPYv2Y/edit?usp=sharing"",""งบพรบ!AM67"")"),0)</f>
        <v>0</v>
      </c>
      <c r="M77" s="72">
        <f ca="1">IFERROR(__xludf.DUMMYFUNCTION("IMPORTRANGE(""https://docs.google.com/spreadsheets/d/1-uDff_7J0KD5mKrp0Vvzr7lt3OU09vwQwhkpOPPYv2Y/edit?usp=sharing"",""งบพรบ!AR67"")"),0)</f>
        <v>0</v>
      </c>
      <c r="N77" s="72">
        <f ca="1">IFERROR(__xludf.DUMMYFUNCTION("IMPORTRANGE(""https://docs.google.com/spreadsheets/d/1-uDff_7J0KD5mKrp0Vvzr7lt3OU09vwQwhkpOPPYv2Y/edit?usp=sharing"",""งบพรบ!AT67"")"),0)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IFERROR(__xludf.DUMMYFUNCTION("IMPORTRANGE(""https://docs.google.com/spreadsheets/d/1ItG2mGa2ceCfYo0BwxsXqNm01IGEUdYcSSLTEv9YCik/edit?usp=sharing"",""เบิกจ่ายกองทุน!BH67"")"),0)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IFERROR(__xludf.DUMMYFUNCTION("IMPORTRANGE(""https://docs.google.com/spreadsheets/d/1ItG2mGa2ceCfYo0BwxsXqNm01IGEUdYcSSLTEv9YCik/edit?usp=sharing"",""เบิกจ่ายกองทุน!BI67"")"),0)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IFERROR(__xludf.DUMMYFUNCTION("IMPORTRANGE(""https://docs.google.com/spreadsheets/d/1ItG2mGa2ceCfYo0BwxsXqNm01IGEUdYcSSLTEv9YCik/edit?usp=sharing"",""เบิกจ่ายกองทุน!BJ67"")"),0)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IFERROR(__xludf.DUMMYFUNCTION("IMPORTRANGE(""https://docs.google.com/spreadsheets/d/1-uDff_7J0KD5mKrp0Vvzr7lt3OU09vwQwhkpOPPYv2Y/edit?usp=sharing"",""งบพรบ!AP67"")"),0)</f>
        <v>0</v>
      </c>
      <c r="M80" s="72">
        <f ca="1">IFERROR(__xludf.DUMMYFUNCTION("IMPORTRANGE(""https://docs.google.com/spreadsheets/d/1-uDff_7J0KD5mKrp0Vvzr7lt3OU09vwQwhkpOPPYv2Y/edit?usp=sharing"",""งบพรบ!AS67"")"),0)</f>
        <v>0</v>
      </c>
      <c r="N80" s="72">
        <f ca="1">IFERROR(__xludf.DUMMYFUNCTION("IMPORTRANGE(""https://docs.google.com/spreadsheets/d/1-uDff_7J0KD5mKrp0Vvzr7lt3OU09vwQwhkpOPPYv2Y/edit?usp=sharing"",""งบพรบ!AU67"")"),0)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IFERROR(__xludf.DUMMYFUNCTION("IMPORTRANGE(""https://docs.google.com/spreadsheets/d/1ItG2mGa2ceCfYo0BwxsXqNm01IGEUdYcSSLTEv9YCik/edit?usp=sharing"",""เบิกจ่ายกองทุน!BK67"")"),0)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IFERROR(__xludf.DUMMYFUNCTION("IMPORTRANGE(""https://docs.google.com/spreadsheets/d/1ItG2mGa2ceCfYo0BwxsXqNm01IGEUdYcSSLTEv9YCik/edit?usp=sharing"",""เบิกจ่ายกองทุน!BL67"")"),0)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IFERROR(__xludf.DUMMYFUNCTION("IMPORTRANGE(""https://docs.google.com/spreadsheets/d/1ItG2mGa2ceCfYo0BwxsXqNm01IGEUdYcSSLTEv9YCik/edit?usp=sharing"",""เบิกจ่ายกองทุน!BM67"")"),0)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IFERROR(__xludf.DUMMYFUNCTION("IMPORTRANGE(""https://docs.google.com/spreadsheets/d/1eHaY18a8A9IcSdp1K8H6x8fbOy06t2VsZHhMHf-1x7Y/edit?usp=sharing"",""แผน!H67"")"),0)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IFERROR(__xludf.DUMMYFUNCTION("IMPORTRANGE(""https://docs.google.com/spreadsheets/d/1eHaY18a8A9IcSdp1K8H6x8fbOy06t2VsZHhMHf-1x7Y/edit?usp=sharing"",""แผน!I67"")"),0)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IFERROR(__xludf.DUMMYFUNCTION("IMPORTRANGE(""https://docs.google.com/spreadsheets/d/1eHaY18a8A9IcSdp1K8H6x8fbOy06t2VsZHhMHf-1x7Y/edit?usp=sharing"",""แผน!F67"")"),0)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IFERROR(__xludf.DUMMYFUNCTION("IMPORTRANGE(""https://docs.google.com/spreadsheets/d/1eHaY18a8A9IcSdp1K8H6x8fbOy06t2VsZHhMHf-1x7Y/edit?usp=sharing"",""แผน!G67"")"),0)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IFERROR(__xludf.DUMMYFUNCTION("IMPORTRANGE(""https://docs.google.com/spreadsheets/d/1eHaY18a8A9IcSdp1K8H6x8fbOy06t2VsZHhMHf-1x7Y/edit?usp=sharing"",""แผน!D67"")"),0)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IFERROR(__xludf.DUMMYFUNCTION("IMPORTRANGE(""https://docs.google.com/spreadsheets/d/1eHaY18a8A9IcSdp1K8H6x8fbOy06t2VsZHhMHf-1x7Y/edit?usp=sharing"",""แผน!E67"")"),0)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IFERROR(__xludf.DUMMYFUNCTION("IMPORTRANGE(""https://docs.google.com/spreadsheets/d/1eHaY18a8A9IcSdp1K8H6x8fbOy06t2VsZHhMHf-1x7Y/edit?usp=sharing"",""แผน!J67"")"),0)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45</v>
      </c>
      <c r="J92" s="254">
        <f>J108</f>
        <v>45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15</v>
      </c>
      <c r="J93" s="254">
        <f>J109</f>
        <v>15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9000</v>
      </c>
      <c r="M94" s="262">
        <f ca="1">M95+M96</f>
        <v>9000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126630</v>
      </c>
      <c r="R94" s="262">
        <f ca="1">R95+R96</f>
        <v>126630</v>
      </c>
      <c r="S94" s="262">
        <f ca="1">S95+S96</f>
        <v>77635</v>
      </c>
      <c r="T94" s="262">
        <f t="shared" ref="T94:T102" ca="1" si="29">IF(Q94&gt;0,S94*100/Q94,0)</f>
        <v>61.308536681671008</v>
      </c>
      <c r="U94" s="262">
        <f t="shared" ref="U94:U102" ca="1" si="30">IF(R94&gt;0,S94*100/R94,0)</f>
        <v>61.308536681671008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9000</v>
      </c>
      <c r="M96" s="72">
        <f t="shared" ca="1" si="31"/>
        <v>9000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126630</v>
      </c>
      <c r="R96" s="72">
        <f t="shared" ca="1" si="32"/>
        <v>126630</v>
      </c>
      <c r="S96" s="72">
        <f t="shared" ca="1" si="32"/>
        <v>77635</v>
      </c>
      <c r="T96" s="72">
        <f t="shared" ca="1" si="29"/>
        <v>61.308536681671008</v>
      </c>
      <c r="U96" s="72">
        <f t="shared" ca="1" si="30"/>
        <v>61.308536681671008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9000</v>
      </c>
      <c r="M97" s="72">
        <f ca="1">M98+M99</f>
        <v>9000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126630</v>
      </c>
      <c r="R97" s="72">
        <f ca="1">R98+R99</f>
        <v>126630</v>
      </c>
      <c r="S97" s="72">
        <f ca="1">S98+S99</f>
        <v>77635</v>
      </c>
      <c r="T97" s="72">
        <f t="shared" ca="1" si="29"/>
        <v>61.308536681671008</v>
      </c>
      <c r="U97" s="72">
        <f t="shared" ca="1" si="30"/>
        <v>61.308536681671008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IFERROR(__xludf.DUMMYFUNCTION("IMPORTRANGE(""https://docs.google.com/spreadsheets/d/1-uDff_7J0KD5mKrp0Vvzr7lt3OU09vwQwhkpOPPYv2Y/edit?usp=sharing"",""งบพรบ!AW67"")"),9000)</f>
        <v>9000</v>
      </c>
      <c r="M99" s="72">
        <f ca="1">IFERROR(__xludf.DUMMYFUNCTION("IMPORTRANGE(""https://docs.google.com/spreadsheets/d/1-uDff_7J0KD5mKrp0Vvzr7lt3OU09vwQwhkpOPPYv2Y/edit?usp=sharing"",""งบพรบ!BB67"")"),9000)</f>
        <v>9000</v>
      </c>
      <c r="N99" s="72">
        <f ca="1">IFERROR(__xludf.DUMMYFUNCTION("IMPORTRANGE(""https://docs.google.com/spreadsheets/d/1-uDff_7J0KD5mKrp0Vvzr7lt3OU09vwQwhkpOPPYv2Y/edit?usp=sharing"",""งบพรบ!BD67"")"),0)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IFERROR(__xludf.DUMMYFUNCTION("IMPORTRANGE(""https://docs.google.com/spreadsheets/d/1ItG2mGa2ceCfYo0BwxsXqNm01IGEUdYcSSLTEv9YCik/edit?usp=sharing"",""เบิกจ่ายกองทุน!AJ67"")"),126630)</f>
        <v>126630</v>
      </c>
      <c r="R99" s="72">
        <f ca="1">IFERROR(__xludf.DUMMYFUNCTION("IMPORTRANGE(""https://docs.google.com/spreadsheets/d/1ItG2mGa2ceCfYo0BwxsXqNm01IGEUdYcSSLTEv9YCik/edit?usp=sharing"",""เบิกจ่ายกองทุน!AK67"")"),126630)</f>
        <v>126630</v>
      </c>
      <c r="S99" s="72">
        <f ca="1">IFERROR(__xludf.DUMMYFUNCTION("IMPORTRANGE(""https://docs.google.com/spreadsheets/d/1ItG2mGa2ceCfYo0BwxsXqNm01IGEUdYcSSLTEv9YCik/edit?usp=sharing"",""เบิกจ่ายกองทุน!AL67"")"),77635)</f>
        <v>77635</v>
      </c>
      <c r="T99" s="72">
        <f t="shared" ca="1" si="29"/>
        <v>61.308536681671008</v>
      </c>
      <c r="U99" s="72">
        <f t="shared" ca="1" si="30"/>
        <v>61.308536681671008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IFERROR(__xludf.DUMMYFUNCTION("IMPORTRANGE(""https://docs.google.com/spreadsheets/d/1-uDff_7J0KD5mKrp0Vvzr7lt3OU09vwQwhkpOPPYv2Y/edit?usp=sharing"",""งบพรบ!AZ67"")"),0)</f>
        <v>0</v>
      </c>
      <c r="M102" s="72">
        <f ca="1">IFERROR(__xludf.DUMMYFUNCTION("IMPORTRANGE(""https://docs.google.com/spreadsheets/d/1-uDff_7J0KD5mKrp0Vvzr7lt3OU09vwQwhkpOPPYv2Y/edit?usp=sharing"",""งบพรบ!BC67"")"),0)</f>
        <v>0</v>
      </c>
      <c r="N102" s="72">
        <f ca="1">IFERROR(__xludf.DUMMYFUNCTION("IMPORTRANGE(""https://docs.google.com/spreadsheets/d/1-uDff_7J0KD5mKrp0Vvzr7lt3OU09vwQwhkpOPPYv2Y/edit?usp=sharing"",""งบพรบ!BE67"")"),0)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IFERROR(__xludf.DUMMYFUNCTION("IMPORTRANGE(""https://docs.google.com/spreadsheets/d/1eHaY18a8A9IcSdp1K8H6x8fbOy06t2VsZHhMHf-1x7Y/edit?usp=sharing"",""แผน!N67"")"),45)</f>
        <v>45</v>
      </c>
      <c r="J108" s="292">
        <v>45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IFERROR(__xludf.DUMMYFUNCTION("IMPORTRANGE(""https://docs.google.com/spreadsheets/d/1eHaY18a8A9IcSdp1K8H6x8fbOy06t2VsZHhMHf-1x7Y/edit?usp=sharing"",""แผน!O67"")"),15)</f>
        <v>15</v>
      </c>
      <c r="J109" s="292">
        <v>15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540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IFERROR(__xludf.DUMMYFUNCTION("IMPORTRANGE(""https://docs.google.com/spreadsheets/d/1eHaY18a8A9IcSdp1K8H6x8fbOy06t2VsZHhMHf-1x7Y/edit?usp=sharing"",""แผน!N67"")"),45)</f>
        <v>45</v>
      </c>
      <c r="J113" s="672">
        <v>45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IFERROR(__xludf.DUMMYFUNCTION("IMPORTRANGE(""https://docs.google.com/spreadsheets/d/1eHaY18a8A9IcSdp1K8H6x8fbOy06t2VsZHhMHf-1x7Y/edit?usp=sharing"",""แผน!O67"")"),15)</f>
        <v>15</v>
      </c>
      <c r="J114" s="292">
        <v>15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86320</v>
      </c>
      <c r="T117" s="262">
        <f t="shared" ref="T117:T125" ca="1" si="35">IF(Q117&gt;0,S117*100/Q117,0)</f>
        <v>49.70632269952781</v>
      </c>
      <c r="U117" s="262">
        <f t="shared" ref="U117:U125" ca="1" si="36">IF(R117&gt;0,S117*100/R117,0)</f>
        <v>49.70632269952781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173660</v>
      </c>
      <c r="S119" s="72">
        <f t="shared" ca="1" si="38"/>
        <v>86320</v>
      </c>
      <c r="T119" s="72">
        <f t="shared" ca="1" si="35"/>
        <v>49.70632269952781</v>
      </c>
      <c r="U119" s="72">
        <f t="shared" ca="1" si="36"/>
        <v>49.70632269952781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86320</v>
      </c>
      <c r="T120" s="72">
        <f t="shared" ca="1" si="35"/>
        <v>49.70632269952781</v>
      </c>
      <c r="U120" s="72">
        <f t="shared" ca="1" si="36"/>
        <v>49.70632269952781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IFERROR(__xludf.DUMMYFUNCTION("IMPORTRANGE(""https://docs.google.com/spreadsheets/d/1-uDff_7J0KD5mKrp0Vvzr7lt3OU09vwQwhkpOPPYv2Y/edit?usp=sharing"",""งบพรบ!BG67"")"),0)</f>
        <v>0</v>
      </c>
      <c r="M122" s="72">
        <f ca="1">IFERROR(__xludf.DUMMYFUNCTION("IMPORTRANGE(""https://docs.google.com/spreadsheets/d/1-uDff_7J0KD5mKrp0Vvzr7lt3OU09vwQwhkpOPPYv2Y/edit?usp=sharing"",""งบพรบ!BL67"")"),0)</f>
        <v>0</v>
      </c>
      <c r="N122" s="72">
        <f ca="1">IFERROR(__xludf.DUMMYFUNCTION("IMPORTRANGE(""https://docs.google.com/spreadsheets/d/1-uDff_7J0KD5mKrp0Vvzr7lt3OU09vwQwhkpOPPYv2Y/edit?usp=sharing"",""งบพรบ!BN67"")"),0)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IFERROR(__xludf.DUMMYFUNCTION("IMPORTRANGE(""https://docs.google.com/spreadsheets/d/1ItG2mGa2ceCfYo0BwxsXqNm01IGEUdYcSSLTEv9YCik/edit?usp=sharing"",""เบิกจ่ายกองทุน!U67"")"),173660)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IFERROR(__xludf.DUMMYFUNCTION("IMPORTRANGE(""https://docs.google.com/spreadsheets/d/1ItG2mGa2ceCfYo0BwxsXqNm01IGEUdYcSSLTEv9YCik/edit?usp=sharing"",""เบิกจ่ายกองทุน!V67"")"),173660)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IFERROR(__xludf.DUMMYFUNCTION("IMPORTRANGE(""https://docs.google.com/spreadsheets/d/1ItG2mGa2ceCfYo0BwxsXqNm01IGEUdYcSSLTEv9YCik/edit?usp=sharing"",""เบิกจ่ายกองทุน!W67"")"),86320)</f>
        <v>86320</v>
      </c>
      <c r="T122" s="72">
        <f t="shared" ca="1" si="35"/>
        <v>49.70632269952781</v>
      </c>
      <c r="U122" s="72">
        <f t="shared" ca="1" si="36"/>
        <v>49.70632269952781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IFERROR(__xludf.DUMMYFUNCTION("IMPORTRANGE(""https://docs.google.com/spreadsheets/d/1-uDff_7J0KD5mKrp0Vvzr7lt3OU09vwQwhkpOPPYv2Y/edit?usp=sharing"",""งบพรบ!BJ67"")"),0)</f>
        <v>0</v>
      </c>
      <c r="M125" s="72">
        <f ca="1">IFERROR(__xludf.DUMMYFUNCTION("IMPORTRANGE(""https://docs.google.com/spreadsheets/d/1-uDff_7J0KD5mKrp0Vvzr7lt3OU09vwQwhkpOPPYv2Y/edit?usp=sharing"",""งบพรบ!BM67"")"),0)</f>
        <v>0</v>
      </c>
      <c r="N125" s="72">
        <f ca="1">IFERROR(__xludf.DUMMYFUNCTION("IMPORTRANGE(""https://docs.google.com/spreadsheets/d/1-uDff_7J0KD5mKrp0Vvzr7lt3OU09vwQwhkpOPPYv2Y/edit?usp=sharing"",""งบพรบ!BO67"")"),0)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IFERROR(__xludf.DUMMYFUNCTION("IMPORTRANGE(""https://docs.google.com/spreadsheets/d/1ItG2mGa2ceCfYo0BwxsXqNm01IGEUdYcSSLTEv9YCik/edit?usp=sharing"",""เบิกจ่ายกองทุน!X67"")"),0)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IFERROR(__xludf.DUMMYFUNCTION("IMPORTRANGE(""https://docs.google.com/spreadsheets/d/1ItG2mGa2ceCfYo0BwxsXqNm01IGEUdYcSSLTEv9YCik/edit?usp=sharing"",""เบิกจ่ายกองทุน!Y67"")"),0)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IFERROR(__xludf.DUMMYFUNCTION("IMPORTRANGE(""https://docs.google.com/spreadsheets/d/1ItG2mGa2ceCfYo0BwxsXqNm01IGEUdYcSSLTEv9YCik/edit?usp=sharing"",""เบิกจ่ายกองทุน!Z67"")"),0)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68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IFERROR(__xludf.DUMMYFUNCTION("IMPORTRANGE(""https://docs.google.com/spreadsheets/d/1eHaY18a8A9IcSdp1K8H6x8fbOy06t2VsZHhMHf-1x7Y/edit?usp=sharing"",""แผน!FF67"")"),10)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IFERROR(__xludf.DUMMYFUNCTION("IMPORTRANGE(""https://docs.google.com/spreadsheets/d/1eHaY18a8A9IcSdp1K8H6x8fbOy06t2VsZHhMHf-1x7Y/edit?usp=sharing"",""แผน!FG67"")"),0)</f>
        <v>0</v>
      </c>
      <c r="J128" s="292">
        <v>1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IFERROR(__xludf.DUMMYFUNCTION("IMPORTRANGE(""https://docs.google.com/spreadsheets/d/1eHaY18a8A9IcSdp1K8H6x8fbOy06t2VsZHhMHf-1x7Y/edit?usp=sharing"",""แผน!FH67"")"),10)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IFERROR(__xludf.DUMMYFUNCTION("IMPORTRANGE(""https://docs.google.com/spreadsheets/d/1eHaY18a8A9IcSdp1K8H6x8fbOy06t2VsZHhMHf-1x7Y/edit?usp=sharing"",""แผน!FI67"")"),0)</f>
        <v>0</v>
      </c>
      <c r="J130" s="292">
        <v>1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1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30</v>
      </c>
      <c r="J137" s="254">
        <f>J152</f>
        <v>30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3</v>
      </c>
      <c r="J138" s="254">
        <f>J153</f>
        <v>3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135400</v>
      </c>
      <c r="M139" s="262">
        <f ca="1">M140+M141</f>
        <v>130400</v>
      </c>
      <c r="N139" s="262">
        <f ca="1">N140+N141</f>
        <v>112599</v>
      </c>
      <c r="O139" s="262">
        <f t="shared" ref="O139:O147" ca="1" si="39">IF(L139&gt;0,N139*100/L139,0)</f>
        <v>83.160265878877397</v>
      </c>
      <c r="P139" s="262">
        <f t="shared" ref="P139:P147" ca="1" si="40">IF(M139&gt;0,N139*100/M139,0)</f>
        <v>86.348926380368098</v>
      </c>
      <c r="Q139" s="262">
        <f ca="1">Q140+Q141</f>
        <v>167915</v>
      </c>
      <c r="R139" s="262">
        <f ca="1">R140+R141</f>
        <v>167915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135400</v>
      </c>
      <c r="M141" s="72">
        <f t="shared" ca="1" si="43"/>
        <v>130400</v>
      </c>
      <c r="N141" s="72">
        <f t="shared" ca="1" si="43"/>
        <v>112599</v>
      </c>
      <c r="O141" s="72">
        <f t="shared" ca="1" si="39"/>
        <v>83.160265878877397</v>
      </c>
      <c r="P141" s="72">
        <f t="shared" ca="1" si="40"/>
        <v>86.348926380368098</v>
      </c>
      <c r="Q141" s="72">
        <f t="shared" ca="1" si="44"/>
        <v>167915</v>
      </c>
      <c r="R141" s="72">
        <f t="shared" ca="1" si="44"/>
        <v>167915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135400</v>
      </c>
      <c r="M142" s="72">
        <f ca="1">M143+M144</f>
        <v>130400</v>
      </c>
      <c r="N142" s="72">
        <f ca="1">N143+N144</f>
        <v>112599</v>
      </c>
      <c r="O142" s="72">
        <f t="shared" ca="1" si="39"/>
        <v>83.160265878877397</v>
      </c>
      <c r="P142" s="72">
        <f t="shared" ca="1" si="40"/>
        <v>86.348926380368098</v>
      </c>
      <c r="Q142" s="72">
        <f ca="1">Q143+Q144</f>
        <v>167915</v>
      </c>
      <c r="R142" s="72">
        <f ca="1">R143+R144</f>
        <v>167915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IFERROR(__xludf.DUMMYFUNCTION("IMPORTRANGE(""https://docs.google.com/spreadsheets/d/1-uDff_7J0KD5mKrp0Vvzr7lt3OU09vwQwhkpOPPYv2Y/edit?usp=sharing"",""งบพรบ!BQ67"")"),135400)</f>
        <v>135400</v>
      </c>
      <c r="M144" s="72">
        <f ca="1">IFERROR(__xludf.DUMMYFUNCTION("IMPORTRANGE(""https://docs.google.com/spreadsheets/d/1-uDff_7J0KD5mKrp0Vvzr7lt3OU09vwQwhkpOPPYv2Y/edit?usp=sharing"",""งบพรบ!BV67"")"),130400)</f>
        <v>130400</v>
      </c>
      <c r="N144" s="72">
        <f ca="1">IFERROR(__xludf.DUMMYFUNCTION("IMPORTRANGE(""https://docs.google.com/spreadsheets/d/1-uDff_7J0KD5mKrp0Vvzr7lt3OU09vwQwhkpOPPYv2Y/edit?usp=sharing"",""งบพรบ!BX67"")"),112599)</f>
        <v>112599</v>
      </c>
      <c r="O144" s="72">
        <f t="shared" ca="1" si="39"/>
        <v>83.160265878877397</v>
      </c>
      <c r="P144" s="72">
        <f t="shared" ca="1" si="40"/>
        <v>86.348926380368098</v>
      </c>
      <c r="Q144" s="72">
        <f ca="1">IFERROR(__xludf.DUMMYFUNCTION("IMPORTRANGE(""https://docs.google.com/spreadsheets/d/1ItG2mGa2ceCfYo0BwxsXqNm01IGEUdYcSSLTEv9YCik/edit?usp=sharing"",""เบิกจ่ายกองทุน!CF67"")"),167915)</f>
        <v>167915</v>
      </c>
      <c r="R144" s="72">
        <f ca="1">IFERROR(__xludf.DUMMYFUNCTION("IMPORTRANGE(""https://docs.google.com/spreadsheets/d/1ItG2mGa2ceCfYo0BwxsXqNm01IGEUdYcSSLTEv9YCik/edit?usp=sharing"",""เบิกจ่ายกองทุน!CG67"")"),167915)</f>
        <v>167915</v>
      </c>
      <c r="S144" s="72">
        <f ca="1">IFERROR(__xludf.DUMMYFUNCTION("IMPORTRANGE(""https://docs.google.com/spreadsheets/d/1ItG2mGa2ceCfYo0BwxsXqNm01IGEUdYcSSLTEv9YCik/edit?usp=sharing"",""เบิกจ่ายกองทุน!CH67"")"),0)</f>
        <v>0</v>
      </c>
      <c r="T144" s="72">
        <f t="shared" ca="1" si="41"/>
        <v>0</v>
      </c>
      <c r="U144" s="72">
        <f t="shared" ca="1" si="42"/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IFERROR(__xludf.DUMMYFUNCTION("IMPORTRANGE(""https://docs.google.com/spreadsheets/d/1-uDff_7J0KD5mKrp0Vvzr7lt3OU09vwQwhkpOPPYv2Y/edit?usp=sharing"",""งบพรบ!BT67"")"),0)</f>
        <v>0</v>
      </c>
      <c r="M147" s="72">
        <f ca="1">IFERROR(__xludf.DUMMYFUNCTION("IMPORTRANGE(""https://docs.google.com/spreadsheets/d/1-uDff_7J0KD5mKrp0Vvzr7lt3OU09vwQwhkpOPPYv2Y/edit?usp=sharing"",""งบพรบ!BW67"")"),0)</f>
        <v>0</v>
      </c>
      <c r="N147" s="72">
        <f ca="1">IFERROR(__xludf.DUMMYFUNCTION("IMPORTRANGE(""https://docs.google.com/spreadsheets/d/1-uDff_7J0KD5mKrp0Vvzr7lt3OU09vwQwhkpOPPYv2Y/edit?usp=sharing"",""งบพรบ!BY67"")"),0)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IFERROR(__xludf.DUMMYFUNCTION("IMPORTRANGE(""https://docs.google.com/spreadsheets/d/1ItG2mGa2ceCfYo0BwxsXqNm01IGEUdYcSSLTEv9YCik/edit?usp=sharing"",""เบิกจ่ายกองทุน!CI67"")"),0)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IFERROR(__xludf.DUMMYFUNCTION("IMPORTRANGE(""https://docs.google.com/spreadsheets/d/1ItG2mGa2ceCfYo0BwxsXqNm01IGEUdYcSSLTEv9YCik/edit?usp=sharing"",""เบิกจ่ายกองทุน!CJ67"")"),0)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IFERROR(__xludf.DUMMYFUNCTION("IMPORTRANGE(""https://docs.google.com/spreadsheets/d/1ItG2mGa2ceCfYo0BwxsXqNm01IGEUdYcSSLTEv9YCik/edit?usp=sharing"",""เบิกจ่ายกองทุน!CK67"")"),0)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68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IFERROR(__xludf.DUMMYFUNCTION("IMPORTRANGE(""https://docs.google.com/spreadsheets/d/1eHaY18a8A9IcSdp1K8H6x8fbOy06t2VsZHhMHf-1x7Y/edit?usp=sharing"",""แผน!U67"")"),10)</f>
        <v>10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IFERROR(__xludf.DUMMYFUNCTION("IMPORTRANGE(""https://docs.google.com/spreadsheets/d/1eHaY18a8A9IcSdp1K8H6x8fbOy06t2VsZHhMHf-1x7Y/edit?usp=sharing"",""แผน!V67"")"),1)</f>
        <v>1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IFERROR(__xludf.DUMMYFUNCTION("IMPORTRANGE(""https://docs.google.com/spreadsheets/d/1eHaY18a8A9IcSdp1K8H6x8fbOy06t2VsZHhMHf-1x7Y/edit?usp=sharing"",""แผน!W67"")"),30)</f>
        <v>30</v>
      </c>
      <c r="J152" s="292">
        <v>30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IFERROR(__xludf.DUMMYFUNCTION("IMPORTRANGE(""https://docs.google.com/spreadsheets/d/1eHaY18a8A9IcSdp1K8H6x8fbOy06t2VsZHhMHf-1x7Y/edit?usp=sharing"",""แผน!X67"")"),3)</f>
        <v>3</v>
      </c>
      <c r="J153" s="292">
        <v>3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IFERROR(__xludf.DUMMYFUNCTION("IMPORTRANGE(""https://docs.google.com/spreadsheets/d/1eHaY18a8A9IcSdp1K8H6x8fbOy06t2VsZHhMHf-1x7Y/edit?usp=sharing"",""แผน!Y67"")"),1)</f>
        <v>1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6730</v>
      </c>
      <c r="N157" s="262">
        <f ca="1">N158+N159</f>
        <v>5920</v>
      </c>
      <c r="O157" s="262">
        <f t="shared" ref="O157:O165" ca="1" si="45">IF(L157&gt;0,N157*100/L157,0)</f>
        <v>131.55555555555554</v>
      </c>
      <c r="P157" s="262">
        <f t="shared" ref="P157:P165" ca="1" si="46">IF(M157&gt;0,N157*100/M157,0)</f>
        <v>87.964338781575037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6730</v>
      </c>
      <c r="N159" s="72">
        <f t="shared" ca="1" si="49"/>
        <v>5920</v>
      </c>
      <c r="O159" s="72">
        <f t="shared" ca="1" si="45"/>
        <v>131.55555555555554</v>
      </c>
      <c r="P159" s="72">
        <f t="shared" ca="1" si="46"/>
        <v>87.964338781575037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6730</v>
      </c>
      <c r="N160" s="72">
        <f ca="1">N161+N162</f>
        <v>5920</v>
      </c>
      <c r="O160" s="72">
        <f t="shared" ca="1" si="45"/>
        <v>131.55555555555554</v>
      </c>
      <c r="P160" s="72">
        <f t="shared" ca="1" si="46"/>
        <v>87.964338781575037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IFERROR(__xludf.DUMMYFUNCTION("IMPORTRANGE(""https://docs.google.com/spreadsheets/d/1-uDff_7J0KD5mKrp0Vvzr7lt3OU09vwQwhkpOPPYv2Y/edit?usp=sharing"",""งบพรบ!CA67"")"),4500)</f>
        <v>4500</v>
      </c>
      <c r="M162" s="72">
        <f ca="1">IFERROR(__xludf.DUMMYFUNCTION("IMPORTRANGE(""https://docs.google.com/spreadsheets/d/1-uDff_7J0KD5mKrp0Vvzr7lt3OU09vwQwhkpOPPYv2Y/edit?usp=sharing"",""งบพรบ!CF67"")"),6730)</f>
        <v>6730</v>
      </c>
      <c r="N162" s="72">
        <f ca="1">IFERROR(__xludf.DUMMYFUNCTION("IMPORTRANGE(""https://docs.google.com/spreadsheets/d/1-uDff_7J0KD5mKrp0Vvzr7lt3OU09vwQwhkpOPPYv2Y/edit?usp=sharing"",""งบพรบ!CH67"")"),5920)</f>
        <v>5920</v>
      </c>
      <c r="O162" s="72">
        <f t="shared" ca="1" si="45"/>
        <v>131.55555555555554</v>
      </c>
      <c r="P162" s="72">
        <f t="shared" ca="1" si="46"/>
        <v>87.964338781575037</v>
      </c>
      <c r="Q162" s="72">
        <f ca="1">IFERROR(__xludf.DUMMYFUNCTION("IMPORTRANGE(""https://docs.google.com/spreadsheets/d/1ItG2mGa2ceCfYo0BwxsXqNm01IGEUdYcSSLTEv9YCik/edit?usp=sharing"",""เบิกจ่ายกองทุน!AM67"")"),0)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IFERROR(__xludf.DUMMYFUNCTION("IMPORTRANGE(""https://docs.google.com/spreadsheets/d/1ItG2mGa2ceCfYo0BwxsXqNm01IGEUdYcSSLTEv9YCik/edit?usp=sharing"",""เบิกจ่ายกองทุน!AN67"")"),0)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IFERROR(__xludf.DUMMYFUNCTION("IMPORTRANGE(""https://docs.google.com/spreadsheets/d/1ItG2mGa2ceCfYo0BwxsXqNm01IGEUdYcSSLTEv9YCik/edit?usp=sharing"",""เบิกจ่ายกองทุน!AO67"")"),0)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IFERROR(__xludf.DUMMYFUNCTION("IMPORTRANGE(""https://docs.google.com/spreadsheets/d/1-uDff_7J0KD5mKrp0Vvzr7lt3OU09vwQwhkpOPPYv2Y/edit?usp=sharing"",""งบพรบ!CD67"")"),0)</f>
        <v>0</v>
      </c>
      <c r="M165" s="72">
        <f ca="1">IFERROR(__xludf.DUMMYFUNCTION("IMPORTRANGE(""https://docs.google.com/spreadsheets/d/1-uDff_7J0KD5mKrp0Vvzr7lt3OU09vwQwhkpOPPYv2Y/edit?usp=sharing"",""งบพรบ!CG67"")"),0)</f>
        <v>0</v>
      </c>
      <c r="N165" s="72">
        <f ca="1">IFERROR(__xludf.DUMMYFUNCTION("IMPORTRANGE(""https://docs.google.com/spreadsheets/d/1-uDff_7J0KD5mKrp0Vvzr7lt3OU09vwQwhkpOPPYv2Y/edit?usp=sharing"",""งบพรบ!CI67"")"),0)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IFERROR(__xludf.DUMMYFUNCTION("IMPORTRANGE(""https://docs.google.com/spreadsheets/d/1eHaY18a8A9IcSdp1K8H6x8fbOy06t2VsZHhMHf-1x7Y/edit?usp=sharing"",""แผน!Z67"")"),15)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15</v>
      </c>
      <c r="J172" s="963">
        <f>J183+J184</f>
        <v>7</v>
      </c>
      <c r="K172" s="962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29580</v>
      </c>
      <c r="N173" s="262">
        <f ca="1">N174+N175</f>
        <v>28335</v>
      </c>
      <c r="O173" s="262">
        <f t="shared" ref="O173:O181" ca="1" si="51">IF(L173&gt;0,N173*100/L173,0)</f>
        <v>144.64012251148546</v>
      </c>
      <c r="P173" s="262">
        <f t="shared" ref="P173:P181" ca="1" si="52">IF(M173&gt;0,N173*100/M173,0)</f>
        <v>95.791075050709935</v>
      </c>
      <c r="Q173" s="262">
        <f ca="1">Q174+Q175</f>
        <v>21200</v>
      </c>
      <c r="R173" s="262">
        <f ca="1">R174+R175</f>
        <v>21200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29580</v>
      </c>
      <c r="N175" s="72">
        <f t="shared" ca="1" si="55"/>
        <v>28335</v>
      </c>
      <c r="O175" s="72">
        <f t="shared" ca="1" si="51"/>
        <v>144.64012251148546</v>
      </c>
      <c r="P175" s="72">
        <f t="shared" ca="1" si="52"/>
        <v>95.791075050709935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29580</v>
      </c>
      <c r="N176" s="72">
        <f ca="1">N177+N178</f>
        <v>28335</v>
      </c>
      <c r="O176" s="72">
        <f t="shared" ca="1" si="51"/>
        <v>144.64012251148546</v>
      </c>
      <c r="P176" s="72">
        <f t="shared" ca="1" si="52"/>
        <v>95.791075050709935</v>
      </c>
      <c r="Q176" s="72">
        <f ca="1">Q177+Q178</f>
        <v>21200</v>
      </c>
      <c r="R176" s="72">
        <f ca="1">R177+R178</f>
        <v>21200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IFERROR(__xludf.DUMMYFUNCTION("IMPORTRANGE(""https://docs.google.com/spreadsheets/d/1-uDff_7J0KD5mKrp0Vvzr7lt3OU09vwQwhkpOPPYv2Y/edit?usp=sharing"",""งบพรบ!CK67"")"),19590)</f>
        <v>19590</v>
      </c>
      <c r="M178" s="72">
        <f ca="1">IFERROR(__xludf.DUMMYFUNCTION("IMPORTRANGE(""https://docs.google.com/spreadsheets/d/1-uDff_7J0KD5mKrp0Vvzr7lt3OU09vwQwhkpOPPYv2Y/edit?usp=sharing"",""งบพรบ!CP67"")"),29580)</f>
        <v>29580</v>
      </c>
      <c r="N178" s="72">
        <f ca="1">IFERROR(__xludf.DUMMYFUNCTION("IMPORTRANGE(""https://docs.google.com/spreadsheets/d/1-uDff_7J0KD5mKrp0Vvzr7lt3OU09vwQwhkpOPPYv2Y/edit?usp=sharing"",""งบพรบ!CR67"")"),28335)</f>
        <v>28335</v>
      </c>
      <c r="O178" s="72">
        <f t="shared" ca="1" si="51"/>
        <v>144.64012251148546</v>
      </c>
      <c r="P178" s="72">
        <f t="shared" ca="1" si="52"/>
        <v>95.791075050709935</v>
      </c>
      <c r="Q178" s="72">
        <f ca="1">IFERROR(__xludf.DUMMYFUNCTION("IMPORTRANGE(""https://docs.google.com/spreadsheets/d/1ItG2mGa2ceCfYo0BwxsXqNm01IGEUdYcSSLTEv9YCik/edit?usp=sharing"",""เบิกจ่ายกองทุน!DG67"")"),21200)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IFERROR(__xludf.DUMMYFUNCTION("IMPORTRANGE(""https://docs.google.com/spreadsheets/d/1ItG2mGa2ceCfYo0BwxsXqNm01IGEUdYcSSLTEv9YCik/edit?usp=sharing"",""เบิกจ่ายกองทุน!DH67"")"),21200)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IFERROR(__xludf.DUMMYFUNCTION("IMPORTRANGE(""https://docs.google.com/spreadsheets/d/1ItG2mGa2ceCfYo0BwxsXqNm01IGEUdYcSSLTEv9YCik/edit?usp=sharing"",""เบิกจ่ายกองทุน!DI67"")"),0)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IFERROR(__xludf.DUMMYFUNCTION("IMPORTRANGE(""https://docs.google.com/spreadsheets/d/1-uDff_7J0KD5mKrp0Vvzr7lt3OU09vwQwhkpOPPYv2Y/edit?usp=sharing"",""งบพรบ!CN67"")"),0)</f>
        <v>0</v>
      </c>
      <c r="M181" s="72">
        <f ca="1">IFERROR(__xludf.DUMMYFUNCTION("IMPORTRANGE(""https://docs.google.com/spreadsheets/d/1-uDff_7J0KD5mKrp0Vvzr7lt3OU09vwQwhkpOPPYv2Y/edit?usp=sharing"",""งบพรบ!CQ67"")"),0)</f>
        <v>0</v>
      </c>
      <c r="N181" s="72">
        <f ca="1">IFERROR(__xludf.DUMMYFUNCTION("IMPORTRANGE(""https://docs.google.com/spreadsheets/d/1-uDff_7J0KD5mKrp0Vvzr7lt3OU09vwQwhkpOPPYv2Y/edit?usp=sharing"",""งบพรบ!CS67"")"),0)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IFERROR(__xludf.DUMMYFUNCTION("IMPORTRANGE(""https://docs.google.com/spreadsheets/d/1eHaY18a8A9IcSdp1K8H6x8fbOy06t2VsZHhMHf-1x7Y/edit?usp=sharing"",""แผน!AA67"")"),15)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257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20500</v>
      </c>
      <c r="M186" s="262">
        <f ca="1">M187+M188</f>
        <v>22500</v>
      </c>
      <c r="N186" s="262">
        <f ca="1">N187+N188</f>
        <v>5110</v>
      </c>
      <c r="O186" s="262">
        <f t="shared" ref="O186:O194" ca="1" si="57">IF(L186&gt;0,N186*100/L186,0)</f>
        <v>24.926829268292682</v>
      </c>
      <c r="P186" s="262">
        <f t="shared" ref="P186:P194" ca="1" si="58">IF(M186&gt;0,N186*100/M186,0)</f>
        <v>22.711111111111112</v>
      </c>
      <c r="Q186" s="262">
        <f ca="1">Q187+Q188</f>
        <v>28000</v>
      </c>
      <c r="R186" s="262">
        <f ca="1">R187+R188</f>
        <v>28000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20500</v>
      </c>
      <c r="M188" s="72">
        <f t="shared" ca="1" si="61"/>
        <v>22500</v>
      </c>
      <c r="N188" s="72">
        <f t="shared" ca="1" si="61"/>
        <v>5110</v>
      </c>
      <c r="O188" s="72">
        <f t="shared" ca="1" si="57"/>
        <v>24.926829268292682</v>
      </c>
      <c r="P188" s="72">
        <f t="shared" ca="1" si="58"/>
        <v>22.711111111111112</v>
      </c>
      <c r="Q188" s="72">
        <f t="shared" ca="1" si="62"/>
        <v>28000</v>
      </c>
      <c r="R188" s="72">
        <f t="shared" ca="1" si="62"/>
        <v>28000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20500</v>
      </c>
      <c r="M189" s="72">
        <f ca="1">M190+M191</f>
        <v>22500</v>
      </c>
      <c r="N189" s="72">
        <f ca="1">N190+N191</f>
        <v>5110</v>
      </c>
      <c r="O189" s="72">
        <f t="shared" ca="1" si="57"/>
        <v>24.926829268292682</v>
      </c>
      <c r="P189" s="72">
        <f t="shared" ca="1" si="58"/>
        <v>22.711111111111112</v>
      </c>
      <c r="Q189" s="72">
        <f ca="1">Q190+Q191</f>
        <v>28000</v>
      </c>
      <c r="R189" s="72">
        <f ca="1">R190+R191</f>
        <v>28000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IFERROR(__xludf.DUMMYFUNCTION("IMPORTRANGE(""https://docs.google.com/spreadsheets/d/1-uDff_7J0KD5mKrp0Vvzr7lt3OU09vwQwhkpOPPYv2Y/edit?usp=sharing"",""งบพรบ!CU67"")"),20500)</f>
        <v>20500</v>
      </c>
      <c r="M191" s="72">
        <f ca="1">IFERROR(__xludf.DUMMYFUNCTION("IMPORTRANGE(""https://docs.google.com/spreadsheets/d/1-uDff_7J0KD5mKrp0Vvzr7lt3OU09vwQwhkpOPPYv2Y/edit?usp=sharing"",""งบพรบ!CZ67"")"),22500)</f>
        <v>22500</v>
      </c>
      <c r="N191" s="72">
        <f ca="1">IFERROR(__xludf.DUMMYFUNCTION("IMPORTRANGE(""https://docs.google.com/spreadsheets/d/1-uDff_7J0KD5mKrp0Vvzr7lt3OU09vwQwhkpOPPYv2Y/edit?usp=sharing"",""งบพรบ!DB67"")"),5110)</f>
        <v>5110</v>
      </c>
      <c r="O191" s="72">
        <f t="shared" ca="1" si="57"/>
        <v>24.926829268292682</v>
      </c>
      <c r="P191" s="72">
        <f t="shared" ca="1" si="58"/>
        <v>22.711111111111112</v>
      </c>
      <c r="Q191" s="72">
        <f ca="1">IFERROR(__xludf.DUMMYFUNCTION("IMPORTRANGE(""https://docs.google.com/spreadsheets/d/1ItG2mGa2ceCfYo0BwxsXqNm01IGEUdYcSSLTEv9YCik/edit?usp=sharing"",""เบิกจ่ายกองทุน!BQ67"")"),28000)</f>
        <v>28000</v>
      </c>
      <c r="R191" s="72">
        <f ca="1">IFERROR(__xludf.DUMMYFUNCTION("IMPORTRANGE(""https://docs.google.com/spreadsheets/d/1ItG2mGa2ceCfYo0BwxsXqNm01IGEUdYcSSLTEv9YCik/edit?usp=sharing"",""เบิกจ่ายกองทุน!BR67"")"),28000)</f>
        <v>28000</v>
      </c>
      <c r="S191" s="72">
        <f ca="1">IFERROR(__xludf.DUMMYFUNCTION("IMPORTRANGE(""https://docs.google.com/spreadsheets/d/1ItG2mGa2ceCfYo0BwxsXqNm01IGEUdYcSSLTEv9YCik/edit?usp=sharing"",""เบิกจ่ายกองทุน!BS67"")"),0)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IFERROR(__xludf.DUMMYFUNCTION("IMPORTRANGE(""https://docs.google.com/spreadsheets/d/1-uDff_7J0KD5mKrp0Vvzr7lt3OU09vwQwhkpOPPYv2Y/edit?usp=sharing"",""งบพรบ!CX67"")"),0)</f>
        <v>0</v>
      </c>
      <c r="M194" s="72">
        <f ca="1">IFERROR(__xludf.DUMMYFUNCTION("IMPORTRANGE(""https://docs.google.com/spreadsheets/d/1-uDff_7J0KD5mKrp0Vvzr7lt3OU09vwQwhkpOPPYv2Y/edit?usp=sharing"",""งบพรบ!DA67"")"),0)</f>
        <v>0</v>
      </c>
      <c r="N194" s="72">
        <f ca="1">IFERROR(__xludf.DUMMYFUNCTION("IMPORTRANGE(""https://docs.google.com/spreadsheets/d/1-uDff_7J0KD5mKrp0Vvzr7lt3OU09vwQwhkpOPPYv2Y/edit?usp=sharing"",""งบพรบ!DC67"")"),0)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IFERROR(__xludf.DUMMYFUNCTION("IMPORTRANGE(""https://docs.google.com/spreadsheets/d/1ItG2mGa2ceCfYo0BwxsXqNm01IGEUdYcSSLTEv9YCik/edit?usp=sharing"",""เบิกจ่ายกองทุน!BT67"")"),0)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IFERROR(__xludf.DUMMYFUNCTION("IMPORTRANGE(""https://docs.google.com/spreadsheets/d/1ItG2mGa2ceCfYo0BwxsXqNm01IGEUdYcSSLTEv9YCik/edit?usp=sharing"",""เบิกจ่ายกองทุน!BU67"")"),0)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IFERROR(__xludf.DUMMYFUNCTION("IMPORTRANGE(""https://docs.google.com/spreadsheets/d/1ItG2mGa2ceCfYo0BwxsXqNm01IGEUdYcSSLTEv9YCik/edit?usp=sharing"",""เบิกจ่ายกองทุน!BV67"")"),0)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IFERROR(__xludf.DUMMYFUNCTION("IMPORTRANGE(""https://docs.google.com/spreadsheets/d/1eHaY18a8A9IcSdp1K8H6x8fbOy06t2VsZHhMHf-1x7Y/edit?usp=sharing"",""แผน!AB67"")"),6000)</f>
        <v>6000</v>
      </c>
      <c r="M196" s="85"/>
      <c r="N196" s="961">
        <v>5110</v>
      </c>
      <c r="O196" s="262">
        <f ca="1">IF(L196&gt;0,N196*100/L196,0)</f>
        <v>85.166666666666671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IFERROR(__xludf.DUMMYFUNCTION("IMPORTRANGE(""https://docs.google.com/spreadsheets/d/1eHaY18a8A9IcSdp1K8H6x8fbOy06t2VsZHhMHf-1x7Y/edit?usp=sharing"",""แผน!AE67"")"),4)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114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114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2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10000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28000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IFERROR(__xludf.DUMMYFUNCTION("IMPORTRANGE(""https://docs.google.com/spreadsheets/d/1eHaY18a8A9IcSdp1K8H6x8fbOy06t2VsZHhMHf-1x7Y/edit?usp=sharing"",""แผน!AG67"")"),2000)</f>
        <v>2000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IFERROR(__xludf.DUMMYFUNCTION("IMPORTRANGE(""https://docs.google.com/spreadsheets/d/1eHaY18a8A9IcSdp1K8H6x8fbOy06t2VsZHhMHf-1x7Y/edit?usp=sharing"",""แผน!AH67"")"),0)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IFERROR(__xludf.DUMMYFUNCTION("IMPORTRANGE(""https://docs.google.com/spreadsheets/d/1eHaY18a8A9IcSdp1K8H6x8fbOy06t2VsZHhMHf-1x7Y/edit?usp=sharing"",""แผน!AI67"")"),0)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IFERROR(__xludf.DUMMYFUNCTION("IMPORTRANGE(""https://docs.google.com/spreadsheets/d/1eHaY18a8A9IcSdp1K8H6x8fbOy06t2VsZHhMHf-1x7Y/edit?usp=sharing"",""แผน!LV67"")"),28000)</f>
        <v>28000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IFERROR(__xludf.DUMMYFUNCTION("IMPORTRANGE(""https://docs.google.com/spreadsheets/d/1eHaY18a8A9IcSdp1K8H6x8fbOy06t2VsZHhMHf-1x7Y/edit?usp=sharing"",""แผน!AJ67"")"),8000)</f>
        <v>8000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IFERROR(__xludf.DUMMYFUNCTION("IMPORTRANGE(""https://docs.google.com/spreadsheets/d/1eHaY18a8A9IcSdp1K8H6x8fbOy06t2VsZHhMHf-1x7Y/edit?usp=sharing"",""แผน!AK67"")"),2)</f>
        <v>2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IFERROR(__xludf.DUMMYFUNCTION("IMPORTRANGE(""https://docs.google.com/spreadsheets/d/1eHaY18a8A9IcSdp1K8H6x8fbOy06t2VsZHhMHf-1x7Y/edit?usp=sharing"",""แผน!JX67"")"),2)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IFERROR(__xludf.DUMMYFUNCTION("IMPORTRANGE(""https://docs.google.com/spreadsheets/d/1eHaY18a8A9IcSdp1K8H6x8fbOy06t2VsZHhMHf-1x7Y/edit?usp=sharing"",""แผน!JY67"")"),0)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IFERROR(__xludf.DUMMYFUNCTION("IMPORTRANGE(""https://docs.google.com/spreadsheets/d/1eHaY18a8A9IcSdp1K8H6x8fbOy06t2VsZHhMHf-1x7Y/edit?usp=sharing"",""แผน!AM67"")"),0)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IFERROR(__xludf.DUMMYFUNCTION("IMPORTRANGE(""https://docs.google.com/spreadsheets/d/1eHaY18a8A9IcSdp1K8H6x8fbOy06t2VsZHhMHf-1x7Y/edit?usp=sharing"",""แผน!AN67"")"),0)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IFERROR(__xludf.DUMMYFUNCTION("IMPORTRANGE(""https://docs.google.com/spreadsheets/d/1eHaY18a8A9IcSdp1K8H6x8fbOy06t2VsZHhMHf-1x7Y/edit?usp=sharing"",""แผน!AO67"")"),0)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IFERROR(__xludf.DUMMYFUNCTION("IMPORTRANGE(""https://docs.google.com/spreadsheets/d/1eHaY18a8A9IcSdp1K8H6x8fbOy06t2VsZHhMHf-1x7Y/edit?usp=sharing"",""แผน!LY67"")"),0)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IFERROR(__xludf.DUMMYFUNCTION("IMPORTRANGE(""https://docs.google.com/spreadsheets/d/1eHaY18a8A9IcSdp1K8H6x8fbOy06t2VsZHhMHf-1x7Y/edit?usp=sharing"",""แผน!AP67"")"),0)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IFERROR(__xludf.DUMMYFUNCTION("IMPORTRANGE(""https://docs.google.com/spreadsheets/d/1eHaY18a8A9IcSdp1K8H6x8fbOy06t2VsZHhMHf-1x7Y/edit?usp=sharing"",""แผน!AP67"")"),0)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IFERROR(__xludf.DUMMYFUNCTION("IMPORTRANGE(""https://docs.google.com/spreadsheets/d/1eHaY18a8A9IcSdp1K8H6x8fbOy06t2VsZHhMHf-1x7Y/edit?usp=sharing"",""แผน!AR67"")"),2500)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IFERROR(__xludf.DUMMYFUNCTION("IMPORTRANGE(""https://docs.google.com/spreadsheets/d/1eHaY18a8A9IcSdp1K8H6x8fbOy06t2VsZHhMHf-1x7Y/edit?usp=sharing"",""แผน!AS67"")"),2000)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IFERROR(__xludf.DUMMYFUNCTION("IMPORTRANGE(""https://docs.google.com/spreadsheets/d/1eHaY18a8A9IcSdp1K8H6x8fbOy06t2VsZHhMHf-1x7Y/edit?usp=sharing"",""แผน!AT67"")"),0)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IFERROR(__xludf.DUMMYFUNCTION("IMPORTRANGE(""https://docs.google.com/spreadsheets/d/1eHaY18a8A9IcSdp1K8H6x8fbOy06t2VsZHhMHf-1x7Y/edit?usp=sharing"",""แผน!AV67"")"),20000)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IFERROR(__xludf.DUMMYFUNCTION("IMPORTRANGE(""https://docs.google.com/spreadsheets/d/1eHaY18a8A9IcSdp1K8H6x8fbOy06t2VsZHhMHf-1x7Y/edit?usp=sharing"",""แผน!AV67"")"),20000)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IFERROR(__xludf.DUMMYFUNCTION("IMPORTRANGE(""https://docs.google.com/spreadsheets/d/1eHaY18a8A9IcSdp1K8H6x8fbOy06t2VsZHhMHf-1x7Y/edit?usp=sharing"",""แผน!AU67"")"),0)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958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53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34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IFERROR(__xludf.DUMMYFUNCTION("IMPORTRANGE(""https://docs.google.com/spreadsheets/d/1eHaY18a8A9IcSdp1K8H6x8fbOy06t2VsZHhMHf-1x7Y/edit?usp=sharing"",""แผน!AX67"")"),0)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IFERROR(__xludf.DUMMYFUNCTION("IMPORTRANGE(""https://docs.google.com/spreadsheets/d/1eHaY18a8A9IcSdp1K8H6x8fbOy06t2VsZHhMHf-1x7Y/edit?usp=sharing"",""แผน!AY67"")"),0)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IFERROR(__xludf.DUMMYFUNCTION("IMPORTRANGE(""https://docs.google.com/spreadsheets/d/1eHaY18a8A9IcSdp1K8H6x8fbOy06t2VsZHhMHf-1x7Y/edit?usp=sharing"",""แผน!AZ67"")"),0)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IFERROR(__xludf.DUMMYFUNCTION("IMPORTRANGE(""https://docs.google.com/spreadsheets/d/1eHaY18a8A9IcSdp1K8H6x8fbOy06t2VsZHhMHf-1x7Y/edit?usp=sharing"",""แผน!BA67"")"),0)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45" t="s">
        <v>35</v>
      </c>
      <c r="I249" s="570">
        <f ca="1">IFERROR(__xludf.DUMMYFUNCTION("IMPORTRANGE(""https://docs.google.com/spreadsheets/d/1eHaY18a8A9IcSdp1K8H6x8fbOy06t2VsZHhMHf-1x7Y/edit?usp=sharing"",""แผน!BG67"")"),0)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945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945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IFERROR(__xludf.DUMMYFUNCTION("IMPORTRANGE(""https://docs.google.com/spreadsheets/d/1eHaY18a8A9IcSdp1K8H6x8fbOy06t2VsZHhMHf-1x7Y/edit?usp=sharing"",""แผน!BB67"")"),0)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IFERROR(__xludf.DUMMYFUNCTION("IMPORTRANGE(""https://docs.google.com/spreadsheets/d/1eHaY18a8A9IcSdp1K8H6x8fbOy06t2VsZHhMHf-1x7Y/edit?usp=sharing"",""แผน!BC67"")"),0)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IFERROR(__xludf.DUMMYFUNCTION("IMPORTRANGE(""https://docs.google.com/spreadsheets/d/1eHaY18a8A9IcSdp1K8H6x8fbOy06t2VsZHhMHf-1x7Y/edit?usp=sharing"",""แผน!BD67"")"),0)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IFERROR(__xludf.DUMMYFUNCTION("IMPORTRANGE(""https://docs.google.com/spreadsheets/d/1eHaY18a8A9IcSdp1K8H6x8fbOy06t2VsZHhMHf-1x7Y/edit?usp=sharing"",""แผน!BE67"")"),0)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IFERROR(__xludf.DUMMYFUNCTION("IMPORTRANGE(""https://docs.google.com/spreadsheets/d/1eHaY18a8A9IcSdp1K8H6x8fbOy06t2VsZHhMHf-1x7Y/edit?usp=sharing"",""แผน!BH67"")"),0)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1398"/>
      <c r="C264" s="1398"/>
      <c r="D264" s="1397"/>
      <c r="E264" s="1397"/>
      <c r="F264" s="1397"/>
      <c r="G264" s="1396"/>
      <c r="H264" s="1396"/>
      <c r="I264" s="1395"/>
      <c r="J264" s="1395"/>
      <c r="K264" s="1393"/>
      <c r="L264" s="1394"/>
      <c r="M264" s="1393"/>
      <c r="N264" s="1393"/>
      <c r="O264" s="1393"/>
      <c r="P264" s="1393"/>
      <c r="Q264" s="1393"/>
      <c r="R264" s="1393"/>
      <c r="S264" s="1393"/>
      <c r="T264" s="1393"/>
      <c r="U264" s="1393"/>
    </row>
    <row r="265" spans="1:21" ht="19.5" x14ac:dyDescent="0.3">
      <c r="A265" s="1334"/>
      <c r="B265" s="356" t="s">
        <v>114</v>
      </c>
      <c r="C265" s="1333"/>
      <c r="D265" s="1332"/>
      <c r="E265" s="1332"/>
      <c r="F265" s="1332"/>
      <c r="G265" s="1331"/>
      <c r="H265" s="358" t="s">
        <v>35</v>
      </c>
      <c r="I265" s="943">
        <f ca="1">I276</f>
        <v>24</v>
      </c>
      <c r="J265" s="943">
        <f>J276</f>
        <v>24</v>
      </c>
      <c r="K265" s="360">
        <f ca="1">IF(I265&gt;0,J265*100/I265,0)</f>
        <v>100</v>
      </c>
      <c r="L265" s="1392"/>
      <c r="M265" s="1391"/>
      <c r="N265" s="1391"/>
      <c r="O265" s="1391"/>
      <c r="P265" s="1391"/>
      <c r="Q265" s="1391"/>
      <c r="R265" s="1391"/>
      <c r="S265" s="1391"/>
      <c r="T265" s="1391"/>
      <c r="U265" s="1391"/>
    </row>
    <row r="266" spans="1:21" ht="19.5" x14ac:dyDescent="0.3">
      <c r="A266" s="1386"/>
      <c r="B266" s="73"/>
      <c r="C266" s="668" t="s">
        <v>18</v>
      </c>
      <c r="D266" s="941" t="s">
        <v>19</v>
      </c>
      <c r="E266" s="73"/>
      <c r="F266" s="73"/>
      <c r="G266" s="1385"/>
      <c r="H266" s="210" t="s">
        <v>14</v>
      </c>
      <c r="I266" s="1091"/>
      <c r="J266" s="1091"/>
      <c r="K266" s="684"/>
      <c r="L266" s="940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t="shared" ref="O266:O274" ca="1" si="63">IF(L266&gt;0,N266*100/L266,0)</f>
        <v>0</v>
      </c>
      <c r="P266" s="211">
        <f t="shared" ref="P266:P274" ca="1" si="64">IF(M266&gt;0,N266*100/M266,0)</f>
        <v>0</v>
      </c>
      <c r="Q266" s="211">
        <f ca="1">Q267+Q268</f>
        <v>53440</v>
      </c>
      <c r="R266" s="211">
        <f ca="1">R267+R268</f>
        <v>53440</v>
      </c>
      <c r="S266" s="211">
        <f ca="1">S267+S268</f>
        <v>42263</v>
      </c>
      <c r="T266" s="211">
        <f t="shared" ref="T266:T274" ca="1" si="65">IF(Q266&gt;0,S266*100/Q266,0)</f>
        <v>79.084955089820355</v>
      </c>
      <c r="U266" s="211">
        <f t="shared" ref="U266:U274" ca="1" si="66">IF(R266&gt;0,S266*100/R266,0)</f>
        <v>79.084955089820355</v>
      </c>
    </row>
    <row r="267" spans="1:21" ht="18.75" hidden="1" x14ac:dyDescent="0.25">
      <c r="A267" s="1390"/>
      <c r="B267" s="263"/>
      <c r="C267" s="263"/>
      <c r="D267" s="263"/>
      <c r="E267" s="263" t="s">
        <v>20</v>
      </c>
      <c r="F267" s="263"/>
      <c r="G267" s="1389"/>
      <c r="H267" s="264" t="s">
        <v>14</v>
      </c>
      <c r="I267" s="1266"/>
      <c r="J267" s="1266"/>
      <c r="K267" s="131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1386"/>
      <c r="B268" s="73"/>
      <c r="C268" s="73"/>
      <c r="D268" s="73"/>
      <c r="E268" s="73" t="s">
        <v>21</v>
      </c>
      <c r="F268" s="73"/>
      <c r="G268" s="1385"/>
      <c r="H268" s="214" t="s">
        <v>14</v>
      </c>
      <c r="I268" s="1091"/>
      <c r="J268" s="1091"/>
      <c r="K268" s="684"/>
      <c r="L268" s="685">
        <f t="shared" ca="1" si="67"/>
        <v>5000</v>
      </c>
      <c r="M268" s="86">
        <f t="shared" ca="1" si="67"/>
        <v>5000</v>
      </c>
      <c r="N268" s="86">
        <f t="shared" ca="1" si="67"/>
        <v>0</v>
      </c>
      <c r="O268" s="86">
        <f t="shared" ca="1" si="63"/>
        <v>0</v>
      </c>
      <c r="P268" s="86">
        <f t="shared" ca="1" si="64"/>
        <v>0</v>
      </c>
      <c r="Q268" s="86">
        <f t="shared" ca="1" si="68"/>
        <v>53440</v>
      </c>
      <c r="R268" s="86">
        <f t="shared" ca="1" si="68"/>
        <v>53440</v>
      </c>
      <c r="S268" s="86">
        <f t="shared" ca="1" si="68"/>
        <v>42263</v>
      </c>
      <c r="T268" s="86">
        <f t="shared" ca="1" si="65"/>
        <v>79.084955089820355</v>
      </c>
      <c r="U268" s="86">
        <f t="shared" ca="1" si="66"/>
        <v>79.084955089820355</v>
      </c>
    </row>
    <row r="269" spans="1:21" ht="18.75" x14ac:dyDescent="0.25">
      <c r="A269" s="1386"/>
      <c r="B269" s="73"/>
      <c r="C269" s="73"/>
      <c r="D269" s="937" t="s">
        <v>22</v>
      </c>
      <c r="E269" s="73"/>
      <c r="F269" s="73"/>
      <c r="G269" s="1385"/>
      <c r="H269" s="216" t="s">
        <v>14</v>
      </c>
      <c r="I269" s="1383"/>
      <c r="J269" s="1383"/>
      <c r="K269" s="1381"/>
      <c r="L269" s="685">
        <f ca="1">L270+L271</f>
        <v>5000</v>
      </c>
      <c r="M269" s="86">
        <f ca="1">M270+M271</f>
        <v>5000</v>
      </c>
      <c r="N269" s="86">
        <f ca="1">N270+N271</f>
        <v>0</v>
      </c>
      <c r="O269" s="86">
        <f t="shared" ca="1" si="63"/>
        <v>0</v>
      </c>
      <c r="P269" s="86">
        <f t="shared" ca="1" si="64"/>
        <v>0</v>
      </c>
      <c r="Q269" s="86">
        <f ca="1">Q270+Q271</f>
        <v>53440</v>
      </c>
      <c r="R269" s="86">
        <f ca="1">R270+R271</f>
        <v>53440</v>
      </c>
      <c r="S269" s="86">
        <f ca="1">S270+S271</f>
        <v>42263</v>
      </c>
      <c r="T269" s="86">
        <f t="shared" ca="1" si="65"/>
        <v>79.084955089820355</v>
      </c>
      <c r="U269" s="86">
        <f t="shared" ca="1" si="66"/>
        <v>79.084955089820355</v>
      </c>
    </row>
    <row r="270" spans="1:21" ht="18.75" hidden="1" x14ac:dyDescent="0.25">
      <c r="A270" s="1390"/>
      <c r="B270" s="263"/>
      <c r="C270" s="263"/>
      <c r="D270" s="263"/>
      <c r="E270" s="263" t="s">
        <v>36</v>
      </c>
      <c r="F270" s="263"/>
      <c r="G270" s="1389"/>
      <c r="H270" s="271" t="s">
        <v>14</v>
      </c>
      <c r="I270" s="1388"/>
      <c r="J270" s="1388"/>
      <c r="K270" s="1387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1386"/>
      <c r="B271" s="73"/>
      <c r="C271" s="73"/>
      <c r="D271" s="73"/>
      <c r="E271" s="73" t="s">
        <v>37</v>
      </c>
      <c r="F271" s="73"/>
      <c r="G271" s="1385"/>
      <c r="H271" s="216" t="s">
        <v>14</v>
      </c>
      <c r="I271" s="1383"/>
      <c r="J271" s="1383"/>
      <c r="K271" s="1381"/>
      <c r="L271" s="685">
        <f ca="1">IFERROR(__xludf.DUMMYFUNCTION("IMPORTRANGE(""https://docs.google.com/spreadsheets/d/1-uDff_7J0KD5mKrp0Vvzr7lt3OU09vwQwhkpOPPYv2Y/edit?usp=sharing"",""งบพรบ!DE67"")"),5000)</f>
        <v>5000</v>
      </c>
      <c r="M271" s="86">
        <f ca="1">IFERROR(__xludf.DUMMYFUNCTION("IMPORTRANGE(""https://docs.google.com/spreadsheets/d/1-uDff_7J0KD5mKrp0Vvzr7lt3OU09vwQwhkpOPPYv2Y/edit?usp=sharing"",""งบพรบ!DJ67"")"),5000)</f>
        <v>5000</v>
      </c>
      <c r="N271" s="86">
        <f ca="1">IFERROR(__xludf.DUMMYFUNCTION("IMPORTRANGE(""https://docs.google.com/spreadsheets/d/1-uDff_7J0KD5mKrp0Vvzr7lt3OU09vwQwhkpOPPYv2Y/edit?usp=sharing"",""งบพรบ!DL67"")"),0)</f>
        <v>0</v>
      </c>
      <c r="O271" s="86">
        <f t="shared" ca="1" si="63"/>
        <v>0</v>
      </c>
      <c r="P271" s="86">
        <f t="shared" ca="1" si="64"/>
        <v>0</v>
      </c>
      <c r="Q271" s="86">
        <f ca="1">IFERROR(__xludf.DUMMYFUNCTION("IMPORTRANGE(""https://docs.google.com/spreadsheets/d/1ItG2mGa2ceCfYo0BwxsXqNm01IGEUdYcSSLTEv9YCik/edit?usp=sharing"",""เบิกจ่ายกองทุน!AP67"")"),53440)</f>
        <v>53440</v>
      </c>
      <c r="R271" s="86">
        <f ca="1">IFERROR(__xludf.DUMMYFUNCTION("IMPORTRANGE(""https://docs.google.com/spreadsheets/d/1ItG2mGa2ceCfYo0BwxsXqNm01IGEUdYcSSLTEv9YCik/edit?usp=sharing"",""เบิกจ่ายกองทุน!AQ67"")"),53440)</f>
        <v>53440</v>
      </c>
      <c r="S271" s="86">
        <f ca="1">IFERROR(__xludf.DUMMYFUNCTION("IMPORTRANGE(""https://docs.google.com/spreadsheets/d/1ItG2mGa2ceCfYo0BwxsXqNm01IGEUdYcSSLTEv9YCik/edit?usp=sharing"",""เบิกจ่ายกองทุน!AR67"")"),42263)</f>
        <v>42263</v>
      </c>
      <c r="T271" s="86">
        <f t="shared" ca="1" si="65"/>
        <v>79.084955089820355</v>
      </c>
      <c r="U271" s="86">
        <f t="shared" ca="1" si="66"/>
        <v>79.084955089820355</v>
      </c>
    </row>
    <row r="272" spans="1:21" ht="18.75" x14ac:dyDescent="0.25">
      <c r="A272" s="1386"/>
      <c r="B272" s="73"/>
      <c r="C272" s="73"/>
      <c r="D272" s="937" t="s">
        <v>23</v>
      </c>
      <c r="E272" s="73"/>
      <c r="F272" s="73"/>
      <c r="G272" s="1385"/>
      <c r="H272" s="219" t="s">
        <v>14</v>
      </c>
      <c r="I272" s="1383"/>
      <c r="J272" s="1383"/>
      <c r="K272" s="1381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1390"/>
      <c r="B273" s="263"/>
      <c r="C273" s="263"/>
      <c r="D273" s="263"/>
      <c r="E273" s="263" t="s">
        <v>20</v>
      </c>
      <c r="F273" s="263"/>
      <c r="G273" s="1389"/>
      <c r="H273" s="271" t="s">
        <v>14</v>
      </c>
      <c r="I273" s="1388"/>
      <c r="J273" s="1388"/>
      <c r="K273" s="1387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1386"/>
      <c r="B274" s="73"/>
      <c r="C274" s="73"/>
      <c r="D274" s="73"/>
      <c r="E274" s="73" t="s">
        <v>21</v>
      </c>
      <c r="F274" s="73"/>
      <c r="G274" s="1385"/>
      <c r="H274" s="219" t="s">
        <v>14</v>
      </c>
      <c r="I274" s="1383"/>
      <c r="J274" s="1383"/>
      <c r="K274" s="1381"/>
      <c r="L274" s="685">
        <f ca="1">IFERROR(__xludf.DUMMYFUNCTION("IMPORTRANGE(""https://docs.google.com/spreadsheets/d/1-uDff_7J0KD5mKrp0Vvzr7lt3OU09vwQwhkpOPPYv2Y/edit?usp=sharing"",""งบพรบ!DH67"")"),0)</f>
        <v>0</v>
      </c>
      <c r="M274" s="86">
        <f ca="1">IFERROR(__xludf.DUMMYFUNCTION("IMPORTRANGE(""https://docs.google.com/spreadsheets/d/1-uDff_7J0KD5mKrp0Vvzr7lt3OU09vwQwhkpOPPYv2Y/edit?usp=sharing"",""งบพรบ!DK67"")"),0)</f>
        <v>0</v>
      </c>
      <c r="N274" s="86">
        <f ca="1">IFERROR(__xludf.DUMMYFUNCTION("IMPORTRANGE(""https://docs.google.com/spreadsheets/d/1-uDff_7J0KD5mKrp0Vvzr7lt3OU09vwQwhkpOPPYv2Y/edit?usp=sharing"",""งบพรบ!DM67"")"),0)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1384"/>
      <c r="B275" s="687"/>
      <c r="C275" s="668" t="s">
        <v>18</v>
      </c>
      <c r="D275" s="931" t="s">
        <v>38</v>
      </c>
      <c r="E275" s="1332"/>
      <c r="F275" s="1332"/>
      <c r="G275" s="1331"/>
      <c r="H275" s="388"/>
      <c r="I275" s="1383"/>
      <c r="J275" s="1383"/>
      <c r="K275" s="1381"/>
      <c r="L275" s="1382"/>
      <c r="M275" s="1381"/>
      <c r="N275" s="1381"/>
      <c r="O275" s="1381"/>
      <c r="P275" s="1381"/>
      <c r="Q275" s="1381"/>
      <c r="R275" s="1381"/>
      <c r="S275" s="1381"/>
      <c r="T275" s="1381"/>
      <c r="U275" s="1381"/>
    </row>
    <row r="276" spans="1:21" ht="18.75" x14ac:dyDescent="0.25">
      <c r="A276" s="1380"/>
      <c r="B276" s="1379"/>
      <c r="C276" s="1379"/>
      <c r="D276" s="1119" t="s">
        <v>115</v>
      </c>
      <c r="E276" s="317"/>
      <c r="F276" s="317"/>
      <c r="G276" s="1378"/>
      <c r="H276" s="1118" t="s">
        <v>35</v>
      </c>
      <c r="I276" s="319">
        <f ca="1">IFERROR(__xludf.DUMMYFUNCTION("IMPORTRANGE(""https://docs.google.com/spreadsheets/d/1eHaY18a8A9IcSdp1K8H6x8fbOy06t2VsZHhMHf-1x7Y/edit?usp=sharing"",""แผน!EC67"")"),24)</f>
        <v>24</v>
      </c>
      <c r="J276" s="1117">
        <v>24</v>
      </c>
      <c r="K276" s="83">
        <f ca="1">IF(I276&gt;0,J276*100/I276,0)</f>
        <v>100</v>
      </c>
      <c r="L276" s="683"/>
      <c r="M276" s="684"/>
      <c r="N276" s="684"/>
      <c r="O276" s="684"/>
      <c r="P276" s="684"/>
      <c r="Q276" s="684"/>
      <c r="R276" s="684"/>
      <c r="S276" s="684"/>
      <c r="T276" s="684"/>
      <c r="U276" s="684"/>
    </row>
    <row r="277" spans="1:21" ht="18.75" hidden="1" x14ac:dyDescent="0.25">
      <c r="A277" s="1377"/>
      <c r="B277" s="1376"/>
      <c r="C277" s="1376"/>
      <c r="D277" s="929" t="s">
        <v>116</v>
      </c>
      <c r="E277" s="831"/>
      <c r="F277" s="831"/>
      <c r="G277" s="1375"/>
      <c r="H277" s="928" t="s">
        <v>35</v>
      </c>
      <c r="I277" s="760">
        <v>0</v>
      </c>
      <c r="J277" s="760">
        <v>0</v>
      </c>
      <c r="K277" s="927">
        <v>0</v>
      </c>
      <c r="L277" s="1374"/>
      <c r="M277" s="1373"/>
      <c r="N277" s="1373"/>
      <c r="O277" s="1373"/>
      <c r="P277" s="1373"/>
      <c r="Q277" s="1373"/>
      <c r="R277" s="1373"/>
      <c r="S277" s="1373"/>
      <c r="T277" s="1373"/>
      <c r="U277" s="1373"/>
    </row>
    <row r="278" spans="1:21" ht="19.5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10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100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42700</v>
      </c>
      <c r="M282" s="262">
        <f ca="1">M283+M284</f>
        <v>42700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42700</v>
      </c>
      <c r="M284" s="72">
        <f t="shared" ca="1" si="73"/>
        <v>42700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42700</v>
      </c>
      <c r="M285" s="72">
        <f ca="1">M286+M287</f>
        <v>42700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IFERROR(__xludf.DUMMYFUNCTION("IMPORTRANGE(""https://docs.google.com/spreadsheets/d/1-uDff_7J0KD5mKrp0Vvzr7lt3OU09vwQwhkpOPPYv2Y/edit?usp=sharing"",""งบพรบ!DO67"")"),42700)</f>
        <v>42700</v>
      </c>
      <c r="M287" s="72">
        <f ca="1">IFERROR(__xludf.DUMMYFUNCTION("IMPORTRANGE(""https://docs.google.com/spreadsheets/d/1-uDff_7J0KD5mKrp0Vvzr7lt3OU09vwQwhkpOPPYv2Y/edit?usp=sharing"",""งบพรบ!DT67"")"),42700)</f>
        <v>42700</v>
      </c>
      <c r="N287" s="72">
        <f ca="1">IFERROR(__xludf.DUMMYFUNCTION("IMPORTRANGE(""https://docs.google.com/spreadsheets/d/1-uDff_7J0KD5mKrp0Vvzr7lt3OU09vwQwhkpOPPYv2Y/edit?usp=sharing"",""งบพรบ!DV67"")"),0)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IFERROR(__xludf.DUMMYFUNCTION("IMPORTRANGE(""https://docs.google.com/spreadsheets/d/1-uDff_7J0KD5mKrp0Vvzr7lt3OU09vwQwhkpOPPYv2Y/edit?usp=sharing"",""งบพรบ!DR67"")"),0)</f>
        <v>0</v>
      </c>
      <c r="M290" s="72">
        <f ca="1">IFERROR(__xludf.DUMMYFUNCTION("IMPORTRANGE(""https://docs.google.com/spreadsheets/d/1-uDff_7J0KD5mKrp0Vvzr7lt3OU09vwQwhkpOPPYv2Y/edit?usp=sharing"",""งบพรบ!DU67"")"),0)</f>
        <v>0</v>
      </c>
      <c r="N290" s="72">
        <f ca="1">IFERROR(__xludf.DUMMYFUNCTION("IMPORTRANGE(""https://docs.google.com/spreadsheets/d/1-uDff_7J0KD5mKrp0Vvzr7lt3OU09vwQwhkpOPPYv2Y/edit?usp=sharing"",""งบพรบ!DW67"")"),0)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IFERROR(__xludf.DUMMYFUNCTION("IMPORTRANGE(""https://docs.google.com/spreadsheets/d/1eHaY18a8A9IcSdp1K8H6x8fbOy06t2VsZHhMHf-1x7Y/edit?usp=sharing"",""แผน!EE67"")"),100)</f>
        <v>100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IFERROR(__xludf.DUMMYFUNCTION("IMPORTRANGE(""https://docs.google.com/spreadsheets/d/1eHaY18a8A9IcSdp1K8H6x8fbOy06t2VsZHhMHf-1x7Y/edit?usp=sharing"",""แผน!ED67"")"),10)</f>
        <v>10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IFERROR(__xludf.DUMMYFUNCTION("IMPORTRANGE(""https://docs.google.com/spreadsheets/d/1eHaY18a8A9IcSdp1K8H6x8fbOy06t2VsZHhMHf-1x7Y/edit?usp=sharing"",""แผน!ED67"")"),10)</f>
        <v>10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IFERROR(__xludf.DUMMYFUNCTION("IMPORTRANGE(""https://docs.google.com/spreadsheets/d/1eHaY18a8A9IcSdp1K8H6x8fbOy06t2VsZHhMHf-1x7Y/edit?usp=sharing"",""แผน!ED67"")"),10)</f>
        <v>10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30</v>
      </c>
      <c r="J302" s="595">
        <f>J314</f>
        <v>30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260958.39</v>
      </c>
      <c r="R303" s="262">
        <f ca="1">R304+R305</f>
        <v>260958</v>
      </c>
      <c r="S303" s="262">
        <f ca="1">S304+S305</f>
        <v>81600</v>
      </c>
      <c r="T303" s="262">
        <f t="shared" ref="T303:T311" ca="1" si="77">IF(Q303&gt;0,S303*100/Q303,0)</f>
        <v>31.269352941670125</v>
      </c>
      <c r="U303" s="262">
        <f t="shared" ref="U303:U311" ca="1" si="78">IF(R303&gt;0,S303*100/R303,0)</f>
        <v>31.26939967351068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260958.39</v>
      </c>
      <c r="R305" s="72">
        <f t="shared" ca="1" si="80"/>
        <v>260958</v>
      </c>
      <c r="S305" s="72">
        <f t="shared" ca="1" si="80"/>
        <v>81600</v>
      </c>
      <c r="T305" s="72">
        <f t="shared" ca="1" si="77"/>
        <v>31.269352941670125</v>
      </c>
      <c r="U305" s="72">
        <f t="shared" ca="1" si="78"/>
        <v>31.26939967351068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260958.39</v>
      </c>
      <c r="R306" s="72">
        <f ca="1">R307+R308</f>
        <v>260958</v>
      </c>
      <c r="S306" s="72">
        <f ca="1">S307+S308</f>
        <v>81600</v>
      </c>
      <c r="T306" s="72">
        <f t="shared" ca="1" si="77"/>
        <v>31.269352941670125</v>
      </c>
      <c r="U306" s="72">
        <f t="shared" ca="1" si="78"/>
        <v>31.26939967351068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IFERROR(__xludf.DUMMYFUNCTION("IMPORTRANGE(""https://docs.google.com/spreadsheets/d/1-uDff_7J0KD5mKrp0Vvzr7lt3OU09vwQwhkpOPPYv2Y/edit?usp=sharing"",""งบพรบ!DY67"")"),0)</f>
        <v>0</v>
      </c>
      <c r="M308" s="72">
        <f ca="1">IFERROR(__xludf.DUMMYFUNCTION("IMPORTRANGE(""https://docs.google.com/spreadsheets/d/1-uDff_7J0KD5mKrp0Vvzr7lt3OU09vwQwhkpOPPYv2Y/edit?usp=sharing"",""งบพรบ!ED67"")"),0)</f>
        <v>0</v>
      </c>
      <c r="N308" s="72">
        <f ca="1">IFERROR(__xludf.DUMMYFUNCTION("IMPORTRANGE(""https://docs.google.com/spreadsheets/d/1-uDff_7J0KD5mKrp0Vvzr7lt3OU09vwQwhkpOPPYv2Y/edit?usp=sharing"",""งบพรบ!EF67"")"),0)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IFERROR(__xludf.DUMMYFUNCTION("IMPORTRANGE(""https://docs.google.com/spreadsheets/d/1ItG2mGa2ceCfYo0BwxsXqNm01IGEUdYcSSLTEv9YCik/edit?usp=sharing"",""เบิกจ่ายกองทุน!BB67"")"),260958.39)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IFERROR(__xludf.DUMMYFUNCTION("IMPORTRANGE(""https://docs.google.com/spreadsheets/d/1ItG2mGa2ceCfYo0BwxsXqNm01IGEUdYcSSLTEv9YCik/edit?usp=sharing"",""เบิกจ่ายกองทุน!BC67"")"),260958)</f>
        <v>260958</v>
      </c>
      <c r="S308" s="72">
        <f ca="1">IFERROR(__xludf.DUMMYFUNCTION("IMPORTRANGE(""https://docs.google.com/spreadsheets/d/1ItG2mGa2ceCfYo0BwxsXqNm01IGEUdYcSSLTEv9YCik/edit?usp=sharing"",""เบิกจ่ายกองทุน!BD67"")"),81600)</f>
        <v>81600</v>
      </c>
      <c r="T308" s="72">
        <f t="shared" ca="1" si="77"/>
        <v>31.269352941670125</v>
      </c>
      <c r="U308" s="72">
        <f t="shared" ca="1" si="78"/>
        <v>31.26939967351068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IFERROR(__xludf.DUMMYFUNCTION("IMPORTRANGE(""https://docs.google.com/spreadsheets/d/1-uDff_7J0KD5mKrp0Vvzr7lt3OU09vwQwhkpOPPYv2Y/edit?usp=sharing"",""งบพรบ!EB67"")"),0)</f>
        <v>0</v>
      </c>
      <c r="M311" s="72">
        <f ca="1">IFERROR(__xludf.DUMMYFUNCTION("IMPORTRANGE(""https://docs.google.com/spreadsheets/d/1-uDff_7J0KD5mKrp0Vvzr7lt3OU09vwQwhkpOPPYv2Y/edit?usp=sharing"",""งบพรบ!EE67"")"),0)</f>
        <v>0</v>
      </c>
      <c r="N311" s="72">
        <f ca="1">IFERROR(__xludf.DUMMYFUNCTION("IMPORTRANGE(""https://docs.google.com/spreadsheets/d/1-uDff_7J0KD5mKrp0Vvzr7lt3OU09vwQwhkpOPPYv2Y/edit?usp=sharing"",""งบพรบ!EG67"")"),0)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IFERROR(__xludf.DUMMYFUNCTION("IMPORTRANGE(""https://docs.google.com/spreadsheets/d/1eHaY18a8A9IcSdp1K8H6x8fbOy06t2VsZHhMHf-1x7Y/edit?usp=sharing"",""แผน!EF67"")"),30)</f>
        <v>30</v>
      </c>
      <c r="J314" s="292">
        <v>30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893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IFERROR(__xludf.DUMMYFUNCTION("IMPORTRANGE(""https://docs.google.com/spreadsheets/d/1-uDff_7J0KD5mKrp0Vvzr7lt3OU09vwQwhkpOPPYv2Y/edit?usp=sharing"",""งบพรบ!EI67"")"),0)</f>
        <v>0</v>
      </c>
      <c r="M325" s="72">
        <f ca="1">IFERROR(__xludf.DUMMYFUNCTION("IMPORTRANGE(""https://docs.google.com/spreadsheets/d/1-uDff_7J0KD5mKrp0Vvzr7lt3OU09vwQwhkpOPPYv2Y/edit?usp=sharing"",""งบพรบ!EN67"")"),0)</f>
        <v>0</v>
      </c>
      <c r="N325" s="72">
        <f ca="1">IFERROR(__xludf.DUMMYFUNCTION("IMPORTRANGE(""https://docs.google.com/spreadsheets/d/1-uDff_7J0KD5mKrp0Vvzr7lt3OU09vwQwhkpOPPYv2Y/edit?usp=sharing"",""งบพรบ!EP67"")"),0)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IFERROR(__xludf.DUMMYFUNCTION("IMPORTRANGE(""https://docs.google.com/spreadsheets/d/1-uDff_7J0KD5mKrp0Vvzr7lt3OU09vwQwhkpOPPYv2Y/edit?usp=sharing"",""งบพรบ!EL67"")"),0)</f>
        <v>0</v>
      </c>
      <c r="M328" s="72">
        <f ca="1">IFERROR(__xludf.DUMMYFUNCTION("IMPORTRANGE(""https://docs.google.com/spreadsheets/d/1-uDff_7J0KD5mKrp0Vvzr7lt3OU09vwQwhkpOPPYv2Y/edit?usp=sharing"",""งบพรบ!EO67"")"),0)</f>
        <v>0</v>
      </c>
      <c r="N328" s="72">
        <f ca="1">IFERROR(__xludf.DUMMYFUNCTION("IMPORTRANGE(""https://docs.google.com/spreadsheets/d/1-uDff_7J0KD5mKrp0Vvzr7lt3OU09vwQwhkpOPPYv2Y/edit?usp=sharing"",""งบพรบ!EQ67"")"),0)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IFERROR(__xludf.DUMMYFUNCTION("IMPORTRANGE(""https://docs.google.com/spreadsheets/d/1eHaY18a8A9IcSdp1K8H6x8fbOy06t2VsZHhMHf-1x7Y/edit?usp=sharing"",""แผน!EJ67"")"),0)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1060</v>
      </c>
      <c r="J332" s="515">
        <f ca="1">J344+J347+J348+J349+J353+J354</f>
        <v>6795</v>
      </c>
      <c r="K332" s="516">
        <f ca="1">IF(I332&gt;0,J332*100/I332,0)</f>
        <v>641.03773584905662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185000</v>
      </c>
      <c r="M333" s="262">
        <f ca="1">M334+M335</f>
        <v>185000</v>
      </c>
      <c r="N333" s="262">
        <f ca="1">N334+N335</f>
        <v>124530.01</v>
      </c>
      <c r="O333" s="262">
        <f t="shared" ref="O333:O341" ca="1" si="87">IF(L333&gt;0,N333*100/L333,0)</f>
        <v>67.313518918918916</v>
      </c>
      <c r="P333" s="262">
        <f t="shared" ref="P333:P341" ca="1" si="88">IF(M333&gt;0,N333*100/M333,0)</f>
        <v>67.313518918918916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185000</v>
      </c>
      <c r="M335" s="72">
        <f t="shared" ca="1" si="91"/>
        <v>185000</v>
      </c>
      <c r="N335" s="72">
        <f t="shared" ca="1" si="91"/>
        <v>124530.01</v>
      </c>
      <c r="O335" s="72">
        <f t="shared" ca="1" si="87"/>
        <v>67.313518918918916</v>
      </c>
      <c r="P335" s="72">
        <f t="shared" ca="1" si="88"/>
        <v>67.313518918918916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185000</v>
      </c>
      <c r="M336" s="72">
        <f ca="1">M337+M338</f>
        <v>185000</v>
      </c>
      <c r="N336" s="72">
        <f ca="1">N337+N338</f>
        <v>124530.01</v>
      </c>
      <c r="O336" s="72">
        <f t="shared" ca="1" si="87"/>
        <v>67.313518918918916</v>
      </c>
      <c r="P336" s="72">
        <f t="shared" ca="1" si="88"/>
        <v>67.313518918918916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IFERROR(__xludf.DUMMYFUNCTION("IMPORTRANGE(""https://docs.google.com/spreadsheets/d/1-uDff_7J0KD5mKrp0Vvzr7lt3OU09vwQwhkpOPPYv2Y/edit?usp=sharing"",""งบพรบ!ES67"")"),185000)</f>
        <v>185000</v>
      </c>
      <c r="M338" s="72">
        <f ca="1">IFERROR(__xludf.DUMMYFUNCTION("IMPORTRANGE(""https://docs.google.com/spreadsheets/d/1-uDff_7J0KD5mKrp0Vvzr7lt3OU09vwQwhkpOPPYv2Y/edit?usp=sharing"",""งบพรบ!EX67"")"),185000)</f>
        <v>185000</v>
      </c>
      <c r="N338" s="72">
        <f ca="1">IFERROR(__xludf.DUMMYFUNCTION("IMPORTRANGE(""https://docs.google.com/spreadsheets/d/1-uDff_7J0KD5mKrp0Vvzr7lt3OU09vwQwhkpOPPYv2Y/edit?usp=sharing"",""งบพรบ!EZ67"")"),124530.01)</f>
        <v>124530.01</v>
      </c>
      <c r="O338" s="72">
        <f t="shared" ca="1" si="87"/>
        <v>67.313518918918916</v>
      </c>
      <c r="P338" s="72">
        <f t="shared" ca="1" si="88"/>
        <v>67.313518918918916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IFERROR(__xludf.DUMMYFUNCTION("IMPORTRANGE(""https://docs.google.com/spreadsheets/d/1-uDff_7J0KD5mKrp0Vvzr7lt3OU09vwQwhkpOPPYv2Y/edit?usp=sharing"",""งบพรบ!EV67"")"),0)</f>
        <v>0</v>
      </c>
      <c r="M341" s="72">
        <f ca="1">IFERROR(__xludf.DUMMYFUNCTION("IMPORTRANGE(""https://docs.google.com/spreadsheets/d/1-uDff_7J0KD5mKrp0Vvzr7lt3OU09vwQwhkpOPPYv2Y/edit?usp=sharing"",""งบพรบ!EY67"")"),0)</f>
        <v>0</v>
      </c>
      <c r="N341" s="72">
        <f ca="1">IFERROR(__xludf.DUMMYFUNCTION("IMPORTRANGE(""https://docs.google.com/spreadsheets/d/1-uDff_7J0KD5mKrp0Vvzr7lt3OU09vwQwhkpOPPYv2Y/edit?usp=sharing"",""งบพรบ!FA67"")"),0)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2188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IFERROR(__xludf.DUMMYFUNCTION("IMPORTRANGE(""https://docs.google.com/spreadsheets/d/1eHaY18a8A9IcSdp1K8H6x8fbOy06t2VsZHhMHf-1x7Y/edit?usp=sharing"",""แผน!EK67"")"),1060)</f>
        <v>1060</v>
      </c>
      <c r="J344" s="291">
        <f ca="1">IFERROR(__xludf.DUMMYFUNCTION("IMPORTRANGE(""https://docs.google.com/spreadsheets/d/1awYsYK3VOup2i3Pq_Yjnu8DRu_mYwSBnCR2QPthd0rU/edit?usp=sharing"",""ศูนย์ยกเว้นโฉนด!D67"")"),2186)</f>
        <v>2186</v>
      </c>
      <c r="K344" s="72">
        <f ca="1">IF(I344&gt;0,J344*100/I344,0)</f>
        <v>206.22641509433961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IFERROR(__xludf.DUMMYFUNCTION("IMPORTRANGE(""https://docs.google.com/spreadsheets/d/1eHaY18a8A9IcSdp1K8H6x8fbOy06t2VsZHhMHf-1x7Y/edit?usp=sharing"",""แผน!EL67"")"),4)</f>
        <v>4</v>
      </c>
      <c r="J346" s="291">
        <f ca="1">IFERROR(__xludf.DUMMYFUNCTION("IMPORTRANGE(""https://docs.google.com/spreadsheets/d/1awYsYK3VOup2i3Pq_Yjnu8DRu_mYwSBnCR2QPthd0rU/edit?usp=sharing"",""ศูนย์รวม!E67"")"),6)</f>
        <v>6</v>
      </c>
      <c r="K346" s="72">
        <f ca="1">IF(I346&gt;0,J346*100/I346,0)</f>
        <v>150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IFERROR(__xludf.DUMMYFUNCTION("IMPORTRANGE(""https://docs.google.com/spreadsheets/d/1awYsYK3VOup2i3Pq_Yjnu8DRu_mYwSBnCR2QPthd0rU/edit?usp=sharing"",""ศูนย์ยกเว้นโฉนด!F67"")"),0)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IFERROR(__xludf.DUMMYFUNCTION("IMPORTRANGE(""https://docs.google.com/spreadsheets/d/1awYsYK3VOup2i3Pq_Yjnu8DRu_mYwSBnCR2QPthd0rU/edit?usp=sharing"",""ศูนย์ยกเว้นโฉนด!G67"")"),2)</f>
        <v>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IFERROR(__xludf.DUMMYFUNCTION("IMPORTRANGE(""https://docs.google.com/spreadsheets/d/1awYsYK3VOup2i3Pq_Yjnu8DRu_mYwSBnCR2QPthd0rU/edit?usp=sharing"",""ศูนย์ยกเว้นโฉนด!H67"")"),0)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4678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IFERROR(__xludf.DUMMYFUNCTION("IMPORTRANGE(""https://docs.google.com/spreadsheets/d/1awYsYK3VOup2i3Pq_Yjnu8DRu_mYwSBnCR2QPthd0rU/edit?usp=sharing"",""โฉนดM3!G67"")"),71)</f>
        <v>71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IFERROR(__xludf.DUMMYFUNCTION("IMPORTRANGE(""https://docs.google.com/spreadsheets/d/1awYsYK3VOup2i3Pq_Yjnu8DRu_mYwSBnCR2QPthd0rU/edit?usp=sharing"",""โฉนดM3!H67"")"),4351)</f>
        <v>4351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IFERROR(__xludf.DUMMYFUNCTION("IMPORTRANGE(""https://docs.google.com/spreadsheets/d/1awYsYK3VOup2i3Pq_Yjnu8DRu_mYwSBnCR2QPthd0rU/edit?usp=sharing"",""โฉนดM3!I67"")"),256)</f>
        <v>256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876050</v>
      </c>
      <c r="M356" s="262">
        <f ca="1">M357+M358</f>
        <v>969570</v>
      </c>
      <c r="N356" s="262">
        <f ca="1">N357+N358</f>
        <v>704312.57</v>
      </c>
      <c r="O356" s="262">
        <f t="shared" ref="O356:O364" ca="1" si="93">IF(L356&gt;0,N356*100/L356,0)</f>
        <v>80.396389475486558</v>
      </c>
      <c r="P356" s="262">
        <f t="shared" ref="P356:P364" ca="1" si="94">IF(M356&gt;0,N356*100/M356,0)</f>
        <v>72.641745309776496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876050</v>
      </c>
      <c r="M358" s="72">
        <f t="shared" ca="1" si="97"/>
        <v>969570</v>
      </c>
      <c r="N358" s="72">
        <f t="shared" ca="1" si="97"/>
        <v>704312.57</v>
      </c>
      <c r="O358" s="72">
        <f t="shared" ca="1" si="93"/>
        <v>80.396389475486558</v>
      </c>
      <c r="P358" s="72">
        <f t="shared" ca="1" si="94"/>
        <v>72.641745309776496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876050</v>
      </c>
      <c r="M359" s="72">
        <f ca="1">M360+M361</f>
        <v>969570</v>
      </c>
      <c r="N359" s="72">
        <f ca="1">N360+N361</f>
        <v>704312.57</v>
      </c>
      <c r="O359" s="72">
        <f t="shared" ca="1" si="93"/>
        <v>80.396389475486558</v>
      </c>
      <c r="P359" s="72">
        <f t="shared" ca="1" si="94"/>
        <v>72.641745309776496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IFERROR(__xludf.DUMMYFUNCTION("IMPORTRANGE(""https://docs.google.com/spreadsheets/d/1-uDff_7J0KD5mKrp0Vvzr7lt3OU09vwQwhkpOPPYv2Y/edit?usp=sharing"",""งบพรบ!FC67"")"),876050)</f>
        <v>876050</v>
      </c>
      <c r="M361" s="72">
        <f ca="1">IFERROR(__xludf.DUMMYFUNCTION("IMPORTRANGE(""https://docs.google.com/spreadsheets/d/1-uDff_7J0KD5mKrp0Vvzr7lt3OU09vwQwhkpOPPYv2Y/edit?usp=sharing"",""งบพรบ!FH67"")"),969570)</f>
        <v>969570</v>
      </c>
      <c r="N361" s="72">
        <f ca="1">IFERROR(__xludf.DUMMYFUNCTION("IMPORTRANGE(""https://docs.google.com/spreadsheets/d/1-uDff_7J0KD5mKrp0Vvzr7lt3OU09vwQwhkpOPPYv2Y/edit?usp=sharing"",""งบพรบ!FJ67"")"),704312.57)</f>
        <v>704312.57</v>
      </c>
      <c r="O361" s="72">
        <f t="shared" ca="1" si="93"/>
        <v>80.396389475486558</v>
      </c>
      <c r="P361" s="72">
        <f t="shared" ca="1" si="94"/>
        <v>72.641745309776496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IFERROR(__xludf.DUMMYFUNCTION("IMPORTRANGE(""https://docs.google.com/spreadsheets/d/1-uDff_7J0KD5mKrp0Vvzr7lt3OU09vwQwhkpOPPYv2Y/edit?usp=sharing"",""งบพรบ!FF67"")"),0)</f>
        <v>0</v>
      </c>
      <c r="M364" s="72">
        <f ca="1">IFERROR(__xludf.DUMMYFUNCTION("IMPORTRANGE(""https://docs.google.com/spreadsheets/d/1-uDff_7J0KD5mKrp0Vvzr7lt3OU09vwQwhkpOPPYv2Y/edit?usp=sharing"",""งบพรบ!FI67"")"),0)</f>
        <v>0</v>
      </c>
      <c r="N364" s="72">
        <f ca="1">IFERROR(__xludf.DUMMYFUNCTION("IMPORTRANGE(""https://docs.google.com/spreadsheets/d/1-uDff_7J0KD5mKrp0Vvzr7lt3OU09vwQwhkpOPPYv2Y/edit?usp=sharing"",""งบพรบ!FK67"")"),0)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170</v>
      </c>
      <c r="J365" s="538">
        <f ca="1">J371</f>
        <v>215</v>
      </c>
      <c r="K365" s="539">
        <f ca="1">IF(I365&gt;0,J365*100/I365,0)</f>
        <v>126.47058823529412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IFERROR(__xludf.DUMMYFUNCTION("IMPORTRANGE(""https://docs.google.com/spreadsheets/d/1tdoBKaGub7dwA3U6UFTqxio9LNnvDCQjHKmttSEBsFQ/edit?usp=sharing"",""จัดที่ดิน!AB67"")"),66)</f>
        <v>66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IFERROR(__xludf.DUMMYFUNCTION("IMPORTRANGE(""https://docs.google.com/spreadsheets/d/1eHaY18a8A9IcSdp1K8H6x8fbOy06t2VsZHhMHf-1x7Y/edit?usp=sharing"",""แผน!EW67"")"),390)</f>
        <v>390</v>
      </c>
      <c r="J368" s="879">
        <f ca="1">IFERROR(__xludf.DUMMYFUNCTION("IMPORTRANGE(""https://docs.google.com/spreadsheets/d/1tdoBKaGub7dwA3U6UFTqxio9LNnvDCQjHKmttSEBsFQ/edit?usp=sharing"",""จัดที่ดิน!AC67"")"),605.65)</f>
        <v>605.65</v>
      </c>
      <c r="K368" s="72">
        <f t="shared" ca="1" si="99"/>
        <v>155.2948717948718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IFERROR(__xludf.DUMMYFUNCTION("IMPORTRANGE(""https://docs.google.com/spreadsheets/d/1eHaY18a8A9IcSdp1K8H6x8fbOy06t2VsZHhMHf-1x7Y/edit?usp=sharing"",""แผน!EX67"")"),170)</f>
        <v>170</v>
      </c>
      <c r="J369" s="291">
        <f ca="1">IFERROR(__xludf.DUMMYFUNCTION("IMPORTRANGE(""https://docs.google.com/spreadsheets/d/1tdoBKaGub7dwA3U6UFTqxio9LNnvDCQjHKmttSEBsFQ/edit?usp=sharing"",""จัดที่ดิน!AD67"")"),259)</f>
        <v>259</v>
      </c>
      <c r="K369" s="72">
        <f t="shared" ca="1" si="99"/>
        <v>152.35294117647058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IFERROR(__xludf.DUMMYFUNCTION("IMPORTRANGE(""https://docs.google.com/spreadsheets/d/1tdoBKaGub7dwA3U6UFTqxio9LNnvDCQjHKmttSEBsFQ/edit?usp=sharing"",""จัดที่ดิน!AE67"")"),3129.66)</f>
        <v>3129.66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IFERROR(__xludf.DUMMYFUNCTION("IMPORTRANGE(""https://docs.google.com/spreadsheets/d/1eHaY18a8A9IcSdp1K8H6x8fbOy06t2VsZHhMHf-1x7Y/edit?usp=sharing"",""แผน!EY67"")"),170)</f>
        <v>170</v>
      </c>
      <c r="J371" s="291">
        <f ca="1">IFERROR(__xludf.DUMMYFUNCTION("IMPORTRANGE(""https://docs.google.com/spreadsheets/d/1tdoBKaGub7dwA3U6UFTqxio9LNnvDCQjHKmttSEBsFQ/edit?usp=sharing"",""จัดที่ดิน!AF67"")"),215)</f>
        <v>215</v>
      </c>
      <c r="K371" s="72">
        <f t="shared" ca="1" si="99"/>
        <v>126.47058823529412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IFERROR(__xludf.DUMMYFUNCTION("IMPORTRANGE(""https://docs.google.com/spreadsheets/d/1tdoBKaGub7dwA3U6UFTqxio9LNnvDCQjHKmttSEBsFQ/edit?usp=sharing"",""จัดที่ดิน!AG67"")"),2769.41)</f>
        <v>2769.41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62500</v>
      </c>
      <c r="R375" s="262">
        <f ca="1">R376+R377</f>
        <v>62500</v>
      </c>
      <c r="S375" s="262">
        <f ca="1">S376+S377</f>
        <v>29260</v>
      </c>
      <c r="T375" s="262">
        <f t="shared" ref="T375:T383" ca="1" si="102">IF(Q375&gt;0,S375*100/Q375,0)</f>
        <v>46.816000000000003</v>
      </c>
      <c r="U375" s="262">
        <f t="shared" ref="U375:U383" ca="1" si="103">IF(R375&gt;0,S375*100/R375,0)</f>
        <v>46.816000000000003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62500</v>
      </c>
      <c r="R377" s="72">
        <f t="shared" ca="1" si="105"/>
        <v>62500</v>
      </c>
      <c r="S377" s="72">
        <f t="shared" ca="1" si="105"/>
        <v>29260</v>
      </c>
      <c r="T377" s="72">
        <f t="shared" ca="1" si="102"/>
        <v>46.816000000000003</v>
      </c>
      <c r="U377" s="72">
        <f t="shared" ca="1" si="103"/>
        <v>46.816000000000003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62500</v>
      </c>
      <c r="R378" s="72">
        <f ca="1">R379+R380</f>
        <v>62500</v>
      </c>
      <c r="S378" s="72">
        <f ca="1">S379+S380</f>
        <v>29260</v>
      </c>
      <c r="T378" s="72">
        <f t="shared" ca="1" si="102"/>
        <v>46.816000000000003</v>
      </c>
      <c r="U378" s="72">
        <f t="shared" ca="1" si="103"/>
        <v>46.816000000000003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IFERROR(__xludf.DUMMYFUNCTION("IMPORTRANGE(""https://docs.google.com/spreadsheets/d/1-uDff_7J0KD5mKrp0Vvzr7lt3OU09vwQwhkpOPPYv2Y/edit?usp=sharing"",""งบพรบ!IE67"")"),0)</f>
        <v>0</v>
      </c>
      <c r="M380" s="72">
        <f ca="1">IFERROR(__xludf.DUMMYFUNCTION("IMPORTRANGE(""https://docs.google.com/spreadsheets/d/1-uDff_7J0KD5mKrp0Vvzr7lt3OU09vwQwhkpOPPYv2Y/edit?usp=sharing"",""งบพรบ!IJ67"")"),0)</f>
        <v>0</v>
      </c>
      <c r="N380" s="72">
        <f ca="1">IFERROR(__xludf.DUMMYFUNCTION("IMPORTRANGE(""https://docs.google.com/spreadsheets/d/1-uDff_7J0KD5mKrp0Vvzr7lt3OU09vwQwhkpOPPYv2Y/edit?usp=sharing"",""งบพรบ!IL67"")"),0)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IFERROR(__xludf.DUMMYFUNCTION("IMPORTRANGE(""https://docs.google.com/spreadsheets/d/1ItG2mGa2ceCfYo0BwxsXqNm01IGEUdYcSSLTEv9YCik/edit?usp=sharing"",""เบิกจ่ายกองทุน!BW67"")"),62500)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IFERROR(__xludf.DUMMYFUNCTION("IMPORTRANGE(""https://docs.google.com/spreadsheets/d/1ItG2mGa2ceCfYo0BwxsXqNm01IGEUdYcSSLTEv9YCik/edit?usp=sharing"",""เบิกจ่ายกองทุน!BX67"")"),62500)</f>
        <v>62500</v>
      </c>
      <c r="S380" s="72">
        <f ca="1">IFERROR(__xludf.DUMMYFUNCTION("IMPORTRANGE(""https://docs.google.com/spreadsheets/d/1ItG2mGa2ceCfYo0BwxsXqNm01IGEUdYcSSLTEv9YCik/edit?usp=sharing"",""เบิกจ่ายกองทุน!BY67"")"),29260)</f>
        <v>29260</v>
      </c>
      <c r="T380" s="72">
        <f t="shared" ca="1" si="102"/>
        <v>46.816000000000003</v>
      </c>
      <c r="U380" s="72">
        <f t="shared" ca="1" si="103"/>
        <v>46.816000000000003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IFERROR(__xludf.DUMMYFUNCTION("IMPORTRANGE(""https://docs.google.com/spreadsheets/d/1-uDff_7J0KD5mKrp0Vvzr7lt3OU09vwQwhkpOPPYv2Y/edit?usp=sharing"",""งบพรบ!IH67"")"),0)</f>
        <v>0</v>
      </c>
      <c r="M383" s="72">
        <f ca="1">IFERROR(__xludf.DUMMYFUNCTION("IMPORTRANGE(""https://docs.google.com/spreadsheets/d/1-uDff_7J0KD5mKrp0Vvzr7lt3OU09vwQwhkpOPPYv2Y/edit?usp=sharing"",""งบพรบ!IK67"")"),0)</f>
        <v>0</v>
      </c>
      <c r="N383" s="72">
        <f ca="1">IFERROR(__xludf.DUMMYFUNCTION("IMPORTRANGE(""https://docs.google.com/spreadsheets/d/1-uDff_7J0KD5mKrp0Vvzr7lt3OU09vwQwhkpOPPYv2Y/edit?usp=sharing"",""งบพรบ!IM67"")"),0)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IFERROR(__xludf.DUMMYFUNCTION("IMPORTRANGE(""https://docs.google.com/spreadsheets/d/1w5rwWK1o49a35cNtocGL0gxDwhFSTZUQu90BiH9_zqM/edit?usp=sharing"",""RTK!H67"")"),0)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IFERROR(__xludf.DUMMYFUNCTION("IMPORTRANGE(""https://docs.google.com/spreadsheets/d/1w5rwWK1o49a35cNtocGL0gxDwhFSTZUQu90BiH9_zqM/edit?usp=sharing"",""RTK!G67"")"),1000)</f>
        <v>1000</v>
      </c>
      <c r="J386" s="291">
        <f ca="1">IFERROR(__xludf.DUMMYFUNCTION("IMPORTRANGE(""https://docs.google.com/spreadsheets/d/1w5rwWK1o49a35cNtocGL0gxDwhFSTZUQu90BiH9_zqM/edit?usp=sharing"",""RTK!I67"")"),0)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IFERROR(__xludf.DUMMYFUNCTION("IMPORTRANGE(""https://docs.google.com/spreadsheets/d/1w5rwWK1o49a35cNtocGL0gxDwhFSTZUQu90BiH9_zqM/edit?usp=sharing"",""RTK!L67"")"),0)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IFERROR(__xludf.DUMMYFUNCTION("IMPORTRANGE(""https://docs.google.com/spreadsheets/d/1w5rwWK1o49a35cNtocGL0gxDwhFSTZUQu90BiH9_zqM/edit?usp=sharing"",""RTK!K67"")"),0)</f>
        <v>0</v>
      </c>
      <c r="J388" s="237">
        <f ca="1">IFERROR(__xludf.DUMMYFUNCTION("IMPORTRANGE(""https://docs.google.com/spreadsheets/d/1w5rwWK1o49a35cNtocGL0gxDwhFSTZUQu90BiH9_zqM/edit?usp=sharing"",""RTK!M67"")"),0)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IFERROR(__xludf.DUMMYFUNCTION("IMPORTRANGE(""https://docs.google.com/spreadsheets/d/1ItG2mGa2ceCfYo0BwxsXqNm01IGEUdYcSSLTEv9YCik/edit?usp=sharing"",""เบิกจ่ายกองทุน!CL67"")"),0)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IFERROR(__xludf.DUMMYFUNCTION("IMPORTRANGE(""https://docs.google.com/spreadsheets/d/1ItG2mGa2ceCfYo0BwxsXqNm01IGEUdYcSSLTEv9YCik/edit?usp=sharing"",""เบิกจ่ายกองทุน!CM67"")"),0)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IFERROR(__xludf.DUMMYFUNCTION("IMPORTRANGE(""https://docs.google.com/spreadsheets/d/1ItG2mGa2ceCfYo0BwxsXqNm01IGEUdYcSSLTEv9YCik/edit?usp=sharing"",""เบิกจ่ายกองทุน!CN67"")"),0)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128550</v>
      </c>
      <c r="M413" s="262">
        <f ca="1">M414+M415</f>
        <v>128550</v>
      </c>
      <c r="N413" s="262">
        <f ca="1">N414+N415</f>
        <v>74780</v>
      </c>
      <c r="O413" s="262">
        <f t="shared" ref="O413:O421" ca="1" si="112">IF(L413&gt;0,N413*100/L413,0)</f>
        <v>58.171917541812526</v>
      </c>
      <c r="P413" s="262">
        <f t="shared" ref="P413:P421" ca="1" si="113">IF(M413&gt;0,N413*100/M413,0)</f>
        <v>58.171917541812526</v>
      </c>
      <c r="Q413" s="262">
        <f ca="1">Q414+Q415</f>
        <v>16640</v>
      </c>
      <c r="R413" s="262">
        <f ca="1">R414+R415</f>
        <v>16640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128550</v>
      </c>
      <c r="M415" s="72">
        <f t="shared" ca="1" si="116"/>
        <v>128550</v>
      </c>
      <c r="N415" s="72">
        <f t="shared" ca="1" si="116"/>
        <v>74780</v>
      </c>
      <c r="O415" s="72">
        <f t="shared" ca="1" si="112"/>
        <v>58.171917541812526</v>
      </c>
      <c r="P415" s="72">
        <f t="shared" ca="1" si="113"/>
        <v>58.171917541812526</v>
      </c>
      <c r="Q415" s="72">
        <f t="shared" ca="1" si="117"/>
        <v>16640</v>
      </c>
      <c r="R415" s="72">
        <f t="shared" ca="1" si="117"/>
        <v>16640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128550</v>
      </c>
      <c r="M416" s="72">
        <f ca="1">M417+M418</f>
        <v>128550</v>
      </c>
      <c r="N416" s="72">
        <f ca="1">N417+N418</f>
        <v>74780</v>
      </c>
      <c r="O416" s="72">
        <f t="shared" ca="1" si="112"/>
        <v>58.171917541812526</v>
      </c>
      <c r="P416" s="72">
        <f t="shared" ca="1" si="113"/>
        <v>58.171917541812526</v>
      </c>
      <c r="Q416" s="72">
        <f ca="1">Q417+Q418</f>
        <v>16640</v>
      </c>
      <c r="R416" s="72">
        <f ca="1">R417+R418</f>
        <v>16640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IFERROR(__xludf.DUMMYFUNCTION("IMPORTRANGE(""https://docs.google.com/spreadsheets/d/1-uDff_7J0KD5mKrp0Vvzr7lt3OU09vwQwhkpOPPYv2Y/edit?usp=sharing"",""งบพรบ!IO67"")"),128550)</f>
        <v>128550</v>
      </c>
      <c r="M418" s="72">
        <f ca="1">IFERROR(__xludf.DUMMYFUNCTION("IMPORTRANGE(""https://docs.google.com/spreadsheets/d/1-uDff_7J0KD5mKrp0Vvzr7lt3OU09vwQwhkpOPPYv2Y/edit?usp=sharing"",""งบพรบ!IT67"")"),128550)</f>
        <v>128550</v>
      </c>
      <c r="N418" s="72">
        <f ca="1">IFERROR(__xludf.DUMMYFUNCTION("IMPORTRANGE(""https://docs.google.com/spreadsheets/d/1-uDff_7J0KD5mKrp0Vvzr7lt3OU09vwQwhkpOPPYv2Y/edit?usp=sharing"",""งบพรบ!IV67"")"),74780)</f>
        <v>74780</v>
      </c>
      <c r="O418" s="72">
        <f t="shared" ca="1" si="112"/>
        <v>58.171917541812526</v>
      </c>
      <c r="P418" s="72">
        <f t="shared" ca="1" si="113"/>
        <v>58.171917541812526</v>
      </c>
      <c r="Q418" s="72">
        <f ca="1">IFERROR(__xludf.DUMMYFUNCTION("IMPORTRANGE(""https://docs.google.com/spreadsheets/d/1ItG2mGa2ceCfYo0BwxsXqNm01IGEUdYcSSLTEv9YCik/edit?usp=sharing"",""เบิกจ่ายกองทุน!BZ67"")"),16640)</f>
        <v>16640</v>
      </c>
      <c r="R418" s="72">
        <f ca="1">IFERROR(__xludf.DUMMYFUNCTION("IMPORTRANGE(""https://docs.google.com/spreadsheets/d/1ItG2mGa2ceCfYo0BwxsXqNm01IGEUdYcSSLTEv9YCik/edit?usp=sharing"",""เบิกจ่ายกองทุน!CA67"")"),16640)</f>
        <v>16640</v>
      </c>
      <c r="S418" s="72">
        <f ca="1">IFERROR(__xludf.DUMMYFUNCTION("IMPORTRANGE(""https://docs.google.com/spreadsheets/d/1ItG2mGa2ceCfYo0BwxsXqNm01IGEUdYcSSLTEv9YCik/edit?usp=sharing"",""เบิกจ่ายกองทุน!CB67"")"),0)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IFERROR(__xludf.DUMMYFUNCTION("IMPORTRANGE(""https://docs.google.com/spreadsheets/d/1-uDff_7J0KD5mKrp0Vvzr7lt3OU09vwQwhkpOPPYv2Y/edit?usp=sharing"",""งบพรบ!IR67"")"),0)</f>
        <v>0</v>
      </c>
      <c r="M421" s="72">
        <f ca="1">IFERROR(__xludf.DUMMYFUNCTION("IMPORTRANGE(""https://docs.google.com/spreadsheets/d/1-uDff_7J0KD5mKrp0Vvzr7lt3OU09vwQwhkpOPPYv2Y/edit?usp=sharing"",""งบพรบ!IU67"")"),0)</f>
        <v>0</v>
      </c>
      <c r="N421" s="72">
        <f ca="1">IFERROR(__xludf.DUMMYFUNCTION("IMPORTRANGE(""https://docs.google.com/spreadsheets/d/1-uDff_7J0KD5mKrp0Vvzr7lt3OU09vwQwhkpOPPYv2Y/edit?usp=sharing"",""งบพรบ!IW67"")"),0)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IFERROR(__xludf.DUMMYFUNCTION("IMPORTRANGE(""https://docs.google.com/spreadsheets/d/1eHaY18a8A9IcSdp1K8H6x8fbOy06t2VsZHhMHf-1x7Y/edit?usp=sharing"",""แผน!HJ67"")"),0)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IFERROR(__xludf.DUMMYFUNCTION("IMPORTRANGE(""https://docs.google.com/spreadsheets/d/1eHaY18a8A9IcSdp1K8H6x8fbOy06t2VsZHhMHf-1x7Y/edit?usp=sharing"",""แผน!HK67"")"),0)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IFERROR(__xludf.DUMMYFUNCTION("IMPORTRANGE(""https://docs.google.com/spreadsheets/d/1eHaY18a8A9IcSdp1K8H6x8fbOy06t2VsZHhMHf-1x7Y/edit?usp=sharing"",""แผน!HJ67"")"),0)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IFERROR(__xludf.DUMMYFUNCTION("IMPORTRANGE(""https://docs.google.com/spreadsheets/d/1eHaY18a8A9IcSdp1K8H6x8fbOy06t2VsZHhMHf-1x7Y/edit?usp=sharing"",""แผน!HK67"")"),0)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IFERROR(__xludf.DUMMYFUNCTION("IMPORTRANGE(""https://docs.google.com/spreadsheets/d/1eHaY18a8A9IcSdp1K8H6x8fbOy06t2VsZHhMHf-1x7Y/edit?usp=sharing"",""แผน!HJ67"")"),0)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IFERROR(__xludf.DUMMYFUNCTION("IMPORTRANGE(""https://docs.google.com/spreadsheets/d/1eHaY18a8A9IcSdp1K8H6x8fbOy06t2VsZHhMHf-1x7Y/edit?usp=sharing"",""แผน!HK67"")"),0)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225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IFERROR(__xludf.DUMMYFUNCTION("IMPORTRANGE(""https://docs.google.com/spreadsheets/d/1eHaY18a8A9IcSdp1K8H6x8fbOy06t2VsZHhMHf-1x7Y/edit?usp=sharing"",""แผน!HL67"")"),225)</f>
        <v>225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IFERROR(__xludf.DUMMYFUNCTION("IMPORTRANGE(""https://docs.google.com/spreadsheets/d/1eHaY18a8A9IcSdp1K8H6x8fbOy06t2VsZHhMHf-1x7Y/edit?usp=sharing"",""แผน!HM67"")"),0)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IFERROR(__xludf.DUMMYFUNCTION("IMPORTRANGE(""https://docs.google.com/spreadsheets/d/1-uDff_7J0KD5mKrp0Vvzr7lt3OU09vwQwhkpOPPYv2Y/edit?usp=sharing"",""งบพรบ!HU67"")"),0)</f>
        <v>0</v>
      </c>
      <c r="M498" s="72">
        <f ca="1">IFERROR(__xludf.DUMMYFUNCTION("IMPORTRANGE(""https://docs.google.com/spreadsheets/d/1-uDff_7J0KD5mKrp0Vvzr7lt3OU09vwQwhkpOPPYv2Y/edit?usp=sharing"",""งบพรบ!HZ67"")"),0)</f>
        <v>0</v>
      </c>
      <c r="N498" s="72">
        <f ca="1">IFERROR(__xludf.DUMMYFUNCTION("IMPORTRANGE(""https://docs.google.com/spreadsheets/d/1-uDff_7J0KD5mKrp0Vvzr7lt3OU09vwQwhkpOPPYv2Y/edit?usp=sharing"",""งบพรบ!IB67"")"),0)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IFERROR(__xludf.DUMMYFUNCTION("IMPORTRANGE(""https://docs.google.com/spreadsheets/d/1ItG2mGa2ceCfYo0BwxsXqNm01IGEUdYcSSLTEv9YCik/edit?usp=sharing"",""เบิกจ่ายกองทุน!AD67"")"),0)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IFERROR(__xludf.DUMMYFUNCTION("IMPORTRANGE(""https://docs.google.com/spreadsheets/d/1ItG2mGa2ceCfYo0BwxsXqNm01IGEUdYcSSLTEv9YCik/edit?usp=sharing"",""เบิกจ่ายกองทุน!AE67"")"),0)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IFERROR(__xludf.DUMMYFUNCTION("IMPORTRANGE(""https://docs.google.com/spreadsheets/d/1ItG2mGa2ceCfYo0BwxsXqNm01IGEUdYcSSLTEv9YCik/edit?usp=sharing"",""เบิกจ่ายกองทุน!AF67"")"),0)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IFERROR(__xludf.DUMMYFUNCTION("IMPORTRANGE(""https://docs.google.com/spreadsheets/d/1-uDff_7J0KD5mKrp0Vvzr7lt3OU09vwQwhkpOPPYv2Y/edit?usp=sharing"",""งบพรบ!HX67"")"),0)</f>
        <v>0</v>
      </c>
      <c r="M501" s="72">
        <f ca="1">IFERROR(__xludf.DUMMYFUNCTION("IMPORTRANGE(""https://docs.google.com/spreadsheets/d/1-uDff_7J0KD5mKrp0Vvzr7lt3OU09vwQwhkpOPPYv2Y/edit?usp=sharing"",""งบพรบ!IA67"")"),0)</f>
        <v>0</v>
      </c>
      <c r="N501" s="72">
        <f ca="1">IFERROR(__xludf.DUMMYFUNCTION("IMPORTRANGE(""https://docs.google.com/spreadsheets/d/1-uDff_7J0KD5mKrp0Vvzr7lt3OU09vwQwhkpOPPYv2Y/edit?usp=sharing"",""งบพรบ!IC67"")"),0)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IFERROR(__xludf.DUMMYFUNCTION("IMPORTRANGE(""https://docs.google.com/spreadsheets/d/1eHaY18a8A9IcSdp1K8H6x8fbOy06t2VsZHhMHf-1x7Y/edit?usp=sharing"",""แผน!GX67"")"),0)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IFERROR(__xludf.DUMMYFUNCTION("IMPORTRANGE(""https://docs.google.com/spreadsheets/d/1eHaY18a8A9IcSdp1K8H6x8fbOy06t2VsZHhMHf-1x7Y/edit?usp=sharing"",""แผน!GY67"")"),0)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IFERROR(__xludf.DUMMYFUNCTION("IMPORTRANGE(""https://docs.google.com/spreadsheets/d/1eHaY18a8A9IcSdp1K8H6x8fbOy06t2VsZHhMHf-1x7Y/edit?usp=sharing"",""แผน!GZ67"")"),0)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IFERROR(__xludf.DUMMYFUNCTION("IMPORTRANGE(""https://docs.google.com/spreadsheets/d/1eHaY18a8A9IcSdp1K8H6x8fbOy06t2VsZHhMHf-1x7Y/edit?usp=sharing"",""แผน!HA67"")"),0)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IFERROR(__xludf.DUMMYFUNCTION("IMPORTRANGE(""https://docs.google.com/spreadsheets/d/1eHaY18a8A9IcSdp1K8H6x8fbOy06t2VsZHhMHf-1x7Y/edit?usp=sharing"",""แผน!HB67"")"),0)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IFERROR(__xludf.DUMMYFUNCTION("IMPORTRANGE(""https://docs.google.com/spreadsheets/d/1eHaY18a8A9IcSdp1K8H6x8fbOy06t2VsZHhMHf-1x7Y/edit?usp=sharing"",""แผน!HC67"")"),0)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IFERROR(__xludf.DUMMYFUNCTION("IMPORTRANGE(""https://docs.google.com/spreadsheets/d/1-uDff_7J0KD5mKrp0Vvzr7lt3OU09vwQwhkpOPPYv2Y/edit?usp=sharing"",""งบพรบ!FM67"")"),0)</f>
        <v>0</v>
      </c>
      <c r="M518" s="72">
        <f ca="1">IFERROR(__xludf.DUMMYFUNCTION("IMPORTRANGE(""https://docs.google.com/spreadsheets/d/1-uDff_7J0KD5mKrp0Vvzr7lt3OU09vwQwhkpOPPYv2Y/edit?usp=sharing"",""งบพรบ!FR67"")"),0)</f>
        <v>0</v>
      </c>
      <c r="N518" s="72">
        <f ca="1">IFERROR(__xludf.DUMMYFUNCTION("IMPORTRANGE(""https://docs.google.com/spreadsheets/d/1-uDff_7J0KD5mKrp0Vvzr7lt3OU09vwQwhkpOPPYv2Y/edit?usp=sharing"",""งบพรบ!FT67"")"),0)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IFERROR(__xludf.DUMMYFUNCTION("IMPORTRANGE(""https://docs.google.com/spreadsheets/d/1-uDff_7J0KD5mKrp0Vvzr7lt3OU09vwQwhkpOPPYv2Y/edit?usp=sharing"",""งบพรบ!FP67"")"),0)</f>
        <v>0</v>
      </c>
      <c r="M521" s="72">
        <f ca="1">IFERROR(__xludf.DUMMYFUNCTION("IMPORTRANGE(""https://docs.google.com/spreadsheets/d/1-uDff_7J0KD5mKrp0Vvzr7lt3OU09vwQwhkpOPPYv2Y/edit?usp=sharing"",""งบพรบ!FS67"")"),0)</f>
        <v>0</v>
      </c>
      <c r="N521" s="72">
        <f ca="1">IFERROR(__xludf.DUMMYFUNCTION("IMPORTRANGE(""https://docs.google.com/spreadsheets/d/1-uDff_7J0KD5mKrp0Vvzr7lt3OU09vwQwhkpOPPYv2Y/edit?usp=sharing"",""งบพรบ!FU67"")"),0)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IFERROR(__xludf.DUMMYFUNCTION("IMPORTRANGE(""https://docs.google.com/spreadsheets/d/1-uDff_7J0KD5mKrp0Vvzr7lt3OU09vwQwhkpOPPYv2Y/edit?usp=sharing"",""งบพรบ!FW67"")"),0)</f>
        <v>0</v>
      </c>
      <c r="M539" s="72">
        <f ca="1">IFERROR(__xludf.DUMMYFUNCTION("IMPORTRANGE(""https://docs.google.com/spreadsheets/d/1-uDff_7J0KD5mKrp0Vvzr7lt3OU09vwQwhkpOPPYv2Y/edit?usp=sharing"",""งบพรบ!GB67"")"),0)</f>
        <v>0</v>
      </c>
      <c r="N539" s="72">
        <f ca="1">IFERROR(__xludf.DUMMYFUNCTION("IMPORTRANGE(""https://docs.google.com/spreadsheets/d/1-uDff_7J0KD5mKrp0Vvzr7lt3OU09vwQwhkpOPPYv2Y/edit?usp=sharing"",""งบพรบ!GD67"")"),0)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IFERROR(__xludf.DUMMYFUNCTION("IMPORTRANGE(""https://docs.google.com/spreadsheets/d/1-uDff_7J0KD5mKrp0Vvzr7lt3OU09vwQwhkpOPPYv2Y/edit?usp=sharing"",""งบพรบ!FZ67"")"),0)</f>
        <v>0</v>
      </c>
      <c r="M542" s="72">
        <f ca="1">IFERROR(__xludf.DUMMYFUNCTION("IMPORTRANGE(""https://docs.google.com/spreadsheets/d/1-uDff_7J0KD5mKrp0Vvzr7lt3OU09vwQwhkpOPPYv2Y/edit?usp=sharing"",""งบพรบ!GC67"")"),0)</f>
        <v>0</v>
      </c>
      <c r="N542" s="72">
        <f ca="1">IFERROR(__xludf.DUMMYFUNCTION("IMPORTRANGE(""https://docs.google.com/spreadsheets/d/1-uDff_7J0KD5mKrp0Vvzr7lt3OU09vwQwhkpOPPYv2Y/edit?usp=sharing"",""งบพรบ!GE67"")"),0)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IFERROR(__xludf.DUMMYFUNCTION("IMPORTRANGE(""https://docs.google.com/spreadsheets/d/1-uDff_7J0KD5mKrp0Vvzr7lt3OU09vwQwhkpOPPYv2Y/edit?usp=sharing"",""งบพรบ!GG67"")"),0)</f>
        <v>0</v>
      </c>
      <c r="M560" s="72">
        <f ca="1">IFERROR(__xludf.DUMMYFUNCTION("IMPORTRANGE(""https://docs.google.com/spreadsheets/d/1-uDff_7J0KD5mKrp0Vvzr7lt3OU09vwQwhkpOPPYv2Y/edit?usp=sharing"",""งบพรบ!GL67"")"),0)</f>
        <v>0</v>
      </c>
      <c r="N560" s="72">
        <f ca="1">IFERROR(__xludf.DUMMYFUNCTION("IMPORTRANGE(""https://docs.google.com/spreadsheets/d/1-uDff_7J0KD5mKrp0Vvzr7lt3OU09vwQwhkpOPPYv2Y/edit?usp=sharing"",""งบพรบ!GN67"")"),0)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IFERROR(__xludf.DUMMYFUNCTION("IMPORTRANGE(""https://docs.google.com/spreadsheets/d/1-uDff_7J0KD5mKrp0Vvzr7lt3OU09vwQwhkpOPPYv2Y/edit?usp=sharing"",""งบพรบ!GJ67"")"),0)</f>
        <v>0</v>
      </c>
      <c r="M563" s="72">
        <f ca="1">IFERROR(__xludf.DUMMYFUNCTION("IMPORTRANGE(""https://docs.google.com/spreadsheets/d/1-uDff_7J0KD5mKrp0Vvzr7lt3OU09vwQwhkpOPPYv2Y/edit?usp=sharing"",""งบพรบ!GM67"")"),0)</f>
        <v>0</v>
      </c>
      <c r="N563" s="72">
        <f ca="1">IFERROR(__xludf.DUMMYFUNCTION("IMPORTRANGE(""https://docs.google.com/spreadsheets/d/1-uDff_7J0KD5mKrp0Vvzr7lt3OU09vwQwhkpOPPYv2Y/edit?usp=sharing"",""งบพรบ!GO67"")"),0)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IFERROR(__xludf.DUMMYFUNCTION("IMPORTRANGE(""https://docs.google.com/spreadsheets/d/1-uDff_7J0KD5mKrp0Vvzr7lt3OU09vwQwhkpOPPYv2Y/edit?usp=sharing"",""งบพรบ!GQ67"")"),0)</f>
        <v>0</v>
      </c>
      <c r="M581" s="72">
        <f ca="1">IFERROR(__xludf.DUMMYFUNCTION("IMPORTRANGE(""https://docs.google.com/spreadsheets/d/1-uDff_7J0KD5mKrp0Vvzr7lt3OU09vwQwhkpOPPYv2Y/edit?usp=sharing"",""งบพรบ!GV67"")"),0)</f>
        <v>0</v>
      </c>
      <c r="N581" s="72">
        <f ca="1">IFERROR(__xludf.DUMMYFUNCTION("IMPORTRANGE(""https://docs.google.com/spreadsheets/d/1-uDff_7J0KD5mKrp0Vvzr7lt3OU09vwQwhkpOPPYv2Y/edit?usp=sharing"",""งบพรบ!GX67"")"),0)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IFERROR(__xludf.DUMMYFUNCTION("IMPORTRANGE(""https://docs.google.com/spreadsheets/d/1-uDff_7J0KD5mKrp0Vvzr7lt3OU09vwQwhkpOPPYv2Y/edit?usp=sharing"",""งบพรบ!GT67"")"),0)</f>
        <v>0</v>
      </c>
      <c r="M584" s="72">
        <f ca="1">IFERROR(__xludf.DUMMYFUNCTION("IMPORTRANGE(""https://docs.google.com/spreadsheets/d/1-uDff_7J0KD5mKrp0Vvzr7lt3OU09vwQwhkpOPPYv2Y/edit?usp=sharing"",""งบพรบ!GW67"")"),0)</f>
        <v>0</v>
      </c>
      <c r="N584" s="72">
        <f ca="1">IFERROR(__xludf.DUMMYFUNCTION("IMPORTRANGE(""https://docs.google.com/spreadsheets/d/1-uDff_7J0KD5mKrp0Vvzr7lt3OU09vwQwhkpOPPYv2Y/edit?usp=sharing"",""งบพรบ!GY67"")"),0)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49156</v>
      </c>
      <c r="M599" s="211">
        <f ca="1">M600+M601</f>
        <v>49156</v>
      </c>
      <c r="N599" s="211">
        <f ca="1">N600+N601</f>
        <v>1475</v>
      </c>
      <c r="O599" s="211">
        <f t="shared" ref="O599:O607" ca="1" si="149">IF(L599&gt;0,N599*100/L599,0)</f>
        <v>3.0006509886890713</v>
      </c>
      <c r="P599" s="211">
        <f t="shared" ref="P599:P607" ca="1" si="150">IF(M599&gt;0,N599*100/M599,0)</f>
        <v>3.0006509886890713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49156</v>
      </c>
      <c r="M601" s="86">
        <f t="shared" ca="1" si="153"/>
        <v>49156</v>
      </c>
      <c r="N601" s="86">
        <f t="shared" ca="1" si="153"/>
        <v>1475</v>
      </c>
      <c r="O601" s="86">
        <f t="shared" ca="1" si="149"/>
        <v>3.0006509886890713</v>
      </c>
      <c r="P601" s="86">
        <f t="shared" ca="1" si="150"/>
        <v>3.0006509886890713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49156</v>
      </c>
      <c r="M602" s="86">
        <f ca="1">M603+M604</f>
        <v>49156</v>
      </c>
      <c r="N602" s="86">
        <f ca="1">N603+N604</f>
        <v>1475</v>
      </c>
      <c r="O602" s="86">
        <f t="shared" ca="1" si="149"/>
        <v>3.0006509886890713</v>
      </c>
      <c r="P602" s="86">
        <f t="shared" ca="1" si="150"/>
        <v>3.0006509886890713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IFERROR(__xludf.DUMMYFUNCTION("IMPORTRANGE(""https://docs.google.com/spreadsheets/d/1-uDff_7J0KD5mKrp0Vvzr7lt3OU09vwQwhkpOPPYv2Y/edit?usp=sharing"",""งบพรบ!HK67"")"),49156)</f>
        <v>49156</v>
      </c>
      <c r="M604" s="86">
        <f ca="1">IFERROR(__xludf.DUMMYFUNCTION("IMPORTRANGE(""https://docs.google.com/spreadsheets/d/1-uDff_7J0KD5mKrp0Vvzr7lt3OU09vwQwhkpOPPYv2Y/edit?usp=sharing"",""งบพรบ!HP67"")"),49156)</f>
        <v>49156</v>
      </c>
      <c r="N604" s="86">
        <f ca="1">IFERROR(__xludf.DUMMYFUNCTION("IMPORTRANGE(""https://docs.google.com/spreadsheets/d/1-uDff_7J0KD5mKrp0Vvzr7lt3OU09vwQwhkpOPPYv2Y/edit?usp=sharing"",""งบพรบ!HR67"")"),1475)</f>
        <v>1475</v>
      </c>
      <c r="O604" s="86">
        <f t="shared" ca="1" si="149"/>
        <v>3.0006509886890713</v>
      </c>
      <c r="P604" s="86">
        <f t="shared" ca="1" si="150"/>
        <v>3.0006509886890713</v>
      </c>
      <c r="Q604" s="86">
        <f ca="1">IFERROR(__xludf.DUMMYFUNCTION("IMPORTRANGE(""https://docs.google.com/spreadsheets/d/1ItG2mGa2ceCfYo0BwxsXqNm01IGEUdYcSSLTEv9YCik/edit?usp=sharing"",""เบิกจ่ายกองทุน!AV67"")"),0)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IFERROR(__xludf.DUMMYFUNCTION("IMPORTRANGE(""https://docs.google.com/spreadsheets/d/1ItG2mGa2ceCfYo0BwxsXqNm01IGEUdYcSSLTEv9YCik/edit?usp=sharing"",""เบิกจ่ายกองทุน!AW67"")"),0)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IFERROR(__xludf.DUMMYFUNCTION("IMPORTRANGE(""https://docs.google.com/spreadsheets/d/1ItG2mGa2ceCfYo0BwxsXqNm01IGEUdYcSSLTEv9YCik/edit?usp=sharing"",""เบิกจ่ายกองทุน!AX67"")"),0)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IFERROR(__xludf.DUMMYFUNCTION("IMPORTRANGE(""https://docs.google.com/spreadsheets/d/1-uDff_7J0KD5mKrp0Vvzr7lt3OU09vwQwhkpOPPYv2Y/edit?usp=sharing"",""งบพรบ!HN67"")"),0)</f>
        <v>0</v>
      </c>
      <c r="M607" s="86">
        <f ca="1">IFERROR(__xludf.DUMMYFUNCTION("IMPORTRANGE(""https://docs.google.com/spreadsheets/d/1-uDff_7J0KD5mKrp0Vvzr7lt3OU09vwQwhkpOPPYv2Y/edit?usp=sharing"",""งบพรบ!HQ67"")"),0)</f>
        <v>0</v>
      </c>
      <c r="N607" s="86">
        <f ca="1">IFERROR(__xludf.DUMMYFUNCTION("IMPORTRANGE(""https://docs.google.com/spreadsheets/d/1-uDff_7J0KD5mKrp0Vvzr7lt3OU09vwQwhkpOPPYv2Y/edit?usp=sharing"",""งบพรบ!HS67"")"),0)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IFERROR(__xludf.DUMMYFUNCTION("IMPORTRANGE(""https://docs.google.com/spreadsheets/d/1ItG2mGa2ceCfYo0BwxsXqNm01IGEUdYcSSLTEv9YCik/edit?usp=sharing"",""เบิกจ่ายกองทุน!AY67"")"),0)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IFERROR(__xludf.DUMMYFUNCTION("IMPORTRANGE(""https://docs.google.com/spreadsheets/d/1ItG2mGa2ceCfYo0BwxsXqNm01IGEUdYcSSLTEv9YCik/edit?usp=sharing"",""เบิกจ่ายกองทุน!AZ67"")"),0)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IFERROR(__xludf.DUMMYFUNCTION("IMPORTRANGE(""https://docs.google.com/spreadsheets/d/1ItG2mGa2ceCfYo0BwxsXqNm01IGEUdYcSSLTEv9YCik/edit?usp=sharing"",""เบิกจ่ายกองทุน!BA67"")"),0)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7350</v>
      </c>
      <c r="R616" s="262">
        <f ca="1">R617+R618</f>
        <v>7350</v>
      </c>
      <c r="S616" s="262">
        <f ca="1">S617+S618</f>
        <v>420</v>
      </c>
      <c r="T616" s="262">
        <f t="shared" ref="T616:T624" ca="1" si="157">IF(Q616&gt;0,S616*100/Q616,0)</f>
        <v>5.7142857142857144</v>
      </c>
      <c r="U616" s="262">
        <f t="shared" ref="U616:U624" ca="1" si="158">IF(R616&gt;0,S616*100/R616,0)</f>
        <v>5.7142857142857144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7350</v>
      </c>
      <c r="R618" s="72">
        <f t="shared" ca="1" si="160"/>
        <v>7350</v>
      </c>
      <c r="S618" s="72">
        <f t="shared" ca="1" si="160"/>
        <v>420</v>
      </c>
      <c r="T618" s="72">
        <f t="shared" ca="1" si="157"/>
        <v>5.7142857142857144</v>
      </c>
      <c r="U618" s="72">
        <f t="shared" ca="1" si="158"/>
        <v>5.7142857142857144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7350</v>
      </c>
      <c r="R619" s="72">
        <f ca="1">R620+R621</f>
        <v>7350</v>
      </c>
      <c r="S619" s="72">
        <f ca="1">S620+S621</f>
        <v>420</v>
      </c>
      <c r="T619" s="72">
        <f t="shared" ca="1" si="157"/>
        <v>5.7142857142857144</v>
      </c>
      <c r="U619" s="72">
        <f t="shared" ca="1" si="158"/>
        <v>5.7142857142857144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IFERROR(__xludf.DUMMYFUNCTION("IMPORTRANGE(""https://docs.google.com/spreadsheets/d/1ItG2mGa2ceCfYo0BwxsXqNm01IGEUdYcSSLTEv9YCik/edit?usp=sharing"",""เบิกจ่ายกองทุน!F67"")"),7350)</f>
        <v>7350</v>
      </c>
      <c r="R621" s="72">
        <f ca="1">IFERROR(__xludf.DUMMYFUNCTION("IMPORTRANGE(""https://docs.google.com/spreadsheets/d/1ItG2mGa2ceCfYo0BwxsXqNm01IGEUdYcSSLTEv9YCik/edit?usp=sharing"",""เบิกจ่ายกองทุน!G67"")"),7350)</f>
        <v>7350</v>
      </c>
      <c r="S621" s="72">
        <f ca="1">IFERROR(__xludf.DUMMYFUNCTION("IMPORTRANGE(""https://docs.google.com/spreadsheets/d/1ItG2mGa2ceCfYo0BwxsXqNm01IGEUdYcSSLTEv9YCik/edit?usp=sharing"",""เบิกจ่ายกองทุน!H67"")"),420)</f>
        <v>420</v>
      </c>
      <c r="T621" s="72">
        <f t="shared" ca="1" si="157"/>
        <v>5.7142857142857144</v>
      </c>
      <c r="U621" s="72">
        <f t="shared" ca="1" si="158"/>
        <v>5.7142857142857144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IFERROR(__xludf.DUMMYFUNCTION("IMPORTRANGE(""https://docs.google.com/spreadsheets/d/1eHaY18a8A9IcSdp1K8H6x8fbOy06t2VsZHhMHf-1x7Y/edit?usp=sharing"",""แผน!ID67"")"),50)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IFERROR(__xludf.DUMMYFUNCTION("IMPORTRANGE(""https://docs.google.com/spreadsheets/d/1eHaY18a8A9IcSdp1K8H6x8fbOy06t2VsZHhMHf-1x7Y/edit?usp=sharing"",""แผน!IC67"")"),1)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IFERROR(__xludf.DUMMYFUNCTION("IMPORTRANGE(""https://docs.google.com/spreadsheets/d/1eHaY18a8A9IcSdp1K8H6x8fbOy06t2VsZHhMHf-1x7Y/edit?usp=sharing"",""แผน!IC67"")"),1)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IFERROR(__xludf.DUMMYFUNCTION("IMPORTRANGE(""https://docs.google.com/spreadsheets/d/1eHaY18a8A9IcSdp1K8H6x8fbOy06t2VsZHhMHf-1x7Y/edit?usp=sharing"",""แผน!IE67"")"),0)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6900</v>
      </c>
      <c r="R642" s="262">
        <f ca="1">R643+R644</f>
        <v>6900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6900</v>
      </c>
      <c r="R644" s="72">
        <f t="shared" ca="1" si="166"/>
        <v>6900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6900</v>
      </c>
      <c r="R645" s="72">
        <f ca="1">R646+R647</f>
        <v>6900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IFERROR(__xludf.DUMMYFUNCTION("IMPORTRANGE(""https://docs.google.com/spreadsheets/d/1ItG2mGa2ceCfYo0BwxsXqNm01IGEUdYcSSLTEv9YCik/edit?usp=sharing"",""เบิกจ่ายกองทุน!I67"")"),6900)</f>
        <v>6900</v>
      </c>
      <c r="R647" s="72">
        <f ca="1">IFERROR(__xludf.DUMMYFUNCTION("IMPORTRANGE(""https://docs.google.com/spreadsheets/d/1ItG2mGa2ceCfYo0BwxsXqNm01IGEUdYcSSLTEv9YCik/edit?usp=sharing"",""เบิกจ่ายกองทุน!J67"")"),6900)</f>
        <v>6900</v>
      </c>
      <c r="S647" s="72">
        <f ca="1">IFERROR(__xludf.DUMMYFUNCTION("IMPORTRANGE(""https://docs.google.com/spreadsheets/d/1ItG2mGa2ceCfYo0BwxsXqNm01IGEUdYcSSLTEv9YCik/edit?usp=sharing"",""เบิกจ่ายกองทุน!K67"")"),0)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IFERROR(__xludf.DUMMYFUNCTION("IMPORTRANGE(""https://docs.google.com/spreadsheets/d/1eHaY18a8A9IcSdp1K8H6x8fbOy06t2VsZHhMHf-1x7Y/edit?usp=sharing"",""แผน!IF67"")"),11)</f>
        <v>11</v>
      </c>
      <c r="J652" s="291">
        <f ca="1">IFERROR(__xludf.DUMMYFUNCTION("IMPORTRANGE(""https://docs.google.com/spreadsheets/d/1tdoBKaGub7dwA3U6UFTqxio9LNnvDCQjHKmttSEBsFQ/edit?usp=sharing"",""จัดที่ดิน!AU67"")"),0)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IFERROR(__xludf.DUMMYFUNCTION("IMPORTRANGE(""https://docs.google.com/spreadsheets/d/1eHaY18a8A9IcSdp1K8H6x8fbOy06t2VsZHhMHf-1x7Y/edit?usp=sharing"",""แผน!IG67"")"),0)</f>
        <v>0</v>
      </c>
      <c r="J653" s="291">
        <f ca="1">IFERROR(__xludf.DUMMYFUNCTION("IMPORTRANGE(""https://docs.google.com/spreadsheets/d/1tdoBKaGub7dwA3U6UFTqxio9LNnvDCQjHKmttSEBsFQ/edit?usp=sharing"",""จัดที่ดิน!AW67"")"),0)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IFERROR(__xludf.DUMMYFUNCTION("IMPORTRANGE(""https://docs.google.com/spreadsheets/d/1eHaY18a8A9IcSdp1K8H6x8fbOy06t2VsZHhMHf-1x7Y/edit?usp=sharing"",""แผน!IH67"")"),0)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IFERROR(__xludf.DUMMYFUNCTION("IMPORTRANGE(""https://docs.google.com/spreadsheets/d/1eHaY18a8A9IcSdp1K8H6x8fbOy06t2VsZHhMHf-1x7Y/edit?usp=sharing"",""แผน!II67"")"),0)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IFERROR(__xludf.DUMMYFUNCTION("IMPORTRANGE(""https://docs.google.com/spreadsheets/d/1eHaY18a8A9IcSdp1K8H6x8fbOy06t2VsZHhMHf-1x7Y/edit?usp=sharing"",""แผน!IJ67"")"),0)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IFERROR(__xludf.DUMMYFUNCTION("IMPORTRANGE(""https://docs.google.com/spreadsheets/d/1eHaY18a8A9IcSdp1K8H6x8fbOy06t2VsZHhMHf-1x7Y/edit?usp=sharing"",""แผน!IK67"")"),0)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IFERROR(__xludf.DUMMYFUNCTION("IMPORTRANGE(""https://docs.google.com/spreadsheets/d/1tdoBKaGub7dwA3U6UFTqxio9LNnvDCQjHKmttSEBsFQ/edit?usp=sharing"",""จัดที่ดิน!AY67"")"),0)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IFERROR(__xludf.DUMMYFUNCTION("IMPORTRANGE(""https://docs.google.com/spreadsheets/d/1tdoBKaGub7dwA3U6UFTqxio9LNnvDCQjHKmttSEBsFQ/edit?usp=sharing"",""จัดที่ดิน!AZ67"")"),0)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IFERROR(__xludf.DUMMYFUNCTION("IMPORTRANGE(""https://docs.google.com/spreadsheets/d/1eHaY18a8A9IcSdp1K8H6x8fbOy06t2VsZHhMHf-1x7Y/edit?usp=sharing"",""แผน!IL67"")"),80)</f>
        <v>80</v>
      </c>
      <c r="J673" s="291">
        <f ca="1">IFERROR(__xludf.DUMMYFUNCTION("IMPORTRANGE(""https://docs.google.com/spreadsheets/d/1tdoBKaGub7dwA3U6UFTqxio9LNnvDCQjHKmttSEBsFQ/edit?usp=sharing"",""จัดที่ดิน!BA67"")"),0)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IFERROR(__xludf.DUMMYFUNCTION("IMPORTRANGE(""https://docs.google.com/spreadsheets/d/1eHaY18a8A9IcSdp1K8H6x8fbOy06t2VsZHhMHf-1x7Y/edit?usp=sharing"",""แผน!IM67"")"),0)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IFERROR(__xludf.DUMMYFUNCTION("IMPORTRANGE(""https://docs.google.com/spreadsheets/d/1eHaY18a8A9IcSdp1K8H6x8fbOy06t2VsZHhMHf-1x7Y/edit?usp=sharing"",""แผน!IN67"")"),0)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IFERROR(__xludf.DUMMYFUNCTION("IMPORTRANGE(""https://docs.google.com/spreadsheets/d/1eHaY18a8A9IcSdp1K8H6x8fbOy06t2VsZHhMHf-1x7Y/edit?usp=sharing"",""แผน!IO67"")"),0)</f>
        <v>0</v>
      </c>
      <c r="J676" s="291">
        <f ca="1">IFERROR(__xludf.DUMMYFUNCTION("IMPORTRANGE(""https://docs.google.com/spreadsheets/d/1tdoBKaGub7dwA3U6UFTqxio9LNnvDCQjHKmttSEBsFQ/edit?usp=sharing"",""จัดที่ดิน!BF67"")"),0)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IFERROR(__xludf.DUMMYFUNCTION("IMPORTRANGE(""https://docs.google.com/spreadsheets/d/1tdoBKaGub7dwA3U6UFTqxio9LNnvDCQjHKmttSEBsFQ/edit?usp=sharing"",""จัดที่ดิน!BG67"")"),0)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IFERROR(__xludf.DUMMYFUNCTION("IMPORTRANGE(""https://docs.google.com/spreadsheets/d/1eHaY18a8A9IcSdp1K8H6x8fbOy06t2VsZHhMHf-1x7Y/edit?usp=sharing"",""แผน!IP67"")"),0)</f>
        <v>0</v>
      </c>
      <c r="J678" s="291">
        <f ca="1">IFERROR(__xludf.DUMMYFUNCTION("IMPORTRANGE(""https://docs.google.com/spreadsheets/d/1tdoBKaGub7dwA3U6UFTqxio9LNnvDCQjHKmttSEBsFQ/edit?usp=sharing"",""จัดที่ดิน!BH67"")"),0)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IFERROR(__xludf.DUMMYFUNCTION("IMPORTRANGE(""https://docs.google.com/spreadsheets/d/1eHaY18a8A9IcSdp1K8H6x8fbOy06t2VsZHhMHf-1x7Y/edit?usp=sharing"",""แผน!IQ67"")"),0)</f>
        <v>0</v>
      </c>
      <c r="J679" s="291">
        <f ca="1">IFERROR(__xludf.DUMMYFUNCTION("IMPORTRANGE(""https://docs.google.com/spreadsheets/d/1tdoBKaGub7dwA3U6UFTqxio9LNnvDCQjHKmttSEBsFQ/edit?usp=sharing"",""จัดที่ดิน!BK67"")"),0)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IFERROR(__xludf.DUMMYFUNCTION("IMPORTRANGE(""https://docs.google.com/spreadsheets/d/1tdoBKaGub7dwA3U6UFTqxio9LNnvDCQjHKmttSEBsFQ/edit?usp=sharing"",""จัดที่ดิน!BL67"")"),0)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IFERROR(__xludf.DUMMYFUNCTION("IMPORTRANGE(""https://docs.google.com/spreadsheets/d/1eHaY18a8A9IcSdp1K8H6x8fbOy06t2VsZHhMHf-1x7Y/edit?usp=sharing"",""แผน!IR67"")"),0)</f>
        <v>0</v>
      </c>
      <c r="J681" s="291">
        <f ca="1">IFERROR(__xludf.DUMMYFUNCTION("IMPORTRANGE(""https://docs.google.com/spreadsheets/d/1tdoBKaGub7dwA3U6UFTqxio9LNnvDCQjHKmttSEBsFQ/edit?usp=sharing"",""จัดที่ดิน!BM67"")"),0)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IFERROR(__xludf.DUMMYFUNCTION("IMPORTRANGE(""https://docs.google.com/spreadsheets/d/1eHaY18a8A9IcSdp1K8H6x8fbOy06t2VsZHhMHf-1x7Y/edit?usp=sharing"",""แผน!IS67"")"),0)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100</v>
      </c>
      <c r="J689" s="743">
        <f ca="1">J707</f>
        <v>1</v>
      </c>
      <c r="K689" s="744">
        <f ca="1">IF(I689&gt;0,J689*100/I689,0)</f>
        <v>1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235670</v>
      </c>
      <c r="R690" s="262">
        <f ca="1">R691+R692</f>
        <v>235670</v>
      </c>
      <c r="S690" s="262">
        <f ca="1">S691+S692</f>
        <v>151716</v>
      </c>
      <c r="T690" s="262">
        <f t="shared" ref="T690:T698" ca="1" si="169">IF(Q690&gt;0,S690*100/Q690,0)</f>
        <v>64.376458607374715</v>
      </c>
      <c r="U690" s="262">
        <f t="shared" ref="U690:U698" ca="1" si="170">IF(R690&gt;0,S690*100/R690,0)</f>
        <v>64.376458607374715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235670</v>
      </c>
      <c r="R692" s="72">
        <f t="shared" ca="1" si="172"/>
        <v>235670</v>
      </c>
      <c r="S692" s="72">
        <f t="shared" ca="1" si="172"/>
        <v>151716</v>
      </c>
      <c r="T692" s="72">
        <f t="shared" ca="1" si="169"/>
        <v>64.376458607374715</v>
      </c>
      <c r="U692" s="72">
        <f t="shared" ca="1" si="170"/>
        <v>64.376458607374715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235670</v>
      </c>
      <c r="R693" s="72">
        <f ca="1">R694+R695</f>
        <v>235670</v>
      </c>
      <c r="S693" s="72">
        <f ca="1">S694+S695</f>
        <v>151716</v>
      </c>
      <c r="T693" s="72">
        <f t="shared" ca="1" si="169"/>
        <v>64.376458607374715</v>
      </c>
      <c r="U693" s="72">
        <f t="shared" ca="1" si="170"/>
        <v>64.376458607374715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IFERROR(__xludf.DUMMYFUNCTION("IMPORTRANGE(""https://docs.google.com/spreadsheets/d/1ItG2mGa2ceCfYo0BwxsXqNm01IGEUdYcSSLTEv9YCik/edit?usp=sharing"",""เบิกจ่ายกองทุน!L67"")"),235670)</f>
        <v>235670</v>
      </c>
      <c r="R695" s="72">
        <f ca="1">IFERROR(__xludf.DUMMYFUNCTION("IMPORTRANGE(""https://docs.google.com/spreadsheets/d/1ItG2mGa2ceCfYo0BwxsXqNm01IGEUdYcSSLTEv9YCik/edit?usp=sharing"",""เบิกจ่ายกองทุน!M67"")"),235670)</f>
        <v>235670</v>
      </c>
      <c r="S695" s="72">
        <f ca="1">IFERROR(__xludf.DUMMYFUNCTION("IMPORTRANGE(""https://docs.google.com/spreadsheets/d/1ItG2mGa2ceCfYo0BwxsXqNm01IGEUdYcSSLTEv9YCik/edit?usp=sharing"",""เบิกจ่ายกองทุน!N67"")"),151716)</f>
        <v>151716</v>
      </c>
      <c r="T695" s="72">
        <f t="shared" ca="1" si="169"/>
        <v>64.376458607374715</v>
      </c>
      <c r="U695" s="72">
        <f t="shared" ca="1" si="170"/>
        <v>64.376458607374715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IFERROR(__xludf.DUMMYFUNCTION("IMPORTRANGE(""https://docs.google.com/spreadsheets/d/1eHaY18a8A9IcSdp1K8H6x8fbOy06t2VsZHhMHf-1x7Y/edit?usp=sharing"",""แผน!LC67"")"),2)</f>
        <v>2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104</v>
      </c>
      <c r="J701" s="601">
        <f ca="1">J703+J705</f>
        <v>1</v>
      </c>
      <c r="K701" s="262">
        <f t="shared" ca="1" si="173"/>
        <v>0.96153846153846156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0.32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IFERROR(__xludf.DUMMYFUNCTION("IMPORTRANGE(""https://docs.google.com/spreadsheets/d/1eHaY18a8A9IcSdp1K8H6x8fbOy06t2VsZHhMHf-1x7Y/edit?usp=sharing"",""แผน!LJ67"")"),100)</f>
        <v>100</v>
      </c>
      <c r="J703" s="291">
        <f ca="1">IFERROR(__xludf.DUMMYFUNCTION("IMPORTRANGE(""https://docs.google.com/spreadsheets/d/1tdoBKaGub7dwA3U6UFTqxio9LNnvDCQjHKmttSEBsFQ/edit?usp=sharing"",""จัดที่ดิน!AP67"")"),1)</f>
        <v>1</v>
      </c>
      <c r="K703" s="72">
        <f t="shared" ca="1" si="173"/>
        <v>1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IFERROR(__xludf.DUMMYFUNCTION("IMPORTRANGE(""https://docs.google.com/spreadsheets/d/1tdoBKaGub7dwA3U6UFTqxio9LNnvDCQjHKmttSEBsFQ/edit?usp=sharing"",""จัดที่ดิน!AQ67"")"),0.32)</f>
        <v>0.32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IFERROR(__xludf.DUMMYFUNCTION("IMPORTRANGE(""https://docs.google.com/spreadsheets/d/1eHaY18a8A9IcSdp1K8H6x8fbOy06t2VsZHhMHf-1x7Y/edit?usp=sharing"",""แผน!LK67"")"),4)</f>
        <v>4</v>
      </c>
      <c r="J705" s="291">
        <f ca="1">IFERROR(__xludf.DUMMYFUNCTION("IMPORTRANGE(""https://docs.google.com/spreadsheets/d/1tdoBKaGub7dwA3U6UFTqxio9LNnvDCQjHKmttSEBsFQ/edit?usp=sharing"",""จัดที่ดิน!AR67"")"),0)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IFERROR(__xludf.DUMMYFUNCTION("IMPORTRANGE(""https://docs.google.com/spreadsheets/d/1tdoBKaGub7dwA3U6UFTqxio9LNnvDCQjHKmttSEBsFQ/edit?usp=sharing"",""จัดที่ดิน!AS67"")"),0)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IFERROR(__xludf.DUMMYFUNCTION("IMPORTRANGE(""https://docs.google.com/spreadsheets/d/1eHaY18a8A9IcSdp1K8H6x8fbOy06t2VsZHhMHf-1x7Y/edit?usp=sharing"",""แผน!LJ67"")"),100)</f>
        <v>100</v>
      </c>
      <c r="J707" s="291">
        <f ca="1">IFERROR(__xludf.DUMMYFUNCTION("IMPORTRANGE(""https://docs.google.com/spreadsheets/d/1tdoBKaGub7dwA3U6UFTqxio9LNnvDCQjHKmttSEBsFQ/edit?usp=sharing"",""จัดที่ดิน!BN67"")"),1)</f>
        <v>1</v>
      </c>
      <c r="K707" s="72">
        <f t="shared" ca="1" si="173"/>
        <v>1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IFERROR(__xludf.DUMMYFUNCTION("IMPORTRANGE(""https://docs.google.com/spreadsheets/d/1tdoBKaGub7dwA3U6UFTqxio9LNnvDCQjHKmttSEBsFQ/edit?usp=sharing"",""จัดที่ดิน!BO67"")"),0.32)</f>
        <v>0.32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IFERROR(__xludf.DUMMYFUNCTION("IMPORTRANGE(""https://docs.google.com/spreadsheets/d/1eHaY18a8A9IcSdp1K8H6x8fbOy06t2VsZHhMHf-1x7Y/edit?usp=sharing"",""แผน!LK67"")"),4)</f>
        <v>4</v>
      </c>
      <c r="J709" s="291">
        <f ca="1">IFERROR(__xludf.DUMMYFUNCTION("IMPORTRANGE(""https://docs.google.com/spreadsheets/d/1tdoBKaGub7dwA3U6UFTqxio9LNnvDCQjHKmttSEBsFQ/edit?usp=sharing"",""จัดที่ดิน!BP67"")"),0)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IFERROR(__xludf.DUMMYFUNCTION("IMPORTRANGE(""https://docs.google.com/spreadsheets/d/1tdoBKaGub7dwA3U6UFTqxio9LNnvDCQjHKmttSEBsFQ/edit?usp=sharing"",""จัดที่ดิน!BQ67"")"),0)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IFERROR(__xludf.DUMMYFUNCTION("IMPORTRANGE(""https://docs.google.com/spreadsheets/d/1eHaY18a8A9IcSdp1K8H6x8fbOy06t2VsZHhMHf-1x7Y/edit?usp=sharing"",""แผน!GA67"")"),31)</f>
        <v>31</v>
      </c>
      <c r="J726" s="743">
        <f>J742+J746+J749</f>
        <v>31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IFERROR(__xludf.DUMMYFUNCTION("IMPORTRANGE(""https://docs.google.com/spreadsheets/d/1eHaY18a8A9IcSdp1K8H6x8fbOy06t2VsZHhMHf-1x7Y/edit?usp=sharing"",""แผน!FZ67"")"),300)</f>
        <v>300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242546</v>
      </c>
      <c r="R728" s="262">
        <f ca="1">R729+R730</f>
        <v>242546</v>
      </c>
      <c r="S728" s="262">
        <f ca="1">S729+S730</f>
        <v>42054</v>
      </c>
      <c r="T728" s="262">
        <f t="shared" ref="T728:T736" ca="1" si="182">IF(Q728&gt;0,S728*100/Q728,0)</f>
        <v>17.338566704872477</v>
      </c>
      <c r="U728" s="262">
        <f t="shared" ref="U728:U736" ca="1" si="183">IF(R728&gt;0,S728*100/R728,0)</f>
        <v>17.338566704872477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242546</v>
      </c>
      <c r="R730" s="72">
        <f t="shared" ca="1" si="185"/>
        <v>242546</v>
      </c>
      <c r="S730" s="72">
        <f t="shared" ca="1" si="185"/>
        <v>42054</v>
      </c>
      <c r="T730" s="72">
        <f t="shared" ca="1" si="182"/>
        <v>17.338566704872477</v>
      </c>
      <c r="U730" s="72">
        <f t="shared" ca="1" si="183"/>
        <v>17.338566704872477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242546</v>
      </c>
      <c r="R731" s="72">
        <f ca="1">R732+R733</f>
        <v>242546</v>
      </c>
      <c r="S731" s="72">
        <f ca="1">S732+S733</f>
        <v>42054</v>
      </c>
      <c r="T731" s="72">
        <f t="shared" ca="1" si="182"/>
        <v>17.338566704872477</v>
      </c>
      <c r="U731" s="72">
        <f t="shared" ca="1" si="183"/>
        <v>17.338566704872477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IFERROR(__xludf.DUMMYFUNCTION("IMPORTRANGE(""https://docs.google.com/spreadsheets/d/1ItG2mGa2ceCfYo0BwxsXqNm01IGEUdYcSSLTEv9YCik/edit?usp=sharing"",""เบิกจ่ายกองทุน!O67"")"),242546)</f>
        <v>242546</v>
      </c>
      <c r="R733" s="72">
        <f ca="1">IFERROR(__xludf.DUMMYFUNCTION("IMPORTRANGE(""https://docs.google.com/spreadsheets/d/1ItG2mGa2ceCfYo0BwxsXqNm01IGEUdYcSSLTEv9YCik/edit?usp=sharing"",""เบิกจ่ายกองทุน!P67"")"),242546)</f>
        <v>242546</v>
      </c>
      <c r="S733" s="72">
        <f ca="1">IFERROR(__xludf.DUMMYFUNCTION("IMPORTRANGE(""https://docs.google.com/spreadsheets/d/1ItG2mGa2ceCfYo0BwxsXqNm01IGEUdYcSSLTEv9YCik/edit?usp=sharing"",""เบิกจ่ายกองทุน!Q67"")"),42054)</f>
        <v>42054</v>
      </c>
      <c r="T733" s="72">
        <f t="shared" ca="1" si="182"/>
        <v>17.338566704872477</v>
      </c>
      <c r="U733" s="72">
        <f t="shared" ca="1" si="183"/>
        <v>17.338566704872477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20"/>
      <c r="B739" s="221"/>
      <c r="C739" s="221"/>
      <c r="D739" s="221"/>
      <c r="E739" s="687" t="s">
        <v>274</v>
      </c>
      <c r="F739" s="221"/>
      <c r="G739" s="225"/>
      <c r="H739" s="795"/>
      <c r="I739" s="69"/>
      <c r="J739" s="69"/>
      <c r="K739" s="70"/>
      <c r="L739" s="519"/>
      <c r="M739" s="70"/>
      <c r="N739" s="70"/>
      <c r="O739" s="70"/>
      <c r="P739" s="70"/>
      <c r="Q739" s="70"/>
      <c r="R739" s="70"/>
      <c r="S739" s="70"/>
      <c r="T739" s="70"/>
      <c r="U739" s="70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IFERROR(__xludf.DUMMYFUNCTION("IMPORTRANGE(""https://docs.google.com/spreadsheets/d/1eHaY18a8A9IcSdp1K8H6x8fbOy06t2VsZHhMHf-1x7Y/edit?usp=sharing"",""แผน!GB67"")"),240)</f>
        <v>240</v>
      </c>
      <c r="J740" s="794">
        <v>240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24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IFERROR(__xludf.DUMMYFUNCTION("IMPORTRANGE(""https://docs.google.com/spreadsheets/d/1eHaY18a8A9IcSdp1K8H6x8fbOy06t2VsZHhMHf-1x7Y/edit?usp=sharing"",""แผน!GC67"")"),24)</f>
        <v>24</v>
      </c>
      <c r="J742" s="794">
        <v>24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IFERROR(__xludf.DUMMYFUNCTION("IMPORTRANGE(""https://docs.google.com/spreadsheets/d/1eHaY18a8A9IcSdp1K8H6x8fbOy06t2VsZHhMHf-1x7Y/edit?usp=sharing"",""แผน!GD67"")"),60)</f>
        <v>60</v>
      </c>
      <c r="J744" s="794">
        <v>60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6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IFERROR(__xludf.DUMMYFUNCTION("IMPORTRANGE(""https://docs.google.com/spreadsheets/d/1eHaY18a8A9IcSdp1K8H6x8fbOy06t2VsZHhMHf-1x7Y/edit?usp=sharing"",""แผน!GE67"")"),6)</f>
        <v>6</v>
      </c>
      <c r="J746" s="794">
        <v>6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7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IFERROR(__xludf.DUMMYFUNCTION("IMPORTRANGE(""https://docs.google.com/spreadsheets/d/1eHaY18a8A9IcSdp1K8H6x8fbOy06t2VsZHhMHf-1x7Y/edit?usp=sharing"",""แผน!GF67"")"),1)</f>
        <v>1</v>
      </c>
      <c r="J749" s="794">
        <v>1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IFERROR(__xludf.DUMMYFUNCTION("IMPORTRANGE(""https://docs.google.com/spreadsheets/d/1eHaY18a8A9IcSdp1K8H6x8fbOy06t2VsZHhMHf-1x7Y/edit?usp=sharing"",""แผน!GB67"")"),240)</f>
        <v>240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IFERROR(__xludf.DUMMYFUNCTION("IMPORTRANGE(""https://docs.google.com/spreadsheets/d/1eHaY18a8A9IcSdp1K8H6x8fbOy06t2VsZHhMHf-1x7Y/edit?usp=sharing"",""แผน!GD67"")"),60)</f>
        <v>60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IFERROR(__xludf.DUMMYFUNCTION("IMPORTRANGE(""https://docs.google.com/spreadsheets/d/1ItG2mGa2ceCfYo0BwxsXqNm01IGEUdYcSSLTEv9YCik/edit?usp=sharing"",""เบิกจ่ายกองทุน!AA67"")"),0)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IFERROR(__xludf.DUMMYFUNCTION("IMPORTRANGE(""https://docs.google.com/spreadsheets/d/1ItG2mGa2ceCfYo0BwxsXqNm01IGEUdYcSSLTEv9YCik/edit?usp=sharing"",""เบิกจ่ายกองทุน!AB67"")"),0)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IFERROR(__xludf.DUMMYFUNCTION("IMPORTRANGE(""https://docs.google.com/spreadsheets/d/1ItG2mGa2ceCfYo0BwxsXqNm01IGEUdYcSSLTEv9YCik/edit?usp=sharing"",""เบิกจ่ายกองทุน!AC67"")"),0)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IFERROR(__xludf.DUMMYFUNCTION("IMPORTRANGE(""https://docs.google.com/spreadsheets/d/1eHaY18a8A9IcSdp1K8H6x8fbOy06t2VsZHhMHf-1x7Y/edit?usp=sharing"",""แผน!FI67"")"),0)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IFERROR(__xludf.DUMMYFUNCTION("IMPORTRANGE(""https://docs.google.com/spreadsheets/d/1eHaY18a8A9IcSdp1K8H6x8fbOy06t2VsZHhMHf-1x7Y/edit?usp=sharing"",""แผน!FQ67"")"),0)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IFERROR(__xludf.DUMMYFUNCTION("IMPORTRANGE(""https://docs.google.com/spreadsheets/d/1eHaY18a8A9IcSdp1K8H6x8fbOy06t2VsZHhMHf-1x7Y/edit?usp=sharing"",""แผน!FR67"")"),0)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IFERROR(__xludf.DUMMYFUNCTION("IMPORTRANGE(""https://docs.google.com/spreadsheets/d/1eHaY18a8A9IcSdp1K8H6x8fbOy06t2VsZHhMHf-1x7Y/edit?usp=sharing"",""แผน!FS67"")"),0)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IFERROR(__xludf.DUMMYFUNCTION("IMPORTRANGE(""https://docs.google.com/spreadsheets/d/1eHaY18a8A9IcSdp1K8H6x8fbOy06t2VsZHhMHf-1x7Y/edit?usp=sharing"",""แผน!FT67"")"),0)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IFERROR(__xludf.DUMMYFUNCTION("IMPORTRANGE(""https://docs.google.com/spreadsheets/d/10OvvATaaLtwErnr3qtWFcTmtbfpFEt5Bsqel9sXx0uE/edit?usp=sharing"",""งานกองทุน!D67"")"),1745140.27)</f>
        <v>1745140.27</v>
      </c>
      <c r="J778" s="291">
        <f ca="1">IFERROR(__xludf.DUMMYFUNCTION("IMPORTRANGE(""https://docs.google.com/spreadsheets/d/10OvvATaaLtwErnr3qtWFcTmtbfpFEt5Bsqel9sXx0uE/edit?usp=sharing"",""งานกองทุน!F67"")"),1118551.23)</f>
        <v>1118551.23</v>
      </c>
      <c r="K778" s="72">
        <f t="shared" ref="K778:K785" ca="1" si="192">IF(I778&gt;0,J778*100/I778,0)</f>
        <v>64.0952047940536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IFERROR(__xludf.DUMMYFUNCTION("IMPORTRANGE(""https://docs.google.com/spreadsheets/d/10OvvATaaLtwErnr3qtWFcTmtbfpFEt5Bsqel9sXx0uE/edit?usp=sharing"",""งานกองทุน!C67"")"),110)</f>
        <v>110</v>
      </c>
      <c r="J779" s="291">
        <f ca="1">IFERROR(__xludf.DUMMYFUNCTION("IMPORTRANGE(""https://docs.google.com/spreadsheets/d/10OvvATaaLtwErnr3qtWFcTmtbfpFEt5Bsqel9sXx0uE/edit?usp=sharing"",""งานกองทุน!E67"")"),75)</f>
        <v>75</v>
      </c>
      <c r="K779" s="72">
        <f t="shared" ca="1" si="192"/>
        <v>68.181818181818187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IFERROR(__xludf.DUMMYFUNCTION("IMPORTRANGE(""https://docs.google.com/spreadsheets/d/10OvvATaaLtwErnr3qtWFcTmtbfpFEt5Bsqel9sXx0uE/edit?usp=sharing"",""งานกองทุน!I67"")"),3504047.3)</f>
        <v>3504047.3</v>
      </c>
      <c r="J780" s="291">
        <f ca="1">IFERROR(__xludf.DUMMYFUNCTION("IMPORTRANGE(""https://docs.google.com/spreadsheets/d/10OvvATaaLtwErnr3qtWFcTmtbfpFEt5Bsqel9sXx0uE/edit?usp=sharing"",""งานกองทุน!K67"")"),448962.86)</f>
        <v>448962.86</v>
      </c>
      <c r="K780" s="72">
        <f t="shared" ca="1" si="192"/>
        <v>12.812694052389077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IFERROR(__xludf.DUMMYFUNCTION("IMPORTRANGE(""https://docs.google.com/spreadsheets/d/10OvvATaaLtwErnr3qtWFcTmtbfpFEt5Bsqel9sXx0uE/edit?usp=sharing"",""งานกองทุน!H67"")"),173)</f>
        <v>173</v>
      </c>
      <c r="J781" s="291">
        <f ca="1">IFERROR(__xludf.DUMMYFUNCTION("IMPORTRANGE(""https://docs.google.com/spreadsheets/d/10OvvATaaLtwErnr3qtWFcTmtbfpFEt5Bsqel9sXx0uE/edit?usp=sharing"",""งานกองทุน!J67"")"),83)</f>
        <v>83</v>
      </c>
      <c r="K781" s="72">
        <f t="shared" ca="1" si="192"/>
        <v>47.97687861271676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IFERROR(__xludf.DUMMYFUNCTION("IMPORTRANGE(""https://docs.google.com/spreadsheets/d/10OvvATaaLtwErnr3qtWFcTmtbfpFEt5Bsqel9sXx0uE/edit?usp=sharing"",""งานกองทุน!N67"")"),127000.19)</f>
        <v>127000.19</v>
      </c>
      <c r="J782" s="291">
        <f ca="1">IFERROR(__xludf.DUMMYFUNCTION("IMPORTRANGE(""https://docs.google.com/spreadsheets/d/10OvvATaaLtwErnr3qtWFcTmtbfpFEt5Bsqel9sXx0uE/edit?usp=sharing"",""งานกองทุน!P67"")"),36370.97)</f>
        <v>36370.97</v>
      </c>
      <c r="K782" s="72">
        <f t="shared" ca="1" si="192"/>
        <v>28.638516210093858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IFERROR(__xludf.DUMMYFUNCTION("IMPORTRANGE(""https://docs.google.com/spreadsheets/d/10OvvATaaLtwErnr3qtWFcTmtbfpFEt5Bsqel9sXx0uE/edit?usp=sharing"",""งานกองทุน!M67"")"),10)</f>
        <v>10</v>
      </c>
      <c r="J783" s="291">
        <f ca="1">IFERROR(__xludf.DUMMYFUNCTION("IMPORTRANGE(""https://docs.google.com/spreadsheets/d/10OvvATaaLtwErnr3qtWFcTmtbfpFEt5Bsqel9sXx0uE/edit?usp=sharing"",""งานกองทุน!O67"")"),2)</f>
        <v>2</v>
      </c>
      <c r="K783" s="72">
        <f t="shared" ca="1" si="192"/>
        <v>20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IFERROR(__xludf.DUMMYFUNCTION("IMPORTRANGE(""https://docs.google.com/spreadsheets/d/10OvvATaaLtwErnr3qtWFcTmtbfpFEt5Bsqel9sXx0uE/edit?usp=sharing"",""งานกองทุน!S67"")"),2492000)</f>
        <v>2492000</v>
      </c>
      <c r="J784" s="291">
        <f ca="1">IFERROR(__xludf.DUMMYFUNCTION("IMPORTRANGE(""https://docs.google.com/spreadsheets/d/10OvvATaaLtwErnr3qtWFcTmtbfpFEt5Bsqel9sXx0uE/edit?usp=sharing"",""งานกองทุน!U67"")"),1980000)</f>
        <v>1980000</v>
      </c>
      <c r="K784" s="72">
        <f t="shared" ca="1" si="192"/>
        <v>79.454253611556979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IFERROR(__xludf.DUMMYFUNCTION("IMPORTRANGE(""https://docs.google.com/spreadsheets/d/10OvvATaaLtwErnr3qtWFcTmtbfpFEt5Bsqel9sXx0uE/edit?usp=sharing"",""งานกองทุน!R67"")"),89)</f>
        <v>89</v>
      </c>
      <c r="J785" s="773">
        <f ca="1">IFERROR(__xludf.DUMMYFUNCTION("IMPORTRANGE(""https://docs.google.com/spreadsheets/d/10OvvATaaLtwErnr3qtWFcTmtbfpFEt5Bsqel9sXx0uE/edit?usp=sharing"",""งานกองทุน!T67"")"),42)</f>
        <v>42</v>
      </c>
      <c r="K785" s="181">
        <f t="shared" ca="1" si="192"/>
        <v>47.19101123595506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864D-AEC4-4EA6-B1BD-32A633A8F1F2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361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5" t="s">
        <v>2</v>
      </c>
      <c r="B4" s="1405"/>
      <c r="C4" s="1405"/>
      <c r="D4" s="1405"/>
      <c r="E4" s="1405"/>
      <c r="F4" s="1405"/>
      <c r="G4" s="1406"/>
      <c r="H4" s="1466" t="s">
        <v>3</v>
      </c>
      <c r="I4" s="1463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09"/>
      <c r="I5" s="1411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12"/>
      <c r="I6" s="1342" t="s">
        <v>9</v>
      </c>
      <c r="J6" s="1343" t="s">
        <v>10</v>
      </c>
      <c r="K6" s="1342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4355710</v>
      </c>
      <c r="M18" s="57">
        <f ca="1">M19+M20</f>
        <v>4689962</v>
      </c>
      <c r="N18" s="57">
        <f ca="1">N19+N20</f>
        <v>2997143.76</v>
      </c>
      <c r="O18" s="57">
        <f t="shared" ref="O18:O26" ca="1" si="0">IF(L18&gt;0,N18*100/L18,0)</f>
        <v>68.809534151722687</v>
      </c>
      <c r="P18" s="57">
        <f t="shared" ref="P18:P26" ca="1" si="1">IF(M18&gt;0,N18*100/M18,0)</f>
        <v>63.905502006199626</v>
      </c>
      <c r="Q18" s="57">
        <f ca="1">Q19+Q20</f>
        <v>3535592.24</v>
      </c>
      <c r="R18" s="57">
        <f ca="1">R19+R20</f>
        <v>3535592</v>
      </c>
      <c r="S18" s="57">
        <f ca="1">S19+S20</f>
        <v>971447.46</v>
      </c>
      <c r="T18" s="57">
        <f t="shared" ref="T18:T26" ca="1" si="2">IF(Q18&gt;0,S18*100/Q18,0)</f>
        <v>27.476230120925933</v>
      </c>
      <c r="U18" s="57">
        <f t="shared" ref="U18:U26" ca="1" si="3">IF(R18&gt;0,S18*100/R18,0)</f>
        <v>27.47623198604364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4355710</v>
      </c>
      <c r="M20" s="63">
        <f t="shared" ca="1" si="4"/>
        <v>4689962</v>
      </c>
      <c r="N20" s="63">
        <f t="shared" ca="1" si="4"/>
        <v>2997143.76</v>
      </c>
      <c r="O20" s="63">
        <f t="shared" ca="1" si="0"/>
        <v>68.809534151722687</v>
      </c>
      <c r="P20" s="63">
        <f t="shared" ca="1" si="1"/>
        <v>63.905502006199626</v>
      </c>
      <c r="Q20" s="63">
        <f t="shared" ca="1" si="5"/>
        <v>3535592.24</v>
      </c>
      <c r="R20" s="63">
        <f t="shared" ca="1" si="5"/>
        <v>3535592</v>
      </c>
      <c r="S20" s="63">
        <f t="shared" ca="1" si="5"/>
        <v>971447.46</v>
      </c>
      <c r="T20" s="63">
        <f t="shared" ca="1" si="2"/>
        <v>27.476230120925933</v>
      </c>
      <c r="U20" s="63">
        <f t="shared" ca="1" si="3"/>
        <v>27.47623198604364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4355710</v>
      </c>
      <c r="M21" s="72">
        <f ca="1">M22+M23</f>
        <v>4689962</v>
      </c>
      <c r="N21" s="72">
        <f ca="1">N22+N23</f>
        <v>2997143.76</v>
      </c>
      <c r="O21" s="72">
        <f t="shared" ca="1" si="0"/>
        <v>68.809534151722687</v>
      </c>
      <c r="P21" s="72">
        <f t="shared" ca="1" si="1"/>
        <v>63.905502006199626</v>
      </c>
      <c r="Q21" s="72">
        <f ca="1">Q22+Q23</f>
        <v>3535592.24</v>
      </c>
      <c r="R21" s="72">
        <f ca="1">R22+R23</f>
        <v>3535592</v>
      </c>
      <c r="S21" s="72">
        <f ca="1">S22+S23</f>
        <v>971447.46</v>
      </c>
      <c r="T21" s="72">
        <f t="shared" ca="1" si="2"/>
        <v>27.476230120925933</v>
      </c>
      <c r="U21" s="72">
        <f t="shared" ca="1" si="3"/>
        <v>27.47623198604364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4355710</v>
      </c>
      <c r="M23" s="72">
        <f ca="1">M49+M64+M77+M99+M122+M144+M162+M191+M178+M271+M287+M308+M325+M338+M361+M380+M418+M498+M518+M539+M560+M581+M604+M621+M647+M695+M719+M733+M765</f>
        <v>4689962</v>
      </c>
      <c r="N23" s="72">
        <f ca="1">N49+N64+N77+N99+N122+N144+N162+N191+N178+N271+N287+N308+N325+N338+N361+N380+N418+N498+N518+N539+N560+N581+N604+N621+N647+N695+N719+N733+N765</f>
        <v>2997143.76</v>
      </c>
      <c r="O23" s="72">
        <f t="shared" ca="1" si="0"/>
        <v>68.809534151722687</v>
      </c>
      <c r="P23" s="72">
        <f t="shared" ca="1" si="1"/>
        <v>63.905502006199626</v>
      </c>
      <c r="Q23" s="72">
        <f t="shared" ca="1" si="6"/>
        <v>3535592.24</v>
      </c>
      <c r="R23" s="72">
        <f t="shared" ca="1" si="6"/>
        <v>3535592</v>
      </c>
      <c r="S23" s="72">
        <f t="shared" ca="1" si="6"/>
        <v>971447.46</v>
      </c>
      <c r="T23" s="72">
        <f t="shared" ca="1" si="2"/>
        <v>27.476230120925933</v>
      </c>
      <c r="U23" s="72">
        <f t="shared" ca="1" si="3"/>
        <v>27.47623198604364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3598790</v>
      </c>
      <c r="M40" s="1050">
        <f ca="1">M44+M59+M72+M94+M125+M139+M157+M173+M186+M266+M282+M303+M320+M333+M356</f>
        <v>3933042</v>
      </c>
      <c r="N40" s="1050">
        <f ca="1">N44+N59+N72+N94+N125+N139+N157+N173+N186+N266+N282+N303+N320+N333+N356</f>
        <v>2955469.76</v>
      </c>
      <c r="O40" s="1050">
        <f ca="1">IF(L40&gt;0,N40*100/L40,0)</f>
        <v>82.123985006071479</v>
      </c>
      <c r="P40" s="1050">
        <f ca="1">IF(M40&gt;0,N40*100/M40,0)</f>
        <v>75.144627491900678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666800</v>
      </c>
      <c r="M44" s="1031">
        <f ca="1">M45+M46</f>
        <v>756482</v>
      </c>
      <c r="N44" s="1031">
        <f ca="1">N45+N46</f>
        <v>587139</v>
      </c>
      <c r="O44" s="1031">
        <f t="shared" ref="O44:O52" ca="1" si="8">IF(L44&gt;0,N44*100/L44,0)</f>
        <v>88.05323935212958</v>
      </c>
      <c r="P44" s="1031">
        <f t="shared" ref="P44:P52" ca="1" si="9">IF(M44&gt;0,N44*100/M44,0)</f>
        <v>77.614404572745954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666800</v>
      </c>
      <c r="M46" s="1018">
        <f t="shared" ca="1" si="12"/>
        <v>756482</v>
      </c>
      <c r="N46" s="1018">
        <f t="shared" ca="1" si="12"/>
        <v>587139</v>
      </c>
      <c r="O46" s="1018">
        <f t="shared" ca="1" si="8"/>
        <v>88.05323935212958</v>
      </c>
      <c r="P46" s="1018">
        <f t="shared" ca="1" si="9"/>
        <v>77.614404572745954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666800</v>
      </c>
      <c r="M47" s="72">
        <f ca="1">M48+M49</f>
        <v>756482</v>
      </c>
      <c r="N47" s="72">
        <f ca="1">N48+N49</f>
        <v>587139</v>
      </c>
      <c r="O47" s="72">
        <f t="shared" ca="1" si="8"/>
        <v>88.05323935212958</v>
      </c>
      <c r="P47" s="72">
        <f t="shared" ca="1" si="9"/>
        <v>77.614404572745954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IFERROR(__xludf.DUMMYFUNCTION("IMPORTRANGE(""https://docs.google.com/spreadsheets/d/1-uDff_7J0KD5mKrp0Vvzr7lt3OU09vwQwhkpOPPYv2Y/edit?usp=sharing"",""งบพรบ!P68"")"),666800)</f>
        <v>666800</v>
      </c>
      <c r="M49" s="72">
        <f ca="1">IFERROR(__xludf.DUMMYFUNCTION("IMPORTRANGE(""https://docs.google.com/spreadsheets/d/1-uDff_7J0KD5mKrp0Vvzr7lt3OU09vwQwhkpOPPYv2Y/edit?usp=sharing"",""งบพรบ!V68"")"),756482)</f>
        <v>756482</v>
      </c>
      <c r="N49" s="72">
        <f ca="1">IFERROR(__xludf.DUMMYFUNCTION("IMPORTRANGE(""https://docs.google.com/spreadsheets/d/1-uDff_7J0KD5mKrp0Vvzr7lt3OU09vwQwhkpOPPYv2Y/edit?usp=sharing"",""งบพรบ!Y68"")"),587139)</f>
        <v>587139</v>
      </c>
      <c r="O49" s="72">
        <f t="shared" ca="1" si="8"/>
        <v>88.05323935212958</v>
      </c>
      <c r="P49" s="72">
        <f t="shared" ca="1" si="9"/>
        <v>77.614404572745954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IFERROR(__xludf.DUMMYFUNCTION("IMPORTRANGE(""https://docs.google.com/spreadsheets/d/1-uDff_7J0KD5mKrp0Vvzr7lt3OU09vwQwhkpOPPYv2Y/edit?usp=sharing"",""งบพรบ!S68"")"),0)</f>
        <v>0</v>
      </c>
      <c r="M52" s="72">
        <f ca="1">IFERROR(__xludf.DUMMYFUNCTION("IMPORTRANGE(""https://docs.google.com/spreadsheets/d/1-uDff_7J0KD5mKrp0Vvzr7lt3OU09vwQwhkpOPPYv2Y/edit?usp=sharing"",""งบพรบ!W68"")"),0)</f>
        <v>0</v>
      </c>
      <c r="N52" s="72">
        <f ca="1">IFERROR(__xludf.DUMMYFUNCTION("IMPORTRANGE(""https://docs.google.com/spreadsheets/d/1-uDff_7J0KD5mKrp0Vvzr7lt3OU09vwQwhkpOPPYv2Y/edit?usp=sharing"",""งบพรบ!Z68"")"),0)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813500</v>
      </c>
      <c r="M59" s="1001">
        <f ca="1">M60+M61</f>
        <v>813500</v>
      </c>
      <c r="N59" s="1001">
        <f ca="1">N60+N61</f>
        <v>754357.22</v>
      </c>
      <c r="O59" s="1001">
        <f t="shared" ref="O59:O67" ca="1" si="14">IF(L59&gt;0,N59*100/L59,0)</f>
        <v>92.729836508912115</v>
      </c>
      <c r="P59" s="1001">
        <f t="shared" ref="P59:P67" ca="1" si="15">IF(M59&gt;0,N59*100/M59,0)</f>
        <v>92.729836508912115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813500</v>
      </c>
      <c r="M61" s="988">
        <f t="shared" ca="1" si="18"/>
        <v>813500</v>
      </c>
      <c r="N61" s="988">
        <f t="shared" ca="1" si="18"/>
        <v>754357.22</v>
      </c>
      <c r="O61" s="988">
        <f t="shared" ca="1" si="14"/>
        <v>92.729836508912115</v>
      </c>
      <c r="P61" s="988">
        <f t="shared" ca="1" si="15"/>
        <v>92.729836508912115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813500</v>
      </c>
      <c r="M62" s="72">
        <f ca="1">M63+M64</f>
        <v>813500</v>
      </c>
      <c r="N62" s="72">
        <f ca="1">N63+N64</f>
        <v>754357.22</v>
      </c>
      <c r="O62" s="72">
        <f t="shared" ca="1" si="14"/>
        <v>92.729836508912115</v>
      </c>
      <c r="P62" s="72">
        <f t="shared" ca="1" si="15"/>
        <v>92.729836508912115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IFERROR(__xludf.DUMMYFUNCTION("IMPORTRANGE(""https://docs.google.com/spreadsheets/d/1-uDff_7J0KD5mKrp0Vvzr7lt3OU09vwQwhkpOPPYv2Y/edit?usp=sharing"",""งบพรบ!AC68"")"),813500)</f>
        <v>813500</v>
      </c>
      <c r="M64" s="72">
        <f ca="1">IFERROR(__xludf.DUMMYFUNCTION("IMPORTRANGE(""https://docs.google.com/spreadsheets/d/1-uDff_7J0KD5mKrp0Vvzr7lt3OU09vwQwhkpOPPYv2Y/edit?usp=sharing"",""งบพรบ!AH68"")"),813500)</f>
        <v>813500</v>
      </c>
      <c r="N64" s="72">
        <f ca="1">IFERROR(__xludf.DUMMYFUNCTION("IMPORTRANGE(""https://docs.google.com/spreadsheets/d/1-uDff_7J0KD5mKrp0Vvzr7lt3OU09vwQwhkpOPPYv2Y/edit?usp=sharing"",""งบพรบ!AJ68"")"),754357.22)</f>
        <v>754357.22</v>
      </c>
      <c r="O64" s="72">
        <f t="shared" ca="1" si="14"/>
        <v>92.729836508912115</v>
      </c>
      <c r="P64" s="72">
        <f t="shared" ca="1" si="15"/>
        <v>92.729836508912115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IFERROR(__xludf.DUMMYFUNCTION("IMPORTRANGE(""https://docs.google.com/spreadsheets/d/1-uDff_7J0KD5mKrp0Vvzr7lt3OU09vwQwhkpOPPYv2Y/edit?usp=sharing"",""งบพรบ!AF68"")"),0)</f>
        <v>0</v>
      </c>
      <c r="M67" s="181">
        <f ca="1">IFERROR(__xludf.DUMMYFUNCTION("IMPORTRANGE(""https://docs.google.com/spreadsheets/d/1-uDff_7J0KD5mKrp0Vvzr7lt3OU09vwQwhkpOPPYv2Y/edit?usp=sharing"",""งบพรบ!AI68"")"),0)</f>
        <v>0</v>
      </c>
      <c r="N67" s="181">
        <f ca="1">IFERROR(__xludf.DUMMYFUNCTION("IMPORTRANGE(""https://docs.google.com/spreadsheets/d/1-uDff_7J0KD5mKrp0Vvzr7lt3OU09vwQwhkpOPPYv2Y/edit?usp=sharing"",""งบพรบ!AK68"")"),0)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2</v>
      </c>
      <c r="J70" s="254">
        <f>J82</f>
        <v>1</v>
      </c>
      <c r="K70" s="57">
        <f ca="1">IF(I70&gt;0,J70*100/I70,0)</f>
        <v>50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101</v>
      </c>
      <c r="J71" s="254">
        <f>J83</f>
        <v>51</v>
      </c>
      <c r="K71" s="57">
        <f ca="1">IF(I71&gt;0,J71*100/I71,0)</f>
        <v>50.495049504950494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565200</v>
      </c>
      <c r="M72" s="262">
        <f ca="1">M73+M74</f>
        <v>565200</v>
      </c>
      <c r="N72" s="262">
        <f ca="1">N73+N74</f>
        <v>477688.85</v>
      </c>
      <c r="O72" s="262">
        <f t="shared" ref="O72:O80" ca="1" si="20">IF(L72&gt;0,N72*100/L72,0)</f>
        <v>84.516781670205233</v>
      </c>
      <c r="P72" s="262">
        <f t="shared" ref="P72:P80" ca="1" si="21">IF(M72&gt;0,N72*100/M72,0)</f>
        <v>84.516781670205233</v>
      </c>
      <c r="Q72" s="262">
        <f ca="1">Q73+Q74</f>
        <v>1000800</v>
      </c>
      <c r="R72" s="262">
        <f ca="1">R73+R74</f>
        <v>1000800</v>
      </c>
      <c r="S72" s="262">
        <f ca="1">S73+S74</f>
        <v>92921</v>
      </c>
      <c r="T72" s="262">
        <f t="shared" ref="T72:T80" ca="1" si="22">IF(Q72&gt;0,S72*100/Q72,0)</f>
        <v>9.2846722621902487</v>
      </c>
      <c r="U72" s="262">
        <f t="shared" ref="U72:U80" ca="1" si="23">IF(R72&gt;0,S72*100/R72,0)</f>
        <v>9.2846722621902487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565200</v>
      </c>
      <c r="M74" s="72">
        <f t="shared" ca="1" si="24"/>
        <v>565200</v>
      </c>
      <c r="N74" s="72">
        <f t="shared" ca="1" si="24"/>
        <v>477688.85</v>
      </c>
      <c r="O74" s="72">
        <f t="shared" ca="1" si="20"/>
        <v>84.516781670205233</v>
      </c>
      <c r="P74" s="72">
        <f t="shared" ca="1" si="21"/>
        <v>84.516781670205233</v>
      </c>
      <c r="Q74" s="72">
        <f t="shared" ca="1" si="25"/>
        <v>1000800</v>
      </c>
      <c r="R74" s="72">
        <f t="shared" ca="1" si="25"/>
        <v>1000800</v>
      </c>
      <c r="S74" s="72">
        <f t="shared" ca="1" si="25"/>
        <v>92921</v>
      </c>
      <c r="T74" s="72">
        <f t="shared" ca="1" si="22"/>
        <v>9.2846722621902487</v>
      </c>
      <c r="U74" s="72">
        <f t="shared" ca="1" si="23"/>
        <v>9.2846722621902487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565200</v>
      </c>
      <c r="M75" s="72">
        <f ca="1">M76+M77</f>
        <v>565200</v>
      </c>
      <c r="N75" s="72">
        <f ca="1">N76+N77</f>
        <v>477688.85</v>
      </c>
      <c r="O75" s="72">
        <f t="shared" ca="1" si="20"/>
        <v>84.516781670205233</v>
      </c>
      <c r="P75" s="72">
        <f t="shared" ca="1" si="21"/>
        <v>84.516781670205233</v>
      </c>
      <c r="Q75" s="72">
        <f ca="1">Q76+Q77</f>
        <v>1000800</v>
      </c>
      <c r="R75" s="72">
        <f ca="1">R76+R77</f>
        <v>1000800</v>
      </c>
      <c r="S75" s="72">
        <f ca="1">S76+S77</f>
        <v>92921</v>
      </c>
      <c r="T75" s="72">
        <f t="shared" ca="1" si="22"/>
        <v>9.2846722621902487</v>
      </c>
      <c r="U75" s="72">
        <f t="shared" ca="1" si="23"/>
        <v>9.2846722621902487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IFERROR(__xludf.DUMMYFUNCTION("IMPORTRANGE(""https://docs.google.com/spreadsheets/d/1-uDff_7J0KD5mKrp0Vvzr7lt3OU09vwQwhkpOPPYv2Y/edit?usp=sharing"",""งบพรบ!AM68"")"),565200)</f>
        <v>565200</v>
      </c>
      <c r="M77" s="72">
        <f ca="1">IFERROR(__xludf.DUMMYFUNCTION("IMPORTRANGE(""https://docs.google.com/spreadsheets/d/1-uDff_7J0KD5mKrp0Vvzr7lt3OU09vwQwhkpOPPYv2Y/edit?usp=sharing"",""งบพรบ!AR68"")"),565200)</f>
        <v>565200</v>
      </c>
      <c r="N77" s="72">
        <f ca="1">IFERROR(__xludf.DUMMYFUNCTION("IMPORTRANGE(""https://docs.google.com/spreadsheets/d/1-uDff_7J0KD5mKrp0Vvzr7lt3OU09vwQwhkpOPPYv2Y/edit?usp=sharing"",""งบพรบ!AT68"")"),477688.85)</f>
        <v>477688.85</v>
      </c>
      <c r="O77" s="72">
        <f t="shared" ca="1" si="20"/>
        <v>84.516781670205233</v>
      </c>
      <c r="P77" s="72">
        <f t="shared" ca="1" si="21"/>
        <v>84.516781670205233</v>
      </c>
      <c r="Q77" s="72">
        <f ca="1">IFERROR(__xludf.DUMMYFUNCTION("IMPORTRANGE(""https://docs.google.com/spreadsheets/d/1ItG2mGa2ceCfYo0BwxsXqNm01IGEUdYcSSLTEv9YCik/edit?usp=sharing"",""เบิกจ่ายกองทุน!BH68"")"),1000800)</f>
        <v>1000800</v>
      </c>
      <c r="R77" s="72">
        <f ca="1">IFERROR(__xludf.DUMMYFUNCTION("IMPORTRANGE(""https://docs.google.com/spreadsheets/d/1ItG2mGa2ceCfYo0BwxsXqNm01IGEUdYcSSLTEv9YCik/edit?usp=sharing"",""เบิกจ่ายกองทุน!BI68"")"),1000800)</f>
        <v>1000800</v>
      </c>
      <c r="S77" s="72">
        <f ca="1">IFERROR(__xludf.DUMMYFUNCTION("IMPORTRANGE(""https://docs.google.com/spreadsheets/d/1ItG2mGa2ceCfYo0BwxsXqNm01IGEUdYcSSLTEv9YCik/edit?usp=sharing"",""เบิกจ่ายกองทุน!BJ68"")"),92921)</f>
        <v>92921</v>
      </c>
      <c r="T77" s="72">
        <f t="shared" ca="1" si="22"/>
        <v>9.2846722621902487</v>
      </c>
      <c r="U77" s="72">
        <f t="shared" ca="1" si="23"/>
        <v>9.2846722621902487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IFERROR(__xludf.DUMMYFUNCTION("IMPORTRANGE(""https://docs.google.com/spreadsheets/d/1-uDff_7J0KD5mKrp0Vvzr7lt3OU09vwQwhkpOPPYv2Y/edit?usp=sharing"",""งบพรบ!AP68"")"),0)</f>
        <v>0</v>
      </c>
      <c r="M80" s="72">
        <f ca="1">IFERROR(__xludf.DUMMYFUNCTION("IMPORTRANGE(""https://docs.google.com/spreadsheets/d/1-uDff_7J0KD5mKrp0Vvzr7lt3OU09vwQwhkpOPPYv2Y/edit?usp=sharing"",""งบพรบ!AS68"")"),0)</f>
        <v>0</v>
      </c>
      <c r="N80" s="72">
        <f ca="1">IFERROR(__xludf.DUMMYFUNCTION("IMPORTRANGE(""https://docs.google.com/spreadsheets/d/1-uDff_7J0KD5mKrp0Vvzr7lt3OU09vwQwhkpOPPYv2Y/edit?usp=sharing"",""งบพรบ!AU68"")"),0)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IFERROR(__xludf.DUMMYFUNCTION("IMPORTRANGE(""https://docs.google.com/spreadsheets/d/1ItG2mGa2ceCfYo0BwxsXqNm01IGEUdYcSSLTEv9YCik/edit?usp=sharing"",""เบิกจ่ายกองทุน!BK68"")"),0)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IFERROR(__xludf.DUMMYFUNCTION("IMPORTRANGE(""https://docs.google.com/spreadsheets/d/1ItG2mGa2ceCfYo0BwxsXqNm01IGEUdYcSSLTEv9YCik/edit?usp=sharing"",""เบิกจ่ายกองทุน!BL68"")"),0)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IFERROR(__xludf.DUMMYFUNCTION("IMPORTRANGE(""https://docs.google.com/spreadsheets/d/1ItG2mGa2ceCfYo0BwxsXqNm01IGEUdYcSSLTEv9YCik/edit?usp=sharing"",""เบิกจ่ายกองทุน!BM68"")"),0)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68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2</v>
      </c>
      <c r="J82" s="601">
        <f>J84+J86+J88</f>
        <v>1</v>
      </c>
      <c r="K82" s="908">
        <f t="shared" ref="K82:K90" ca="1" si="26">IF(I82&gt;0,J82*100/I82,0)</f>
        <v>50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101</v>
      </c>
      <c r="J83" s="601">
        <f>J85+J87+J89</f>
        <v>51</v>
      </c>
      <c r="K83" s="908">
        <f t="shared" ca="1" si="26"/>
        <v>50.495049504950494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IFERROR(__xludf.DUMMYFUNCTION("IMPORTRANGE(""https://docs.google.com/spreadsheets/d/1eHaY18a8A9IcSdp1K8H6x8fbOy06t2VsZHhMHf-1x7Y/edit?usp=sharing"",""แผน!H68"")"),1)</f>
        <v>1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IFERROR(__xludf.DUMMYFUNCTION("IMPORTRANGE(""https://docs.google.com/spreadsheets/d/1eHaY18a8A9IcSdp1K8H6x8fbOy06t2VsZHhMHf-1x7Y/edit?usp=sharing"",""แผน!I68"")"),50)</f>
        <v>50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IFERROR(__xludf.DUMMYFUNCTION("IMPORTRANGE(""https://docs.google.com/spreadsheets/d/1eHaY18a8A9IcSdp1K8H6x8fbOy06t2VsZHhMHf-1x7Y/edit?usp=sharing"",""แผน!F68"")"),0)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IFERROR(__xludf.DUMMYFUNCTION("IMPORTRANGE(""https://docs.google.com/spreadsheets/d/1eHaY18a8A9IcSdp1K8H6x8fbOy06t2VsZHhMHf-1x7Y/edit?usp=sharing"",""แผน!G68"")"),0)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IFERROR(__xludf.DUMMYFUNCTION("IMPORTRANGE(""https://docs.google.com/spreadsheets/d/1eHaY18a8A9IcSdp1K8H6x8fbOy06t2VsZHhMHf-1x7Y/edit?usp=sharing"",""แผน!D68"")"),1)</f>
        <v>1</v>
      </c>
      <c r="J88" s="292">
        <v>1</v>
      </c>
      <c r="K88" s="746">
        <f t="shared" ca="1" si="26"/>
        <v>100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IFERROR(__xludf.DUMMYFUNCTION("IMPORTRANGE(""https://docs.google.com/spreadsheets/d/1eHaY18a8A9IcSdp1K8H6x8fbOy06t2VsZHhMHf-1x7Y/edit?usp=sharing"",""แผน!E68"")"),51)</f>
        <v>51</v>
      </c>
      <c r="J89" s="292">
        <v>51</v>
      </c>
      <c r="K89" s="746">
        <f t="shared" ca="1" si="26"/>
        <v>100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IFERROR(__xludf.DUMMYFUNCTION("IMPORTRANGE(""https://docs.google.com/spreadsheets/d/1eHaY18a8A9IcSdp1K8H6x8fbOy06t2VsZHhMHf-1x7Y/edit?usp=sharing"",""แผน!J68"")"),2)</f>
        <v>2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30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10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6000</v>
      </c>
      <c r="M94" s="262">
        <f ca="1">M95+M96</f>
        <v>6000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84420</v>
      </c>
      <c r="R94" s="262">
        <f ca="1">R95+R96</f>
        <v>84420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6000</v>
      </c>
      <c r="M96" s="72">
        <f t="shared" ca="1" si="31"/>
        <v>6000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84420</v>
      </c>
      <c r="R96" s="72">
        <f t="shared" ca="1" si="32"/>
        <v>84420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6000</v>
      </c>
      <c r="M97" s="72">
        <f ca="1">M98+M99</f>
        <v>6000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84420</v>
      </c>
      <c r="R97" s="72">
        <f ca="1">R98+R99</f>
        <v>84420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IFERROR(__xludf.DUMMYFUNCTION("IMPORTRANGE(""https://docs.google.com/spreadsheets/d/1-uDff_7J0KD5mKrp0Vvzr7lt3OU09vwQwhkpOPPYv2Y/edit?usp=sharing"",""งบพรบ!AW68"")"),6000)</f>
        <v>6000</v>
      </c>
      <c r="M99" s="72">
        <f ca="1">IFERROR(__xludf.DUMMYFUNCTION("IMPORTRANGE(""https://docs.google.com/spreadsheets/d/1-uDff_7J0KD5mKrp0Vvzr7lt3OU09vwQwhkpOPPYv2Y/edit?usp=sharing"",""งบพรบ!BB68"")"),6000)</f>
        <v>6000</v>
      </c>
      <c r="N99" s="72">
        <f ca="1">IFERROR(__xludf.DUMMYFUNCTION("IMPORTRANGE(""https://docs.google.com/spreadsheets/d/1-uDff_7J0KD5mKrp0Vvzr7lt3OU09vwQwhkpOPPYv2Y/edit?usp=sharing"",""งบพรบ!BD68"")"),0)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IFERROR(__xludf.DUMMYFUNCTION("IMPORTRANGE(""https://docs.google.com/spreadsheets/d/1ItG2mGa2ceCfYo0BwxsXqNm01IGEUdYcSSLTEv9YCik/edit?usp=sharing"",""เบิกจ่ายกองทุน!AJ68"")"),84420)</f>
        <v>84420</v>
      </c>
      <c r="R99" s="72">
        <f ca="1">IFERROR(__xludf.DUMMYFUNCTION("IMPORTRANGE(""https://docs.google.com/spreadsheets/d/1ItG2mGa2ceCfYo0BwxsXqNm01IGEUdYcSSLTEv9YCik/edit?usp=sharing"",""เบิกจ่ายกองทุน!AK68"")"),84420)</f>
        <v>84420</v>
      </c>
      <c r="S99" s="72">
        <f ca="1">IFERROR(__xludf.DUMMYFUNCTION("IMPORTRANGE(""https://docs.google.com/spreadsheets/d/1ItG2mGa2ceCfYo0BwxsXqNm01IGEUdYcSSLTEv9YCik/edit?usp=sharing"",""เบิกจ่ายกองทุน!AL68"")"),0)</f>
        <v>0</v>
      </c>
      <c r="T99" s="72">
        <f t="shared" ca="1" si="29"/>
        <v>0</v>
      </c>
      <c r="U99" s="72">
        <f t="shared" ca="1" si="30"/>
        <v>0</v>
      </c>
    </row>
    <row r="100" spans="1:21" ht="18.75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IFERROR(__xludf.DUMMYFUNCTION("IMPORTRANGE(""https://docs.google.com/spreadsheets/d/1-uDff_7J0KD5mKrp0Vvzr7lt3OU09vwQwhkpOPPYv2Y/edit?usp=sharing"",""งบพรบ!AZ68"")"),0)</f>
        <v>0</v>
      </c>
      <c r="M102" s="72">
        <f ca="1">IFERROR(__xludf.DUMMYFUNCTION("IMPORTRANGE(""https://docs.google.com/spreadsheets/d/1-uDff_7J0KD5mKrp0Vvzr7lt3OU09vwQwhkpOPPYv2Y/edit?usp=sharing"",""งบพรบ!BC68"")"),0)</f>
        <v>0</v>
      </c>
      <c r="N102" s="72">
        <f ca="1">IFERROR(__xludf.DUMMYFUNCTION("IMPORTRANGE(""https://docs.google.com/spreadsheets/d/1-uDff_7J0KD5mKrp0Vvzr7lt3OU09vwQwhkpOPPYv2Y/edit?usp=sharing"",""งบพรบ!BE68"")"),0)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IFERROR(__xludf.DUMMYFUNCTION("IMPORTRANGE(""https://docs.google.com/spreadsheets/d/1eHaY18a8A9IcSdp1K8H6x8fbOy06t2VsZHhMHf-1x7Y/edit?usp=sharing"",""แผน!N68"")"),30)</f>
        <v>30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IFERROR(__xludf.DUMMYFUNCTION("IMPORTRANGE(""https://docs.google.com/spreadsheets/d/1eHaY18a8A9IcSdp1K8H6x8fbOy06t2VsZHhMHf-1x7Y/edit?usp=sharing"",""แผน!O68"")"),10)</f>
        <v>10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540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IFERROR(__xludf.DUMMYFUNCTION("IMPORTRANGE(""https://docs.google.com/spreadsheets/d/1eHaY18a8A9IcSdp1K8H6x8fbOy06t2VsZHhMHf-1x7Y/edit?usp=sharing"",""แผน!N68"")"),30)</f>
        <v>30</v>
      </c>
      <c r="J113" s="672">
        <v>0</v>
      </c>
      <c r="K113" s="671">
        <f ca="1">IF(I113&gt;0,J113*100/I113,0)</f>
        <v>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IFERROR(__xludf.DUMMYFUNCTION("IMPORTRANGE(""https://docs.google.com/spreadsheets/d/1eHaY18a8A9IcSdp1K8H6x8fbOy06t2VsZHhMHf-1x7Y/edit?usp=sharing"",""แผน!O68"")"),10)</f>
        <v>10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55</v>
      </c>
      <c r="J116" s="254">
        <f>J127</f>
        <v>55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310080</v>
      </c>
      <c r="R117" s="262">
        <f ca="1">R118+R119</f>
        <v>310080</v>
      </c>
      <c r="S117" s="262">
        <f ca="1">S118+S119</f>
        <v>237913</v>
      </c>
      <c r="T117" s="262">
        <f t="shared" ref="T117:T125" ca="1" si="35">IF(Q117&gt;0,S117*100/Q117,0)</f>
        <v>76.72632868937049</v>
      </c>
      <c r="U117" s="262">
        <f t="shared" ref="U117:U125" ca="1" si="36">IF(R117&gt;0,S117*100/R117,0)</f>
        <v>76.72632868937049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310080</v>
      </c>
      <c r="R119" s="72">
        <f t="shared" ca="1" si="38"/>
        <v>310080</v>
      </c>
      <c r="S119" s="72">
        <f t="shared" ca="1" si="38"/>
        <v>237913</v>
      </c>
      <c r="T119" s="72">
        <f t="shared" ca="1" si="35"/>
        <v>76.72632868937049</v>
      </c>
      <c r="U119" s="72">
        <f t="shared" ca="1" si="36"/>
        <v>76.72632868937049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310080</v>
      </c>
      <c r="R120" s="72">
        <f ca="1">R121+R122</f>
        <v>310080</v>
      </c>
      <c r="S120" s="72">
        <f ca="1">S121+S122</f>
        <v>237913</v>
      </c>
      <c r="T120" s="72">
        <f t="shared" ca="1" si="35"/>
        <v>76.72632868937049</v>
      </c>
      <c r="U120" s="72">
        <f t="shared" ca="1" si="36"/>
        <v>76.72632868937049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IFERROR(__xludf.DUMMYFUNCTION("IMPORTRANGE(""https://docs.google.com/spreadsheets/d/1-uDff_7J0KD5mKrp0Vvzr7lt3OU09vwQwhkpOPPYv2Y/edit?usp=sharing"",""งบพรบ!BG68"")"),0)</f>
        <v>0</v>
      </c>
      <c r="M122" s="72">
        <f ca="1">IFERROR(__xludf.DUMMYFUNCTION("IMPORTRANGE(""https://docs.google.com/spreadsheets/d/1-uDff_7J0KD5mKrp0Vvzr7lt3OU09vwQwhkpOPPYv2Y/edit?usp=sharing"",""งบพรบ!BL68"")"),0)</f>
        <v>0</v>
      </c>
      <c r="N122" s="72">
        <f ca="1">IFERROR(__xludf.DUMMYFUNCTION("IMPORTRANGE(""https://docs.google.com/spreadsheets/d/1-uDff_7J0KD5mKrp0Vvzr7lt3OU09vwQwhkpOPPYv2Y/edit?usp=sharing"",""งบพรบ!BN68"")"),0)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IFERROR(__xludf.DUMMYFUNCTION("IMPORTRANGE(""https://docs.google.com/spreadsheets/d/1ItG2mGa2ceCfYo0BwxsXqNm01IGEUdYcSSLTEv9YCik/edit?usp=sharing"",""เบิกจ่ายกองทุน!U68"")"),310080)</f>
        <v>310080</v>
      </c>
      <c r="R122" s="72">
        <f ca="1">IFERROR(__xludf.DUMMYFUNCTION("IMPORTRANGE(""https://docs.google.com/spreadsheets/d/1ItG2mGa2ceCfYo0BwxsXqNm01IGEUdYcSSLTEv9YCik/edit?usp=sharing"",""เบิกจ่ายกองทุน!V68"")"),310080)</f>
        <v>310080</v>
      </c>
      <c r="S122" s="72">
        <f ca="1">IFERROR(__xludf.DUMMYFUNCTION("IMPORTRANGE(""https://docs.google.com/spreadsheets/d/1ItG2mGa2ceCfYo0BwxsXqNm01IGEUdYcSSLTEv9YCik/edit?usp=sharing"",""เบิกจ่ายกองทุน!W68"")"),237913)</f>
        <v>237913</v>
      </c>
      <c r="T122" s="72">
        <f t="shared" ca="1" si="35"/>
        <v>76.72632868937049</v>
      </c>
      <c r="U122" s="72">
        <f t="shared" ca="1" si="36"/>
        <v>76.72632868937049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IFERROR(__xludf.DUMMYFUNCTION("IMPORTRANGE(""https://docs.google.com/spreadsheets/d/1-uDff_7J0KD5mKrp0Vvzr7lt3OU09vwQwhkpOPPYv2Y/edit?usp=sharing"",""งบพรบ!BJ68"")"),0)</f>
        <v>0</v>
      </c>
      <c r="M125" s="72">
        <f ca="1">IFERROR(__xludf.DUMMYFUNCTION("IMPORTRANGE(""https://docs.google.com/spreadsheets/d/1-uDff_7J0KD5mKrp0Vvzr7lt3OU09vwQwhkpOPPYv2Y/edit?usp=sharing"",""งบพรบ!BM68"")"),0)</f>
        <v>0</v>
      </c>
      <c r="N125" s="72">
        <f ca="1">IFERROR(__xludf.DUMMYFUNCTION("IMPORTRANGE(""https://docs.google.com/spreadsheets/d/1-uDff_7J0KD5mKrp0Vvzr7lt3OU09vwQwhkpOPPYv2Y/edit?usp=sharing"",""งบพรบ!BO68"")"),0)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IFERROR(__xludf.DUMMYFUNCTION("IMPORTRANGE(""https://docs.google.com/spreadsheets/d/1ItG2mGa2ceCfYo0BwxsXqNm01IGEUdYcSSLTEv9YCik/edit?usp=sharing"",""เบิกจ่ายกองทุน!X68"")"),0)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IFERROR(__xludf.DUMMYFUNCTION("IMPORTRANGE(""https://docs.google.com/spreadsheets/d/1ItG2mGa2ceCfYo0BwxsXqNm01IGEUdYcSSLTEv9YCik/edit?usp=sharing"",""เบิกจ่ายกองทุน!Y68"")"),0)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IFERROR(__xludf.DUMMYFUNCTION("IMPORTRANGE(""https://docs.google.com/spreadsheets/d/1ItG2mGa2ceCfYo0BwxsXqNm01IGEUdYcSSLTEv9YCik/edit?usp=sharing"",""เบิกจ่ายกองทุน!Z68"")"),0)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68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IFERROR(__xludf.DUMMYFUNCTION("IMPORTRANGE(""https://docs.google.com/spreadsheets/d/1eHaY18a8A9IcSdp1K8H6x8fbOy06t2VsZHhMHf-1x7Y/edit?usp=sharing"",""แผน!FF68"")"),55)</f>
        <v>55</v>
      </c>
      <c r="J127" s="292">
        <v>55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IFERROR(__xludf.DUMMYFUNCTION("IMPORTRANGE(""https://docs.google.com/spreadsheets/d/1eHaY18a8A9IcSdp1K8H6x8fbOy06t2VsZHhMHf-1x7Y/edit?usp=sharing"",""แผน!FG68"")"),0)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IFERROR(__xludf.DUMMYFUNCTION("IMPORTRANGE(""https://docs.google.com/spreadsheets/d/1eHaY18a8A9IcSdp1K8H6x8fbOy06t2VsZHhMHf-1x7Y/edit?usp=sharing"",""แผน!FH68"")"),30)</f>
        <v>30</v>
      </c>
      <c r="J129" s="292">
        <v>30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IFERROR(__xludf.DUMMYFUNCTION("IMPORTRANGE(""https://docs.google.com/spreadsheets/d/1eHaY18a8A9IcSdp1K8H6x8fbOy06t2VsZHhMHf-1x7Y/edit?usp=sharing"",""แผน!FI68"")"),0)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IFERROR(__xludf.DUMMYFUNCTION("IMPORTRANGE(""https://docs.google.com/spreadsheets/d/1-uDff_7J0KD5mKrp0Vvzr7lt3OU09vwQwhkpOPPYv2Y/edit?usp=sharing"",""งบพรบ!BQ68"")"),0)</f>
        <v>0</v>
      </c>
      <c r="M144" s="72">
        <f ca="1">IFERROR(__xludf.DUMMYFUNCTION("IMPORTRANGE(""https://docs.google.com/spreadsheets/d/1-uDff_7J0KD5mKrp0Vvzr7lt3OU09vwQwhkpOPPYv2Y/edit?usp=sharing"",""งบพรบ!BV68"")"),0)</f>
        <v>0</v>
      </c>
      <c r="N144" s="72">
        <f ca="1">IFERROR(__xludf.DUMMYFUNCTION("IMPORTRANGE(""https://docs.google.com/spreadsheets/d/1-uDff_7J0KD5mKrp0Vvzr7lt3OU09vwQwhkpOPPYv2Y/edit?usp=sharing"",""งบพรบ!BX68"")"),0)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IFERROR(__xludf.DUMMYFUNCTION("IMPORTRANGE(""https://docs.google.com/spreadsheets/d/1ItG2mGa2ceCfYo0BwxsXqNm01IGEUdYcSSLTEv9YCik/edit?usp=sharing"",""เบิกจ่ายกองทุน!CF68"")"),0)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IFERROR(__xludf.DUMMYFUNCTION("IMPORTRANGE(""https://docs.google.com/spreadsheets/d/1ItG2mGa2ceCfYo0BwxsXqNm01IGEUdYcSSLTEv9YCik/edit?usp=sharing"",""เบิกจ่ายกองทุน!CG68"")"),0)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IFERROR(__xludf.DUMMYFUNCTION("IMPORTRANGE(""https://docs.google.com/spreadsheets/d/1ItG2mGa2ceCfYo0BwxsXqNm01IGEUdYcSSLTEv9YCik/edit?usp=sharing"",""เบิกจ่ายกองทุน!CH68"")"),0)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IFERROR(__xludf.DUMMYFUNCTION("IMPORTRANGE(""https://docs.google.com/spreadsheets/d/1-uDff_7J0KD5mKrp0Vvzr7lt3OU09vwQwhkpOPPYv2Y/edit?usp=sharing"",""งบพรบ!BT68"")"),0)</f>
        <v>0</v>
      </c>
      <c r="M147" s="72">
        <f ca="1">IFERROR(__xludf.DUMMYFUNCTION("IMPORTRANGE(""https://docs.google.com/spreadsheets/d/1-uDff_7J0KD5mKrp0Vvzr7lt3OU09vwQwhkpOPPYv2Y/edit?usp=sharing"",""งบพรบ!BW68"")"),0)</f>
        <v>0</v>
      </c>
      <c r="N147" s="72">
        <f ca="1">IFERROR(__xludf.DUMMYFUNCTION("IMPORTRANGE(""https://docs.google.com/spreadsheets/d/1-uDff_7J0KD5mKrp0Vvzr7lt3OU09vwQwhkpOPPYv2Y/edit?usp=sharing"",""งบพรบ!BY68"")"),0)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IFERROR(__xludf.DUMMYFUNCTION("IMPORTRANGE(""https://docs.google.com/spreadsheets/d/1ItG2mGa2ceCfYo0BwxsXqNm01IGEUdYcSSLTEv9YCik/edit?usp=sharing"",""เบิกจ่ายกองทุน!CI68"")"),0)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IFERROR(__xludf.DUMMYFUNCTION("IMPORTRANGE(""https://docs.google.com/spreadsheets/d/1ItG2mGa2ceCfYo0BwxsXqNm01IGEUdYcSSLTEv9YCik/edit?usp=sharing"",""เบิกจ่ายกองทุน!CJ68"")"),0)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IFERROR(__xludf.DUMMYFUNCTION("IMPORTRANGE(""https://docs.google.com/spreadsheets/d/1ItG2mGa2ceCfYo0BwxsXqNm01IGEUdYcSSLTEv9YCik/edit?usp=sharing"",""เบิกจ่ายกองทุน!CK68"")"),0)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IFERROR(__xludf.DUMMYFUNCTION("IMPORTRANGE(""https://docs.google.com/spreadsheets/d/1eHaY18a8A9IcSdp1K8H6x8fbOy06t2VsZHhMHf-1x7Y/edit?usp=sharing"",""แผน!U68"")"),0)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IFERROR(__xludf.DUMMYFUNCTION("IMPORTRANGE(""https://docs.google.com/spreadsheets/d/1eHaY18a8A9IcSdp1K8H6x8fbOy06t2VsZHhMHf-1x7Y/edit?usp=sharing"",""แผน!V68"")"),0)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IFERROR(__xludf.DUMMYFUNCTION("IMPORTRANGE(""https://docs.google.com/spreadsheets/d/1eHaY18a8A9IcSdp1K8H6x8fbOy06t2VsZHhMHf-1x7Y/edit?usp=sharing"",""แผน!W68"")"),0)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IFERROR(__xludf.DUMMYFUNCTION("IMPORTRANGE(""https://docs.google.com/spreadsheets/d/1eHaY18a8A9IcSdp1K8H6x8fbOy06t2VsZHhMHf-1x7Y/edit?usp=sharing"",""แผน!X68"")"),0)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IFERROR(__xludf.DUMMYFUNCTION("IMPORTRANGE(""https://docs.google.com/spreadsheets/d/1eHaY18a8A9IcSdp1K8H6x8fbOy06t2VsZHhMHf-1x7Y/edit?usp=sharing"",""แผน!Y68"")"),0)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5290</v>
      </c>
      <c r="N157" s="262">
        <f ca="1">N158+N159</f>
        <v>5290</v>
      </c>
      <c r="O157" s="262">
        <f t="shared" ref="O157:O165" ca="1" si="45">IF(L157&gt;0,N157*100/L157,0)</f>
        <v>117.55555555555556</v>
      </c>
      <c r="P157" s="262">
        <f t="shared" ref="P157:P165" ca="1" si="46">IF(M157&gt;0,N157*100/M157,0)</f>
        <v>100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5290</v>
      </c>
      <c r="N159" s="72">
        <f t="shared" ca="1" si="49"/>
        <v>5290</v>
      </c>
      <c r="O159" s="72">
        <f t="shared" ca="1" si="45"/>
        <v>117.55555555555556</v>
      </c>
      <c r="P159" s="72">
        <f t="shared" ca="1" si="46"/>
        <v>100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5290</v>
      </c>
      <c r="N160" s="72">
        <f ca="1">N161+N162</f>
        <v>5290</v>
      </c>
      <c r="O160" s="72">
        <f t="shared" ca="1" si="45"/>
        <v>117.55555555555556</v>
      </c>
      <c r="P160" s="72">
        <f t="shared" ca="1" si="46"/>
        <v>100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IFERROR(__xludf.DUMMYFUNCTION("IMPORTRANGE(""https://docs.google.com/spreadsheets/d/1-uDff_7J0KD5mKrp0Vvzr7lt3OU09vwQwhkpOPPYv2Y/edit?usp=sharing"",""งบพรบ!CA68"")"),4500)</f>
        <v>4500</v>
      </c>
      <c r="M162" s="72">
        <f ca="1">IFERROR(__xludf.DUMMYFUNCTION("IMPORTRANGE(""https://docs.google.com/spreadsheets/d/1-uDff_7J0KD5mKrp0Vvzr7lt3OU09vwQwhkpOPPYv2Y/edit?usp=sharing"",""งบพรบ!CF68"")"),5290)</f>
        <v>5290</v>
      </c>
      <c r="N162" s="72">
        <f ca="1">IFERROR(__xludf.DUMMYFUNCTION("IMPORTRANGE(""https://docs.google.com/spreadsheets/d/1-uDff_7J0KD5mKrp0Vvzr7lt3OU09vwQwhkpOPPYv2Y/edit?usp=sharing"",""งบพรบ!CH68"")"),5290)</f>
        <v>5290</v>
      </c>
      <c r="O162" s="72">
        <f t="shared" ca="1" si="45"/>
        <v>117.55555555555556</v>
      </c>
      <c r="P162" s="72">
        <f t="shared" ca="1" si="46"/>
        <v>100</v>
      </c>
      <c r="Q162" s="72">
        <f ca="1">IFERROR(__xludf.DUMMYFUNCTION("IMPORTRANGE(""https://docs.google.com/spreadsheets/d/1ItG2mGa2ceCfYo0BwxsXqNm01IGEUdYcSSLTEv9YCik/edit?usp=sharing"",""เบิกจ่ายกองทุน!AM68"")"),0)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IFERROR(__xludf.DUMMYFUNCTION("IMPORTRANGE(""https://docs.google.com/spreadsheets/d/1ItG2mGa2ceCfYo0BwxsXqNm01IGEUdYcSSLTEv9YCik/edit?usp=sharing"",""เบิกจ่ายกองทุน!AN68"")"),0)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IFERROR(__xludf.DUMMYFUNCTION("IMPORTRANGE(""https://docs.google.com/spreadsheets/d/1ItG2mGa2ceCfYo0BwxsXqNm01IGEUdYcSSLTEv9YCik/edit?usp=sharing"",""เบิกจ่ายกองทุน!AO68"")"),0)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IFERROR(__xludf.DUMMYFUNCTION("IMPORTRANGE(""https://docs.google.com/spreadsheets/d/1-uDff_7J0KD5mKrp0Vvzr7lt3OU09vwQwhkpOPPYv2Y/edit?usp=sharing"",""งบพรบ!CD68"")"),0)</f>
        <v>0</v>
      </c>
      <c r="M165" s="72">
        <f ca="1">IFERROR(__xludf.DUMMYFUNCTION("IMPORTRANGE(""https://docs.google.com/spreadsheets/d/1-uDff_7J0KD5mKrp0Vvzr7lt3OU09vwQwhkpOPPYv2Y/edit?usp=sharing"",""งบพรบ!CG68"")"),0)</f>
        <v>0</v>
      </c>
      <c r="N165" s="72">
        <f ca="1">IFERROR(__xludf.DUMMYFUNCTION("IMPORTRANGE(""https://docs.google.com/spreadsheets/d/1-uDff_7J0KD5mKrp0Vvzr7lt3OU09vwQwhkpOPPYv2Y/edit?usp=sharing"",""งบพรบ!CI68"")"),0)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IFERROR(__xludf.DUMMYFUNCTION("IMPORTRANGE(""https://docs.google.com/spreadsheets/d/1eHaY18a8A9IcSdp1K8H6x8fbOy06t2VsZHhMHf-1x7Y/edit?usp=sharing"",""แผน!Z68"")"),15)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15</v>
      </c>
      <c r="J172" s="963">
        <f>J183+J184</f>
        <v>7</v>
      </c>
      <c r="K172" s="962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29930</v>
      </c>
      <c r="N173" s="262">
        <f ca="1">N174+N175</f>
        <v>29678</v>
      </c>
      <c r="O173" s="262">
        <f t="shared" ref="O173:O181" ca="1" si="51">IF(L173&gt;0,N173*100/L173,0)</f>
        <v>151.49566105155691</v>
      </c>
      <c r="P173" s="262">
        <f t="shared" ref="P173:P181" ca="1" si="52">IF(M173&gt;0,N173*100/M173,0)</f>
        <v>99.158035415970602</v>
      </c>
      <c r="Q173" s="262">
        <f ca="1">Q174+Q175</f>
        <v>21200</v>
      </c>
      <c r="R173" s="262">
        <f ca="1">R174+R175</f>
        <v>21200</v>
      </c>
      <c r="S173" s="262">
        <f ca="1">S174+S175</f>
        <v>5310</v>
      </c>
      <c r="T173" s="262">
        <f t="shared" ref="T173:T181" ca="1" si="53">IF(Q173&gt;0,S173*100/Q173,0)</f>
        <v>25.047169811320753</v>
      </c>
      <c r="U173" s="262">
        <f t="shared" ref="U173:U181" ca="1" si="54">IF(R173&gt;0,S173*100/R173,0)</f>
        <v>25.047169811320753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29930</v>
      </c>
      <c r="N175" s="72">
        <f t="shared" ca="1" si="55"/>
        <v>29678</v>
      </c>
      <c r="O175" s="72">
        <f t="shared" ca="1" si="51"/>
        <v>151.49566105155691</v>
      </c>
      <c r="P175" s="72">
        <f t="shared" ca="1" si="52"/>
        <v>99.158035415970602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5310</v>
      </c>
      <c r="T175" s="72">
        <f t="shared" ca="1" si="53"/>
        <v>25.047169811320753</v>
      </c>
      <c r="U175" s="72">
        <f t="shared" ca="1" si="54"/>
        <v>25.047169811320753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29930</v>
      </c>
      <c r="N176" s="72">
        <f ca="1">N177+N178</f>
        <v>29678</v>
      </c>
      <c r="O176" s="72">
        <f t="shared" ca="1" si="51"/>
        <v>151.49566105155691</v>
      </c>
      <c r="P176" s="72">
        <f t="shared" ca="1" si="52"/>
        <v>99.158035415970602</v>
      </c>
      <c r="Q176" s="72">
        <f ca="1">Q177+Q178</f>
        <v>21200</v>
      </c>
      <c r="R176" s="72">
        <f ca="1">R177+R178</f>
        <v>21200</v>
      </c>
      <c r="S176" s="72">
        <f ca="1">S177+S178</f>
        <v>5310</v>
      </c>
      <c r="T176" s="72">
        <f t="shared" ca="1" si="53"/>
        <v>25.047169811320753</v>
      </c>
      <c r="U176" s="72">
        <f t="shared" ca="1" si="54"/>
        <v>25.047169811320753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IFERROR(__xludf.DUMMYFUNCTION("IMPORTRANGE(""https://docs.google.com/spreadsheets/d/1-uDff_7J0KD5mKrp0Vvzr7lt3OU09vwQwhkpOPPYv2Y/edit?usp=sharing"",""งบพรบ!CK68"")"),19590)</f>
        <v>19590</v>
      </c>
      <c r="M178" s="72">
        <f ca="1">IFERROR(__xludf.DUMMYFUNCTION("IMPORTRANGE(""https://docs.google.com/spreadsheets/d/1-uDff_7J0KD5mKrp0Vvzr7lt3OU09vwQwhkpOPPYv2Y/edit?usp=sharing"",""งบพรบ!CP68"")"),29930)</f>
        <v>29930</v>
      </c>
      <c r="N178" s="72">
        <f ca="1">IFERROR(__xludf.DUMMYFUNCTION("IMPORTRANGE(""https://docs.google.com/spreadsheets/d/1-uDff_7J0KD5mKrp0Vvzr7lt3OU09vwQwhkpOPPYv2Y/edit?usp=sharing"",""งบพรบ!CR68"")"),29678)</f>
        <v>29678</v>
      </c>
      <c r="O178" s="72">
        <f t="shared" ca="1" si="51"/>
        <v>151.49566105155691</v>
      </c>
      <c r="P178" s="72">
        <f t="shared" ca="1" si="52"/>
        <v>99.158035415970602</v>
      </c>
      <c r="Q178" s="72">
        <f ca="1">IFERROR(__xludf.DUMMYFUNCTION("IMPORTRANGE(""https://docs.google.com/spreadsheets/d/1ItG2mGa2ceCfYo0BwxsXqNm01IGEUdYcSSLTEv9YCik/edit?usp=sharing"",""เบิกจ่ายกองทุน!DG68"")"),21200)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IFERROR(__xludf.DUMMYFUNCTION("IMPORTRANGE(""https://docs.google.com/spreadsheets/d/1ItG2mGa2ceCfYo0BwxsXqNm01IGEUdYcSSLTEv9YCik/edit?usp=sharing"",""เบิกจ่ายกองทุน!DH68"")"),21200)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IFERROR(__xludf.DUMMYFUNCTION("IMPORTRANGE(""https://docs.google.com/spreadsheets/d/1ItG2mGa2ceCfYo0BwxsXqNm01IGEUdYcSSLTEv9YCik/edit?usp=sharing"",""เบิกจ่ายกองทุน!DI68"")"),5310)</f>
        <v>5310</v>
      </c>
      <c r="T178" s="72">
        <f t="shared" ca="1" si="53"/>
        <v>25.047169811320753</v>
      </c>
      <c r="U178" s="72">
        <f t="shared" ca="1" si="54"/>
        <v>25.047169811320753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IFERROR(__xludf.DUMMYFUNCTION("IMPORTRANGE(""https://docs.google.com/spreadsheets/d/1-uDff_7J0KD5mKrp0Vvzr7lt3OU09vwQwhkpOPPYv2Y/edit?usp=sharing"",""งบพรบ!CN68"")"),0)</f>
        <v>0</v>
      </c>
      <c r="M181" s="72">
        <f ca="1">IFERROR(__xludf.DUMMYFUNCTION("IMPORTRANGE(""https://docs.google.com/spreadsheets/d/1-uDff_7J0KD5mKrp0Vvzr7lt3OU09vwQwhkpOPPYv2Y/edit?usp=sharing"",""งบพรบ!CQ68"")"),0)</f>
        <v>0</v>
      </c>
      <c r="N181" s="72">
        <f ca="1">IFERROR(__xludf.DUMMYFUNCTION("IMPORTRANGE(""https://docs.google.com/spreadsheets/d/1-uDff_7J0KD5mKrp0Vvzr7lt3OU09vwQwhkpOPPYv2Y/edit?usp=sharing"",""งบพรบ!CS68"")"),0)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IFERROR(__xludf.DUMMYFUNCTION("IMPORTRANGE(""https://docs.google.com/spreadsheets/d/1eHaY18a8A9IcSdp1K8H6x8fbOy06t2VsZHhMHf-1x7Y/edit?usp=sharing"",""แผน!AA68"")"),15)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38500</v>
      </c>
      <c r="M186" s="262">
        <f ca="1">M187+M188</f>
        <v>98860</v>
      </c>
      <c r="N186" s="262">
        <f ca="1">N187+N188</f>
        <v>77685</v>
      </c>
      <c r="O186" s="262">
        <f t="shared" ref="O186:O194" ca="1" si="57">IF(L186&gt;0,N186*100/L186,0)</f>
        <v>201.77922077922079</v>
      </c>
      <c r="P186" s="262">
        <f t="shared" ref="P186:P194" ca="1" si="58">IF(M186&gt;0,N186*100/M186,0)</f>
        <v>78.580821363544402</v>
      </c>
      <c r="Q186" s="262">
        <f ca="1">Q187+Q188</f>
        <v>42000</v>
      </c>
      <c r="R186" s="262">
        <f ca="1">R187+R188</f>
        <v>42000</v>
      </c>
      <c r="S186" s="262">
        <f ca="1">S187+S188</f>
        <v>42000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38500</v>
      </c>
      <c r="M188" s="72">
        <f t="shared" ca="1" si="61"/>
        <v>98860</v>
      </c>
      <c r="N188" s="72">
        <f t="shared" ca="1" si="61"/>
        <v>77685</v>
      </c>
      <c r="O188" s="72">
        <f t="shared" ca="1" si="57"/>
        <v>201.77922077922079</v>
      </c>
      <c r="P188" s="72">
        <f t="shared" ca="1" si="58"/>
        <v>78.580821363544402</v>
      </c>
      <c r="Q188" s="72">
        <f t="shared" ca="1" si="62"/>
        <v>42000</v>
      </c>
      <c r="R188" s="72">
        <f t="shared" ca="1" si="62"/>
        <v>42000</v>
      </c>
      <c r="S188" s="72">
        <f t="shared" ca="1" si="62"/>
        <v>42000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38500</v>
      </c>
      <c r="M189" s="72">
        <f ca="1">M190+M191</f>
        <v>98860</v>
      </c>
      <c r="N189" s="72">
        <f ca="1">N190+N191</f>
        <v>77685</v>
      </c>
      <c r="O189" s="72">
        <f t="shared" ca="1" si="57"/>
        <v>201.77922077922079</v>
      </c>
      <c r="P189" s="72">
        <f t="shared" ca="1" si="58"/>
        <v>78.580821363544402</v>
      </c>
      <c r="Q189" s="72">
        <f ca="1">Q190+Q191</f>
        <v>42000</v>
      </c>
      <c r="R189" s="72">
        <f ca="1">R190+R191</f>
        <v>42000</v>
      </c>
      <c r="S189" s="72">
        <f ca="1">S190+S191</f>
        <v>42000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IFERROR(__xludf.DUMMYFUNCTION("IMPORTRANGE(""https://docs.google.com/spreadsheets/d/1-uDff_7J0KD5mKrp0Vvzr7lt3OU09vwQwhkpOPPYv2Y/edit?usp=sharing"",""งบพรบ!CU68"")"),38500)</f>
        <v>38500</v>
      </c>
      <c r="M191" s="72">
        <f ca="1">IFERROR(__xludf.DUMMYFUNCTION("IMPORTRANGE(""https://docs.google.com/spreadsheets/d/1-uDff_7J0KD5mKrp0Vvzr7lt3OU09vwQwhkpOPPYv2Y/edit?usp=sharing"",""งบพรบ!CZ68"")"),98860)</f>
        <v>98860</v>
      </c>
      <c r="N191" s="72">
        <f ca="1">IFERROR(__xludf.DUMMYFUNCTION("IMPORTRANGE(""https://docs.google.com/spreadsheets/d/1-uDff_7J0KD5mKrp0Vvzr7lt3OU09vwQwhkpOPPYv2Y/edit?usp=sharing"",""งบพรบ!DB68"")"),77685)</f>
        <v>77685</v>
      </c>
      <c r="O191" s="72">
        <f t="shared" ca="1" si="57"/>
        <v>201.77922077922079</v>
      </c>
      <c r="P191" s="72">
        <f t="shared" ca="1" si="58"/>
        <v>78.580821363544402</v>
      </c>
      <c r="Q191" s="72">
        <f ca="1">IFERROR(__xludf.DUMMYFUNCTION("IMPORTRANGE(""https://docs.google.com/spreadsheets/d/1ItG2mGa2ceCfYo0BwxsXqNm01IGEUdYcSSLTEv9YCik/edit?usp=sharing"",""เบิกจ่ายกองทุน!BQ68"")"),42000)</f>
        <v>42000</v>
      </c>
      <c r="R191" s="72">
        <f ca="1">IFERROR(__xludf.DUMMYFUNCTION("IMPORTRANGE(""https://docs.google.com/spreadsheets/d/1ItG2mGa2ceCfYo0BwxsXqNm01IGEUdYcSSLTEv9YCik/edit?usp=sharing"",""เบิกจ่ายกองทุน!BR68"")"),42000)</f>
        <v>42000</v>
      </c>
      <c r="S191" s="72">
        <f ca="1">IFERROR(__xludf.DUMMYFUNCTION("IMPORTRANGE(""https://docs.google.com/spreadsheets/d/1ItG2mGa2ceCfYo0BwxsXqNm01IGEUdYcSSLTEv9YCik/edit?usp=sharing"",""เบิกจ่ายกองทุน!BS68"")"),42000)</f>
        <v>42000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IFERROR(__xludf.DUMMYFUNCTION("IMPORTRANGE(""https://docs.google.com/spreadsheets/d/1-uDff_7J0KD5mKrp0Vvzr7lt3OU09vwQwhkpOPPYv2Y/edit?usp=sharing"",""งบพรบ!CX68"")"),0)</f>
        <v>0</v>
      </c>
      <c r="M194" s="72">
        <f ca="1">IFERROR(__xludf.DUMMYFUNCTION("IMPORTRANGE(""https://docs.google.com/spreadsheets/d/1-uDff_7J0KD5mKrp0Vvzr7lt3OU09vwQwhkpOPPYv2Y/edit?usp=sharing"",""งบพรบ!DA68"")"),0)</f>
        <v>0</v>
      </c>
      <c r="N194" s="72">
        <f ca="1">IFERROR(__xludf.DUMMYFUNCTION("IMPORTRANGE(""https://docs.google.com/spreadsheets/d/1-uDff_7J0KD5mKrp0Vvzr7lt3OU09vwQwhkpOPPYv2Y/edit?usp=sharing"",""งบพรบ!DC68"")"),0)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IFERROR(__xludf.DUMMYFUNCTION("IMPORTRANGE(""https://docs.google.com/spreadsheets/d/1ItG2mGa2ceCfYo0BwxsXqNm01IGEUdYcSSLTEv9YCik/edit?usp=sharing"",""เบิกจ่ายกองทุน!BT68"")"),0)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IFERROR(__xludf.DUMMYFUNCTION("IMPORTRANGE(""https://docs.google.com/spreadsheets/d/1ItG2mGa2ceCfYo0BwxsXqNm01IGEUdYcSSLTEv9YCik/edit?usp=sharing"",""เบิกจ่ายกองทุน!BU68"")"),0)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IFERROR(__xludf.DUMMYFUNCTION("IMPORTRANGE(""https://docs.google.com/spreadsheets/d/1ItG2mGa2ceCfYo0BwxsXqNm01IGEUdYcSSLTEv9YCik/edit?usp=sharing"",""เบิกจ่ายกองทุน!BV68"")"),0)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IFERROR(__xludf.DUMMYFUNCTION("IMPORTRANGE(""https://docs.google.com/spreadsheets/d/1eHaY18a8A9IcSdp1K8H6x8fbOy06t2VsZHhMHf-1x7Y/edit?usp=sharing"",""แผน!AB68"")"),6000)</f>
        <v>6000</v>
      </c>
      <c r="M196" s="85"/>
      <c r="N196" s="961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IFERROR(__xludf.DUMMYFUNCTION("IMPORTRANGE(""https://docs.google.com/spreadsheets/d/1eHaY18a8A9IcSdp1K8H6x8fbOy06t2VsZHhMHf-1x7Y/edit?usp=sharing"",""แผน!AE68"")"),4)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30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30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3</v>
      </c>
      <c r="J202" s="538">
        <f>J209</f>
        <v>3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20000</v>
      </c>
      <c r="M203" s="85"/>
      <c r="N203" s="262">
        <f>N204+N205+N206+N207</f>
        <v>20000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42000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IFERROR(__xludf.DUMMYFUNCTION("IMPORTRANGE(""https://docs.google.com/spreadsheets/d/1eHaY18a8A9IcSdp1K8H6x8fbOy06t2VsZHhMHf-1x7Y/edit?usp=sharing"",""แผน!AG68"")"),3000)</f>
        <v>3000</v>
      </c>
      <c r="M204" s="85"/>
      <c r="N204" s="387">
        <v>3000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IFERROR(__xludf.DUMMYFUNCTION("IMPORTRANGE(""https://docs.google.com/spreadsheets/d/1eHaY18a8A9IcSdp1K8H6x8fbOy06t2VsZHhMHf-1x7Y/edit?usp=sharing"",""แผน!AH68"")"),0)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IFERROR(__xludf.DUMMYFUNCTION("IMPORTRANGE(""https://docs.google.com/spreadsheets/d/1eHaY18a8A9IcSdp1K8H6x8fbOy06t2VsZHhMHf-1x7Y/edit?usp=sharing"",""แผน!AI68"")"),0)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IFERROR(__xludf.DUMMYFUNCTION("IMPORTRANGE(""https://docs.google.com/spreadsheets/d/1eHaY18a8A9IcSdp1K8H6x8fbOy06t2VsZHhMHf-1x7Y/edit?usp=sharing"",""แผน!LV68"")"),42000)</f>
        <v>42000</v>
      </c>
      <c r="R206" s="85"/>
      <c r="S206" s="387">
        <v>42000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IFERROR(__xludf.DUMMYFUNCTION("IMPORTRANGE(""https://docs.google.com/spreadsheets/d/1eHaY18a8A9IcSdp1K8H6x8fbOy06t2VsZHhMHf-1x7Y/edit?usp=sharing"",""แผน!AJ68"")"),17000)</f>
        <v>17000</v>
      </c>
      <c r="M207" s="85"/>
      <c r="N207" s="387">
        <v>17000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IFERROR(__xludf.DUMMYFUNCTION("IMPORTRANGE(""https://docs.google.com/spreadsheets/d/1eHaY18a8A9IcSdp1K8H6x8fbOy06t2VsZHhMHf-1x7Y/edit?usp=sharing"",""แผน!AK68"")"),3)</f>
        <v>3</v>
      </c>
      <c r="J209" s="292">
        <v>3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IFERROR(__xludf.DUMMYFUNCTION("IMPORTRANGE(""https://docs.google.com/spreadsheets/d/1eHaY18a8A9IcSdp1K8H6x8fbOy06t2VsZHhMHf-1x7Y/edit?usp=sharing"",""แผน!JX68"")"),2)</f>
        <v>2</v>
      </c>
      <c r="J211" s="292">
        <v>3</v>
      </c>
      <c r="K211" s="746">
        <f ca="1">IF(I211&gt;0,J211*100/I211,0)</f>
        <v>150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IFERROR(__xludf.DUMMYFUNCTION("IMPORTRANGE(""https://docs.google.com/spreadsheets/d/1eHaY18a8A9IcSdp1K8H6x8fbOy06t2VsZHhMHf-1x7Y/edit?usp=sharing"",""แผน!JY68"")"),1)</f>
        <v>1</v>
      </c>
      <c r="J212" s="292">
        <v>1</v>
      </c>
      <c r="K212" s="746">
        <f ca="1">IF(I212&gt;0,J212*100/I212,0)</f>
        <v>100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IFERROR(__xludf.DUMMYFUNCTION("IMPORTRANGE(""https://docs.google.com/spreadsheets/d/1eHaY18a8A9IcSdp1K8H6x8fbOy06t2VsZHhMHf-1x7Y/edit?usp=sharing"",""แผน!AM68"")"),0)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IFERROR(__xludf.DUMMYFUNCTION("IMPORTRANGE(""https://docs.google.com/spreadsheets/d/1eHaY18a8A9IcSdp1K8H6x8fbOy06t2VsZHhMHf-1x7Y/edit?usp=sharing"",""แผน!AN68"")"),0)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IFERROR(__xludf.DUMMYFUNCTION("IMPORTRANGE(""https://docs.google.com/spreadsheets/d/1eHaY18a8A9IcSdp1K8H6x8fbOy06t2VsZHhMHf-1x7Y/edit?usp=sharing"",""แผน!AO68"")"),0)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IFERROR(__xludf.DUMMYFUNCTION("IMPORTRANGE(""https://docs.google.com/spreadsheets/d/1eHaY18a8A9IcSdp1K8H6x8fbOy06t2VsZHhMHf-1x7Y/edit?usp=sharing"",""แผน!LY68"")"),0)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IFERROR(__xludf.DUMMYFUNCTION("IMPORTRANGE(""https://docs.google.com/spreadsheets/d/1eHaY18a8A9IcSdp1K8H6x8fbOy06t2VsZHhMHf-1x7Y/edit?usp=sharing"",""แผน!AP68"")"),0)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IFERROR(__xludf.DUMMYFUNCTION("IMPORTRANGE(""https://docs.google.com/spreadsheets/d/1eHaY18a8A9IcSdp1K8H6x8fbOy06t2VsZHhMHf-1x7Y/edit?usp=sharing"",""แผน!AP68"")"),0)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100000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12500</v>
      </c>
      <c r="M222" s="85"/>
      <c r="N222" s="262">
        <f>N223+N224+N225</f>
        <v>1225</v>
      </c>
      <c r="O222" s="262">
        <f ca="1">IF(L222&gt;0,N222*100/L222,0)</f>
        <v>9.8000000000000007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IFERROR(__xludf.DUMMYFUNCTION("IMPORTRANGE(""https://docs.google.com/spreadsheets/d/1eHaY18a8A9IcSdp1K8H6x8fbOy06t2VsZHhMHf-1x7Y/edit?usp=sharing"",""แผน!AR68"")"),2500)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IFERROR(__xludf.DUMMYFUNCTION("IMPORTRANGE(""https://docs.google.com/spreadsheets/d/1eHaY18a8A9IcSdp1K8H6x8fbOy06t2VsZHhMHf-1x7Y/edit?usp=sharing"",""แผน!AS68"")"),10000)</f>
        <v>10000</v>
      </c>
      <c r="M224" s="85"/>
      <c r="N224" s="387">
        <v>1225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IFERROR(__xludf.DUMMYFUNCTION("IMPORTRANGE(""https://docs.google.com/spreadsheets/d/1eHaY18a8A9IcSdp1K8H6x8fbOy06t2VsZHhMHf-1x7Y/edit?usp=sharing"",""แผน!AT68"")"),0)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IFERROR(__xludf.DUMMYFUNCTION("IMPORTRANGE(""https://docs.google.com/spreadsheets/d/1eHaY18a8A9IcSdp1K8H6x8fbOy06t2VsZHhMHf-1x7Y/edit?usp=sharing"",""แผน!AV68"")"),100000)</f>
        <v>100000</v>
      </c>
      <c r="J228" s="292">
        <v>100000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IFERROR(__xludf.DUMMYFUNCTION("IMPORTRANGE(""https://docs.google.com/spreadsheets/d/1eHaY18a8A9IcSdp1K8H6x8fbOy06t2VsZHhMHf-1x7Y/edit?usp=sharing"",""แผน!AV68"")"),100000)</f>
        <v>100000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IFERROR(__xludf.DUMMYFUNCTION("IMPORTRANGE(""https://docs.google.com/spreadsheets/d/1eHaY18a8A9IcSdp1K8H6x8fbOy06t2VsZHhMHf-1x7Y/edit?usp=sharing"",""แผน!AU68"")"),0)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958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53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34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IFERROR(__xludf.DUMMYFUNCTION("IMPORTRANGE(""https://docs.google.com/spreadsheets/d/1eHaY18a8A9IcSdp1K8H6x8fbOy06t2VsZHhMHf-1x7Y/edit?usp=sharing"",""แผน!AX68"")"),0)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IFERROR(__xludf.DUMMYFUNCTION("IMPORTRANGE(""https://docs.google.com/spreadsheets/d/1eHaY18a8A9IcSdp1K8H6x8fbOy06t2VsZHhMHf-1x7Y/edit?usp=sharing"",""แผน!AY68"")"),0)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IFERROR(__xludf.DUMMYFUNCTION("IMPORTRANGE(""https://docs.google.com/spreadsheets/d/1eHaY18a8A9IcSdp1K8H6x8fbOy06t2VsZHhMHf-1x7Y/edit?usp=sharing"",""แผน!AZ68"")"),0)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IFERROR(__xludf.DUMMYFUNCTION("IMPORTRANGE(""https://docs.google.com/spreadsheets/d/1eHaY18a8A9IcSdp1K8H6x8fbOy06t2VsZHhMHf-1x7Y/edit?usp=sharing"",""แผน!BA68"")"),0)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45" t="s">
        <v>35</v>
      </c>
      <c r="I249" s="570">
        <f ca="1">IFERROR(__xludf.DUMMYFUNCTION("IMPORTRANGE(""https://docs.google.com/spreadsheets/d/1eHaY18a8A9IcSdp1K8H6x8fbOy06t2VsZHhMHf-1x7Y/edit?usp=sharing"",""แผน!BG68"")"),0)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945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945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IFERROR(__xludf.DUMMYFUNCTION("IMPORTRANGE(""https://docs.google.com/spreadsheets/d/1eHaY18a8A9IcSdp1K8H6x8fbOy06t2VsZHhMHf-1x7Y/edit?usp=sharing"",""แผน!BB68"")"),0)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IFERROR(__xludf.DUMMYFUNCTION("IMPORTRANGE(""https://docs.google.com/spreadsheets/d/1eHaY18a8A9IcSdp1K8H6x8fbOy06t2VsZHhMHf-1x7Y/edit?usp=sharing"",""แผน!BC68"")"),0)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IFERROR(__xludf.DUMMYFUNCTION("IMPORTRANGE(""https://docs.google.com/spreadsheets/d/1eHaY18a8A9IcSdp1K8H6x8fbOy06t2VsZHhMHf-1x7Y/edit?usp=sharing"",""แผน!BD68"")"),0)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IFERROR(__xludf.DUMMYFUNCTION("IMPORTRANGE(""https://docs.google.com/spreadsheets/d/1eHaY18a8A9IcSdp1K8H6x8fbOy06t2VsZHhMHf-1x7Y/edit?usp=sharing"",""แผน!BE68"")"),0)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IFERROR(__xludf.DUMMYFUNCTION("IMPORTRANGE(""https://docs.google.com/spreadsheets/d/1eHaY18a8A9IcSdp1K8H6x8fbOy06t2VsZHhMHf-1x7Y/edit?usp=sharing"",""แผน!BH68"")"),0)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46980</v>
      </c>
      <c r="T266" s="211">
        <f t="shared" ref="T266:T274" ca="1" si="65">IF(Q266&gt;0,S266*100/Q266,0)</f>
        <v>92.735886300829051</v>
      </c>
      <c r="U266" s="211">
        <f t="shared" ref="U266:U274" ca="1" si="66">IF(R266&gt;0,S266*100/R266,0)</f>
        <v>92.735886300829051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46980</v>
      </c>
      <c r="T268" s="86">
        <f t="shared" ca="1" si="65"/>
        <v>92.735886300829051</v>
      </c>
      <c r="U268" s="86">
        <f t="shared" ca="1" si="66"/>
        <v>92.735886300829051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46980</v>
      </c>
      <c r="T269" s="86">
        <f t="shared" ca="1" si="65"/>
        <v>92.735886300829051</v>
      </c>
      <c r="U269" s="86">
        <f t="shared" ca="1" si="66"/>
        <v>92.735886300829051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IFERROR(__xludf.DUMMYFUNCTION("IMPORTRANGE(""https://docs.google.com/spreadsheets/d/1-uDff_7J0KD5mKrp0Vvzr7lt3OU09vwQwhkpOPPYv2Y/edit?usp=sharing"",""งบพรบ!DE68"")"),5000)</f>
        <v>5000</v>
      </c>
      <c r="M271" s="86">
        <f ca="1">IFERROR(__xludf.DUMMYFUNCTION("IMPORTRANGE(""https://docs.google.com/spreadsheets/d/1-uDff_7J0KD5mKrp0Vvzr7lt3OU09vwQwhkpOPPYv2Y/edit?usp=sharing"",""งบพรบ!DJ68"")"),5000)</f>
        <v>5000</v>
      </c>
      <c r="N271" s="86">
        <f ca="1">IFERROR(__xludf.DUMMYFUNCTION("IMPORTRANGE(""https://docs.google.com/spreadsheets/d/1-uDff_7J0KD5mKrp0Vvzr7lt3OU09vwQwhkpOPPYv2Y/edit?usp=sharing"",""งบพรบ!DL68"")"),5000)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IFERROR(__xludf.DUMMYFUNCTION("IMPORTRANGE(""https://docs.google.com/spreadsheets/d/1ItG2mGa2ceCfYo0BwxsXqNm01IGEUdYcSSLTEv9YCik/edit?usp=sharing"",""เบิกจ่ายกองทุน!AP68"")"),50660)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IFERROR(__xludf.DUMMYFUNCTION("IMPORTRANGE(""https://docs.google.com/spreadsheets/d/1ItG2mGa2ceCfYo0BwxsXqNm01IGEUdYcSSLTEv9YCik/edit?usp=sharing"",""เบิกจ่ายกองทุน!AQ68"")"),50660)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IFERROR(__xludf.DUMMYFUNCTION("IMPORTRANGE(""https://docs.google.com/spreadsheets/d/1ItG2mGa2ceCfYo0BwxsXqNm01IGEUdYcSSLTEv9YCik/edit?usp=sharing"",""เบิกจ่ายกองทุน!AR68"")"),46980)</f>
        <v>46980</v>
      </c>
      <c r="T271" s="86">
        <f t="shared" ca="1" si="65"/>
        <v>92.735886300829051</v>
      </c>
      <c r="U271" s="86">
        <f t="shared" ca="1" si="66"/>
        <v>92.735886300829051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IFERROR(__xludf.DUMMYFUNCTION("IMPORTRANGE(""https://docs.google.com/spreadsheets/d/1-uDff_7J0KD5mKrp0Vvzr7lt3OU09vwQwhkpOPPYv2Y/edit?usp=sharing"",""งบพรบ!DH68"")"),0)</f>
        <v>0</v>
      </c>
      <c r="M274" s="86">
        <f ca="1">IFERROR(__xludf.DUMMYFUNCTION("IMPORTRANGE(""https://docs.google.com/spreadsheets/d/1-uDff_7J0KD5mKrp0Vvzr7lt3OU09vwQwhkpOPPYv2Y/edit?usp=sharing"",""งบพรบ!DK68"")"),0)</f>
        <v>0</v>
      </c>
      <c r="N274" s="86">
        <f ca="1">IFERROR(__xludf.DUMMYFUNCTION("IMPORTRANGE(""https://docs.google.com/spreadsheets/d/1-uDff_7J0KD5mKrp0Vvzr7lt3OU09vwQwhkpOPPYv2Y/edit?usp=sharing"",""งบพรบ!DM68"")"),0)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IFERROR(__xludf.DUMMYFUNCTION("IMPORTRANGE(""https://docs.google.com/spreadsheets/d/1eHaY18a8A9IcSdp1K8H6x8fbOy06t2VsZHhMHf-1x7Y/edit?usp=sharing"",""แผน!EC68"")"),22)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30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300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85700</v>
      </c>
      <c r="M282" s="262">
        <f ca="1">M283+M284</f>
        <v>85700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85700</v>
      </c>
      <c r="M284" s="72">
        <f t="shared" ca="1" si="73"/>
        <v>85700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85700</v>
      </c>
      <c r="M285" s="72">
        <f ca="1">M286+M287</f>
        <v>85700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IFERROR(__xludf.DUMMYFUNCTION("IMPORTRANGE(""https://docs.google.com/spreadsheets/d/1-uDff_7J0KD5mKrp0Vvzr7lt3OU09vwQwhkpOPPYv2Y/edit?usp=sharing"",""งบพรบ!DO68"")"),85700)</f>
        <v>85700</v>
      </c>
      <c r="M287" s="72">
        <f ca="1">IFERROR(__xludf.DUMMYFUNCTION("IMPORTRANGE(""https://docs.google.com/spreadsheets/d/1-uDff_7J0KD5mKrp0Vvzr7lt3OU09vwQwhkpOPPYv2Y/edit?usp=sharing"",""งบพรบ!DT68"")"),85700)</f>
        <v>85700</v>
      </c>
      <c r="N287" s="72">
        <f ca="1">IFERROR(__xludf.DUMMYFUNCTION("IMPORTRANGE(""https://docs.google.com/spreadsheets/d/1-uDff_7J0KD5mKrp0Vvzr7lt3OU09vwQwhkpOPPYv2Y/edit?usp=sharing"",""งบพรบ!DV68"")"),0)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IFERROR(__xludf.DUMMYFUNCTION("IMPORTRANGE(""https://docs.google.com/spreadsheets/d/1-uDff_7J0KD5mKrp0Vvzr7lt3OU09vwQwhkpOPPYv2Y/edit?usp=sharing"",""งบพรบ!DR68"")"),0)</f>
        <v>0</v>
      </c>
      <c r="M290" s="72">
        <f ca="1">IFERROR(__xludf.DUMMYFUNCTION("IMPORTRANGE(""https://docs.google.com/spreadsheets/d/1-uDff_7J0KD5mKrp0Vvzr7lt3OU09vwQwhkpOPPYv2Y/edit?usp=sharing"",""งบพรบ!DU68"")"),0)</f>
        <v>0</v>
      </c>
      <c r="N290" s="72">
        <f ca="1">IFERROR(__xludf.DUMMYFUNCTION("IMPORTRANGE(""https://docs.google.com/spreadsheets/d/1-uDff_7J0KD5mKrp0Vvzr7lt3OU09vwQwhkpOPPYv2Y/edit?usp=sharing"",""งบพรบ!DW68"")"),0)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IFERROR(__xludf.DUMMYFUNCTION("IMPORTRANGE(""https://docs.google.com/spreadsheets/d/1eHaY18a8A9IcSdp1K8H6x8fbOy06t2VsZHhMHf-1x7Y/edit?usp=sharing"",""แผน!EE68"")"),300)</f>
        <v>300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IFERROR(__xludf.DUMMYFUNCTION("IMPORTRANGE(""https://docs.google.com/spreadsheets/d/1eHaY18a8A9IcSdp1K8H6x8fbOy06t2VsZHhMHf-1x7Y/edit?usp=sharing"",""แผน!ED68"")"),30)</f>
        <v>30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IFERROR(__xludf.DUMMYFUNCTION("IMPORTRANGE(""https://docs.google.com/spreadsheets/d/1eHaY18a8A9IcSdp1K8H6x8fbOy06t2VsZHhMHf-1x7Y/edit?usp=sharing"",""แผน!ED68"")"),30)</f>
        <v>30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IFERROR(__xludf.DUMMYFUNCTION("IMPORTRANGE(""https://docs.google.com/spreadsheets/d/1eHaY18a8A9IcSdp1K8H6x8fbOy06t2VsZHhMHf-1x7Y/edit?usp=sharing"",""แผน!ED68"")"),30)</f>
        <v>30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286100</v>
      </c>
      <c r="M303" s="262">
        <f ca="1">M304+M305</f>
        <v>380260</v>
      </c>
      <c r="N303" s="262">
        <f ca="1">N304+N305</f>
        <v>216336</v>
      </c>
      <c r="O303" s="262">
        <f t="shared" ref="O303:O311" ca="1" si="75">IF(L303&gt;0,N303*100/L303,0)</f>
        <v>75.615519049283463</v>
      </c>
      <c r="P303" s="262">
        <f t="shared" ref="P303:P311" ca="1" si="76">IF(M303&gt;0,N303*100/M303,0)</f>
        <v>56.891600483879451</v>
      </c>
      <c r="Q303" s="262">
        <f ca="1">Q304+Q305</f>
        <v>166057.24</v>
      </c>
      <c r="R303" s="262">
        <f ca="1">R304+R305</f>
        <v>166057</v>
      </c>
      <c r="S303" s="262">
        <f ca="1">S304+S305</f>
        <v>40000</v>
      </c>
      <c r="T303" s="262">
        <f t="shared" ref="T303:T311" ca="1" si="77">IF(Q303&gt;0,S303*100/Q303,0)</f>
        <v>24.088079508005794</v>
      </c>
      <c r="U303" s="262">
        <f t="shared" ref="U303:U311" ca="1" si="78">IF(R303&gt;0,S303*100/R303,0)</f>
        <v>24.088114322190574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286100</v>
      </c>
      <c r="M305" s="72">
        <f t="shared" ca="1" si="79"/>
        <v>380260</v>
      </c>
      <c r="N305" s="72">
        <f t="shared" ca="1" si="79"/>
        <v>216336</v>
      </c>
      <c r="O305" s="72">
        <f t="shared" ca="1" si="75"/>
        <v>75.615519049283463</v>
      </c>
      <c r="P305" s="72">
        <f t="shared" ca="1" si="76"/>
        <v>56.891600483879451</v>
      </c>
      <c r="Q305" s="72">
        <f t="shared" ca="1" si="80"/>
        <v>166057.24</v>
      </c>
      <c r="R305" s="72">
        <f t="shared" ca="1" si="80"/>
        <v>166057</v>
      </c>
      <c r="S305" s="72">
        <f t="shared" ca="1" si="80"/>
        <v>40000</v>
      </c>
      <c r="T305" s="72">
        <f t="shared" ca="1" si="77"/>
        <v>24.088079508005794</v>
      </c>
      <c r="U305" s="72">
        <f t="shared" ca="1" si="78"/>
        <v>24.088114322190574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286100</v>
      </c>
      <c r="M306" s="72">
        <f ca="1">M307+M308</f>
        <v>380260</v>
      </c>
      <c r="N306" s="72">
        <f ca="1">N307+N308</f>
        <v>216336</v>
      </c>
      <c r="O306" s="72">
        <f t="shared" ca="1" si="75"/>
        <v>75.615519049283463</v>
      </c>
      <c r="P306" s="72">
        <f t="shared" ca="1" si="76"/>
        <v>56.891600483879451</v>
      </c>
      <c r="Q306" s="72">
        <f ca="1">Q307+Q308</f>
        <v>166057.24</v>
      </c>
      <c r="R306" s="72">
        <f ca="1">R307+R308</f>
        <v>166057</v>
      </c>
      <c r="S306" s="72">
        <f ca="1">S307+S308</f>
        <v>40000</v>
      </c>
      <c r="T306" s="72">
        <f t="shared" ca="1" si="77"/>
        <v>24.088079508005794</v>
      </c>
      <c r="U306" s="72">
        <f t="shared" ca="1" si="78"/>
        <v>24.088114322190574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IFERROR(__xludf.DUMMYFUNCTION("IMPORTRANGE(""https://docs.google.com/spreadsheets/d/1-uDff_7J0KD5mKrp0Vvzr7lt3OU09vwQwhkpOPPYv2Y/edit?usp=sharing"",""งบพรบ!DY68"")"),286100)</f>
        <v>286100</v>
      </c>
      <c r="M308" s="72">
        <f ca="1">IFERROR(__xludf.DUMMYFUNCTION("IMPORTRANGE(""https://docs.google.com/spreadsheets/d/1-uDff_7J0KD5mKrp0Vvzr7lt3OU09vwQwhkpOPPYv2Y/edit?usp=sharing"",""งบพรบ!ED68"")"),380260)</f>
        <v>380260</v>
      </c>
      <c r="N308" s="72">
        <f ca="1">IFERROR(__xludf.DUMMYFUNCTION("IMPORTRANGE(""https://docs.google.com/spreadsheets/d/1-uDff_7J0KD5mKrp0Vvzr7lt3OU09vwQwhkpOPPYv2Y/edit?usp=sharing"",""งบพรบ!EF68"")"),216336)</f>
        <v>216336</v>
      </c>
      <c r="O308" s="72">
        <f t="shared" ca="1" si="75"/>
        <v>75.615519049283463</v>
      </c>
      <c r="P308" s="72">
        <f t="shared" ca="1" si="76"/>
        <v>56.891600483879451</v>
      </c>
      <c r="Q308" s="72">
        <f ca="1">IFERROR(__xludf.DUMMYFUNCTION("IMPORTRANGE(""https://docs.google.com/spreadsheets/d/1ItG2mGa2ceCfYo0BwxsXqNm01IGEUdYcSSLTEv9YCik/edit?usp=sharing"",""เบิกจ่ายกองทุน!BB68"")"),166057.24)</f>
        <v>166057.24</v>
      </c>
      <c r="R308" s="72">
        <f ca="1">IFERROR(__xludf.DUMMYFUNCTION("IMPORTRANGE(""https://docs.google.com/spreadsheets/d/1ItG2mGa2ceCfYo0BwxsXqNm01IGEUdYcSSLTEv9YCik/edit?usp=sharing"",""เบิกจ่ายกองทุน!BC68"")"),166057)</f>
        <v>166057</v>
      </c>
      <c r="S308" s="72">
        <f ca="1">IFERROR(__xludf.DUMMYFUNCTION("IMPORTRANGE(""https://docs.google.com/spreadsheets/d/1ItG2mGa2ceCfYo0BwxsXqNm01IGEUdYcSSLTEv9YCik/edit?usp=sharing"",""เบิกจ่ายกองทุน!BD68"")"),40000)</f>
        <v>40000</v>
      </c>
      <c r="T308" s="72">
        <f t="shared" ca="1" si="77"/>
        <v>24.088079508005794</v>
      </c>
      <c r="U308" s="72">
        <f t="shared" ca="1" si="78"/>
        <v>24.088114322190574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IFERROR(__xludf.DUMMYFUNCTION("IMPORTRANGE(""https://docs.google.com/spreadsheets/d/1-uDff_7J0KD5mKrp0Vvzr7lt3OU09vwQwhkpOPPYv2Y/edit?usp=sharing"",""งบพรบ!EB68"")"),0)</f>
        <v>0</v>
      </c>
      <c r="M311" s="72">
        <f ca="1">IFERROR(__xludf.DUMMYFUNCTION("IMPORTRANGE(""https://docs.google.com/spreadsheets/d/1-uDff_7J0KD5mKrp0Vvzr7lt3OU09vwQwhkpOPPYv2Y/edit?usp=sharing"",""งบพรบ!EE68"")"),0)</f>
        <v>0</v>
      </c>
      <c r="N311" s="72">
        <f ca="1">IFERROR(__xludf.DUMMYFUNCTION("IMPORTRANGE(""https://docs.google.com/spreadsheets/d/1-uDff_7J0KD5mKrp0Vvzr7lt3OU09vwQwhkpOPPYv2Y/edit?usp=sharing"",""งบพรบ!EG68"")"),0)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IFERROR(__xludf.DUMMYFUNCTION("IMPORTRANGE(""https://docs.google.com/spreadsheets/d/1eHaY18a8A9IcSdp1K8H6x8fbOy06t2VsZHhMHf-1x7Y/edit?usp=sharing"",""แผน!EF68"")"),25)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IFERROR(__xludf.DUMMYFUNCTION("IMPORTRANGE(""https://docs.google.com/spreadsheets/d/1-uDff_7J0KD5mKrp0Vvzr7lt3OU09vwQwhkpOPPYv2Y/edit?usp=sharing"",""งบพรบ!EI68"")"),0)</f>
        <v>0</v>
      </c>
      <c r="M325" s="72">
        <f ca="1">IFERROR(__xludf.DUMMYFUNCTION("IMPORTRANGE(""https://docs.google.com/spreadsheets/d/1-uDff_7J0KD5mKrp0Vvzr7lt3OU09vwQwhkpOPPYv2Y/edit?usp=sharing"",""งบพรบ!EN68"")"),0)</f>
        <v>0</v>
      </c>
      <c r="N325" s="72">
        <f ca="1">IFERROR(__xludf.DUMMYFUNCTION("IMPORTRANGE(""https://docs.google.com/spreadsheets/d/1-uDff_7J0KD5mKrp0Vvzr7lt3OU09vwQwhkpOPPYv2Y/edit?usp=sharing"",""งบพรบ!EP68"")"),0)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IFERROR(__xludf.DUMMYFUNCTION("IMPORTRANGE(""https://docs.google.com/spreadsheets/d/1-uDff_7J0KD5mKrp0Vvzr7lt3OU09vwQwhkpOPPYv2Y/edit?usp=sharing"",""งบพรบ!EL68"")"),0)</f>
        <v>0</v>
      </c>
      <c r="M328" s="72">
        <f ca="1">IFERROR(__xludf.DUMMYFUNCTION("IMPORTRANGE(""https://docs.google.com/spreadsheets/d/1-uDff_7J0KD5mKrp0Vvzr7lt3OU09vwQwhkpOPPYv2Y/edit?usp=sharing"",""งบพรบ!EO68"")"),0)</f>
        <v>0</v>
      </c>
      <c r="N328" s="72">
        <f ca="1">IFERROR(__xludf.DUMMYFUNCTION("IMPORTRANGE(""https://docs.google.com/spreadsheets/d/1-uDff_7J0KD5mKrp0Vvzr7lt3OU09vwQwhkpOPPYv2Y/edit?usp=sharing"",""งบพรบ!EQ68"")"),0)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IFERROR(__xludf.DUMMYFUNCTION("IMPORTRANGE(""https://docs.google.com/spreadsheets/d/1eHaY18a8A9IcSdp1K8H6x8fbOy06t2VsZHhMHf-1x7Y/edit?usp=sharing"",""แผน!EJ68"")"),0)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1400</v>
      </c>
      <c r="J332" s="515">
        <f ca="1">J344+J347+J348+J349+J353+J354</f>
        <v>7684</v>
      </c>
      <c r="K332" s="516">
        <f ca="1">IF(I332&gt;0,J332*100/I332,0)</f>
        <v>548.85714285714289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185000</v>
      </c>
      <c r="M333" s="262">
        <f ca="1">M334+M335</f>
        <v>185000</v>
      </c>
      <c r="N333" s="262">
        <f ca="1">N334+N335</f>
        <v>122800</v>
      </c>
      <c r="O333" s="262">
        <f t="shared" ref="O333:O341" ca="1" si="87">IF(L333&gt;0,N333*100/L333,0)</f>
        <v>66.378378378378372</v>
      </c>
      <c r="P333" s="262">
        <f t="shared" ref="P333:P341" ca="1" si="88">IF(M333&gt;0,N333*100/M333,0)</f>
        <v>66.378378378378372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185000</v>
      </c>
      <c r="M335" s="72">
        <f t="shared" ca="1" si="91"/>
        <v>185000</v>
      </c>
      <c r="N335" s="72">
        <f t="shared" ca="1" si="91"/>
        <v>122800</v>
      </c>
      <c r="O335" s="72">
        <f t="shared" ca="1" si="87"/>
        <v>66.378378378378372</v>
      </c>
      <c r="P335" s="72">
        <f t="shared" ca="1" si="88"/>
        <v>66.378378378378372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185000</v>
      </c>
      <c r="M336" s="72">
        <f ca="1">M337+M338</f>
        <v>185000</v>
      </c>
      <c r="N336" s="72">
        <f ca="1">N337+N338</f>
        <v>122800</v>
      </c>
      <c r="O336" s="72">
        <f t="shared" ca="1" si="87"/>
        <v>66.378378378378372</v>
      </c>
      <c r="P336" s="72">
        <f t="shared" ca="1" si="88"/>
        <v>66.378378378378372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IFERROR(__xludf.DUMMYFUNCTION("IMPORTRANGE(""https://docs.google.com/spreadsheets/d/1-uDff_7J0KD5mKrp0Vvzr7lt3OU09vwQwhkpOPPYv2Y/edit?usp=sharing"",""งบพรบ!ES68"")"),185000)</f>
        <v>185000</v>
      </c>
      <c r="M338" s="72">
        <f ca="1">IFERROR(__xludf.DUMMYFUNCTION("IMPORTRANGE(""https://docs.google.com/spreadsheets/d/1-uDff_7J0KD5mKrp0Vvzr7lt3OU09vwQwhkpOPPYv2Y/edit?usp=sharing"",""งบพรบ!EX68"")"),185000)</f>
        <v>185000</v>
      </c>
      <c r="N338" s="72">
        <f ca="1">IFERROR(__xludf.DUMMYFUNCTION("IMPORTRANGE(""https://docs.google.com/spreadsheets/d/1-uDff_7J0KD5mKrp0Vvzr7lt3OU09vwQwhkpOPPYv2Y/edit?usp=sharing"",""งบพรบ!EZ68"")"),122800)</f>
        <v>122800</v>
      </c>
      <c r="O338" s="72">
        <f t="shared" ca="1" si="87"/>
        <v>66.378378378378372</v>
      </c>
      <c r="P338" s="72">
        <f t="shared" ca="1" si="88"/>
        <v>66.378378378378372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IFERROR(__xludf.DUMMYFUNCTION("IMPORTRANGE(""https://docs.google.com/spreadsheets/d/1-uDff_7J0KD5mKrp0Vvzr7lt3OU09vwQwhkpOPPYv2Y/edit?usp=sharing"",""งบพรบ!EV68"")"),0)</f>
        <v>0</v>
      </c>
      <c r="M341" s="72">
        <f ca="1">IFERROR(__xludf.DUMMYFUNCTION("IMPORTRANGE(""https://docs.google.com/spreadsheets/d/1-uDff_7J0KD5mKrp0Vvzr7lt3OU09vwQwhkpOPPYv2Y/edit?usp=sharing"",""งบพรบ!EY68"")"),0)</f>
        <v>0</v>
      </c>
      <c r="N341" s="72">
        <f ca="1">IFERROR(__xludf.DUMMYFUNCTION("IMPORTRANGE(""https://docs.google.com/spreadsheets/d/1-uDff_7J0KD5mKrp0Vvzr7lt3OU09vwQwhkpOPPYv2Y/edit?usp=sharing"",""งบพรบ!FA68"")"),0)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2757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IFERROR(__xludf.DUMMYFUNCTION("IMPORTRANGE(""https://docs.google.com/spreadsheets/d/1eHaY18a8A9IcSdp1K8H6x8fbOy06t2VsZHhMHf-1x7Y/edit?usp=sharing"",""แผน!EK68"")"),1400)</f>
        <v>1400</v>
      </c>
      <c r="J344" s="291">
        <f ca="1">IFERROR(__xludf.DUMMYFUNCTION("IMPORTRANGE(""https://docs.google.com/spreadsheets/d/1awYsYK3VOup2i3Pq_Yjnu8DRu_mYwSBnCR2QPthd0rU/edit?usp=sharing"",""ศูนย์ยกเว้นโฉนด!D68"")"),2754)</f>
        <v>2754</v>
      </c>
      <c r="K344" s="72">
        <f ca="1">IF(I344&gt;0,J344*100/I344,0)</f>
        <v>196.71428571428572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IFERROR(__xludf.DUMMYFUNCTION("IMPORTRANGE(""https://docs.google.com/spreadsheets/d/1eHaY18a8A9IcSdp1K8H6x8fbOy06t2VsZHhMHf-1x7Y/edit?usp=sharing"",""แผน!EL68"")"),4)</f>
        <v>4</v>
      </c>
      <c r="J346" s="291">
        <f ca="1">IFERROR(__xludf.DUMMYFUNCTION("IMPORTRANGE(""https://docs.google.com/spreadsheets/d/1awYsYK3VOup2i3Pq_Yjnu8DRu_mYwSBnCR2QPthd0rU/edit?usp=sharing"",""ศูนย์รวม!E68"")"),5)</f>
        <v>5</v>
      </c>
      <c r="K346" s="72">
        <f ca="1">IF(I346&gt;0,J346*100/I346,0)</f>
        <v>125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IFERROR(__xludf.DUMMYFUNCTION("IMPORTRANGE(""https://docs.google.com/spreadsheets/d/1awYsYK3VOup2i3Pq_Yjnu8DRu_mYwSBnCR2QPthd0rU/edit?usp=sharing"",""ศูนย์ยกเว้นโฉนด!F68"")"),3)</f>
        <v>3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IFERROR(__xludf.DUMMYFUNCTION("IMPORTRANGE(""https://docs.google.com/spreadsheets/d/1awYsYK3VOup2i3Pq_Yjnu8DRu_mYwSBnCR2QPthd0rU/edit?usp=sharing"",""ศูนย์ยกเว้นโฉนด!G68"")"),0)</f>
        <v>0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IFERROR(__xludf.DUMMYFUNCTION("IMPORTRANGE(""https://docs.google.com/spreadsheets/d/1awYsYK3VOup2i3Pq_Yjnu8DRu_mYwSBnCR2QPthd0rU/edit?usp=sharing"",""ศูนย์ยกเว้นโฉนด!H68"")"),0)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6107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IFERROR(__xludf.DUMMYFUNCTION("IMPORTRANGE(""https://docs.google.com/spreadsheets/d/1awYsYK3VOup2i3Pq_Yjnu8DRu_mYwSBnCR2QPthd0rU/edit?usp=sharing"",""โฉนดM3!G68"")"),1180)</f>
        <v>1180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IFERROR(__xludf.DUMMYFUNCTION("IMPORTRANGE(""https://docs.google.com/spreadsheets/d/1awYsYK3VOup2i3Pq_Yjnu8DRu_mYwSBnCR2QPthd0rU/edit?usp=sharing"",""โฉนดM3!H68"")"),4626)</f>
        <v>4626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IFERROR(__xludf.DUMMYFUNCTION("IMPORTRANGE(""https://docs.google.com/spreadsheets/d/1awYsYK3VOup2i3Pq_Yjnu8DRu_mYwSBnCR2QPthd0rU/edit?usp=sharing"",""โฉนดM3!I68"")"),301)</f>
        <v>301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922900</v>
      </c>
      <c r="M356" s="262">
        <f ca="1">M357+M358</f>
        <v>1001820</v>
      </c>
      <c r="N356" s="262">
        <f ca="1">N357+N358</f>
        <v>679495.69</v>
      </c>
      <c r="O356" s="262">
        <f t="shared" ref="O356:O364" ca="1" si="93">IF(L356&gt;0,N356*100/L356,0)</f>
        <v>73.626144761079203</v>
      </c>
      <c r="P356" s="262">
        <f t="shared" ref="P356:P364" ca="1" si="94">IF(M356&gt;0,N356*100/M356,0)</f>
        <v>67.826125451677953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922900</v>
      </c>
      <c r="M358" s="72">
        <f t="shared" ca="1" si="97"/>
        <v>1001820</v>
      </c>
      <c r="N358" s="72">
        <f t="shared" ca="1" si="97"/>
        <v>679495.69</v>
      </c>
      <c r="O358" s="72">
        <f t="shared" ca="1" si="93"/>
        <v>73.626144761079203</v>
      </c>
      <c r="P358" s="72">
        <f t="shared" ca="1" si="94"/>
        <v>67.826125451677953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922900</v>
      </c>
      <c r="M359" s="72">
        <f ca="1">M360+M361</f>
        <v>1001820</v>
      </c>
      <c r="N359" s="72">
        <f ca="1">N360+N361</f>
        <v>679495.69</v>
      </c>
      <c r="O359" s="72">
        <f t="shared" ca="1" si="93"/>
        <v>73.626144761079203</v>
      </c>
      <c r="P359" s="72">
        <f t="shared" ca="1" si="94"/>
        <v>67.826125451677953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IFERROR(__xludf.DUMMYFUNCTION("IMPORTRANGE(""https://docs.google.com/spreadsheets/d/1-uDff_7J0KD5mKrp0Vvzr7lt3OU09vwQwhkpOPPYv2Y/edit?usp=sharing"",""งบพรบ!FC68"")"),922900)</f>
        <v>922900</v>
      </c>
      <c r="M361" s="72">
        <f ca="1">IFERROR(__xludf.DUMMYFUNCTION("IMPORTRANGE(""https://docs.google.com/spreadsheets/d/1-uDff_7J0KD5mKrp0Vvzr7lt3OU09vwQwhkpOPPYv2Y/edit?usp=sharing"",""งบพรบ!FH68"")"),1001820)</f>
        <v>1001820</v>
      </c>
      <c r="N361" s="72">
        <f ca="1">IFERROR(__xludf.DUMMYFUNCTION("IMPORTRANGE(""https://docs.google.com/spreadsheets/d/1-uDff_7J0KD5mKrp0Vvzr7lt3OU09vwQwhkpOPPYv2Y/edit?usp=sharing"",""งบพรบ!FJ68"")"),679495.69)</f>
        <v>679495.69</v>
      </c>
      <c r="O361" s="72">
        <f t="shared" ca="1" si="93"/>
        <v>73.626144761079203</v>
      </c>
      <c r="P361" s="72">
        <f t="shared" ca="1" si="94"/>
        <v>67.826125451677953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IFERROR(__xludf.DUMMYFUNCTION("IMPORTRANGE(""https://docs.google.com/spreadsheets/d/1-uDff_7J0KD5mKrp0Vvzr7lt3OU09vwQwhkpOPPYv2Y/edit?usp=sharing"",""งบพรบ!FF68"")"),0)</f>
        <v>0</v>
      </c>
      <c r="M364" s="72">
        <f ca="1">IFERROR(__xludf.DUMMYFUNCTION("IMPORTRANGE(""https://docs.google.com/spreadsheets/d/1-uDff_7J0KD5mKrp0Vvzr7lt3OU09vwQwhkpOPPYv2Y/edit?usp=sharing"",""งบพรบ!FI68"")"),0)</f>
        <v>0</v>
      </c>
      <c r="N364" s="72">
        <f ca="1">IFERROR(__xludf.DUMMYFUNCTION("IMPORTRANGE(""https://docs.google.com/spreadsheets/d/1-uDff_7J0KD5mKrp0Vvzr7lt3OU09vwQwhkpOPPYv2Y/edit?usp=sharing"",""งบพรบ!FK68"")"),0)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195</v>
      </c>
      <c r="J365" s="538">
        <f ca="1">J371</f>
        <v>160</v>
      </c>
      <c r="K365" s="539">
        <f ca="1">IF(I365&gt;0,J365*100/I365,0)</f>
        <v>82.051282051282058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IFERROR(__xludf.DUMMYFUNCTION("IMPORTRANGE(""https://docs.google.com/spreadsheets/d/1tdoBKaGub7dwA3U6UFTqxio9LNnvDCQjHKmttSEBsFQ/edit?usp=sharing"",""จัดที่ดิน!AB68"")"),86)</f>
        <v>86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IFERROR(__xludf.DUMMYFUNCTION("IMPORTRANGE(""https://docs.google.com/spreadsheets/d/1eHaY18a8A9IcSdp1K8H6x8fbOy06t2VsZHhMHf-1x7Y/edit?usp=sharing"",""แผน!EW68"")"),595)</f>
        <v>595</v>
      </c>
      <c r="J368" s="879">
        <f ca="1">IFERROR(__xludf.DUMMYFUNCTION("IMPORTRANGE(""https://docs.google.com/spreadsheets/d/1tdoBKaGub7dwA3U6UFTqxio9LNnvDCQjHKmttSEBsFQ/edit?usp=sharing"",""จัดที่ดิน!AC68"")"),2945.97)</f>
        <v>2945.97</v>
      </c>
      <c r="K368" s="72">
        <f t="shared" ca="1" si="99"/>
        <v>495.12100840336137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IFERROR(__xludf.DUMMYFUNCTION("IMPORTRANGE(""https://docs.google.com/spreadsheets/d/1eHaY18a8A9IcSdp1K8H6x8fbOy06t2VsZHhMHf-1x7Y/edit?usp=sharing"",""แผน!EX68"")"),195)</f>
        <v>195</v>
      </c>
      <c r="J369" s="291">
        <f ca="1">IFERROR(__xludf.DUMMYFUNCTION("IMPORTRANGE(""https://docs.google.com/spreadsheets/d/1tdoBKaGub7dwA3U6UFTqxio9LNnvDCQjHKmttSEBsFQ/edit?usp=sharing"",""จัดที่ดิน!AD68"")"),212)</f>
        <v>212</v>
      </c>
      <c r="K369" s="72">
        <f t="shared" ca="1" si="99"/>
        <v>108.71794871794872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IFERROR(__xludf.DUMMYFUNCTION("IMPORTRANGE(""https://docs.google.com/spreadsheets/d/1tdoBKaGub7dwA3U6UFTqxio9LNnvDCQjHKmttSEBsFQ/edit?usp=sharing"",""จัดที่ดิน!AE68"")"),3324.39999999999)</f>
        <v>3324.3999999999901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IFERROR(__xludf.DUMMYFUNCTION("IMPORTRANGE(""https://docs.google.com/spreadsheets/d/1eHaY18a8A9IcSdp1K8H6x8fbOy06t2VsZHhMHf-1x7Y/edit?usp=sharing"",""แผน!EY68"")"),195)</f>
        <v>195</v>
      </c>
      <c r="J371" s="291">
        <f ca="1">IFERROR(__xludf.DUMMYFUNCTION("IMPORTRANGE(""https://docs.google.com/spreadsheets/d/1tdoBKaGub7dwA3U6UFTqxio9LNnvDCQjHKmttSEBsFQ/edit?usp=sharing"",""จัดที่ดิน!AF68"")"),160)</f>
        <v>160</v>
      </c>
      <c r="K371" s="72">
        <f t="shared" ca="1" si="99"/>
        <v>82.051282051282058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IFERROR(__xludf.DUMMYFUNCTION("IMPORTRANGE(""https://docs.google.com/spreadsheets/d/1tdoBKaGub7dwA3U6UFTqxio9LNnvDCQjHKmttSEBsFQ/edit?usp=sharing"",""จัดที่ดิน!AG68"")"),2897.66999999999)</f>
        <v>2897.6699999999901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3000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42500</v>
      </c>
      <c r="M375" s="262">
        <f ca="1">M376+M377</f>
        <v>42500</v>
      </c>
      <c r="N375" s="262">
        <f ca="1">N376+N377</f>
        <v>23290</v>
      </c>
      <c r="O375" s="262">
        <f t="shared" ref="O375:O383" ca="1" si="100">IF(L375&gt;0,N375*100/L375,0)</f>
        <v>54.8</v>
      </c>
      <c r="P375" s="262">
        <f t="shared" ref="P375:P383" ca="1" si="101">IF(M375&gt;0,N375*100/M375,0)</f>
        <v>54.8</v>
      </c>
      <c r="Q375" s="262">
        <f ca="1">Q376+Q377</f>
        <v>187500</v>
      </c>
      <c r="R375" s="262">
        <f ca="1">R376+R377</f>
        <v>187500</v>
      </c>
      <c r="S375" s="262">
        <f ca="1">S376+S377</f>
        <v>28490</v>
      </c>
      <c r="T375" s="262">
        <f t="shared" ref="T375:T383" ca="1" si="102">IF(Q375&gt;0,S375*100/Q375,0)</f>
        <v>15.194666666666667</v>
      </c>
      <c r="U375" s="262">
        <f t="shared" ref="U375:U383" ca="1" si="103">IF(R375&gt;0,S375*100/R375,0)</f>
        <v>15.194666666666667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42500</v>
      </c>
      <c r="M377" s="72">
        <f t="shared" ca="1" si="104"/>
        <v>42500</v>
      </c>
      <c r="N377" s="72">
        <f t="shared" ca="1" si="104"/>
        <v>23290</v>
      </c>
      <c r="O377" s="72">
        <f t="shared" ca="1" si="100"/>
        <v>54.8</v>
      </c>
      <c r="P377" s="72">
        <f t="shared" ca="1" si="101"/>
        <v>54.8</v>
      </c>
      <c r="Q377" s="72">
        <f t="shared" ca="1" si="105"/>
        <v>187500</v>
      </c>
      <c r="R377" s="72">
        <f t="shared" ca="1" si="105"/>
        <v>187500</v>
      </c>
      <c r="S377" s="72">
        <f t="shared" ca="1" si="105"/>
        <v>28490</v>
      </c>
      <c r="T377" s="72">
        <f t="shared" ca="1" si="102"/>
        <v>15.194666666666667</v>
      </c>
      <c r="U377" s="72">
        <f t="shared" ca="1" si="103"/>
        <v>15.194666666666667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42500</v>
      </c>
      <c r="M378" s="72">
        <f ca="1">M379+M380</f>
        <v>42500</v>
      </c>
      <c r="N378" s="72">
        <f ca="1">N379+N380</f>
        <v>23290</v>
      </c>
      <c r="O378" s="72">
        <f t="shared" ca="1" si="100"/>
        <v>54.8</v>
      </c>
      <c r="P378" s="72">
        <f t="shared" ca="1" si="101"/>
        <v>54.8</v>
      </c>
      <c r="Q378" s="72">
        <f ca="1">Q379+Q380</f>
        <v>187500</v>
      </c>
      <c r="R378" s="72">
        <f ca="1">R379+R380</f>
        <v>187500</v>
      </c>
      <c r="S378" s="72">
        <f ca="1">S379+S380</f>
        <v>28490</v>
      </c>
      <c r="T378" s="72">
        <f t="shared" ca="1" si="102"/>
        <v>15.194666666666667</v>
      </c>
      <c r="U378" s="72">
        <f t="shared" ca="1" si="103"/>
        <v>15.194666666666667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IFERROR(__xludf.DUMMYFUNCTION("IMPORTRANGE(""https://docs.google.com/spreadsheets/d/1-uDff_7J0KD5mKrp0Vvzr7lt3OU09vwQwhkpOPPYv2Y/edit?usp=sharing"",""งบพรบ!IE68"")"),42500)</f>
        <v>42500</v>
      </c>
      <c r="M380" s="72">
        <f ca="1">IFERROR(__xludf.DUMMYFUNCTION("IMPORTRANGE(""https://docs.google.com/spreadsheets/d/1-uDff_7J0KD5mKrp0Vvzr7lt3OU09vwQwhkpOPPYv2Y/edit?usp=sharing"",""งบพรบ!IJ68"")"),42500)</f>
        <v>42500</v>
      </c>
      <c r="N380" s="72">
        <f ca="1">IFERROR(__xludf.DUMMYFUNCTION("IMPORTRANGE(""https://docs.google.com/spreadsheets/d/1-uDff_7J0KD5mKrp0Vvzr7lt3OU09vwQwhkpOPPYv2Y/edit?usp=sharing"",""งบพรบ!IL68"")"),23290)</f>
        <v>23290</v>
      </c>
      <c r="O380" s="72">
        <f t="shared" ca="1" si="100"/>
        <v>54.8</v>
      </c>
      <c r="P380" s="72">
        <f t="shared" ca="1" si="101"/>
        <v>54.8</v>
      </c>
      <c r="Q380" s="72">
        <f ca="1">IFERROR(__xludf.DUMMYFUNCTION("IMPORTRANGE(""https://docs.google.com/spreadsheets/d/1ItG2mGa2ceCfYo0BwxsXqNm01IGEUdYcSSLTEv9YCik/edit?usp=sharing"",""เบิกจ่ายกองทุน!BW68"")"),187500)</f>
        <v>187500</v>
      </c>
      <c r="R380" s="72">
        <f ca="1">IFERROR(__xludf.DUMMYFUNCTION("IMPORTRANGE(""https://docs.google.com/spreadsheets/d/1ItG2mGa2ceCfYo0BwxsXqNm01IGEUdYcSSLTEv9YCik/edit?usp=sharing"",""เบิกจ่ายกองทุน!BX68"")"),187500)</f>
        <v>187500</v>
      </c>
      <c r="S380" s="72">
        <f ca="1">IFERROR(__xludf.DUMMYFUNCTION("IMPORTRANGE(""https://docs.google.com/spreadsheets/d/1ItG2mGa2ceCfYo0BwxsXqNm01IGEUdYcSSLTEv9YCik/edit?usp=sharing"",""เบิกจ่ายกองทุน!BY68"")"),28490)</f>
        <v>28490</v>
      </c>
      <c r="T380" s="72">
        <f t="shared" ca="1" si="102"/>
        <v>15.194666666666667</v>
      </c>
      <c r="U380" s="72">
        <f t="shared" ca="1" si="103"/>
        <v>15.194666666666667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IFERROR(__xludf.DUMMYFUNCTION("IMPORTRANGE(""https://docs.google.com/spreadsheets/d/1-uDff_7J0KD5mKrp0Vvzr7lt3OU09vwQwhkpOPPYv2Y/edit?usp=sharing"",""งบพรบ!IH68"")"),0)</f>
        <v>0</v>
      </c>
      <c r="M383" s="72">
        <f ca="1">IFERROR(__xludf.DUMMYFUNCTION("IMPORTRANGE(""https://docs.google.com/spreadsheets/d/1-uDff_7J0KD5mKrp0Vvzr7lt3OU09vwQwhkpOPPYv2Y/edit?usp=sharing"",""งบพรบ!IK68"")"),0)</f>
        <v>0</v>
      </c>
      <c r="N383" s="72">
        <f ca="1">IFERROR(__xludf.DUMMYFUNCTION("IMPORTRANGE(""https://docs.google.com/spreadsheets/d/1-uDff_7J0KD5mKrp0Vvzr7lt3OU09vwQwhkpOPPYv2Y/edit?usp=sharing"",""งบพรบ!IM68"")"),0)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IFERROR(__xludf.DUMMYFUNCTION("IMPORTRANGE(""https://docs.google.com/spreadsheets/d/1eHaY18a8A9IcSdp1K8H6x8fbOy06t2VsZHhMHf-1x7Y/edit?usp=sharing"",""แผน!JQ68"")"),3000)</f>
        <v>3000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IFERROR(__xludf.DUMMYFUNCTION("IMPORTRANGE(""https://docs.google.com/spreadsheets/d/1eHaY18a8A9IcSdp1K8H6x8fbOy06t2VsZHhMHf-1x7Y/edit?usp=sharing"",""แผน!JQ68"")"),3000)</f>
        <v>3000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IFERROR(__xludf.DUMMYFUNCTION("IMPORTRANGE(""https://docs.google.com/spreadsheets/d/1ItG2mGa2ceCfYo0BwxsXqNm01IGEUdYcSSLTEv9YCik/edit?usp=sharing"",""เบิกจ่ายกองทุน!CL68"")"),0)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IFERROR(__xludf.DUMMYFUNCTION("IMPORTRANGE(""https://docs.google.com/spreadsheets/d/1ItG2mGa2ceCfYo0BwxsXqNm01IGEUdYcSSLTEv9YCik/edit?usp=sharing"",""เบิกจ่ายกองทุน!CM68"")"),0)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IFERROR(__xludf.DUMMYFUNCTION("IMPORTRANGE(""https://docs.google.com/spreadsheets/d/1ItG2mGa2ceCfYo0BwxsXqNm01IGEUdYcSSLTEv9YCik/edit?usp=sharing"",""เบิกจ่ายกองทุน!CN68"")"),0)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240110</v>
      </c>
      <c r="M413" s="262">
        <f ca="1">M414+M415</f>
        <v>240110</v>
      </c>
      <c r="N413" s="262">
        <f ca="1">N414+N415</f>
        <v>16164</v>
      </c>
      <c r="O413" s="262">
        <f t="shared" ref="O413:O421" ca="1" si="112">IF(L413&gt;0,N413*100/L413,0)</f>
        <v>6.731914539169547</v>
      </c>
      <c r="P413" s="262">
        <f t="shared" ref="P413:P421" ca="1" si="113">IF(M413&gt;0,N413*100/M413,0)</f>
        <v>6.731914539169547</v>
      </c>
      <c r="Q413" s="262">
        <f ca="1">Q414+Q415</f>
        <v>20120</v>
      </c>
      <c r="R413" s="262">
        <f ca="1">R414+R415</f>
        <v>20120</v>
      </c>
      <c r="S413" s="262">
        <f ca="1">S414+S415</f>
        <v>4500</v>
      </c>
      <c r="T413" s="262">
        <f t="shared" ref="T413:T421" ca="1" si="114">IF(Q413&gt;0,S413*100/Q413,0)</f>
        <v>22.365805168986082</v>
      </c>
      <c r="U413" s="262">
        <f t="shared" ref="U413:U421" ca="1" si="115">IF(R413&gt;0,S413*100/R413,0)</f>
        <v>22.365805168986082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240110</v>
      </c>
      <c r="M415" s="72">
        <f t="shared" ca="1" si="116"/>
        <v>240110</v>
      </c>
      <c r="N415" s="72">
        <f t="shared" ca="1" si="116"/>
        <v>16164</v>
      </c>
      <c r="O415" s="72">
        <f t="shared" ca="1" si="112"/>
        <v>6.731914539169547</v>
      </c>
      <c r="P415" s="72">
        <f t="shared" ca="1" si="113"/>
        <v>6.731914539169547</v>
      </c>
      <c r="Q415" s="72">
        <f t="shared" ca="1" si="117"/>
        <v>20120</v>
      </c>
      <c r="R415" s="72">
        <f t="shared" ca="1" si="117"/>
        <v>20120</v>
      </c>
      <c r="S415" s="72">
        <f t="shared" ca="1" si="117"/>
        <v>4500</v>
      </c>
      <c r="T415" s="72">
        <f t="shared" ca="1" si="114"/>
        <v>22.365805168986082</v>
      </c>
      <c r="U415" s="72">
        <f t="shared" ca="1" si="115"/>
        <v>22.365805168986082</v>
      </c>
    </row>
    <row r="416" spans="1:21" ht="18.75" x14ac:dyDescent="0.25">
      <c r="A416" s="255"/>
      <c r="B416" s="267"/>
      <c r="C416" s="267"/>
      <c r="D416" s="852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240110</v>
      </c>
      <c r="M416" s="72">
        <f ca="1">M417+M418</f>
        <v>240110</v>
      </c>
      <c r="N416" s="72">
        <f ca="1">N417+N418</f>
        <v>16164</v>
      </c>
      <c r="O416" s="72">
        <f t="shared" ca="1" si="112"/>
        <v>6.731914539169547</v>
      </c>
      <c r="P416" s="72">
        <f t="shared" ca="1" si="113"/>
        <v>6.731914539169547</v>
      </c>
      <c r="Q416" s="72">
        <f ca="1">Q417+Q418</f>
        <v>20120</v>
      </c>
      <c r="R416" s="72">
        <f ca="1">R417+R418</f>
        <v>20120</v>
      </c>
      <c r="S416" s="72">
        <f ca="1">S417+S418</f>
        <v>4500</v>
      </c>
      <c r="T416" s="72">
        <f t="shared" ca="1" si="114"/>
        <v>22.365805168986082</v>
      </c>
      <c r="U416" s="72">
        <f t="shared" ca="1" si="115"/>
        <v>22.365805168986082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IFERROR(__xludf.DUMMYFUNCTION("IMPORTRANGE(""https://docs.google.com/spreadsheets/d/1-uDff_7J0KD5mKrp0Vvzr7lt3OU09vwQwhkpOPPYv2Y/edit?usp=sharing"",""งบพรบ!IO68"")"),240110)</f>
        <v>240110</v>
      </c>
      <c r="M418" s="72">
        <f ca="1">IFERROR(__xludf.DUMMYFUNCTION("IMPORTRANGE(""https://docs.google.com/spreadsheets/d/1-uDff_7J0KD5mKrp0Vvzr7lt3OU09vwQwhkpOPPYv2Y/edit?usp=sharing"",""งบพรบ!IT68"")"),240110)</f>
        <v>240110</v>
      </c>
      <c r="N418" s="72">
        <f ca="1">IFERROR(__xludf.DUMMYFUNCTION("IMPORTRANGE(""https://docs.google.com/spreadsheets/d/1-uDff_7J0KD5mKrp0Vvzr7lt3OU09vwQwhkpOPPYv2Y/edit?usp=sharing"",""งบพรบ!IV68"")"),16164)</f>
        <v>16164</v>
      </c>
      <c r="O418" s="72">
        <f t="shared" ca="1" si="112"/>
        <v>6.731914539169547</v>
      </c>
      <c r="P418" s="72">
        <f t="shared" ca="1" si="113"/>
        <v>6.731914539169547</v>
      </c>
      <c r="Q418" s="72">
        <f ca="1">IFERROR(__xludf.DUMMYFUNCTION("IMPORTRANGE(""https://docs.google.com/spreadsheets/d/1ItG2mGa2ceCfYo0BwxsXqNm01IGEUdYcSSLTEv9YCik/edit?usp=sharing"",""เบิกจ่ายกองทุน!BZ68"")"),20120)</f>
        <v>20120</v>
      </c>
      <c r="R418" s="72">
        <f ca="1">IFERROR(__xludf.DUMMYFUNCTION("IMPORTRANGE(""https://docs.google.com/spreadsheets/d/1ItG2mGa2ceCfYo0BwxsXqNm01IGEUdYcSSLTEv9YCik/edit?usp=sharing"",""เบิกจ่ายกองทุน!CA68"")"),20120)</f>
        <v>20120</v>
      </c>
      <c r="S418" s="72">
        <f ca="1">IFERROR(__xludf.DUMMYFUNCTION("IMPORTRANGE(""https://docs.google.com/spreadsheets/d/1ItG2mGa2ceCfYo0BwxsXqNm01IGEUdYcSSLTEv9YCik/edit?usp=sharing"",""เบิกจ่ายกองทุน!CB68"")"),4500)</f>
        <v>4500</v>
      </c>
      <c r="T418" s="72">
        <f t="shared" ca="1" si="114"/>
        <v>22.365805168986082</v>
      </c>
      <c r="U418" s="72">
        <f t="shared" ca="1" si="115"/>
        <v>22.365805168986082</v>
      </c>
    </row>
    <row r="419" spans="1:21" ht="18.75" x14ac:dyDescent="0.25">
      <c r="A419" s="255"/>
      <c r="B419" s="267"/>
      <c r="C419" s="267"/>
      <c r="D419" s="852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IFERROR(__xludf.DUMMYFUNCTION("IMPORTRANGE(""https://docs.google.com/spreadsheets/d/1-uDff_7J0KD5mKrp0Vvzr7lt3OU09vwQwhkpOPPYv2Y/edit?usp=sharing"",""งบพรบ!IR68"")"),0)</f>
        <v>0</v>
      </c>
      <c r="M421" s="72">
        <f ca="1">IFERROR(__xludf.DUMMYFUNCTION("IMPORTRANGE(""https://docs.google.com/spreadsheets/d/1-uDff_7J0KD5mKrp0Vvzr7lt3OU09vwQwhkpOPPYv2Y/edit?usp=sharing"",""งบพรบ!IU68"")"),0)</f>
        <v>0</v>
      </c>
      <c r="N421" s="72">
        <f ca="1">IFERROR(__xludf.DUMMYFUNCTION("IMPORTRANGE(""https://docs.google.com/spreadsheets/d/1-uDff_7J0KD5mKrp0Vvzr7lt3OU09vwQwhkpOPPYv2Y/edit?usp=sharing"",""งบพรบ!IW68"")"),0)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IFERROR(__xludf.DUMMYFUNCTION("IMPORTRANGE(""https://docs.google.com/spreadsheets/d/1eHaY18a8A9IcSdp1K8H6x8fbOy06t2VsZHhMHf-1x7Y/edit?usp=sharing"",""แผน!HJ68"")"),0)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IFERROR(__xludf.DUMMYFUNCTION("IMPORTRANGE(""https://docs.google.com/spreadsheets/d/1eHaY18a8A9IcSdp1K8H6x8fbOy06t2VsZHhMHf-1x7Y/edit?usp=sharing"",""แผน!HK68"")"),0)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IFERROR(__xludf.DUMMYFUNCTION("IMPORTRANGE(""https://docs.google.com/spreadsheets/d/1eHaY18a8A9IcSdp1K8H6x8fbOy06t2VsZHhMHf-1x7Y/edit?usp=sharing"",""แผน!HJ68"")"),0)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IFERROR(__xludf.DUMMYFUNCTION("IMPORTRANGE(""https://docs.google.com/spreadsheets/d/1eHaY18a8A9IcSdp1K8H6x8fbOy06t2VsZHhMHf-1x7Y/edit?usp=sharing"",""แผน!HK68"")"),0)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IFERROR(__xludf.DUMMYFUNCTION("IMPORTRANGE(""https://docs.google.com/spreadsheets/d/1eHaY18a8A9IcSdp1K8H6x8fbOy06t2VsZHhMHf-1x7Y/edit?usp=sharing"",""แผน!HJ68"")"),0)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IFERROR(__xludf.DUMMYFUNCTION("IMPORTRANGE(""https://docs.google.com/spreadsheets/d/1eHaY18a8A9IcSdp1K8H6x8fbOy06t2VsZHhMHf-1x7Y/edit?usp=sharing"",""แผน!HK68"")"),0)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711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IFERROR(__xludf.DUMMYFUNCTION("IMPORTRANGE(""https://docs.google.com/spreadsheets/d/1eHaY18a8A9IcSdp1K8H6x8fbOy06t2VsZHhMHf-1x7Y/edit?usp=sharing"",""แผน!HL68"")"),711)</f>
        <v>711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IFERROR(__xludf.DUMMYFUNCTION("IMPORTRANGE(""https://docs.google.com/spreadsheets/d/1eHaY18a8A9IcSdp1K8H6x8fbOy06t2VsZHhMHf-1x7Y/edit?usp=sharing"",""แผน!HM68"")"),0)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IFERROR(__xludf.DUMMYFUNCTION("IMPORTRANGE(""https://docs.google.com/spreadsheets/d/1-uDff_7J0KD5mKrp0Vvzr7lt3OU09vwQwhkpOPPYv2Y/edit?usp=sharing"",""งบพรบ!HU68"")"),0)</f>
        <v>0</v>
      </c>
      <c r="M498" s="72">
        <f ca="1">IFERROR(__xludf.DUMMYFUNCTION("IMPORTRANGE(""https://docs.google.com/spreadsheets/d/1-uDff_7J0KD5mKrp0Vvzr7lt3OU09vwQwhkpOPPYv2Y/edit?usp=sharing"",""งบพรบ!HZ68"")"),0)</f>
        <v>0</v>
      </c>
      <c r="N498" s="72">
        <f ca="1">IFERROR(__xludf.DUMMYFUNCTION("IMPORTRANGE(""https://docs.google.com/spreadsheets/d/1-uDff_7J0KD5mKrp0Vvzr7lt3OU09vwQwhkpOPPYv2Y/edit?usp=sharing"",""งบพรบ!IB68"")"),0)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IFERROR(__xludf.DUMMYFUNCTION("IMPORTRANGE(""https://docs.google.com/spreadsheets/d/1ItG2mGa2ceCfYo0BwxsXqNm01IGEUdYcSSLTEv9YCik/edit?usp=sharing"",""เบิกจ่ายกองทุน!AD68"")"),0)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IFERROR(__xludf.DUMMYFUNCTION("IMPORTRANGE(""https://docs.google.com/spreadsheets/d/1ItG2mGa2ceCfYo0BwxsXqNm01IGEUdYcSSLTEv9YCik/edit?usp=sharing"",""เบิกจ่ายกองทุน!AE68"")"),0)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IFERROR(__xludf.DUMMYFUNCTION("IMPORTRANGE(""https://docs.google.com/spreadsheets/d/1ItG2mGa2ceCfYo0BwxsXqNm01IGEUdYcSSLTEv9YCik/edit?usp=sharing"",""เบิกจ่ายกองทุน!AF68"")"),0)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IFERROR(__xludf.DUMMYFUNCTION("IMPORTRANGE(""https://docs.google.com/spreadsheets/d/1-uDff_7J0KD5mKrp0Vvzr7lt3OU09vwQwhkpOPPYv2Y/edit?usp=sharing"",""งบพรบ!HX68"")"),0)</f>
        <v>0</v>
      </c>
      <c r="M501" s="72">
        <f ca="1">IFERROR(__xludf.DUMMYFUNCTION("IMPORTRANGE(""https://docs.google.com/spreadsheets/d/1-uDff_7J0KD5mKrp0Vvzr7lt3OU09vwQwhkpOPPYv2Y/edit?usp=sharing"",""งบพรบ!IA68"")"),0)</f>
        <v>0</v>
      </c>
      <c r="N501" s="72">
        <f ca="1">IFERROR(__xludf.DUMMYFUNCTION("IMPORTRANGE(""https://docs.google.com/spreadsheets/d/1-uDff_7J0KD5mKrp0Vvzr7lt3OU09vwQwhkpOPPYv2Y/edit?usp=sharing"",""งบพรบ!IC68"")"),0)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IFERROR(__xludf.DUMMYFUNCTION("IMPORTRANGE(""https://docs.google.com/spreadsheets/d/1eHaY18a8A9IcSdp1K8H6x8fbOy06t2VsZHhMHf-1x7Y/edit?usp=sharing"",""แผน!GX68"")"),0)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IFERROR(__xludf.DUMMYFUNCTION("IMPORTRANGE(""https://docs.google.com/spreadsheets/d/1eHaY18a8A9IcSdp1K8H6x8fbOy06t2VsZHhMHf-1x7Y/edit?usp=sharing"",""แผน!GY68"")"),0)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IFERROR(__xludf.DUMMYFUNCTION("IMPORTRANGE(""https://docs.google.com/spreadsheets/d/1eHaY18a8A9IcSdp1K8H6x8fbOy06t2VsZHhMHf-1x7Y/edit?usp=sharing"",""แผน!GZ68"")"),0)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IFERROR(__xludf.DUMMYFUNCTION("IMPORTRANGE(""https://docs.google.com/spreadsheets/d/1eHaY18a8A9IcSdp1K8H6x8fbOy06t2VsZHhMHf-1x7Y/edit?usp=sharing"",""แผน!HA68"")"),0)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IFERROR(__xludf.DUMMYFUNCTION("IMPORTRANGE(""https://docs.google.com/spreadsheets/d/1eHaY18a8A9IcSdp1K8H6x8fbOy06t2VsZHhMHf-1x7Y/edit?usp=sharing"",""แผน!HB68"")"),0)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IFERROR(__xludf.DUMMYFUNCTION("IMPORTRANGE(""https://docs.google.com/spreadsheets/d/1eHaY18a8A9IcSdp1K8H6x8fbOy06t2VsZHhMHf-1x7Y/edit?usp=sharing"",""แผน!HC68"")"),0)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098" t="s">
        <v>206</v>
      </c>
      <c r="B510" s="1097"/>
      <c r="C510" s="1097"/>
      <c r="D510" s="1097"/>
      <c r="E510" s="1096"/>
      <c r="F510" s="1096"/>
      <c r="G510" s="1096"/>
      <c r="H510" s="1096"/>
      <c r="I510" s="1095"/>
      <c r="J510" s="1095"/>
      <c r="K510" s="1094"/>
      <c r="L510" s="1093"/>
      <c r="M510" s="1092"/>
      <c r="N510" s="1092"/>
      <c r="O510" s="1092"/>
      <c r="P510" s="1092"/>
      <c r="Q510" s="1092"/>
      <c r="R510" s="1092"/>
      <c r="S510" s="1092"/>
      <c r="T510" s="1092"/>
      <c r="U510" s="1092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IFERROR(__xludf.DUMMYFUNCTION("IMPORTRANGE(""https://docs.google.com/spreadsheets/d/1-uDff_7J0KD5mKrp0Vvzr7lt3OU09vwQwhkpOPPYv2Y/edit?usp=sharing"",""งบพรบ!FM68"")"),0)</f>
        <v>0</v>
      </c>
      <c r="M518" s="72">
        <f ca="1">IFERROR(__xludf.DUMMYFUNCTION("IMPORTRANGE(""https://docs.google.com/spreadsheets/d/1-uDff_7J0KD5mKrp0Vvzr7lt3OU09vwQwhkpOPPYv2Y/edit?usp=sharing"",""งบพรบ!FR68"")"),0)</f>
        <v>0</v>
      </c>
      <c r="N518" s="72">
        <f ca="1">IFERROR(__xludf.DUMMYFUNCTION("IMPORTRANGE(""https://docs.google.com/spreadsheets/d/1-uDff_7J0KD5mKrp0Vvzr7lt3OU09vwQwhkpOPPYv2Y/edit?usp=sharing"",""งบพรบ!FT68"")"),0)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IFERROR(__xludf.DUMMYFUNCTION("IMPORTRANGE(""https://docs.google.com/spreadsheets/d/1-uDff_7J0KD5mKrp0Vvzr7lt3OU09vwQwhkpOPPYv2Y/edit?usp=sharing"",""งบพรบ!FP68"")"),0)</f>
        <v>0</v>
      </c>
      <c r="M521" s="72">
        <f ca="1">IFERROR(__xludf.DUMMYFUNCTION("IMPORTRANGE(""https://docs.google.com/spreadsheets/d/1-uDff_7J0KD5mKrp0Vvzr7lt3OU09vwQwhkpOPPYv2Y/edit?usp=sharing"",""งบพรบ!FS68"")"),0)</f>
        <v>0</v>
      </c>
      <c r="N521" s="72">
        <f ca="1">IFERROR(__xludf.DUMMYFUNCTION("IMPORTRANGE(""https://docs.google.com/spreadsheets/d/1-uDff_7J0KD5mKrp0Vvzr7lt3OU09vwQwhkpOPPYv2Y/edit?usp=sharing"",""งบพรบ!FU68"")"),0)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IFERROR(__xludf.DUMMYFUNCTION("IMPORTRANGE(""https://docs.google.com/spreadsheets/d/1-uDff_7J0KD5mKrp0Vvzr7lt3OU09vwQwhkpOPPYv2Y/edit?usp=sharing"",""งบพรบ!FW68"")"),0)</f>
        <v>0</v>
      </c>
      <c r="M539" s="72">
        <f ca="1">IFERROR(__xludf.DUMMYFUNCTION("IMPORTRANGE(""https://docs.google.com/spreadsheets/d/1-uDff_7J0KD5mKrp0Vvzr7lt3OU09vwQwhkpOPPYv2Y/edit?usp=sharing"",""งบพรบ!GB68"")"),0)</f>
        <v>0</v>
      </c>
      <c r="N539" s="72">
        <f ca="1">IFERROR(__xludf.DUMMYFUNCTION("IMPORTRANGE(""https://docs.google.com/spreadsheets/d/1-uDff_7J0KD5mKrp0Vvzr7lt3OU09vwQwhkpOPPYv2Y/edit?usp=sharing"",""งบพรบ!GD68"")"),0)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IFERROR(__xludf.DUMMYFUNCTION("IMPORTRANGE(""https://docs.google.com/spreadsheets/d/1-uDff_7J0KD5mKrp0Vvzr7lt3OU09vwQwhkpOPPYv2Y/edit?usp=sharing"",""งบพรบ!FZ68"")"),0)</f>
        <v>0</v>
      </c>
      <c r="M542" s="72">
        <f ca="1">IFERROR(__xludf.DUMMYFUNCTION("IMPORTRANGE(""https://docs.google.com/spreadsheets/d/1-uDff_7J0KD5mKrp0Vvzr7lt3OU09vwQwhkpOPPYv2Y/edit?usp=sharing"",""งบพรบ!GC68"")"),0)</f>
        <v>0</v>
      </c>
      <c r="N542" s="72">
        <f ca="1">IFERROR(__xludf.DUMMYFUNCTION("IMPORTRANGE(""https://docs.google.com/spreadsheets/d/1-uDff_7J0KD5mKrp0Vvzr7lt3OU09vwQwhkpOPPYv2Y/edit?usp=sharing"",""งบพรบ!GE68"")"),0)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IFERROR(__xludf.DUMMYFUNCTION("IMPORTRANGE(""https://docs.google.com/spreadsheets/d/1-uDff_7J0KD5mKrp0Vvzr7lt3OU09vwQwhkpOPPYv2Y/edit?usp=sharing"",""งบพรบ!GG68"")"),0)</f>
        <v>0</v>
      </c>
      <c r="M560" s="72">
        <f ca="1">IFERROR(__xludf.DUMMYFUNCTION("IMPORTRANGE(""https://docs.google.com/spreadsheets/d/1-uDff_7J0KD5mKrp0Vvzr7lt3OU09vwQwhkpOPPYv2Y/edit?usp=sharing"",""งบพรบ!GL68"")"),0)</f>
        <v>0</v>
      </c>
      <c r="N560" s="72">
        <f ca="1">IFERROR(__xludf.DUMMYFUNCTION("IMPORTRANGE(""https://docs.google.com/spreadsheets/d/1-uDff_7J0KD5mKrp0Vvzr7lt3OU09vwQwhkpOPPYv2Y/edit?usp=sharing"",""งบพรบ!GN68"")"),0)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IFERROR(__xludf.DUMMYFUNCTION("IMPORTRANGE(""https://docs.google.com/spreadsheets/d/1-uDff_7J0KD5mKrp0Vvzr7lt3OU09vwQwhkpOPPYv2Y/edit?usp=sharing"",""งบพรบ!GJ68"")"),0)</f>
        <v>0</v>
      </c>
      <c r="M563" s="72">
        <f ca="1">IFERROR(__xludf.DUMMYFUNCTION("IMPORTRANGE(""https://docs.google.com/spreadsheets/d/1-uDff_7J0KD5mKrp0Vvzr7lt3OU09vwQwhkpOPPYv2Y/edit?usp=sharing"",""งบพรบ!GM68"")"),0)</f>
        <v>0</v>
      </c>
      <c r="N563" s="72">
        <f ca="1">IFERROR(__xludf.DUMMYFUNCTION("IMPORTRANGE(""https://docs.google.com/spreadsheets/d/1-uDff_7J0KD5mKrp0Vvzr7lt3OU09vwQwhkpOPPYv2Y/edit?usp=sharing"",""งบพรบ!GO68"")"),0)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10</v>
      </c>
      <c r="J575" s="666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474310</v>
      </c>
      <c r="M576" s="262">
        <f ca="1">M577+M578</f>
        <v>474310</v>
      </c>
      <c r="N576" s="262">
        <f ca="1">N577+N578</f>
        <v>2220</v>
      </c>
      <c r="O576" s="262">
        <f t="shared" ref="O576:O584" ca="1" si="143">IF(L576&gt;0,N576*100/L576,0)</f>
        <v>0.46804832282684322</v>
      </c>
      <c r="P576" s="262">
        <f t="shared" ref="P576:P584" ca="1" si="144">IF(M576&gt;0,N576*100/M576,0)</f>
        <v>0.46804832282684322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474310</v>
      </c>
      <c r="M578" s="72">
        <f t="shared" ca="1" si="147"/>
        <v>474310</v>
      </c>
      <c r="N578" s="72">
        <f t="shared" ca="1" si="147"/>
        <v>2220</v>
      </c>
      <c r="O578" s="72">
        <f t="shared" ca="1" si="143"/>
        <v>0.46804832282684322</v>
      </c>
      <c r="P578" s="72">
        <f t="shared" ca="1" si="144"/>
        <v>0.46804832282684322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474310</v>
      </c>
      <c r="M579" s="72">
        <f ca="1">M580+M581</f>
        <v>474310</v>
      </c>
      <c r="N579" s="72">
        <f ca="1">N580+N581</f>
        <v>2220</v>
      </c>
      <c r="O579" s="72">
        <f t="shared" ca="1" si="143"/>
        <v>0.46804832282684322</v>
      </c>
      <c r="P579" s="72">
        <f t="shared" ca="1" si="144"/>
        <v>0.46804832282684322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IFERROR(__xludf.DUMMYFUNCTION("IMPORTRANGE(""https://docs.google.com/spreadsheets/d/1-uDff_7J0KD5mKrp0Vvzr7lt3OU09vwQwhkpOPPYv2Y/edit?usp=sharing"",""งบพรบ!GQ68"")"),474310)</f>
        <v>474310</v>
      </c>
      <c r="M581" s="72">
        <f ca="1">IFERROR(__xludf.DUMMYFUNCTION("IMPORTRANGE(""https://docs.google.com/spreadsheets/d/1-uDff_7J0KD5mKrp0Vvzr7lt3OU09vwQwhkpOPPYv2Y/edit?usp=sharing"",""งบพรบ!GV68"")"),474310)</f>
        <v>474310</v>
      </c>
      <c r="N581" s="72">
        <f ca="1">IFERROR(__xludf.DUMMYFUNCTION("IMPORTRANGE(""https://docs.google.com/spreadsheets/d/1-uDff_7J0KD5mKrp0Vvzr7lt3OU09vwQwhkpOPPYv2Y/edit?usp=sharing"",""งบพรบ!GX68"")"),2220)</f>
        <v>2220</v>
      </c>
      <c r="O581" s="72">
        <f t="shared" ca="1" si="143"/>
        <v>0.46804832282684322</v>
      </c>
      <c r="P581" s="72">
        <f t="shared" ca="1" si="144"/>
        <v>0.46804832282684322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IFERROR(__xludf.DUMMYFUNCTION("IMPORTRANGE(""https://docs.google.com/spreadsheets/d/1-uDff_7J0KD5mKrp0Vvzr7lt3OU09vwQwhkpOPPYv2Y/edit?usp=sharing"",""งบพรบ!GT68"")"),0)</f>
        <v>0</v>
      </c>
      <c r="M584" s="72">
        <f ca="1">IFERROR(__xludf.DUMMYFUNCTION("IMPORTRANGE(""https://docs.google.com/spreadsheets/d/1-uDff_7J0KD5mKrp0Vvzr7lt3OU09vwQwhkpOPPYv2Y/edit?usp=sharing"",""งบพรบ!GW68"")"),0)</f>
        <v>0</v>
      </c>
      <c r="N584" s="72">
        <f ca="1">IFERROR(__xludf.DUMMYFUNCTION("IMPORTRANGE(""https://docs.google.com/spreadsheets/d/1-uDff_7J0KD5mKrp0Vvzr7lt3OU09vwQwhkpOPPYv2Y/edit?usp=sharing"",""งบพรบ!GY68"")"),0)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4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10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826" t="s">
        <v>217</v>
      </c>
      <c r="B596" s="824"/>
      <c r="C596" s="825"/>
      <c r="D596" s="824"/>
      <c r="E596" s="824"/>
      <c r="F596" s="824"/>
      <c r="G596" s="824"/>
      <c r="H596" s="823"/>
      <c r="I596" s="822"/>
      <c r="J596" s="822"/>
      <c r="K596" s="821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820" t="s">
        <v>218</v>
      </c>
      <c r="C597" s="299"/>
      <c r="D597" s="251"/>
      <c r="E597" s="250"/>
      <c r="F597" s="250"/>
      <c r="G597" s="250"/>
      <c r="H597" s="819" t="s">
        <v>99</v>
      </c>
      <c r="I597" s="818"/>
      <c r="J597" s="814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817"/>
      <c r="B598" s="816" t="s">
        <v>219</v>
      </c>
      <c r="C598" s="251"/>
      <c r="D598" s="250"/>
      <c r="E598" s="250"/>
      <c r="F598" s="250"/>
      <c r="G598" s="252"/>
      <c r="H598" s="815" t="s">
        <v>35</v>
      </c>
      <c r="I598" s="814"/>
      <c r="J598" s="814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44" t="s">
        <v>19</v>
      </c>
      <c r="E599" s="1401"/>
      <c r="F599" s="1401"/>
      <c r="G599" s="1402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99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IFERROR(__xludf.DUMMYFUNCTION("IMPORTRANGE(""https://docs.google.com/spreadsheets/d/1-uDff_7J0KD5mKrp0Vvzr7lt3OU09vwQwhkpOPPYv2Y/edit?usp=sharing"",""งบพรบ!HK68"")"),0)</f>
        <v>0</v>
      </c>
      <c r="M604" s="72">
        <f ca="1">IFERROR(__xludf.DUMMYFUNCTION("IMPORTRANGE(""https://docs.google.com/spreadsheets/d/1-uDff_7J0KD5mKrp0Vvzr7lt3OU09vwQwhkpOPPYv2Y/edit?usp=sharing"",""งบพรบ!HP68"")"),0)</f>
        <v>0</v>
      </c>
      <c r="N604" s="72">
        <f ca="1">IFERROR(__xludf.DUMMYFUNCTION("IMPORTRANGE(""https://docs.google.com/spreadsheets/d/1-uDff_7J0KD5mKrp0Vvzr7lt3OU09vwQwhkpOPPYv2Y/edit?usp=sharing"",""งบพรบ!HR68"")"),0)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IFERROR(__xludf.DUMMYFUNCTION("IMPORTRANGE(""https://docs.google.com/spreadsheets/d/1ItG2mGa2ceCfYo0BwxsXqNm01IGEUdYcSSLTEv9YCik/edit?usp=sharing"",""เบิกจ่ายกองทุน!AV68"")"),0)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IFERROR(__xludf.DUMMYFUNCTION("IMPORTRANGE(""https://docs.google.com/spreadsheets/d/1ItG2mGa2ceCfYo0BwxsXqNm01IGEUdYcSSLTEv9YCik/edit?usp=sharing"",""เบิกจ่ายกองทุน!AW68"")"),0)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IFERROR(__xludf.DUMMYFUNCTION("IMPORTRANGE(""https://docs.google.com/spreadsheets/d/1ItG2mGa2ceCfYo0BwxsXqNm01IGEUdYcSSLTEv9YCik/edit?usp=sharing"",""เบิกจ่ายกองทุน!AX68"")"),0)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99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IFERROR(__xludf.DUMMYFUNCTION("IMPORTRANGE(""https://docs.google.com/spreadsheets/d/1-uDff_7J0KD5mKrp0Vvzr7lt3OU09vwQwhkpOPPYv2Y/edit?usp=sharing"",""งบพรบ!HN68"")"),0)</f>
        <v>0</v>
      </c>
      <c r="M607" s="72">
        <f ca="1">IFERROR(__xludf.DUMMYFUNCTION("IMPORTRANGE(""https://docs.google.com/spreadsheets/d/1-uDff_7J0KD5mKrp0Vvzr7lt3OU09vwQwhkpOPPYv2Y/edit?usp=sharing"",""งบพรบ!HQ68"")"),0)</f>
        <v>0</v>
      </c>
      <c r="N607" s="72">
        <f ca="1">IFERROR(__xludf.DUMMYFUNCTION("IMPORTRANGE(""https://docs.google.com/spreadsheets/d/1-uDff_7J0KD5mKrp0Vvzr7lt3OU09vwQwhkpOPPYv2Y/edit?usp=sharing"",""งบพรบ!HS68"")"),0)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IFERROR(__xludf.DUMMYFUNCTION("IMPORTRANGE(""https://docs.google.com/spreadsheets/d/1ItG2mGa2ceCfYo0BwxsXqNm01IGEUdYcSSLTEv9YCik/edit?usp=sharing"",""เบิกจ่ายกองทุน!AY68"")"),0)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IFERROR(__xludf.DUMMYFUNCTION("IMPORTRANGE(""https://docs.google.com/spreadsheets/d/1ItG2mGa2ceCfYo0BwxsXqNm01IGEUdYcSSLTEv9YCik/edit?usp=sharing"",""เบิกจ่ายกองทุน!AZ68"")"),0)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IFERROR(__xludf.DUMMYFUNCTION("IMPORTRANGE(""https://docs.google.com/spreadsheets/d/1ItG2mGa2ceCfYo0BwxsXqNm01IGEUdYcSSLTEv9YCik/edit?usp=sharing"",""เบิกจ่ายกองทุน!BA68"")"),0)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13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812"/>
      <c r="B612" s="811"/>
      <c r="C612" s="811"/>
      <c r="D612" s="811"/>
      <c r="E612" s="810" t="s">
        <v>223</v>
      </c>
      <c r="F612" s="809"/>
      <c r="G612" s="808"/>
      <c r="H612" s="807" t="s">
        <v>35</v>
      </c>
      <c r="I612" s="806"/>
      <c r="J612" s="806"/>
      <c r="K612" s="805"/>
      <c r="L612" s="804"/>
      <c r="M612" s="803"/>
      <c r="N612" s="803"/>
      <c r="O612" s="803"/>
      <c r="P612" s="803"/>
      <c r="Q612" s="803"/>
      <c r="R612" s="803"/>
      <c r="S612" s="803"/>
      <c r="T612" s="803"/>
      <c r="U612" s="803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24" customHeight="1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6775</v>
      </c>
      <c r="R616" s="262">
        <f ca="1">R617+R618</f>
        <v>6775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6775</v>
      </c>
      <c r="R618" s="72">
        <f t="shared" ca="1" si="160"/>
        <v>6775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6775</v>
      </c>
      <c r="R619" s="72">
        <f ca="1">R620+R621</f>
        <v>6775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IFERROR(__xludf.DUMMYFUNCTION("IMPORTRANGE(""https://docs.google.com/spreadsheets/d/1ItG2mGa2ceCfYo0BwxsXqNm01IGEUdYcSSLTEv9YCik/edit?usp=sharing"",""เบิกจ่ายกองทุน!F68"")"),6775)</f>
        <v>6775</v>
      </c>
      <c r="R621" s="72">
        <f ca="1">IFERROR(__xludf.DUMMYFUNCTION("IMPORTRANGE(""https://docs.google.com/spreadsheets/d/1ItG2mGa2ceCfYo0BwxsXqNm01IGEUdYcSSLTEv9YCik/edit?usp=sharing"",""เบิกจ่ายกองทุน!G68"")"),6775)</f>
        <v>6775</v>
      </c>
      <c r="S621" s="72">
        <f ca="1">IFERROR(__xludf.DUMMYFUNCTION("IMPORTRANGE(""https://docs.google.com/spreadsheets/d/1ItG2mGa2ceCfYo0BwxsXqNm01IGEUdYcSSLTEv9YCik/edit?usp=sharing"",""เบิกจ่ายกองทุน!H68"")"),0)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IFERROR(__xludf.DUMMYFUNCTION("IMPORTRANGE(""https://docs.google.com/spreadsheets/d/1eHaY18a8A9IcSdp1K8H6x8fbOy06t2VsZHhMHf-1x7Y/edit?usp=sharing"",""แผน!ID68"")"),50)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IFERROR(__xludf.DUMMYFUNCTION("IMPORTRANGE(""https://docs.google.com/spreadsheets/d/1eHaY18a8A9IcSdp1K8H6x8fbOy06t2VsZHhMHf-1x7Y/edit?usp=sharing"",""แผน!IC68"")"),0)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IFERROR(__xludf.DUMMYFUNCTION("IMPORTRANGE(""https://docs.google.com/spreadsheets/d/1eHaY18a8A9IcSdp1K8H6x8fbOy06t2VsZHhMHf-1x7Y/edit?usp=sharing"",""แผน!IC68"")"),0)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IFERROR(__xludf.DUMMYFUNCTION("IMPORTRANGE(""https://docs.google.com/spreadsheets/d/1eHaY18a8A9IcSdp1K8H6x8fbOy06t2VsZHhMHf-1x7Y/edit?usp=sharing"",""แผน!IE68"")"),0)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36200</v>
      </c>
      <c r="R642" s="262">
        <f ca="1">R643+R644</f>
        <v>36200</v>
      </c>
      <c r="S642" s="262">
        <f ca="1">S643+S644</f>
        <v>21955</v>
      </c>
      <c r="T642" s="262">
        <f t="shared" ref="T642:T650" ca="1" si="163">IF(Q642&gt;0,S642*100/Q642,0)</f>
        <v>60.649171270718234</v>
      </c>
      <c r="U642" s="262">
        <f t="shared" ref="U642:U650" ca="1" si="164">IF(R642&gt;0,S642*100/R642,0)</f>
        <v>60.649171270718234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36200</v>
      </c>
      <c r="R644" s="72">
        <f t="shared" ca="1" si="166"/>
        <v>36200</v>
      </c>
      <c r="S644" s="72">
        <f t="shared" ca="1" si="166"/>
        <v>21955</v>
      </c>
      <c r="T644" s="72">
        <f t="shared" ca="1" si="163"/>
        <v>60.649171270718234</v>
      </c>
      <c r="U644" s="72">
        <f t="shared" ca="1" si="164"/>
        <v>60.649171270718234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36200</v>
      </c>
      <c r="R645" s="72">
        <f ca="1">R646+R647</f>
        <v>36200</v>
      </c>
      <c r="S645" s="72">
        <f ca="1">S646+S647</f>
        <v>21955</v>
      </c>
      <c r="T645" s="72">
        <f t="shared" ca="1" si="163"/>
        <v>60.649171270718234</v>
      </c>
      <c r="U645" s="72">
        <f t="shared" ca="1" si="164"/>
        <v>60.649171270718234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IFERROR(__xludf.DUMMYFUNCTION("IMPORTRANGE(""https://docs.google.com/spreadsheets/d/1ItG2mGa2ceCfYo0BwxsXqNm01IGEUdYcSSLTEv9YCik/edit?usp=sharing"",""เบิกจ่ายกองทุน!I68"")"),36200)</f>
        <v>36200</v>
      </c>
      <c r="R647" s="72">
        <f ca="1">IFERROR(__xludf.DUMMYFUNCTION("IMPORTRANGE(""https://docs.google.com/spreadsheets/d/1ItG2mGa2ceCfYo0BwxsXqNm01IGEUdYcSSLTEv9YCik/edit?usp=sharing"",""เบิกจ่ายกองทุน!J68"")"),36200)</f>
        <v>36200</v>
      </c>
      <c r="S647" s="72">
        <f ca="1">IFERROR(__xludf.DUMMYFUNCTION("IMPORTRANGE(""https://docs.google.com/spreadsheets/d/1ItG2mGa2ceCfYo0BwxsXqNm01IGEUdYcSSLTEv9YCik/edit?usp=sharing"",""เบิกจ่ายกองทุน!K68"")"),21955)</f>
        <v>21955</v>
      </c>
      <c r="T647" s="72">
        <f t="shared" ca="1" si="163"/>
        <v>60.649171270718234</v>
      </c>
      <c r="U647" s="72">
        <f t="shared" ca="1" si="164"/>
        <v>60.649171270718234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IFERROR(__xludf.DUMMYFUNCTION("IMPORTRANGE(""https://docs.google.com/spreadsheets/d/1eHaY18a8A9IcSdp1K8H6x8fbOy06t2VsZHhMHf-1x7Y/edit?usp=sharing"",""แผน!IF68"")"),0)</f>
        <v>0</v>
      </c>
      <c r="J652" s="291">
        <f ca="1">IFERROR(__xludf.DUMMYFUNCTION("IMPORTRANGE(""https://docs.google.com/spreadsheets/d/1tdoBKaGub7dwA3U6UFTqxio9LNnvDCQjHKmttSEBsFQ/edit?usp=sharing"",""จัดที่ดิน!AU68"")"),0)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IFERROR(__xludf.DUMMYFUNCTION("IMPORTRANGE(""https://docs.google.com/spreadsheets/d/1eHaY18a8A9IcSdp1K8H6x8fbOy06t2VsZHhMHf-1x7Y/edit?usp=sharing"",""แผน!IG68"")"),0)</f>
        <v>0</v>
      </c>
      <c r="J653" s="291">
        <f ca="1">IFERROR(__xludf.DUMMYFUNCTION("IMPORTRANGE(""https://docs.google.com/spreadsheets/d/1tdoBKaGub7dwA3U6UFTqxio9LNnvDCQjHKmttSEBsFQ/edit?usp=sharing"",""จัดที่ดิน!AW68"")"),0)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IFERROR(__xludf.DUMMYFUNCTION("IMPORTRANGE(""https://docs.google.com/spreadsheets/d/1eHaY18a8A9IcSdp1K8H6x8fbOy06t2VsZHhMHf-1x7Y/edit?usp=sharing"",""แผน!IH68"")"),50)</f>
        <v>50</v>
      </c>
      <c r="J654" s="601">
        <f>J657+J660</f>
        <v>276</v>
      </c>
      <c r="K654" s="262">
        <f ca="1">IF(I654&gt;0,J654*100/I654,0)</f>
        <v>552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13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14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IFERROR(__xludf.DUMMYFUNCTION("IMPORTRANGE(""https://docs.google.com/spreadsheets/d/1eHaY18a8A9IcSdp1K8H6x8fbOy06t2VsZHhMHf-1x7Y/edit?usp=sharing"",""แผน!II68"")"),50)</f>
        <v>50</v>
      </c>
      <c r="J657" s="292">
        <v>276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IFERROR(__xludf.DUMMYFUNCTION("IMPORTRANGE(""https://docs.google.com/spreadsheets/d/1eHaY18a8A9IcSdp1K8H6x8fbOy06t2VsZHhMHf-1x7Y/edit?usp=sharing"",""แผน!IJ68"")"),0)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IFERROR(__xludf.DUMMYFUNCTION("IMPORTRANGE(""https://docs.google.com/spreadsheets/d/1eHaY18a8A9IcSdp1K8H6x8fbOy06t2VsZHhMHf-1x7Y/edit?usp=sharing"",""แผน!IK68"")"),100)</f>
        <v>100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IFERROR(__xludf.DUMMYFUNCTION("IMPORTRANGE(""https://docs.google.com/spreadsheets/d/1tdoBKaGub7dwA3U6UFTqxio9LNnvDCQjHKmttSEBsFQ/edit?usp=sharing"",""จัดที่ดิน!AY68"")"),31)</f>
        <v>31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IFERROR(__xludf.DUMMYFUNCTION("IMPORTRANGE(""https://docs.google.com/spreadsheets/d/1tdoBKaGub7dwA3U6UFTqxio9LNnvDCQjHKmttSEBsFQ/edit?usp=sharing"",""จัดที่ดิน!AZ68"")"),34)</f>
        <v>34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IFERROR(__xludf.DUMMYFUNCTION("IMPORTRANGE(""https://docs.google.com/spreadsheets/d/1eHaY18a8A9IcSdp1K8H6x8fbOy06t2VsZHhMHf-1x7Y/edit?usp=sharing"",""แผน!IL68"")"),450)</f>
        <v>450</v>
      </c>
      <c r="J673" s="291">
        <f ca="1">IFERROR(__xludf.DUMMYFUNCTION("IMPORTRANGE(""https://docs.google.com/spreadsheets/d/1tdoBKaGub7dwA3U6UFTqxio9LNnvDCQjHKmttSEBsFQ/edit?usp=sharing"",""จัดที่ดิน!BA68"")"),556.62)</f>
        <v>556.62</v>
      </c>
      <c r="K673" s="72">
        <f ca="1">IF(I673&gt;0,J673*100/I673,0)</f>
        <v>123.69333333333333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IFERROR(__xludf.DUMMYFUNCTION("IMPORTRANGE(""https://docs.google.com/spreadsheets/d/1eHaY18a8A9IcSdp1K8H6x8fbOy06t2VsZHhMHf-1x7Y/edit?usp=sharing"",""แผน!IM68"")"),10)</f>
        <v>10</v>
      </c>
      <c r="J674" s="601">
        <f ca="1">J676+J679</f>
        <v>17</v>
      </c>
      <c r="K674" s="262">
        <f ca="1">IF(I674&gt;0,J674*100/I674,0)</f>
        <v>170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IFERROR(__xludf.DUMMYFUNCTION("IMPORTRANGE(""https://docs.google.com/spreadsheets/d/1eHaY18a8A9IcSdp1K8H6x8fbOy06t2VsZHhMHf-1x7Y/edit?usp=sharing"",""แผน!IN68"")"),150)</f>
        <v>150</v>
      </c>
      <c r="J675" s="601">
        <f ca="1">J678+J681</f>
        <v>195.07</v>
      </c>
      <c r="K675" s="262">
        <f ca="1">IF(I675&gt;0,J675*100/I675,0)</f>
        <v>130.04666666666665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IFERROR(__xludf.DUMMYFUNCTION("IMPORTRANGE(""https://docs.google.com/spreadsheets/d/1eHaY18a8A9IcSdp1K8H6x8fbOy06t2VsZHhMHf-1x7Y/edit?usp=sharing"",""แผน!IO68"")"),10)</f>
        <v>10</v>
      </c>
      <c r="J676" s="291">
        <f ca="1">IFERROR(__xludf.DUMMYFUNCTION("IMPORTRANGE(""https://docs.google.com/spreadsheets/d/1tdoBKaGub7dwA3U6UFTqxio9LNnvDCQjHKmttSEBsFQ/edit?usp=sharing"",""จัดที่ดิน!BF68"")"),17)</f>
        <v>17</v>
      </c>
      <c r="K676" s="72">
        <f ca="1">IF(I676&gt;0,J676*100/I676,0)</f>
        <v>170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IFERROR(__xludf.DUMMYFUNCTION("IMPORTRANGE(""https://docs.google.com/spreadsheets/d/1tdoBKaGub7dwA3U6UFTqxio9LNnvDCQjHKmttSEBsFQ/edit?usp=sharing"",""จัดที่ดิน!BG68"")"),17)</f>
        <v>17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IFERROR(__xludf.DUMMYFUNCTION("IMPORTRANGE(""https://docs.google.com/spreadsheets/d/1eHaY18a8A9IcSdp1K8H6x8fbOy06t2VsZHhMHf-1x7Y/edit?usp=sharing"",""แผน!IP68"")"),150)</f>
        <v>150</v>
      </c>
      <c r="J678" s="291">
        <f ca="1">IFERROR(__xludf.DUMMYFUNCTION("IMPORTRANGE(""https://docs.google.com/spreadsheets/d/1tdoBKaGub7dwA3U6UFTqxio9LNnvDCQjHKmttSEBsFQ/edit?usp=sharing"",""จัดที่ดิน!BH68"")"),195.07)</f>
        <v>195.07</v>
      </c>
      <c r="K678" s="72">
        <f ca="1">IF(I678&gt;0,J678*100/I678,0)</f>
        <v>130.04666666666665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IFERROR(__xludf.DUMMYFUNCTION("IMPORTRANGE(""https://docs.google.com/spreadsheets/d/1eHaY18a8A9IcSdp1K8H6x8fbOy06t2VsZHhMHf-1x7Y/edit?usp=sharing"",""แผน!IQ68"")"),0)</f>
        <v>0</v>
      </c>
      <c r="J679" s="291">
        <f ca="1">IFERROR(__xludf.DUMMYFUNCTION("IMPORTRANGE(""https://docs.google.com/spreadsheets/d/1tdoBKaGub7dwA3U6UFTqxio9LNnvDCQjHKmttSEBsFQ/edit?usp=sharing"",""จัดที่ดิน!BK68"")"),0)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IFERROR(__xludf.DUMMYFUNCTION("IMPORTRANGE(""https://docs.google.com/spreadsheets/d/1tdoBKaGub7dwA3U6UFTqxio9LNnvDCQjHKmttSEBsFQ/edit?usp=sharing"",""จัดที่ดิน!BL68"")"),0)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IFERROR(__xludf.DUMMYFUNCTION("IMPORTRANGE(""https://docs.google.com/spreadsheets/d/1eHaY18a8A9IcSdp1K8H6x8fbOy06t2VsZHhMHf-1x7Y/edit?usp=sharing"",""แผน!IR68"")"),0)</f>
        <v>0</v>
      </c>
      <c r="J681" s="291">
        <f ca="1">IFERROR(__xludf.DUMMYFUNCTION("IMPORTRANGE(""https://docs.google.com/spreadsheets/d/1tdoBKaGub7dwA3U6UFTqxio9LNnvDCQjHKmttSEBsFQ/edit?usp=sharing"",""จัดที่ดิน!BM68"")"),0)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IFERROR(__xludf.DUMMYFUNCTION("IMPORTRANGE(""https://docs.google.com/spreadsheets/d/1eHaY18a8A9IcSdp1K8H6x8fbOy06t2VsZHhMHf-1x7Y/edit?usp=sharing"",""แผน!IS68"")"),20)</f>
        <v>20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70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188210</v>
      </c>
      <c r="R690" s="262">
        <f ca="1">R691+R692</f>
        <v>188210</v>
      </c>
      <c r="S690" s="262">
        <f ca="1">S691+S692</f>
        <v>171098.46</v>
      </c>
      <c r="T690" s="262">
        <f t="shared" ref="T690:T698" ca="1" si="169">IF(Q690&gt;0,S690*100/Q690,0)</f>
        <v>90.908272674140591</v>
      </c>
      <c r="U690" s="262">
        <f t="shared" ref="U690:U698" ca="1" si="170">IF(R690&gt;0,S690*100/R690,0)</f>
        <v>90.908272674140591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188210</v>
      </c>
      <c r="R692" s="72">
        <f t="shared" ca="1" si="172"/>
        <v>188210</v>
      </c>
      <c r="S692" s="72">
        <f t="shared" ca="1" si="172"/>
        <v>171098.46</v>
      </c>
      <c r="T692" s="72">
        <f t="shared" ca="1" si="169"/>
        <v>90.908272674140591</v>
      </c>
      <c r="U692" s="72">
        <f t="shared" ca="1" si="170"/>
        <v>90.908272674140591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188210</v>
      </c>
      <c r="R693" s="72">
        <f ca="1">R694+R695</f>
        <v>188210</v>
      </c>
      <c r="S693" s="72">
        <f ca="1">S694+S695</f>
        <v>171098.46</v>
      </c>
      <c r="T693" s="72">
        <f t="shared" ca="1" si="169"/>
        <v>90.908272674140591</v>
      </c>
      <c r="U693" s="72">
        <f t="shared" ca="1" si="170"/>
        <v>90.908272674140591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IFERROR(__xludf.DUMMYFUNCTION("IMPORTRANGE(""https://docs.google.com/spreadsheets/d/1ItG2mGa2ceCfYo0BwxsXqNm01IGEUdYcSSLTEv9YCik/edit?usp=sharing"",""เบิกจ่ายกองทุน!L68"")"),188210)</f>
        <v>188210</v>
      </c>
      <c r="R695" s="72">
        <f ca="1">IFERROR(__xludf.DUMMYFUNCTION("IMPORTRANGE(""https://docs.google.com/spreadsheets/d/1ItG2mGa2ceCfYo0BwxsXqNm01IGEUdYcSSLTEv9YCik/edit?usp=sharing"",""เบิกจ่ายกองทุน!M68"")"),188210)</f>
        <v>188210</v>
      </c>
      <c r="S695" s="72">
        <f ca="1">IFERROR(__xludf.DUMMYFUNCTION("IMPORTRANGE(""https://docs.google.com/spreadsheets/d/1ItG2mGa2ceCfYo0BwxsXqNm01IGEUdYcSSLTEv9YCik/edit?usp=sharing"",""เบิกจ่ายกองทุน!N68"")"),171098.46)</f>
        <v>171098.46</v>
      </c>
      <c r="T695" s="72">
        <f t="shared" ca="1" si="169"/>
        <v>90.908272674140591</v>
      </c>
      <c r="U695" s="72">
        <f t="shared" ca="1" si="170"/>
        <v>90.908272674140591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IFERROR(__xludf.DUMMYFUNCTION("IMPORTRANGE(""https://docs.google.com/spreadsheets/d/1eHaY18a8A9IcSdp1K8H6x8fbOy06t2VsZHhMHf-1x7Y/edit?usp=sharing"",""แผน!LC68"")"),0)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70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IFERROR(__xludf.DUMMYFUNCTION("IMPORTRANGE(""https://docs.google.com/spreadsheets/d/1eHaY18a8A9IcSdp1K8H6x8fbOy06t2VsZHhMHf-1x7Y/edit?usp=sharing"",""แผน!LJ68"")"),70)</f>
        <v>70</v>
      </c>
      <c r="J703" s="291">
        <f ca="1">IFERROR(__xludf.DUMMYFUNCTION("IMPORTRANGE(""https://docs.google.com/spreadsheets/d/1tdoBKaGub7dwA3U6UFTqxio9LNnvDCQjHKmttSEBsFQ/edit?usp=sharing"",""จัดที่ดิน!AP68"")"),0)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IFERROR(__xludf.DUMMYFUNCTION("IMPORTRANGE(""https://docs.google.com/spreadsheets/d/1tdoBKaGub7dwA3U6UFTqxio9LNnvDCQjHKmttSEBsFQ/edit?usp=sharing"",""จัดที่ดิน!AQ68"")"),0)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IFERROR(__xludf.DUMMYFUNCTION("IMPORTRANGE(""https://docs.google.com/spreadsheets/d/1eHaY18a8A9IcSdp1K8H6x8fbOy06t2VsZHhMHf-1x7Y/edit?usp=sharing"",""แผน!LK68"")"),0)</f>
        <v>0</v>
      </c>
      <c r="J705" s="291">
        <f ca="1">IFERROR(__xludf.DUMMYFUNCTION("IMPORTRANGE(""https://docs.google.com/spreadsheets/d/1tdoBKaGub7dwA3U6UFTqxio9LNnvDCQjHKmttSEBsFQ/edit?usp=sharing"",""จัดที่ดิน!AR68"")"),0)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IFERROR(__xludf.DUMMYFUNCTION("IMPORTRANGE(""https://docs.google.com/spreadsheets/d/1tdoBKaGub7dwA3U6UFTqxio9LNnvDCQjHKmttSEBsFQ/edit?usp=sharing"",""จัดที่ดิน!AS68"")"),0)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IFERROR(__xludf.DUMMYFUNCTION("IMPORTRANGE(""https://docs.google.com/spreadsheets/d/1eHaY18a8A9IcSdp1K8H6x8fbOy06t2VsZHhMHf-1x7Y/edit?usp=sharing"",""แผน!LJ68"")"),70)</f>
        <v>70</v>
      </c>
      <c r="J707" s="291">
        <f ca="1">IFERROR(__xludf.DUMMYFUNCTION("IMPORTRANGE(""https://docs.google.com/spreadsheets/d/1tdoBKaGub7dwA3U6UFTqxio9LNnvDCQjHKmttSEBsFQ/edit?usp=sharing"",""จัดที่ดิน!BN68"")"),0)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IFERROR(__xludf.DUMMYFUNCTION("IMPORTRANGE(""https://docs.google.com/spreadsheets/d/1tdoBKaGub7dwA3U6UFTqxio9LNnvDCQjHKmttSEBsFQ/edit?usp=sharing"",""จัดที่ดิน!BO68"")"),0)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IFERROR(__xludf.DUMMYFUNCTION("IMPORTRANGE(""https://docs.google.com/spreadsheets/d/1eHaY18a8A9IcSdp1K8H6x8fbOy06t2VsZHhMHf-1x7Y/edit?usp=sharing"",""แผน!LK68"")"),0)</f>
        <v>0</v>
      </c>
      <c r="J709" s="291">
        <f ca="1">IFERROR(__xludf.DUMMYFUNCTION("IMPORTRANGE(""https://docs.google.com/spreadsheets/d/1tdoBKaGub7dwA3U6UFTqxio9LNnvDCQjHKmttSEBsFQ/edit?usp=sharing"",""จัดที่ดิน!BP68"")"),0)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IFERROR(__xludf.DUMMYFUNCTION("IMPORTRANGE(""https://docs.google.com/spreadsheets/d/1tdoBKaGub7dwA3U6UFTqxio9LNnvDCQjHKmttSEBsFQ/edit?usp=sharing"",""จัดที่ดิน!BQ68"")"),0)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IFERROR(__xludf.DUMMYFUNCTION("IMPORTRANGE(""https://docs.google.com/spreadsheets/d/1eHaY18a8A9IcSdp1K8H6x8fbOy06t2VsZHhMHf-1x7Y/edit?usp=sharing"",""แผน!GA68"")"),128)</f>
        <v>128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IFERROR(__xludf.DUMMYFUNCTION("IMPORTRANGE(""https://docs.google.com/spreadsheets/d/1eHaY18a8A9IcSdp1K8H6x8fbOy06t2VsZHhMHf-1x7Y/edit?usp=sharing"",""แผน!FZ68"")"),1250)</f>
        <v>1250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1008470</v>
      </c>
      <c r="R728" s="262">
        <f ca="1">R729+R730</f>
        <v>1008470</v>
      </c>
      <c r="S728" s="262">
        <f ca="1">S729+S730</f>
        <v>114460</v>
      </c>
      <c r="T728" s="262">
        <f t="shared" ref="T728:T736" ca="1" si="182">IF(Q728&gt;0,S728*100/Q728,0)</f>
        <v>11.349866629646892</v>
      </c>
      <c r="U728" s="262">
        <f t="shared" ref="U728:U736" ca="1" si="183">IF(R728&gt;0,S728*100/R728,0)</f>
        <v>11.349866629646892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1008470</v>
      </c>
      <c r="R730" s="72">
        <f t="shared" ca="1" si="185"/>
        <v>1008470</v>
      </c>
      <c r="S730" s="72">
        <f t="shared" ca="1" si="185"/>
        <v>114460</v>
      </c>
      <c r="T730" s="72">
        <f t="shared" ca="1" si="182"/>
        <v>11.349866629646892</v>
      </c>
      <c r="U730" s="72">
        <f t="shared" ca="1" si="183"/>
        <v>11.349866629646892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1008470</v>
      </c>
      <c r="R731" s="72">
        <f ca="1">R732+R733</f>
        <v>1008470</v>
      </c>
      <c r="S731" s="72">
        <f ca="1">S732+S733</f>
        <v>114460</v>
      </c>
      <c r="T731" s="72">
        <f t="shared" ca="1" si="182"/>
        <v>11.349866629646892</v>
      </c>
      <c r="U731" s="72">
        <f t="shared" ca="1" si="183"/>
        <v>11.349866629646892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IFERROR(__xludf.DUMMYFUNCTION("IMPORTRANGE(""https://docs.google.com/spreadsheets/d/1ItG2mGa2ceCfYo0BwxsXqNm01IGEUdYcSSLTEv9YCik/edit?usp=sharing"",""เบิกจ่ายกองทุน!O68"")"),1008470)</f>
        <v>1008470</v>
      </c>
      <c r="R733" s="72">
        <f ca="1">IFERROR(__xludf.DUMMYFUNCTION("IMPORTRANGE(""https://docs.google.com/spreadsheets/d/1ItG2mGa2ceCfYo0BwxsXqNm01IGEUdYcSSLTEv9YCik/edit?usp=sharing"",""เบิกจ่ายกองทุน!P68"")"),1008470)</f>
        <v>1008470</v>
      </c>
      <c r="S733" s="72">
        <f ca="1">IFERROR(__xludf.DUMMYFUNCTION("IMPORTRANGE(""https://docs.google.com/spreadsheets/d/1ItG2mGa2ceCfYo0BwxsXqNm01IGEUdYcSSLTEv9YCik/edit?usp=sharing"",""เบิกจ่ายกองทุน!Q68"")"),114460)</f>
        <v>114460</v>
      </c>
      <c r="T733" s="72">
        <f t="shared" ca="1" si="182"/>
        <v>11.349866629646892</v>
      </c>
      <c r="U733" s="72">
        <f t="shared" ca="1" si="183"/>
        <v>11.349866629646892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IFERROR(__xludf.DUMMYFUNCTION("IMPORTRANGE(""https://docs.google.com/spreadsheets/d/1eHaY18a8A9IcSdp1K8H6x8fbOy06t2VsZHhMHf-1x7Y/edit?usp=sharing"",""แผน!GB68"")"),1000)</f>
        <v>1000</v>
      </c>
      <c r="J740" s="794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IFERROR(__xludf.DUMMYFUNCTION("IMPORTRANGE(""https://docs.google.com/spreadsheets/d/1eHaY18a8A9IcSdp1K8H6x8fbOy06t2VsZHhMHf-1x7Y/edit?usp=sharing"",""แผน!GC68"")"),100)</f>
        <v>100</v>
      </c>
      <c r="J742" s="794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IFERROR(__xludf.DUMMYFUNCTION("IMPORTRANGE(""https://docs.google.com/spreadsheets/d/1eHaY18a8A9IcSdp1K8H6x8fbOy06t2VsZHhMHf-1x7Y/edit?usp=sharing"",""แผน!GD68"")"),250)</f>
        <v>250</v>
      </c>
      <c r="J744" s="794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IFERROR(__xludf.DUMMYFUNCTION("IMPORTRANGE(""https://docs.google.com/spreadsheets/d/1eHaY18a8A9IcSdp1K8H6x8fbOy06t2VsZHhMHf-1x7Y/edit?usp=sharing"",""แผน!GE68"")"),25)</f>
        <v>25</v>
      </c>
      <c r="J746" s="794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IFERROR(__xludf.DUMMYFUNCTION("IMPORTRANGE(""https://docs.google.com/spreadsheets/d/1eHaY18a8A9IcSdp1K8H6x8fbOy06t2VsZHhMHf-1x7Y/edit?usp=sharing"",""แผน!GF68"")"),3)</f>
        <v>3</v>
      </c>
      <c r="J749" s="794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IFERROR(__xludf.DUMMYFUNCTION("IMPORTRANGE(""https://docs.google.com/spreadsheets/d/1eHaY18a8A9IcSdp1K8H6x8fbOy06t2VsZHhMHf-1x7Y/edit?usp=sharing"",""แผน!GB68"")"),1000)</f>
        <v>1000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IFERROR(__xludf.DUMMYFUNCTION("IMPORTRANGE(""https://docs.google.com/spreadsheets/d/1eHaY18a8A9IcSdp1K8H6x8fbOy06t2VsZHhMHf-1x7Y/edit?usp=sharing"",""แผน!GD68"")"),250)</f>
        <v>250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60</v>
      </c>
      <c r="J758" s="743">
        <f>J772</f>
        <v>20</v>
      </c>
      <c r="K758" s="744">
        <f ca="1">IF(I758&gt;0,J758*100/I758,0)</f>
        <v>33.333333333333336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105</v>
      </c>
      <c r="J759" s="743">
        <f>J774</f>
        <v>40</v>
      </c>
      <c r="K759" s="744">
        <f ca="1">IF(I759&gt;0,J759*100/I759,0)</f>
        <v>38.095238095238095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413100</v>
      </c>
      <c r="R760" s="262">
        <f ca="1">R761+R762</f>
        <v>413100</v>
      </c>
      <c r="S760" s="262">
        <f ca="1">S761+S762</f>
        <v>165820</v>
      </c>
      <c r="T760" s="262">
        <f t="shared" ref="T760:T768" ca="1" si="188">IF(Q760&gt;0,S760*100/Q760,0)</f>
        <v>40.140401839748243</v>
      </c>
      <c r="U760" s="262">
        <f t="shared" ref="U760:U768" ca="1" si="189">IF(R760&gt;0,S760*100/R760,0)</f>
        <v>40.140401839748243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413100</v>
      </c>
      <c r="R762" s="72">
        <f t="shared" ca="1" si="191"/>
        <v>413100</v>
      </c>
      <c r="S762" s="72">
        <f t="shared" ca="1" si="191"/>
        <v>165820</v>
      </c>
      <c r="T762" s="72">
        <f t="shared" ca="1" si="188"/>
        <v>40.140401839748243</v>
      </c>
      <c r="U762" s="72">
        <f t="shared" ca="1" si="189"/>
        <v>40.140401839748243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413100</v>
      </c>
      <c r="R763" s="72">
        <f ca="1">R764+R765</f>
        <v>413100</v>
      </c>
      <c r="S763" s="72">
        <f ca="1">S764+S765</f>
        <v>165820</v>
      </c>
      <c r="T763" s="72">
        <f t="shared" ca="1" si="188"/>
        <v>40.140401839748243</v>
      </c>
      <c r="U763" s="72">
        <f t="shared" ca="1" si="189"/>
        <v>40.140401839748243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IFERROR(__xludf.DUMMYFUNCTION("IMPORTRANGE(""https://docs.google.com/spreadsheets/d/1ItG2mGa2ceCfYo0BwxsXqNm01IGEUdYcSSLTEv9YCik/edit?usp=sharing"",""เบิกจ่ายกองทุน!AA68"")"),413100)</f>
        <v>413100</v>
      </c>
      <c r="R765" s="72">
        <f ca="1">IFERROR(__xludf.DUMMYFUNCTION("IMPORTRANGE(""https://docs.google.com/spreadsheets/d/1ItG2mGa2ceCfYo0BwxsXqNm01IGEUdYcSSLTEv9YCik/edit?usp=sharing"",""เบิกจ่ายกองทุน!AB68"")"),413100)</f>
        <v>413100</v>
      </c>
      <c r="S765" s="72">
        <f ca="1">IFERROR(__xludf.DUMMYFUNCTION("IMPORTRANGE(""https://docs.google.com/spreadsheets/d/1ItG2mGa2ceCfYo0BwxsXqNm01IGEUdYcSSLTEv9YCik/edit?usp=sharing"",""เบิกจ่ายกองทุน!AC68"")"),165820)</f>
        <v>165820</v>
      </c>
      <c r="T765" s="72">
        <f t="shared" ca="1" si="188"/>
        <v>40.140401839748243</v>
      </c>
      <c r="U765" s="72">
        <f t="shared" ca="1" si="189"/>
        <v>40.140401839748243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IFERROR(__xludf.DUMMYFUNCTION("IMPORTRANGE(""https://docs.google.com/spreadsheets/d/1eHaY18a8A9IcSdp1K8H6x8fbOy06t2VsZHhMHf-1x7Y/edit?usp=sharing"",""แผน!FI68"")"),0)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IFERROR(__xludf.DUMMYFUNCTION("IMPORTRANGE(""https://docs.google.com/spreadsheets/d/1eHaY18a8A9IcSdp1K8H6x8fbOy06t2VsZHhMHf-1x7Y/edit?usp=sharing"",""แผน!FQ68"")"),60)</f>
        <v>60</v>
      </c>
      <c r="J772" s="292">
        <v>20</v>
      </c>
      <c r="K772" s="72">
        <f ca="1">IF(I772&gt;0,J772*100/I772,0)</f>
        <v>33.333333333333336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IFERROR(__xludf.DUMMYFUNCTION("IMPORTRANGE(""https://docs.google.com/spreadsheets/d/1eHaY18a8A9IcSdp1K8H6x8fbOy06t2VsZHhMHf-1x7Y/edit?usp=sharing"",""แผน!FR68"")"),105)</f>
        <v>105</v>
      </c>
      <c r="J774" s="292">
        <v>40</v>
      </c>
      <c r="K774" s="72">
        <f ca="1">IF(I774&gt;0,J774*100/I774,0)</f>
        <v>38.095238095238095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IFERROR(__xludf.DUMMYFUNCTION("IMPORTRANGE(""https://docs.google.com/spreadsheets/d/1eHaY18a8A9IcSdp1K8H6x8fbOy06t2VsZHhMHf-1x7Y/edit?usp=sharing"",""แผน!FS68"")"),105)</f>
        <v>105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IFERROR(__xludf.DUMMYFUNCTION("IMPORTRANGE(""https://docs.google.com/spreadsheets/d/1eHaY18a8A9IcSdp1K8H6x8fbOy06t2VsZHhMHf-1x7Y/edit?usp=sharing"",""แผน!FT68"")"),60)</f>
        <v>60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IFERROR(__xludf.DUMMYFUNCTION("IMPORTRANGE(""https://docs.google.com/spreadsheets/d/10OvvATaaLtwErnr3qtWFcTmtbfpFEt5Bsqel9sXx0uE/edit?usp=sharing"",""งานกองทุน!D68"")"),6329000)</f>
        <v>6329000</v>
      </c>
      <c r="J778" s="291">
        <f ca="1">IFERROR(__xludf.DUMMYFUNCTION("IMPORTRANGE(""https://docs.google.com/spreadsheets/d/10OvvATaaLtwErnr3qtWFcTmtbfpFEt5Bsqel9sXx0uE/edit?usp=sharing"",""งานกองทุน!F68"")"),2989050.4)</f>
        <v>2989050.4</v>
      </c>
      <c r="K778" s="72">
        <f t="shared" ref="K778:K785" ca="1" si="192">IF(I778&gt;0,J778*100/I778,0)</f>
        <v>47.227846421235583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IFERROR(__xludf.DUMMYFUNCTION("IMPORTRANGE(""https://docs.google.com/spreadsheets/d/10OvvATaaLtwErnr3qtWFcTmtbfpFEt5Bsqel9sXx0uE/edit?usp=sharing"",""งานกองทุน!C68"")"),192)</f>
        <v>192</v>
      </c>
      <c r="J779" s="291">
        <f ca="1">IFERROR(__xludf.DUMMYFUNCTION("IMPORTRANGE(""https://docs.google.com/spreadsheets/d/10OvvATaaLtwErnr3qtWFcTmtbfpFEt5Bsqel9sXx0uE/edit?usp=sharing"",""งานกองทุน!E68"")"),95)</f>
        <v>95</v>
      </c>
      <c r="K779" s="72">
        <f t="shared" ca="1" si="192"/>
        <v>49.479166666666664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IFERROR(__xludf.DUMMYFUNCTION("IMPORTRANGE(""https://docs.google.com/spreadsheets/d/10OvvATaaLtwErnr3qtWFcTmtbfpFEt5Bsqel9sXx0uE/edit?usp=sharing"",""งานกองทุน!I68"")"),7578325.46)</f>
        <v>7578325.46</v>
      </c>
      <c r="J780" s="291">
        <f ca="1">IFERROR(__xludf.DUMMYFUNCTION("IMPORTRANGE(""https://docs.google.com/spreadsheets/d/10OvvATaaLtwErnr3qtWFcTmtbfpFEt5Bsqel9sXx0uE/edit?usp=sharing"",""งานกองทุน!K68"")"),283770.06)</f>
        <v>283770.06</v>
      </c>
      <c r="K780" s="72">
        <f t="shared" ca="1" si="192"/>
        <v>3.7444955550906096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IFERROR(__xludf.DUMMYFUNCTION("IMPORTRANGE(""https://docs.google.com/spreadsheets/d/10OvvATaaLtwErnr3qtWFcTmtbfpFEt5Bsqel9sXx0uE/edit?usp=sharing"",""งานกองทุน!H68"")"),328)</f>
        <v>328</v>
      </c>
      <c r="J781" s="291">
        <f ca="1">IFERROR(__xludf.DUMMYFUNCTION("IMPORTRANGE(""https://docs.google.com/spreadsheets/d/10OvvATaaLtwErnr3qtWFcTmtbfpFEt5Bsqel9sXx0uE/edit?usp=sharing"",""งานกองทุน!J68"")"),27)</f>
        <v>27</v>
      </c>
      <c r="K781" s="72">
        <f t="shared" ca="1" si="192"/>
        <v>8.2317073170731714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IFERROR(__xludf.DUMMYFUNCTION("IMPORTRANGE(""https://docs.google.com/spreadsheets/d/10OvvATaaLtwErnr3qtWFcTmtbfpFEt5Bsqel9sXx0uE/edit?usp=sharing"",""งานกองทุน!N68"")"),9330714.04)</f>
        <v>9330714.0399999991</v>
      </c>
      <c r="J782" s="291">
        <f ca="1">IFERROR(__xludf.DUMMYFUNCTION("IMPORTRANGE(""https://docs.google.com/spreadsheets/d/10OvvATaaLtwErnr3qtWFcTmtbfpFEt5Bsqel9sXx0uE/edit?usp=sharing"",""งานกองทุน!P68"")"),2382733.6)</f>
        <v>2382733.6</v>
      </c>
      <c r="K782" s="72">
        <f t="shared" ca="1" si="192"/>
        <v>25.536455085703174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IFERROR(__xludf.DUMMYFUNCTION("IMPORTRANGE(""https://docs.google.com/spreadsheets/d/10OvvATaaLtwErnr3qtWFcTmtbfpFEt5Bsqel9sXx0uE/edit?usp=sharing"",""งานกองทุน!M68"")"),1124)</f>
        <v>1124</v>
      </c>
      <c r="J783" s="291">
        <f ca="1">IFERROR(__xludf.DUMMYFUNCTION("IMPORTRANGE(""https://docs.google.com/spreadsheets/d/10OvvATaaLtwErnr3qtWFcTmtbfpFEt5Bsqel9sXx0uE/edit?usp=sharing"",""งานกองทุน!O68"")"),191)</f>
        <v>191</v>
      </c>
      <c r="K783" s="72">
        <f t="shared" ca="1" si="192"/>
        <v>16.992882562277579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IFERROR(__xludf.DUMMYFUNCTION("IMPORTRANGE(""https://docs.google.com/spreadsheets/d/10OvvATaaLtwErnr3qtWFcTmtbfpFEt5Bsqel9sXx0uE/edit?usp=sharing"",""งานกองทุน!S68"")"),10920000)</f>
        <v>10920000</v>
      </c>
      <c r="J784" s="291">
        <f ca="1">IFERROR(__xludf.DUMMYFUNCTION("IMPORTRANGE(""https://docs.google.com/spreadsheets/d/10OvvATaaLtwErnr3qtWFcTmtbfpFEt5Bsqel9sXx0uE/edit?usp=sharing"",""งานกองทุน!U68"")"),2885000)</f>
        <v>2885000</v>
      </c>
      <c r="K784" s="72">
        <f t="shared" ca="1" si="192"/>
        <v>26.41941391941392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IFERROR(__xludf.DUMMYFUNCTION("IMPORTRANGE(""https://docs.google.com/spreadsheets/d/10OvvATaaLtwErnr3qtWFcTmtbfpFEt5Bsqel9sXx0uE/edit?usp=sharing"",""งานกองทุน!R68"")"),390)</f>
        <v>390</v>
      </c>
      <c r="J785" s="773">
        <f ca="1">IFERROR(__xludf.DUMMYFUNCTION("IMPORTRANGE(""https://docs.google.com/spreadsheets/d/10OvvATaaLtwErnr3qtWFcTmtbfpFEt5Bsqel9sXx0uE/edit?usp=sharing"",""งานกองทุน!T68"")"),85)</f>
        <v>85</v>
      </c>
      <c r="K785" s="181">
        <f t="shared" ca="1" si="192"/>
        <v>21.794871794871796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137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DCA1D-EEF3-4B62-BBEA-3B3B1BF142F9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363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9.5" hidden="1" x14ac:dyDescent="0.3">
      <c r="A9" s="1036"/>
      <c r="B9" s="283"/>
      <c r="C9" s="283"/>
      <c r="D9" s="283"/>
      <c r="E9" s="283"/>
      <c r="F9" s="283"/>
      <c r="G9" s="1070"/>
      <c r="H9" s="1070"/>
      <c r="I9" s="1070"/>
      <c r="J9" s="1070"/>
      <c r="K9" s="1070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3915454</v>
      </c>
      <c r="M18" s="57">
        <f ca="1">M19+M20</f>
        <v>4211043.37</v>
      </c>
      <c r="N18" s="57">
        <f ca="1">N19+N20</f>
        <v>2665413.0299999998</v>
      </c>
      <c r="O18" s="57">
        <f t="shared" ref="O18:O26" ca="1" si="0">IF(L18&gt;0,N18*100/L18,0)</f>
        <v>68.074175561761152</v>
      </c>
      <c r="P18" s="57">
        <f t="shared" ref="P18:P26" ca="1" si="1">IF(M18&gt;0,N18*100/M18,0)</f>
        <v>63.295786716155327</v>
      </c>
      <c r="Q18" s="57">
        <f ca="1">Q19+Q20</f>
        <v>2901935</v>
      </c>
      <c r="R18" s="57">
        <f ca="1">R19+R20</f>
        <v>2909635</v>
      </c>
      <c r="S18" s="57">
        <f ca="1">S19+S20</f>
        <v>1169402.3700000001</v>
      </c>
      <c r="T18" s="57">
        <f t="shared" ref="T18:T26" ca="1" si="2">IF(Q18&gt;0,S18*100/Q18,0)</f>
        <v>40.297331608047742</v>
      </c>
      <c r="U18" s="57">
        <f t="shared" ref="U18:U26" ca="1" si="3">IF(R18&gt;0,S18*100/R18,0)</f>
        <v>40.190689553844386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3915454</v>
      </c>
      <c r="M20" s="63">
        <f t="shared" ca="1" si="4"/>
        <v>4211043.37</v>
      </c>
      <c r="N20" s="63">
        <f t="shared" ca="1" si="4"/>
        <v>2665413.0299999998</v>
      </c>
      <c r="O20" s="63">
        <f t="shared" ca="1" si="0"/>
        <v>68.074175561761152</v>
      </c>
      <c r="P20" s="63">
        <f t="shared" ca="1" si="1"/>
        <v>63.295786716155327</v>
      </c>
      <c r="Q20" s="63">
        <f t="shared" ca="1" si="5"/>
        <v>2901935</v>
      </c>
      <c r="R20" s="63">
        <f t="shared" ca="1" si="5"/>
        <v>2909635</v>
      </c>
      <c r="S20" s="63">
        <f t="shared" ca="1" si="5"/>
        <v>1169402.3700000001</v>
      </c>
      <c r="T20" s="63">
        <f t="shared" ca="1" si="2"/>
        <v>40.297331608047742</v>
      </c>
      <c r="U20" s="63">
        <f t="shared" ca="1" si="3"/>
        <v>40.190689553844386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3839854</v>
      </c>
      <c r="M21" s="72">
        <f ca="1">M22+M23</f>
        <v>4135443.37</v>
      </c>
      <c r="N21" s="72">
        <f ca="1">N22+N23</f>
        <v>2589813.0299999998</v>
      </c>
      <c r="O21" s="72">
        <f t="shared" ca="1" si="0"/>
        <v>67.445611994622709</v>
      </c>
      <c r="P21" s="72">
        <f t="shared" ca="1" si="1"/>
        <v>62.624797350326176</v>
      </c>
      <c r="Q21" s="72">
        <f ca="1">Q22+Q23</f>
        <v>2901935</v>
      </c>
      <c r="R21" s="72">
        <f ca="1">R22+R23</f>
        <v>2909635</v>
      </c>
      <c r="S21" s="72">
        <f ca="1">S22+S23</f>
        <v>1169402.3700000001</v>
      </c>
      <c r="T21" s="72">
        <f t="shared" ca="1" si="2"/>
        <v>40.297331608047742</v>
      </c>
      <c r="U21" s="72">
        <f t="shared" ca="1" si="3"/>
        <v>40.190689553844386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3839854</v>
      </c>
      <c r="M23" s="72">
        <f ca="1">M49+M64+M77+M99+M122+M144+M162+M191+M178+M271+M287+M308+M325+M338+M361+M380+M418+M498+M518+M539+M560+M581+M604+M621+M647+M695+M719+M733+M765</f>
        <v>4135443.37</v>
      </c>
      <c r="N23" s="72">
        <f ca="1">N49+N64+N77+N99+N122+N144+N162+N191+N178+N271+N287+N308+N325+N338+N361+N380+N418+N498+N518+N539+N560+N581+N604+N621+N647+N695+N719+N733+N765</f>
        <v>2589813.0299999998</v>
      </c>
      <c r="O23" s="72">
        <f t="shared" ca="1" si="0"/>
        <v>67.445611994622709</v>
      </c>
      <c r="P23" s="72">
        <f t="shared" ca="1" si="1"/>
        <v>62.624797350326176</v>
      </c>
      <c r="Q23" s="72">
        <f t="shared" ca="1" si="6"/>
        <v>2901935</v>
      </c>
      <c r="R23" s="72">
        <f t="shared" ca="1" si="6"/>
        <v>2909635</v>
      </c>
      <c r="S23" s="72">
        <f t="shared" ca="1" si="6"/>
        <v>1169402.3700000001</v>
      </c>
      <c r="T23" s="72">
        <f t="shared" ca="1" si="2"/>
        <v>40.297331608047742</v>
      </c>
      <c r="U23" s="72">
        <f t="shared" ca="1" si="3"/>
        <v>40.190689553844386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75600</v>
      </c>
      <c r="M24" s="72">
        <f ca="1">M25+M26</f>
        <v>75600</v>
      </c>
      <c r="N24" s="72">
        <f ca="1">N25+N26</f>
        <v>75600</v>
      </c>
      <c r="O24" s="72">
        <f t="shared" ca="1" si="0"/>
        <v>100</v>
      </c>
      <c r="P24" s="72">
        <f t="shared" ca="1" si="1"/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75600</v>
      </c>
      <c r="M26" s="72">
        <f ca="1">M52+M67+M80+M102+M125+M147+M165+M194+M181+M274+M290+M311+M328+M341+M364+M383+M421+M501+M521+M542+M563+M584+M607+M624+M650+M698+M722+M736+M768</f>
        <v>75600</v>
      </c>
      <c r="N26" s="72">
        <f ca="1">N52+N67+N80+N102+N125+N147+N165+N194+N181+N274+N290+N311+N328+N341+N364+N383+N421+N501+N521+N542+N563+N584+N607+N624+N650+N698+N722+N736+N768</f>
        <v>75600</v>
      </c>
      <c r="O26" s="72">
        <f t="shared" ca="1" si="0"/>
        <v>100</v>
      </c>
      <c r="P26" s="72">
        <f t="shared" ca="1" si="1"/>
        <v>100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3368828</v>
      </c>
      <c r="M40" s="1050">
        <f ca="1">M44+M59+M72+M94+M125+M139+M157+M173+M186+M266+M282+M303+M320+M333+M356</f>
        <v>3664417.37</v>
      </c>
      <c r="N40" s="1050">
        <f ca="1">N44+N59+N72+N94+N125+N139+N157+N173+N186+N266+N282+N303+N320+N333+N356</f>
        <v>2574423.9</v>
      </c>
      <c r="O40" s="1050">
        <f ca="1">IF(L40&gt;0,N40*100/L40,0)</f>
        <v>76.418977163571427</v>
      </c>
      <c r="P40" s="1050">
        <f ca="1">IF(M40&gt;0,N40*100/M40,0)</f>
        <v>70.254658245984686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428578</v>
      </c>
      <c r="M44" s="1031">
        <f ca="1">M45+M46</f>
        <v>534867.37</v>
      </c>
      <c r="N44" s="1031">
        <f ca="1">N45+N46</f>
        <v>425871</v>
      </c>
      <c r="O44" s="1031">
        <f t="shared" ref="O44:O52" ca="1" si="8">IF(L44&gt;0,N44*100/L44,0)</f>
        <v>99.368376351562603</v>
      </c>
      <c r="P44" s="1031">
        <f t="shared" ref="P44:P52" ca="1" si="9">IF(M44&gt;0,N44*100/M44,0)</f>
        <v>79.621794838597097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428578</v>
      </c>
      <c r="M46" s="1018">
        <f t="shared" ca="1" si="12"/>
        <v>534867.37</v>
      </c>
      <c r="N46" s="1018">
        <f t="shared" ca="1" si="12"/>
        <v>425871</v>
      </c>
      <c r="O46" s="1018">
        <f t="shared" ca="1" si="8"/>
        <v>99.368376351562603</v>
      </c>
      <c r="P46" s="1018">
        <f t="shared" ca="1" si="9"/>
        <v>79.621794838597097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428578</v>
      </c>
      <c r="M47" s="72">
        <f ca="1">M48+M49</f>
        <v>534867.37</v>
      </c>
      <c r="N47" s="72">
        <f ca="1">N48+N49</f>
        <v>425871</v>
      </c>
      <c r="O47" s="72">
        <f t="shared" ca="1" si="8"/>
        <v>99.368376351562603</v>
      </c>
      <c r="P47" s="72">
        <f t="shared" ca="1" si="9"/>
        <v>79.621794838597097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IFERROR(__xludf.DUMMYFUNCTION("IMPORTRANGE(""https://docs.google.com/spreadsheets/d/1-uDff_7J0KD5mKrp0Vvzr7lt3OU09vwQwhkpOPPYv2Y/edit?usp=sharing"",""งบพรบ!P69"")"),428578)</f>
        <v>428578</v>
      </c>
      <c r="M49" s="72">
        <f ca="1">IFERROR(__xludf.DUMMYFUNCTION("IMPORTRANGE(""https://docs.google.com/spreadsheets/d/1-uDff_7J0KD5mKrp0Vvzr7lt3OU09vwQwhkpOPPYv2Y/edit?usp=sharing"",""งบพรบ!V69"")"),534867.37)</f>
        <v>534867.37</v>
      </c>
      <c r="N49" s="72">
        <f ca="1">IFERROR(__xludf.DUMMYFUNCTION("IMPORTRANGE(""https://docs.google.com/spreadsheets/d/1-uDff_7J0KD5mKrp0Vvzr7lt3OU09vwQwhkpOPPYv2Y/edit?usp=sharing"",""งบพรบ!Y69"")"),425871)</f>
        <v>425871</v>
      </c>
      <c r="O49" s="72">
        <f t="shared" ca="1" si="8"/>
        <v>99.368376351562603</v>
      </c>
      <c r="P49" s="72">
        <f t="shared" ca="1" si="9"/>
        <v>79.621794838597097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IFERROR(__xludf.DUMMYFUNCTION("IMPORTRANGE(""https://docs.google.com/spreadsheets/d/1-uDff_7J0KD5mKrp0Vvzr7lt3OU09vwQwhkpOPPYv2Y/edit?usp=sharing"",""งบพรบ!S69"")"),0)</f>
        <v>0</v>
      </c>
      <c r="M52" s="72">
        <f ca="1">IFERROR(__xludf.DUMMYFUNCTION("IMPORTRANGE(""https://docs.google.com/spreadsheets/d/1-uDff_7J0KD5mKrp0Vvzr7lt3OU09vwQwhkpOPPYv2Y/edit?usp=sharing"",""งบพรบ!W69"")"),0)</f>
        <v>0</v>
      </c>
      <c r="N52" s="72">
        <f ca="1">IFERROR(__xludf.DUMMYFUNCTION("IMPORTRANGE(""https://docs.google.com/spreadsheets/d/1-uDff_7J0KD5mKrp0Vvzr7lt3OU09vwQwhkpOPPYv2Y/edit?usp=sharing"",""งบพรบ!Z69"")"),0)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909200</v>
      </c>
      <c r="M59" s="1001">
        <f ca="1">M60+M61</f>
        <v>909200</v>
      </c>
      <c r="N59" s="1001">
        <f ca="1">N60+N61</f>
        <v>797271.65</v>
      </c>
      <c r="O59" s="1001">
        <f t="shared" ref="O59:O67" ca="1" si="14">IF(L59&gt;0,N59*100/L59,0)</f>
        <v>87.689358776946762</v>
      </c>
      <c r="P59" s="1001">
        <f t="shared" ref="P59:P67" ca="1" si="15">IF(M59&gt;0,N59*100/M59,0)</f>
        <v>87.689358776946762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909200</v>
      </c>
      <c r="M61" s="988">
        <f t="shared" ca="1" si="18"/>
        <v>909200</v>
      </c>
      <c r="N61" s="988">
        <f t="shared" ca="1" si="18"/>
        <v>797271.65</v>
      </c>
      <c r="O61" s="988">
        <f t="shared" ca="1" si="14"/>
        <v>87.689358776946762</v>
      </c>
      <c r="P61" s="988">
        <f t="shared" ca="1" si="15"/>
        <v>87.689358776946762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833600</v>
      </c>
      <c r="M62" s="72">
        <f ca="1">M63+M64</f>
        <v>833600</v>
      </c>
      <c r="N62" s="72">
        <f ca="1">N63+N64</f>
        <v>721671.65</v>
      </c>
      <c r="O62" s="72">
        <f t="shared" ca="1" si="14"/>
        <v>86.572894673704411</v>
      </c>
      <c r="P62" s="72">
        <f t="shared" ca="1" si="15"/>
        <v>86.572894673704411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IFERROR(__xludf.DUMMYFUNCTION("IMPORTRANGE(""https://docs.google.com/spreadsheets/d/1-uDff_7J0KD5mKrp0Vvzr7lt3OU09vwQwhkpOPPYv2Y/edit?usp=sharing"",""งบพรบ!AC69"")"),833600)</f>
        <v>833600</v>
      </c>
      <c r="M64" s="72">
        <f ca="1">IFERROR(__xludf.DUMMYFUNCTION("IMPORTRANGE(""https://docs.google.com/spreadsheets/d/1-uDff_7J0KD5mKrp0Vvzr7lt3OU09vwQwhkpOPPYv2Y/edit?usp=sharing"",""งบพรบ!AH69"")"),833600)</f>
        <v>833600</v>
      </c>
      <c r="N64" s="72">
        <f ca="1">IFERROR(__xludf.DUMMYFUNCTION("IMPORTRANGE(""https://docs.google.com/spreadsheets/d/1-uDff_7J0KD5mKrp0Vvzr7lt3OU09vwQwhkpOPPYv2Y/edit?usp=sharing"",""งบพรบ!AJ69"")"),721671.65)</f>
        <v>721671.65</v>
      </c>
      <c r="O64" s="72">
        <f t="shared" ca="1" si="14"/>
        <v>86.572894673704411</v>
      </c>
      <c r="P64" s="72">
        <f t="shared" ca="1" si="15"/>
        <v>86.572894673704411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75600</v>
      </c>
      <c r="M65" s="72">
        <f ca="1">M66+M67</f>
        <v>75600</v>
      </c>
      <c r="N65" s="72">
        <f ca="1">N66+N67</f>
        <v>75600</v>
      </c>
      <c r="O65" s="72">
        <f t="shared" ca="1" si="14"/>
        <v>100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IFERROR(__xludf.DUMMYFUNCTION("IMPORTRANGE(""https://docs.google.com/spreadsheets/d/1-uDff_7J0KD5mKrp0Vvzr7lt3OU09vwQwhkpOPPYv2Y/edit?usp=sharing"",""งบพรบ!AF69"")"),75600)</f>
        <v>75600</v>
      </c>
      <c r="M67" s="181">
        <f ca="1">IFERROR(__xludf.DUMMYFUNCTION("IMPORTRANGE(""https://docs.google.com/spreadsheets/d/1-uDff_7J0KD5mKrp0Vvzr7lt3OU09vwQwhkpOPPYv2Y/edit?usp=sharing"",""งบพรบ!AI69"")"),75600)</f>
        <v>75600</v>
      </c>
      <c r="N67" s="181">
        <f ca="1">IFERROR(__xludf.DUMMYFUNCTION("IMPORTRANGE(""https://docs.google.com/spreadsheets/d/1-uDff_7J0KD5mKrp0Vvzr7lt3OU09vwQwhkpOPPYv2Y/edit?usp=sharing"",""งบพรบ!AK69"")"),75600)</f>
        <v>75600</v>
      </c>
      <c r="O67" s="181">
        <f t="shared" ca="1" si="14"/>
        <v>100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69</v>
      </c>
      <c r="J71" s="254">
        <f>J83</f>
        <v>69</v>
      </c>
      <c r="K71" s="57">
        <f ca="1">IF(I71&gt;0,J71*100/I71,0)</f>
        <v>100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497100</v>
      </c>
      <c r="M72" s="262">
        <f ca="1">M73+M74</f>
        <v>497100</v>
      </c>
      <c r="N72" s="262">
        <f ca="1">N73+N74</f>
        <v>439592.36</v>
      </c>
      <c r="O72" s="262">
        <f t="shared" ref="O72:O80" ca="1" si="20">IF(L72&gt;0,N72*100/L72,0)</f>
        <v>88.431373969020314</v>
      </c>
      <c r="P72" s="262">
        <f t="shared" ref="P72:P80" ca="1" si="21">IF(M72&gt;0,N72*100/M72,0)</f>
        <v>88.431373969020314</v>
      </c>
      <c r="Q72" s="262">
        <f ca="1">Q73+Q74</f>
        <v>585080</v>
      </c>
      <c r="R72" s="262">
        <f ca="1">R73+R74</f>
        <v>585080</v>
      </c>
      <c r="S72" s="262">
        <f ca="1">S73+S74</f>
        <v>309810</v>
      </c>
      <c r="T72" s="262">
        <f t="shared" ref="T72:T80" ca="1" si="22">IF(Q72&gt;0,S72*100/Q72,0)</f>
        <v>52.951733096328709</v>
      </c>
      <c r="U72" s="262">
        <f t="shared" ref="U72:U80" ca="1" si="23">IF(R72&gt;0,S72*100/R72,0)</f>
        <v>52.951733096328709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497100</v>
      </c>
      <c r="M74" s="72">
        <f t="shared" ca="1" si="24"/>
        <v>497100</v>
      </c>
      <c r="N74" s="72">
        <f t="shared" ca="1" si="24"/>
        <v>439592.36</v>
      </c>
      <c r="O74" s="72">
        <f t="shared" ca="1" si="20"/>
        <v>88.431373969020314</v>
      </c>
      <c r="P74" s="72">
        <f t="shared" ca="1" si="21"/>
        <v>88.431373969020314</v>
      </c>
      <c r="Q74" s="72">
        <f t="shared" ca="1" si="25"/>
        <v>585080</v>
      </c>
      <c r="R74" s="72">
        <f t="shared" ca="1" si="25"/>
        <v>585080</v>
      </c>
      <c r="S74" s="72">
        <f t="shared" ca="1" si="25"/>
        <v>309810</v>
      </c>
      <c r="T74" s="72">
        <f t="shared" ca="1" si="22"/>
        <v>52.951733096328709</v>
      </c>
      <c r="U74" s="72">
        <f t="shared" ca="1" si="23"/>
        <v>52.951733096328709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497100</v>
      </c>
      <c r="M75" s="72">
        <f ca="1">M76+M77</f>
        <v>497100</v>
      </c>
      <c r="N75" s="72">
        <f ca="1">N76+N77</f>
        <v>439592.36</v>
      </c>
      <c r="O75" s="72">
        <f t="shared" ca="1" si="20"/>
        <v>88.431373969020314</v>
      </c>
      <c r="P75" s="72">
        <f t="shared" ca="1" si="21"/>
        <v>88.431373969020314</v>
      </c>
      <c r="Q75" s="72">
        <f ca="1">Q76+Q77</f>
        <v>585080</v>
      </c>
      <c r="R75" s="72">
        <f ca="1">R76+R77</f>
        <v>585080</v>
      </c>
      <c r="S75" s="72">
        <f ca="1">S76+S77</f>
        <v>309810</v>
      </c>
      <c r="T75" s="72">
        <f t="shared" ca="1" si="22"/>
        <v>52.951733096328709</v>
      </c>
      <c r="U75" s="72">
        <f t="shared" ca="1" si="23"/>
        <v>52.951733096328709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IFERROR(__xludf.DUMMYFUNCTION("IMPORTRANGE(""https://docs.google.com/spreadsheets/d/1-uDff_7J0KD5mKrp0Vvzr7lt3OU09vwQwhkpOPPYv2Y/edit?usp=sharing"",""งบพรบ!AM69"")"),497100)</f>
        <v>497100</v>
      </c>
      <c r="M77" s="72">
        <f ca="1">IFERROR(__xludf.DUMMYFUNCTION("IMPORTRANGE(""https://docs.google.com/spreadsheets/d/1-uDff_7J0KD5mKrp0Vvzr7lt3OU09vwQwhkpOPPYv2Y/edit?usp=sharing"",""งบพรบ!AR69"")"),497100)</f>
        <v>497100</v>
      </c>
      <c r="N77" s="72">
        <f ca="1">IFERROR(__xludf.DUMMYFUNCTION("IMPORTRANGE(""https://docs.google.com/spreadsheets/d/1-uDff_7J0KD5mKrp0Vvzr7lt3OU09vwQwhkpOPPYv2Y/edit?usp=sharing"",""งบพรบ!AT69"")"),439592.36)</f>
        <v>439592.36</v>
      </c>
      <c r="O77" s="72">
        <f t="shared" ca="1" si="20"/>
        <v>88.431373969020314</v>
      </c>
      <c r="P77" s="72">
        <f t="shared" ca="1" si="21"/>
        <v>88.431373969020314</v>
      </c>
      <c r="Q77" s="72">
        <f ca="1">IFERROR(__xludf.DUMMYFUNCTION("IMPORTRANGE(""https://docs.google.com/spreadsheets/d/1ItG2mGa2ceCfYo0BwxsXqNm01IGEUdYcSSLTEv9YCik/edit?usp=sharing"",""เบิกจ่ายกองทุน!BH69"")"),585080)</f>
        <v>585080</v>
      </c>
      <c r="R77" s="72">
        <f ca="1">IFERROR(__xludf.DUMMYFUNCTION("IMPORTRANGE(""https://docs.google.com/spreadsheets/d/1ItG2mGa2ceCfYo0BwxsXqNm01IGEUdYcSSLTEv9YCik/edit?usp=sharing"",""เบิกจ่ายกองทุน!BI69"")"),585080)</f>
        <v>585080</v>
      </c>
      <c r="S77" s="72">
        <f ca="1">IFERROR(__xludf.DUMMYFUNCTION("IMPORTRANGE(""https://docs.google.com/spreadsheets/d/1ItG2mGa2ceCfYo0BwxsXqNm01IGEUdYcSSLTEv9YCik/edit?usp=sharing"",""เบิกจ่ายกองทุน!BJ69"")"),309810)</f>
        <v>309810</v>
      </c>
      <c r="T77" s="72">
        <f t="shared" ca="1" si="22"/>
        <v>52.951733096328709</v>
      </c>
      <c r="U77" s="72">
        <f t="shared" ca="1" si="23"/>
        <v>52.951733096328709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IFERROR(__xludf.DUMMYFUNCTION("IMPORTRANGE(""https://docs.google.com/spreadsheets/d/1-uDff_7J0KD5mKrp0Vvzr7lt3OU09vwQwhkpOPPYv2Y/edit?usp=sharing"",""งบพรบ!AP69"")"),0)</f>
        <v>0</v>
      </c>
      <c r="M80" s="72">
        <f ca="1">IFERROR(__xludf.DUMMYFUNCTION("IMPORTRANGE(""https://docs.google.com/spreadsheets/d/1-uDff_7J0KD5mKrp0Vvzr7lt3OU09vwQwhkpOPPYv2Y/edit?usp=sharing"",""งบพรบ!AS69"")"),0)</f>
        <v>0</v>
      </c>
      <c r="N80" s="72">
        <f ca="1">IFERROR(__xludf.DUMMYFUNCTION("IMPORTRANGE(""https://docs.google.com/spreadsheets/d/1-uDff_7J0KD5mKrp0Vvzr7lt3OU09vwQwhkpOPPYv2Y/edit?usp=sharing"",""งบพรบ!AU69"")"),0)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IFERROR(__xludf.DUMMYFUNCTION("IMPORTRANGE(""https://docs.google.com/spreadsheets/d/1ItG2mGa2ceCfYo0BwxsXqNm01IGEUdYcSSLTEv9YCik/edit?usp=sharing"",""เบิกจ่ายกองทุน!BK69"")"),0)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IFERROR(__xludf.DUMMYFUNCTION("IMPORTRANGE(""https://docs.google.com/spreadsheets/d/1ItG2mGa2ceCfYo0BwxsXqNm01IGEUdYcSSLTEv9YCik/edit?usp=sharing"",""เบิกจ่ายกองทุน!BL69"")"),0)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IFERROR(__xludf.DUMMYFUNCTION("IMPORTRANGE(""https://docs.google.com/spreadsheets/d/1ItG2mGa2ceCfYo0BwxsXqNm01IGEUdYcSSLTEv9YCik/edit?usp=sharing"",""เบิกจ่ายกองทุน!BM69"")"),0)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68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1</v>
      </c>
      <c r="J82" s="601">
        <f>J84+J86+J88</f>
        <v>1</v>
      </c>
      <c r="K82" s="908">
        <f t="shared" ref="K82:K90" ca="1" si="26">IF(I82&gt;0,J82*100/I82,0)</f>
        <v>100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69</v>
      </c>
      <c r="J83" s="601">
        <f>J85+J87+J89</f>
        <v>69</v>
      </c>
      <c r="K83" s="908">
        <f t="shared" ca="1" si="26"/>
        <v>100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IFERROR(__xludf.DUMMYFUNCTION("IMPORTRANGE(""https://docs.google.com/spreadsheets/d/1eHaY18a8A9IcSdp1K8H6x8fbOy06t2VsZHhMHf-1x7Y/edit?usp=sharing"",""แผน!H69"")"),0)</f>
        <v>0</v>
      </c>
      <c r="J84" s="292">
        <v>1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IFERROR(__xludf.DUMMYFUNCTION("IMPORTRANGE(""https://docs.google.com/spreadsheets/d/1eHaY18a8A9IcSdp1K8H6x8fbOy06t2VsZHhMHf-1x7Y/edit?usp=sharing"",""แผน!I69"")"),0)</f>
        <v>0</v>
      </c>
      <c r="J85" s="292">
        <v>69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IFERROR(__xludf.DUMMYFUNCTION("IMPORTRANGE(""https://docs.google.com/spreadsheets/d/1eHaY18a8A9IcSdp1K8H6x8fbOy06t2VsZHhMHf-1x7Y/edit?usp=sharing"",""แผน!F69"")"),0)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IFERROR(__xludf.DUMMYFUNCTION("IMPORTRANGE(""https://docs.google.com/spreadsheets/d/1eHaY18a8A9IcSdp1K8H6x8fbOy06t2VsZHhMHf-1x7Y/edit?usp=sharing"",""แผน!G69"")"),0)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IFERROR(__xludf.DUMMYFUNCTION("IMPORTRANGE(""https://docs.google.com/spreadsheets/d/1eHaY18a8A9IcSdp1K8H6x8fbOy06t2VsZHhMHf-1x7Y/edit?usp=sharing"",""แผน!D69"")"),1)</f>
        <v>1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IFERROR(__xludf.DUMMYFUNCTION("IMPORTRANGE(""https://docs.google.com/spreadsheets/d/1eHaY18a8A9IcSdp1K8H6x8fbOy06t2VsZHhMHf-1x7Y/edit?usp=sharing"",""แผน!E69"")"),69)</f>
        <v>69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IFERROR(__xludf.DUMMYFUNCTION("IMPORTRANGE(""https://docs.google.com/spreadsheets/d/1eHaY18a8A9IcSdp1K8H6x8fbOy06t2VsZHhMHf-1x7Y/edit?usp=sharing"",""แผน!J69"")"),1)</f>
        <v>1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IFERROR(__xludf.DUMMYFUNCTION("IMPORTRANGE(""https://docs.google.com/spreadsheets/d/1-uDff_7J0KD5mKrp0Vvzr7lt3OU09vwQwhkpOPPYv2Y/edit?usp=sharing"",""งบพรบ!AW69"")"),0)</f>
        <v>0</v>
      </c>
      <c r="M99" s="72">
        <f ca="1">IFERROR(__xludf.DUMMYFUNCTION("IMPORTRANGE(""https://docs.google.com/spreadsheets/d/1-uDff_7J0KD5mKrp0Vvzr7lt3OU09vwQwhkpOPPYv2Y/edit?usp=sharing"",""งบพรบ!BB69"")"),0)</f>
        <v>0</v>
      </c>
      <c r="N99" s="72">
        <f ca="1">IFERROR(__xludf.DUMMYFUNCTION("IMPORTRANGE(""https://docs.google.com/spreadsheets/d/1-uDff_7J0KD5mKrp0Vvzr7lt3OU09vwQwhkpOPPYv2Y/edit?usp=sharing"",""งบพรบ!BD69"")"),0)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IFERROR(__xludf.DUMMYFUNCTION("IMPORTRANGE(""https://docs.google.com/spreadsheets/d/1ItG2mGa2ceCfYo0BwxsXqNm01IGEUdYcSSLTEv9YCik/edit?usp=sharing"",""เบิกจ่ายกองทุน!AJ69"")"),0)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IFERROR(__xludf.DUMMYFUNCTION("IMPORTRANGE(""https://docs.google.com/spreadsheets/d/1ItG2mGa2ceCfYo0BwxsXqNm01IGEUdYcSSLTEv9YCik/edit?usp=sharing"",""เบิกจ่ายกองทุน!AK69"")"),0)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IFERROR(__xludf.DUMMYFUNCTION("IMPORTRANGE(""https://docs.google.com/spreadsheets/d/1ItG2mGa2ceCfYo0BwxsXqNm01IGEUdYcSSLTEv9YCik/edit?usp=sharing"",""เบิกจ่ายกองทุน!AL69"")"),0)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IFERROR(__xludf.DUMMYFUNCTION("IMPORTRANGE(""https://docs.google.com/spreadsheets/d/1-uDff_7J0KD5mKrp0Vvzr7lt3OU09vwQwhkpOPPYv2Y/edit?usp=sharing"",""งบพรบ!AZ69"")"),0)</f>
        <v>0</v>
      </c>
      <c r="M102" s="72">
        <f ca="1">IFERROR(__xludf.DUMMYFUNCTION("IMPORTRANGE(""https://docs.google.com/spreadsheets/d/1-uDff_7J0KD5mKrp0Vvzr7lt3OU09vwQwhkpOPPYv2Y/edit?usp=sharing"",""งบพรบ!BC69"")"),0)</f>
        <v>0</v>
      </c>
      <c r="N102" s="72">
        <f ca="1">IFERROR(__xludf.DUMMYFUNCTION("IMPORTRANGE(""https://docs.google.com/spreadsheets/d/1-uDff_7J0KD5mKrp0Vvzr7lt3OU09vwQwhkpOPPYv2Y/edit?usp=sharing"",""งบพรบ!BE69"")"),0)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IFERROR(__xludf.DUMMYFUNCTION("IMPORTRANGE(""https://docs.google.com/spreadsheets/d/1eHaY18a8A9IcSdp1K8H6x8fbOy06t2VsZHhMHf-1x7Y/edit?usp=sharing"",""แผน!N69"")"),0)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IFERROR(__xludf.DUMMYFUNCTION("IMPORTRANGE(""https://docs.google.com/spreadsheets/d/1eHaY18a8A9IcSdp1K8H6x8fbOy06t2VsZHhMHf-1x7Y/edit?usp=sharing"",""แผน!O69"")"),0)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IFERROR(__xludf.DUMMYFUNCTION("IMPORTRANGE(""https://docs.google.com/spreadsheets/d/1eHaY18a8A9IcSdp1K8H6x8fbOy06t2VsZHhMHf-1x7Y/edit?usp=sharing"",""แผน!R69"")"),0)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150040</v>
      </c>
      <c r="T117" s="262">
        <f t="shared" ref="T117:T125" ca="1" si="35">IF(Q117&gt;0,S117*100/Q117,0)</f>
        <v>71.666029805120374</v>
      </c>
      <c r="U117" s="262">
        <f t="shared" ref="U117:U125" ca="1" si="36">IF(R117&gt;0,S117*100/R117,0)</f>
        <v>71.666029805120374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150040</v>
      </c>
      <c r="T119" s="72">
        <f t="shared" ca="1" si="35"/>
        <v>71.666029805120374</v>
      </c>
      <c r="U119" s="72">
        <f t="shared" ca="1" si="36"/>
        <v>71.666029805120374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150040</v>
      </c>
      <c r="T120" s="72">
        <f t="shared" ca="1" si="35"/>
        <v>71.666029805120374</v>
      </c>
      <c r="U120" s="72">
        <f t="shared" ca="1" si="36"/>
        <v>71.666029805120374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IFERROR(__xludf.DUMMYFUNCTION("IMPORTRANGE(""https://docs.google.com/spreadsheets/d/1-uDff_7J0KD5mKrp0Vvzr7lt3OU09vwQwhkpOPPYv2Y/edit?usp=sharing"",""งบพรบ!BG69"")"),0)</f>
        <v>0</v>
      </c>
      <c r="M122" s="72">
        <f ca="1">IFERROR(__xludf.DUMMYFUNCTION("IMPORTRANGE(""https://docs.google.com/spreadsheets/d/1-uDff_7J0KD5mKrp0Vvzr7lt3OU09vwQwhkpOPPYv2Y/edit?usp=sharing"",""งบพรบ!BL69"")"),0)</f>
        <v>0</v>
      </c>
      <c r="N122" s="72">
        <f ca="1">IFERROR(__xludf.DUMMYFUNCTION("IMPORTRANGE(""https://docs.google.com/spreadsheets/d/1-uDff_7J0KD5mKrp0Vvzr7lt3OU09vwQwhkpOPPYv2Y/edit?usp=sharing"",""งบพรบ!BN69"")"),0)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IFERROR(__xludf.DUMMYFUNCTION("IMPORTRANGE(""https://docs.google.com/spreadsheets/d/1ItG2mGa2ceCfYo0BwxsXqNm01IGEUdYcSSLTEv9YCik/edit?usp=sharing"",""เบิกจ่ายกองทุน!U69"")"),209360)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IFERROR(__xludf.DUMMYFUNCTION("IMPORTRANGE(""https://docs.google.com/spreadsheets/d/1ItG2mGa2ceCfYo0BwxsXqNm01IGEUdYcSSLTEv9YCik/edit?usp=sharing"",""เบิกจ่ายกองทุน!V69"")"),209360)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IFERROR(__xludf.DUMMYFUNCTION("IMPORTRANGE(""https://docs.google.com/spreadsheets/d/1ItG2mGa2ceCfYo0BwxsXqNm01IGEUdYcSSLTEv9YCik/edit?usp=sharing"",""เบิกจ่ายกองทุน!W69"")"),150040)</f>
        <v>150040</v>
      </c>
      <c r="T122" s="72">
        <f t="shared" ca="1" si="35"/>
        <v>71.666029805120374</v>
      </c>
      <c r="U122" s="72">
        <f t="shared" ca="1" si="36"/>
        <v>71.666029805120374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IFERROR(__xludf.DUMMYFUNCTION("IMPORTRANGE(""https://docs.google.com/spreadsheets/d/1-uDff_7J0KD5mKrp0Vvzr7lt3OU09vwQwhkpOPPYv2Y/edit?usp=sharing"",""งบพรบ!BJ69"")"),0)</f>
        <v>0</v>
      </c>
      <c r="M125" s="72">
        <f ca="1">IFERROR(__xludf.DUMMYFUNCTION("IMPORTRANGE(""https://docs.google.com/spreadsheets/d/1-uDff_7J0KD5mKrp0Vvzr7lt3OU09vwQwhkpOPPYv2Y/edit?usp=sharing"",""งบพรบ!BM69"")"),0)</f>
        <v>0</v>
      </c>
      <c r="N125" s="72">
        <f ca="1">IFERROR(__xludf.DUMMYFUNCTION("IMPORTRANGE(""https://docs.google.com/spreadsheets/d/1-uDff_7J0KD5mKrp0Vvzr7lt3OU09vwQwhkpOPPYv2Y/edit?usp=sharing"",""งบพรบ!BO69"")"),0)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IFERROR(__xludf.DUMMYFUNCTION("IMPORTRANGE(""https://docs.google.com/spreadsheets/d/1ItG2mGa2ceCfYo0BwxsXqNm01IGEUdYcSSLTEv9YCik/edit?usp=sharing"",""เบิกจ่ายกองทุน!X69"")"),0)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IFERROR(__xludf.DUMMYFUNCTION("IMPORTRANGE(""https://docs.google.com/spreadsheets/d/1ItG2mGa2ceCfYo0BwxsXqNm01IGEUdYcSSLTEv9YCik/edit?usp=sharing"",""เบิกจ่ายกองทุน!Y69"")"),0)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IFERROR(__xludf.DUMMYFUNCTION("IMPORTRANGE(""https://docs.google.com/spreadsheets/d/1ItG2mGa2ceCfYo0BwxsXqNm01IGEUdYcSSLTEv9YCik/edit?usp=sharing"",""เบิกจ่ายกองทุน!Z69"")"),0)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68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IFERROR(__xludf.DUMMYFUNCTION("IMPORTRANGE(""https://docs.google.com/spreadsheets/d/1eHaY18a8A9IcSdp1K8H6x8fbOy06t2VsZHhMHf-1x7Y/edit?usp=sharing"",""แผน!FF69"")"),20)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IFERROR(__xludf.DUMMYFUNCTION("IMPORTRANGE(""https://docs.google.com/spreadsheets/d/1eHaY18a8A9IcSdp1K8H6x8fbOy06t2VsZHhMHf-1x7Y/edit?usp=sharing"",""แผน!FG69"")"),0)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IFERROR(__xludf.DUMMYFUNCTION("IMPORTRANGE(""https://docs.google.com/spreadsheets/d/1eHaY18a8A9IcSdp1K8H6x8fbOy06t2VsZHhMHf-1x7Y/edit?usp=sharing"",""แผน!FH69"")"),20)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IFERROR(__xludf.DUMMYFUNCTION("IMPORTRANGE(""https://docs.google.com/spreadsheets/d/1eHaY18a8A9IcSdp1K8H6x8fbOy06t2VsZHhMHf-1x7Y/edit?usp=sharing"",""แผน!FI69"")"),0)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IFERROR(__xludf.DUMMYFUNCTION("IMPORTRANGE(""https://docs.google.com/spreadsheets/d/1-uDff_7J0KD5mKrp0Vvzr7lt3OU09vwQwhkpOPPYv2Y/edit?usp=sharing"",""งบพรบ!BQ69"")"),0)</f>
        <v>0</v>
      </c>
      <c r="M144" s="72">
        <f ca="1">IFERROR(__xludf.DUMMYFUNCTION("IMPORTRANGE(""https://docs.google.com/spreadsheets/d/1-uDff_7J0KD5mKrp0Vvzr7lt3OU09vwQwhkpOPPYv2Y/edit?usp=sharing"",""งบพรบ!BV69"")"),0)</f>
        <v>0</v>
      </c>
      <c r="N144" s="72">
        <f ca="1">IFERROR(__xludf.DUMMYFUNCTION("IMPORTRANGE(""https://docs.google.com/spreadsheets/d/1-uDff_7J0KD5mKrp0Vvzr7lt3OU09vwQwhkpOPPYv2Y/edit?usp=sharing"",""งบพรบ!BX69"")"),0)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IFERROR(__xludf.DUMMYFUNCTION("IMPORTRANGE(""https://docs.google.com/spreadsheets/d/1ItG2mGa2ceCfYo0BwxsXqNm01IGEUdYcSSLTEv9YCik/edit?usp=sharing"",""เบิกจ่ายกองทุน!CF69"")"),0)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IFERROR(__xludf.DUMMYFUNCTION("IMPORTRANGE(""https://docs.google.com/spreadsheets/d/1ItG2mGa2ceCfYo0BwxsXqNm01IGEUdYcSSLTEv9YCik/edit?usp=sharing"",""เบิกจ่ายกองทุน!CG69"")"),0)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IFERROR(__xludf.DUMMYFUNCTION("IMPORTRANGE(""https://docs.google.com/spreadsheets/d/1ItG2mGa2ceCfYo0BwxsXqNm01IGEUdYcSSLTEv9YCik/edit?usp=sharing"",""เบิกจ่ายกองทุน!CH69"")"),0)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IFERROR(__xludf.DUMMYFUNCTION("IMPORTRANGE(""https://docs.google.com/spreadsheets/d/1-uDff_7J0KD5mKrp0Vvzr7lt3OU09vwQwhkpOPPYv2Y/edit?usp=sharing"",""งบพรบ!BT69"")"),0)</f>
        <v>0</v>
      </c>
      <c r="M147" s="72">
        <f ca="1">IFERROR(__xludf.DUMMYFUNCTION("IMPORTRANGE(""https://docs.google.com/spreadsheets/d/1-uDff_7J0KD5mKrp0Vvzr7lt3OU09vwQwhkpOPPYv2Y/edit?usp=sharing"",""งบพรบ!BW69"")"),0)</f>
        <v>0</v>
      </c>
      <c r="N147" s="72">
        <f ca="1">IFERROR(__xludf.DUMMYFUNCTION("IMPORTRANGE(""https://docs.google.com/spreadsheets/d/1-uDff_7J0KD5mKrp0Vvzr7lt3OU09vwQwhkpOPPYv2Y/edit?usp=sharing"",""งบพรบ!BY69"")"),0)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IFERROR(__xludf.DUMMYFUNCTION("IMPORTRANGE(""https://docs.google.com/spreadsheets/d/1ItG2mGa2ceCfYo0BwxsXqNm01IGEUdYcSSLTEv9YCik/edit?usp=sharing"",""เบิกจ่ายกองทุน!CI69"")"),0)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IFERROR(__xludf.DUMMYFUNCTION("IMPORTRANGE(""https://docs.google.com/spreadsheets/d/1ItG2mGa2ceCfYo0BwxsXqNm01IGEUdYcSSLTEv9YCik/edit?usp=sharing"",""เบิกจ่ายกองทุน!CJ69"")"),0)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IFERROR(__xludf.DUMMYFUNCTION("IMPORTRANGE(""https://docs.google.com/spreadsheets/d/1ItG2mGa2ceCfYo0BwxsXqNm01IGEUdYcSSLTEv9YCik/edit?usp=sharing"",""เบิกจ่ายกองทุน!CK69"")"),0)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IFERROR(__xludf.DUMMYFUNCTION("IMPORTRANGE(""https://docs.google.com/spreadsheets/d/1eHaY18a8A9IcSdp1K8H6x8fbOy06t2VsZHhMHf-1x7Y/edit?usp=sharing"",""แผน!U69"")"),0)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IFERROR(__xludf.DUMMYFUNCTION("IMPORTRANGE(""https://docs.google.com/spreadsheets/d/1eHaY18a8A9IcSdp1K8H6x8fbOy06t2VsZHhMHf-1x7Y/edit?usp=sharing"",""แผน!V69"")"),0)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IFERROR(__xludf.DUMMYFUNCTION("IMPORTRANGE(""https://docs.google.com/spreadsheets/d/1eHaY18a8A9IcSdp1K8H6x8fbOy06t2VsZHhMHf-1x7Y/edit?usp=sharing"",""แผน!W69"")"),0)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IFERROR(__xludf.DUMMYFUNCTION("IMPORTRANGE(""https://docs.google.com/spreadsheets/d/1eHaY18a8A9IcSdp1K8H6x8fbOy06t2VsZHhMHf-1x7Y/edit?usp=sharing"",""แผน!X69"")"),0)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IFERROR(__xludf.DUMMYFUNCTION("IMPORTRANGE(""https://docs.google.com/spreadsheets/d/1eHaY18a8A9IcSdp1K8H6x8fbOy06t2VsZHhMHf-1x7Y/edit?usp=sharing"",""แผน!Y69"")"),0)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IFERROR(__xludf.DUMMYFUNCTION("IMPORTRANGE(""https://docs.google.com/spreadsheets/d/1-uDff_7J0KD5mKrp0Vvzr7lt3OU09vwQwhkpOPPYv2Y/edit?usp=sharing"",""งบพรบ!CA69"")"),0)</f>
        <v>0</v>
      </c>
      <c r="M162" s="72">
        <f ca="1">IFERROR(__xludf.DUMMYFUNCTION("IMPORTRANGE(""https://docs.google.com/spreadsheets/d/1-uDff_7J0KD5mKrp0Vvzr7lt3OU09vwQwhkpOPPYv2Y/edit?usp=sharing"",""งบพรบ!CF69"")"),0)</f>
        <v>0</v>
      </c>
      <c r="N162" s="72">
        <f ca="1">IFERROR(__xludf.DUMMYFUNCTION("IMPORTRANGE(""https://docs.google.com/spreadsheets/d/1-uDff_7J0KD5mKrp0Vvzr7lt3OU09vwQwhkpOPPYv2Y/edit?usp=sharing"",""งบพรบ!CH69"")"),0)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IFERROR(__xludf.DUMMYFUNCTION("IMPORTRANGE(""https://docs.google.com/spreadsheets/d/1ItG2mGa2ceCfYo0BwxsXqNm01IGEUdYcSSLTEv9YCik/edit?usp=sharing"",""เบิกจ่ายกองทุน!AM69"")"),0)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IFERROR(__xludf.DUMMYFUNCTION("IMPORTRANGE(""https://docs.google.com/spreadsheets/d/1ItG2mGa2ceCfYo0BwxsXqNm01IGEUdYcSSLTEv9YCik/edit?usp=sharing"",""เบิกจ่ายกองทุน!AN69"")"),0)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IFERROR(__xludf.DUMMYFUNCTION("IMPORTRANGE(""https://docs.google.com/spreadsheets/d/1ItG2mGa2ceCfYo0BwxsXqNm01IGEUdYcSSLTEv9YCik/edit?usp=sharing"",""เบิกจ่ายกองทุน!AO69"")"),0)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IFERROR(__xludf.DUMMYFUNCTION("IMPORTRANGE(""https://docs.google.com/spreadsheets/d/1-uDff_7J0KD5mKrp0Vvzr7lt3OU09vwQwhkpOPPYv2Y/edit?usp=sharing"",""งบพรบ!CD69"")"),0)</f>
        <v>0</v>
      </c>
      <c r="M165" s="72">
        <f ca="1">IFERROR(__xludf.DUMMYFUNCTION("IMPORTRANGE(""https://docs.google.com/spreadsheets/d/1-uDff_7J0KD5mKrp0Vvzr7lt3OU09vwQwhkpOPPYv2Y/edit?usp=sharing"",""งบพรบ!CG69"")"),0)</f>
        <v>0</v>
      </c>
      <c r="N165" s="72">
        <f ca="1">IFERROR(__xludf.DUMMYFUNCTION("IMPORTRANGE(""https://docs.google.com/spreadsheets/d/1-uDff_7J0KD5mKrp0Vvzr7lt3OU09vwQwhkpOPPYv2Y/edit?usp=sharing"",""งบพรบ!CI69"")"),0)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IFERROR(__xludf.DUMMYFUNCTION("IMPORTRANGE(""https://docs.google.com/spreadsheets/d/1eHaY18a8A9IcSdp1K8H6x8fbOy06t2VsZHhMHf-1x7Y/edit?usp=sharing"",""แผน!Z69"")"),0)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IFERROR(__xludf.DUMMYFUNCTION("IMPORTRANGE(""https://docs.google.com/spreadsheets/d/1eHaY18a8A9IcSdp1K8H6x8fbOy06t2VsZHhMHf-1x7Y/edit?usp=sharing"",""แผน!Z69"")"),0)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IFERROR(__xludf.DUMMYFUNCTION("IMPORTRANGE(""https://docs.google.com/spreadsheets/d/1eHaY18a8A9IcSdp1K8H6x8fbOy06t2VsZHhMHf-1x7Y/edit?usp=sharing"",""แผน!Z69"")"),0)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14</v>
      </c>
      <c r="J172" s="963">
        <f>J183+J184</f>
        <v>7</v>
      </c>
      <c r="K172" s="962">
        <f ca="1">IF(I172&gt;0,J172*100/I172,0)</f>
        <v>50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30480</v>
      </c>
      <c r="N173" s="262">
        <f ca="1">N174+N175</f>
        <v>27910</v>
      </c>
      <c r="O173" s="262">
        <f t="shared" ref="O173:O181" ca="1" si="51">IF(L173&gt;0,N173*100/L173,0)</f>
        <v>142.47064828994385</v>
      </c>
      <c r="P173" s="262">
        <f t="shared" ref="P173:P181" ca="1" si="52">IF(M173&gt;0,N173*100/M173,0)</f>
        <v>91.568241469816272</v>
      </c>
      <c r="Q173" s="262">
        <f ca="1">Q174+Q175</f>
        <v>20320</v>
      </c>
      <c r="R173" s="262">
        <f ca="1">R174+R175</f>
        <v>20320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30480</v>
      </c>
      <c r="N175" s="72">
        <f t="shared" ca="1" si="55"/>
        <v>27910</v>
      </c>
      <c r="O175" s="72">
        <f t="shared" ca="1" si="51"/>
        <v>142.47064828994385</v>
      </c>
      <c r="P175" s="72">
        <f t="shared" ca="1" si="52"/>
        <v>91.568241469816272</v>
      </c>
      <c r="Q175" s="72">
        <f t="shared" ca="1" si="56"/>
        <v>20320</v>
      </c>
      <c r="R175" s="72">
        <f t="shared" ca="1" si="56"/>
        <v>20320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30480</v>
      </c>
      <c r="N176" s="72">
        <f ca="1">N177+N178</f>
        <v>27910</v>
      </c>
      <c r="O176" s="72">
        <f t="shared" ca="1" si="51"/>
        <v>142.47064828994385</v>
      </c>
      <c r="P176" s="72">
        <f t="shared" ca="1" si="52"/>
        <v>91.568241469816272</v>
      </c>
      <c r="Q176" s="72">
        <f ca="1">Q177+Q178</f>
        <v>20320</v>
      </c>
      <c r="R176" s="72">
        <f ca="1">R177+R178</f>
        <v>20320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IFERROR(__xludf.DUMMYFUNCTION("IMPORTRANGE(""https://docs.google.com/spreadsheets/d/1-uDff_7J0KD5mKrp0Vvzr7lt3OU09vwQwhkpOPPYv2Y/edit?usp=sharing"",""งบพรบ!CK69"")"),19590)</f>
        <v>19590</v>
      </c>
      <c r="M178" s="72">
        <f ca="1">IFERROR(__xludf.DUMMYFUNCTION("IMPORTRANGE(""https://docs.google.com/spreadsheets/d/1-uDff_7J0KD5mKrp0Vvzr7lt3OU09vwQwhkpOPPYv2Y/edit?usp=sharing"",""งบพรบ!CP69"")"),30480)</f>
        <v>30480</v>
      </c>
      <c r="N178" s="72">
        <f ca="1">IFERROR(__xludf.DUMMYFUNCTION("IMPORTRANGE(""https://docs.google.com/spreadsheets/d/1-uDff_7J0KD5mKrp0Vvzr7lt3OU09vwQwhkpOPPYv2Y/edit?usp=sharing"",""งบพรบ!CR69"")"),27910)</f>
        <v>27910</v>
      </c>
      <c r="O178" s="72">
        <f t="shared" ca="1" si="51"/>
        <v>142.47064828994385</v>
      </c>
      <c r="P178" s="72">
        <f t="shared" ca="1" si="52"/>
        <v>91.568241469816272</v>
      </c>
      <c r="Q178" s="72">
        <f ca="1">IFERROR(__xludf.DUMMYFUNCTION("IMPORTRANGE(""https://docs.google.com/spreadsheets/d/1ItG2mGa2ceCfYo0BwxsXqNm01IGEUdYcSSLTEv9YCik/edit?usp=sharing"",""เบิกจ่ายกองทุน!DG69"")"),20320)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IFERROR(__xludf.DUMMYFUNCTION("IMPORTRANGE(""https://docs.google.com/spreadsheets/d/1ItG2mGa2ceCfYo0BwxsXqNm01IGEUdYcSSLTEv9YCik/edit?usp=sharing"",""เบิกจ่ายกองทุน!DH69"")"),20320)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IFERROR(__xludf.DUMMYFUNCTION("IMPORTRANGE(""https://docs.google.com/spreadsheets/d/1ItG2mGa2ceCfYo0BwxsXqNm01IGEUdYcSSLTEv9YCik/edit?usp=sharing"",""เบิกจ่ายกองทุน!DI69"")"),0)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IFERROR(__xludf.DUMMYFUNCTION("IMPORTRANGE(""https://docs.google.com/spreadsheets/d/1-uDff_7J0KD5mKrp0Vvzr7lt3OU09vwQwhkpOPPYv2Y/edit?usp=sharing"",""งบพรบ!CN69"")"),0)</f>
        <v>0</v>
      </c>
      <c r="M181" s="72">
        <f ca="1">IFERROR(__xludf.DUMMYFUNCTION("IMPORTRANGE(""https://docs.google.com/spreadsheets/d/1-uDff_7J0KD5mKrp0Vvzr7lt3OU09vwQwhkpOPPYv2Y/edit?usp=sharing"",""งบพรบ!CQ69"")"),0)</f>
        <v>0</v>
      </c>
      <c r="N181" s="72">
        <f ca="1">IFERROR(__xludf.DUMMYFUNCTION("IMPORTRANGE(""https://docs.google.com/spreadsheets/d/1-uDff_7J0KD5mKrp0Vvzr7lt3OU09vwQwhkpOPPYv2Y/edit?usp=sharing"",""งบพรบ!CS69"")"),0)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IFERROR(__xludf.DUMMYFUNCTION("IMPORTRANGE(""https://docs.google.com/spreadsheets/d/1eHaY18a8A9IcSdp1K8H6x8fbOy06t2VsZHhMHf-1x7Y/edit?usp=sharing"",""แผน!AA69"")"),14)</f>
        <v>14</v>
      </c>
      <c r="J183" s="292">
        <v>7</v>
      </c>
      <c r="K183" s="72">
        <f ca="1">IF(I183&gt;0,J183*100/I183,0)</f>
        <v>50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60</v>
      </c>
      <c r="J185" s="963">
        <f>J230+J231</f>
        <v>60</v>
      </c>
      <c r="K185" s="962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210300</v>
      </c>
      <c r="M186" s="262">
        <f ca="1">M187+M188</f>
        <v>220500</v>
      </c>
      <c r="N186" s="262">
        <f ca="1">N187+N188</f>
        <v>136010</v>
      </c>
      <c r="O186" s="262">
        <f t="shared" ref="O186:O194" ca="1" si="57">IF(L186&gt;0,N186*100/L186,0)</f>
        <v>64.674274845458868</v>
      </c>
      <c r="P186" s="262">
        <f t="shared" ref="P186:P194" ca="1" si="58">IF(M186&gt;0,N186*100/M186,0)</f>
        <v>61.682539682539684</v>
      </c>
      <c r="Q186" s="262">
        <f ca="1">Q187+Q188</f>
        <v>340200</v>
      </c>
      <c r="R186" s="262">
        <f ca="1">R187+R188</f>
        <v>340200</v>
      </c>
      <c r="S186" s="262">
        <f ca="1">S187+S188</f>
        <v>42000</v>
      </c>
      <c r="T186" s="262">
        <f t="shared" ref="T186:T194" ca="1" si="59">IF(Q186&gt;0,S186*100/Q186,0)</f>
        <v>12.345679012345679</v>
      </c>
      <c r="U186" s="262">
        <f t="shared" ref="U186:U194" ca="1" si="60">IF(R186&gt;0,S186*100/R186,0)</f>
        <v>12.345679012345679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210300</v>
      </c>
      <c r="M188" s="72">
        <f t="shared" ca="1" si="61"/>
        <v>220500</v>
      </c>
      <c r="N188" s="72">
        <f t="shared" ca="1" si="61"/>
        <v>136010</v>
      </c>
      <c r="O188" s="72">
        <f t="shared" ca="1" si="57"/>
        <v>64.674274845458868</v>
      </c>
      <c r="P188" s="72">
        <f t="shared" ca="1" si="58"/>
        <v>61.682539682539684</v>
      </c>
      <c r="Q188" s="72">
        <f t="shared" ca="1" si="62"/>
        <v>340200</v>
      </c>
      <c r="R188" s="72">
        <f t="shared" ca="1" si="62"/>
        <v>340200</v>
      </c>
      <c r="S188" s="72">
        <f t="shared" ca="1" si="62"/>
        <v>42000</v>
      </c>
      <c r="T188" s="72">
        <f t="shared" ca="1" si="59"/>
        <v>12.345679012345679</v>
      </c>
      <c r="U188" s="72">
        <f t="shared" ca="1" si="60"/>
        <v>12.345679012345679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210300</v>
      </c>
      <c r="M189" s="72">
        <f ca="1">M190+M191</f>
        <v>220500</v>
      </c>
      <c r="N189" s="72">
        <f ca="1">N190+N191</f>
        <v>136010</v>
      </c>
      <c r="O189" s="72">
        <f t="shared" ca="1" si="57"/>
        <v>64.674274845458868</v>
      </c>
      <c r="P189" s="72">
        <f t="shared" ca="1" si="58"/>
        <v>61.682539682539684</v>
      </c>
      <c r="Q189" s="72">
        <f ca="1">Q190+Q191</f>
        <v>340200</v>
      </c>
      <c r="R189" s="72">
        <f ca="1">R190+R191</f>
        <v>340200</v>
      </c>
      <c r="S189" s="72">
        <f ca="1">S190+S191</f>
        <v>42000</v>
      </c>
      <c r="T189" s="72">
        <f t="shared" ca="1" si="59"/>
        <v>12.345679012345679</v>
      </c>
      <c r="U189" s="72">
        <f t="shared" ca="1" si="60"/>
        <v>12.345679012345679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IFERROR(__xludf.DUMMYFUNCTION("IMPORTRANGE(""https://docs.google.com/spreadsheets/d/1-uDff_7J0KD5mKrp0Vvzr7lt3OU09vwQwhkpOPPYv2Y/edit?usp=sharing"",""งบพรบ!CU69"")"),210300)</f>
        <v>210300</v>
      </c>
      <c r="M191" s="72">
        <f ca="1">IFERROR(__xludf.DUMMYFUNCTION("IMPORTRANGE(""https://docs.google.com/spreadsheets/d/1-uDff_7J0KD5mKrp0Vvzr7lt3OU09vwQwhkpOPPYv2Y/edit?usp=sharing"",""งบพรบ!CZ69"")"),220500)</f>
        <v>220500</v>
      </c>
      <c r="N191" s="72">
        <f ca="1">IFERROR(__xludf.DUMMYFUNCTION("IMPORTRANGE(""https://docs.google.com/spreadsheets/d/1-uDff_7J0KD5mKrp0Vvzr7lt3OU09vwQwhkpOPPYv2Y/edit?usp=sharing"",""งบพรบ!DB69"")"),136010)</f>
        <v>136010</v>
      </c>
      <c r="O191" s="72">
        <f t="shared" ca="1" si="57"/>
        <v>64.674274845458868</v>
      </c>
      <c r="P191" s="72">
        <f t="shared" ca="1" si="58"/>
        <v>61.682539682539684</v>
      </c>
      <c r="Q191" s="72">
        <f ca="1">IFERROR(__xludf.DUMMYFUNCTION("IMPORTRANGE(""https://docs.google.com/spreadsheets/d/1ItG2mGa2ceCfYo0BwxsXqNm01IGEUdYcSSLTEv9YCik/edit?usp=sharing"",""เบิกจ่ายกองทุน!BQ69"")"),340200)</f>
        <v>340200</v>
      </c>
      <c r="R191" s="72">
        <f ca="1">IFERROR(__xludf.DUMMYFUNCTION("IMPORTRANGE(""https://docs.google.com/spreadsheets/d/1ItG2mGa2ceCfYo0BwxsXqNm01IGEUdYcSSLTEv9YCik/edit?usp=sharing"",""เบิกจ่ายกองทุน!BR69"")"),340200)</f>
        <v>340200</v>
      </c>
      <c r="S191" s="72">
        <f ca="1">IFERROR(__xludf.DUMMYFUNCTION("IMPORTRANGE(""https://docs.google.com/spreadsheets/d/1ItG2mGa2ceCfYo0BwxsXqNm01IGEUdYcSSLTEv9YCik/edit?usp=sharing"",""เบิกจ่ายกองทุน!BS69"")"),42000)</f>
        <v>42000</v>
      </c>
      <c r="T191" s="72">
        <f t="shared" ca="1" si="59"/>
        <v>12.345679012345679</v>
      </c>
      <c r="U191" s="72">
        <f t="shared" ca="1" si="60"/>
        <v>12.345679012345679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IFERROR(__xludf.DUMMYFUNCTION("IMPORTRANGE(""https://docs.google.com/spreadsheets/d/1-uDff_7J0KD5mKrp0Vvzr7lt3OU09vwQwhkpOPPYv2Y/edit?usp=sharing"",""งบพรบ!CX69"")"),0)</f>
        <v>0</v>
      </c>
      <c r="M194" s="72">
        <f ca="1">IFERROR(__xludf.DUMMYFUNCTION("IMPORTRANGE(""https://docs.google.com/spreadsheets/d/1-uDff_7J0KD5mKrp0Vvzr7lt3OU09vwQwhkpOPPYv2Y/edit?usp=sharing"",""งบพรบ!DA69"")"),0)</f>
        <v>0</v>
      </c>
      <c r="N194" s="72">
        <f ca="1">IFERROR(__xludf.DUMMYFUNCTION("IMPORTRANGE(""https://docs.google.com/spreadsheets/d/1-uDff_7J0KD5mKrp0Vvzr7lt3OU09vwQwhkpOPPYv2Y/edit?usp=sharing"",""งบพรบ!DC69"")"),0)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IFERROR(__xludf.DUMMYFUNCTION("IMPORTRANGE(""https://docs.google.com/spreadsheets/d/1ItG2mGa2ceCfYo0BwxsXqNm01IGEUdYcSSLTEv9YCik/edit?usp=sharing"",""เบิกจ่ายกองทุน!BT69"")"),0)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IFERROR(__xludf.DUMMYFUNCTION("IMPORTRANGE(""https://docs.google.com/spreadsheets/d/1ItG2mGa2ceCfYo0BwxsXqNm01IGEUdYcSSLTEv9YCik/edit?usp=sharing"",""เบิกจ่ายกองทุน!BU69"")"),0)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IFERROR(__xludf.DUMMYFUNCTION("IMPORTRANGE(""https://docs.google.com/spreadsheets/d/1ItG2mGa2ceCfYo0BwxsXqNm01IGEUdYcSSLTEv9YCik/edit?usp=sharing"",""เบิกจ่ายกองทุน!BV69"")"),0)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IFERROR(__xludf.DUMMYFUNCTION("IMPORTRANGE(""https://docs.google.com/spreadsheets/d/1eHaY18a8A9IcSdp1K8H6x8fbOy06t2VsZHhMHf-1x7Y/edit?usp=sharing"",""แผน!AB69"")"),6000)</f>
        <v>6000</v>
      </c>
      <c r="M196" s="85"/>
      <c r="N196" s="961">
        <v>1500</v>
      </c>
      <c r="O196" s="262">
        <f ca="1">IF(L196&gt;0,N196*100/L196,0)</f>
        <v>25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IFERROR(__xludf.DUMMYFUNCTION("IMPORTRANGE(""https://docs.google.com/spreadsheets/d/1eHaY18a8A9IcSdp1K8H6x8fbOy06t2VsZHhMHf-1x7Y/edit?usp=sharing"",""แผน!AE69"")"),4)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80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80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3</v>
      </c>
      <c r="J202" s="538">
        <f>J209</f>
        <v>3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15000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IFERROR(__xludf.DUMMYFUNCTION("IMPORTRANGE(""https://docs.google.com/spreadsheets/d/1eHaY18a8A9IcSdp1K8H6x8fbOy06t2VsZHhMHf-1x7Y/edit?usp=sharing"",""แผน!AG69"")"),3000)</f>
        <v>3000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IFERROR(__xludf.DUMMYFUNCTION("IMPORTRANGE(""https://docs.google.com/spreadsheets/d/1eHaY18a8A9IcSdp1K8H6x8fbOy06t2VsZHhMHf-1x7Y/edit?usp=sharing"",""แผน!AH69"")"),0)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IFERROR(__xludf.DUMMYFUNCTION("IMPORTRANGE(""https://docs.google.com/spreadsheets/d/1eHaY18a8A9IcSdp1K8H6x8fbOy06t2VsZHhMHf-1x7Y/edit?usp=sharing"",""แผน!AI69"")"),0)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IFERROR(__xludf.DUMMYFUNCTION("IMPORTRANGE(""https://docs.google.com/spreadsheets/d/1eHaY18a8A9IcSdp1K8H6x8fbOy06t2VsZHhMHf-1x7Y/edit?usp=sharing"",""แผน!LV69"")"),42000)</f>
        <v>42000</v>
      </c>
      <c r="R206" s="85"/>
      <c r="S206" s="387">
        <v>0</v>
      </c>
      <c r="T206" s="227"/>
      <c r="U206" s="85"/>
    </row>
    <row r="207" spans="1:21" ht="18.75" x14ac:dyDescent="0.25">
      <c r="A207" s="669"/>
      <c r="B207" s="425"/>
      <c r="C207" s="427"/>
      <c r="D207" s="265" t="s">
        <v>89</v>
      </c>
      <c r="E207" s="427"/>
      <c r="F207" s="427"/>
      <c r="G207" s="428"/>
      <c r="H207" s="673" t="s">
        <v>14</v>
      </c>
      <c r="I207" s="541"/>
      <c r="J207" s="541"/>
      <c r="K207" s="384"/>
      <c r="L207" s="71">
        <f ca="1">IFERROR(__xludf.DUMMYFUNCTION("IMPORTRANGE(""https://docs.google.com/spreadsheets/d/1eHaY18a8A9IcSdp1K8H6x8fbOy06t2VsZHhMHf-1x7Y/edit?usp=sharing"",""แผน!AJ69"")"),12000)</f>
        <v>12000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IFERROR(__xludf.DUMMYFUNCTION("IMPORTRANGE(""https://docs.google.com/spreadsheets/d/1eHaY18a8A9IcSdp1K8H6x8fbOy06t2VsZHhMHf-1x7Y/edit?usp=sharing"",""แผน!AK69"")"),3)</f>
        <v>3</v>
      </c>
      <c r="J209" s="292">
        <v>3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IFERROR(__xludf.DUMMYFUNCTION("IMPORTRANGE(""https://docs.google.com/spreadsheets/d/1eHaY18a8A9IcSdp1K8H6x8fbOy06t2VsZHhMHf-1x7Y/edit?usp=sharing"",""แผน!JX69"")"),3)</f>
        <v>3</v>
      </c>
      <c r="J211" s="292">
        <v>3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IFERROR(__xludf.DUMMYFUNCTION("IMPORTRANGE(""https://docs.google.com/spreadsheets/d/1eHaY18a8A9IcSdp1K8H6x8fbOy06t2VsZHhMHf-1x7Y/edit?usp=sharing"",""แผน!JY69"")"),0)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6</v>
      </c>
      <c r="J213" s="538">
        <f>J220</f>
        <v>6</v>
      </c>
      <c r="K213" s="539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56"/>
      <c r="C214" s="668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36000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298200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IFERROR(__xludf.DUMMYFUNCTION("IMPORTRANGE(""https://docs.google.com/spreadsheets/d/1eHaY18a8A9IcSdp1K8H6x8fbOy06t2VsZHhMHf-1x7Y/edit?usp=sharing"",""แผน!AM69"")"),6000)</f>
        <v>6000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IFERROR(__xludf.DUMMYFUNCTION("IMPORTRANGE(""https://docs.google.com/spreadsheets/d/1eHaY18a8A9IcSdp1K8H6x8fbOy06t2VsZHhMHf-1x7Y/edit?usp=sharing"",""แผน!AN69"")"),30000)</f>
        <v>30000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IFERROR(__xludf.DUMMYFUNCTION("IMPORTRANGE(""https://docs.google.com/spreadsheets/d/1eHaY18a8A9IcSdp1K8H6x8fbOy06t2VsZHhMHf-1x7Y/edit?usp=sharing"",""แผน!AO69"")"),0)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IFERROR(__xludf.DUMMYFUNCTION("IMPORTRANGE(""https://docs.google.com/spreadsheets/d/1eHaY18a8A9IcSdp1K8H6x8fbOy06t2VsZHhMHf-1x7Y/edit?usp=sharing"",""แผน!LY69"")"),298200)</f>
        <v>298200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668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IFERROR(__xludf.DUMMYFUNCTION("IMPORTRANGE(""https://docs.google.com/spreadsheets/d/1eHaY18a8A9IcSdp1K8H6x8fbOy06t2VsZHhMHf-1x7Y/edit?usp=sharing"",""แผน!AP69"")"),6)</f>
        <v>6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IFERROR(__xludf.DUMMYFUNCTION("IMPORTRANGE(""https://docs.google.com/spreadsheets/d/1eHaY18a8A9IcSdp1K8H6x8fbOy06t2VsZHhMHf-1x7Y/edit?usp=sharing"",""แผน!AP69"")"),6)</f>
        <v>6</v>
      </c>
      <c r="J220" s="292">
        <v>6</v>
      </c>
      <c r="K220" s="72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40000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IFERROR(__xludf.DUMMYFUNCTION("IMPORTRANGE(""https://docs.google.com/spreadsheets/d/1eHaY18a8A9IcSdp1K8H6x8fbOy06t2VsZHhMHf-1x7Y/edit?usp=sharing"",""แผน!AR69"")"),2500)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IFERROR(__xludf.DUMMYFUNCTION("IMPORTRANGE(""https://docs.google.com/spreadsheets/d/1eHaY18a8A9IcSdp1K8H6x8fbOy06t2VsZHhMHf-1x7Y/edit?usp=sharing"",""แผน!AS69"")"),4000)</f>
        <v>4000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IFERROR(__xludf.DUMMYFUNCTION("IMPORTRANGE(""https://docs.google.com/spreadsheets/d/1eHaY18a8A9IcSdp1K8H6x8fbOy06t2VsZHhMHf-1x7Y/edit?usp=sharing"",""แผน!AT69"")"),0)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IFERROR(__xludf.DUMMYFUNCTION("IMPORTRANGE(""https://docs.google.com/spreadsheets/d/1eHaY18a8A9IcSdp1K8H6x8fbOy06t2VsZHhMHf-1x7Y/edit?usp=sharing"",""แผน!AV69"")"),40000)</f>
        <v>40000</v>
      </c>
      <c r="J228" s="292">
        <v>40000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IFERROR(__xludf.DUMMYFUNCTION("IMPORTRANGE(""https://docs.google.com/spreadsheets/d/1eHaY18a8A9IcSdp1K8H6x8fbOy06t2VsZHhMHf-1x7Y/edit?usp=sharing"",""แผน!AV69"")"),40000)</f>
        <v>40000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IFERROR(__xludf.DUMMYFUNCTION("IMPORTRANGE(""https://docs.google.com/spreadsheets/d/1eHaY18a8A9IcSdp1K8H6x8fbOy06t2VsZHhMHf-1x7Y/edit?usp=sharing"",""แผน!AU69"")"),0)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953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60</v>
      </c>
      <c r="J231" s="951">
        <f>J242+J253</f>
        <v>60</v>
      </c>
      <c r="K231" s="950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935"/>
      <c r="C232" s="834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7">
        <f ca="1">L243+L254</f>
        <v>143800</v>
      </c>
      <c r="M232" s="85"/>
      <c r="N232" s="956">
        <f>N243+N254</f>
        <v>68210</v>
      </c>
      <c r="O232" s="85"/>
      <c r="P232" s="85"/>
      <c r="Q232" s="85">
        <v>0</v>
      </c>
      <c r="R232" s="85">
        <v>0</v>
      </c>
      <c r="S232" s="85">
        <v>0</v>
      </c>
      <c r="T232" s="85"/>
      <c r="U232" s="85"/>
    </row>
    <row r="233" spans="1:21" ht="18.75" hidden="1" x14ac:dyDescent="0.25">
      <c r="A233" s="936"/>
      <c r="B233" s="1082"/>
      <c r="C233" s="935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74">
        <f ca="1">L244+L255</f>
        <v>26000</v>
      </c>
      <c r="M233" s="85"/>
      <c r="N233" s="75">
        <f>N244+N255</f>
        <v>7310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74">
        <f ca="1">L246+L257</f>
        <v>47800</v>
      </c>
      <c r="M235" s="85"/>
      <c r="N235" s="75">
        <f>N246+N257</f>
        <v>25900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74">
        <f ca="1">L247+L258</f>
        <v>68000</v>
      </c>
      <c r="M236" s="85"/>
      <c r="N236" s="75">
        <f>N247+N258</f>
        <v>35000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07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945" t="s">
        <v>35</v>
      </c>
      <c r="I238" s="570">
        <f ca="1">I249+I260</f>
        <v>60</v>
      </c>
      <c r="J238" s="570">
        <f>J249+J260</f>
        <v>60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07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945" t="s">
        <v>35</v>
      </c>
      <c r="I240" s="570">
        <f ca="1">I251+I262</f>
        <v>60</v>
      </c>
      <c r="J240" s="570">
        <f>J251+J262</f>
        <v>60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945" t="s">
        <v>61</v>
      </c>
      <c r="I241" s="570">
        <f ca="1">I252+I263</f>
        <v>2</v>
      </c>
      <c r="J241" s="570">
        <f>J252+J263</f>
        <v>2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370" t="s">
        <v>336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67600</v>
      </c>
      <c r="M243" s="85"/>
      <c r="N243" s="262">
        <f>N244+N245+N246+N247</f>
        <v>49230</v>
      </c>
      <c r="O243" s="262">
        <f ca="1">IF(L243&gt;0,N243*100/L243,0)</f>
        <v>72.825443786982248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65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IFERROR(__xludf.DUMMYFUNCTION("IMPORTRANGE(""https://docs.google.com/spreadsheets/d/1eHaY18a8A9IcSdp1K8H6x8fbOy06t2VsZHhMHf-1x7Y/edit?usp=sharing"",""แผน!AX69"")"),14000)</f>
        <v>14000</v>
      </c>
      <c r="M244" s="85"/>
      <c r="N244" s="387">
        <v>4830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IFERROR(__xludf.DUMMYFUNCTION("IMPORTRANGE(""https://docs.google.com/spreadsheets/d/1eHaY18a8A9IcSdp1K8H6x8fbOy06t2VsZHhMHf-1x7Y/edit?usp=sharing"",""แผน!dg69"")"),2000)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IFERROR(__xludf.DUMMYFUNCTION("IMPORTRANGE(""https://docs.google.com/spreadsheets/d/1eHaY18a8A9IcSdp1K8H6x8fbOy06t2VsZHhMHf-1x7Y/edit?usp=sharing"",""แผน!AZ69"")"),16600)</f>
        <v>16600</v>
      </c>
      <c r="M246" s="85"/>
      <c r="N246" s="387">
        <v>9400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IFERROR(__xludf.DUMMYFUNCTION("IMPORTRANGE(""https://docs.google.com/spreadsheets/d/1eHaY18a8A9IcSdp1K8H6x8fbOy06t2VsZHhMHf-1x7Y/edit?usp=sharing"",""แผน!BA69"")"),35000)</f>
        <v>35000</v>
      </c>
      <c r="M247" s="85"/>
      <c r="N247" s="387">
        <v>35000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IFERROR(__xludf.DUMMYFUNCTION("IMPORTRANGE(""https://docs.google.com/spreadsheets/d/1eHaY18a8A9IcSdp1K8H6x8fbOy06t2VsZHhMHf-1x7Y/edit?usp=sharing"",""แผน!BG69"")"),20)</f>
        <v>20</v>
      </c>
      <c r="J249" s="794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IFERROR(__xludf.DUMMYFUNCTION("IMPORTRANGE(""https://docs.google.com/spreadsheets/d/1eHaY18a8A9IcSdp1K8H6x8fbOy06t2VsZHhMHf-1x7Y/edit?usp=sharing"",""แผน!KD69"")"),20)</f>
        <v>20</v>
      </c>
      <c r="J251" s="794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IFERROR(__xludf.DUMMYFUNCTION("IMPORTRANGE(""https://docs.google.com/spreadsheets/d/1eHaY18a8A9IcSdp1K8H6x8fbOy06t2VsZHhMHf-1x7Y/edit?usp=sharing"",""แผน!KE69"")"),1)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x14ac:dyDescent="0.3">
      <c r="A253" s="368"/>
      <c r="B253" s="369"/>
      <c r="C253" s="370" t="s">
        <v>362</v>
      </c>
      <c r="D253" s="371"/>
      <c r="E253" s="371"/>
      <c r="F253" s="371"/>
      <c r="G253" s="372"/>
      <c r="H253" s="373" t="s">
        <v>35</v>
      </c>
      <c r="I253" s="374">
        <f ca="1">I260</f>
        <v>40</v>
      </c>
      <c r="J253" s="374">
        <f>J260</f>
        <v>40</v>
      </c>
      <c r="K253" s="375">
        <f ca="1">IF(I253&gt;0,J253*100/I253,0)</f>
        <v>100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x14ac:dyDescent="0.3">
      <c r="A254" s="207"/>
      <c r="B254" s="65"/>
      <c r="C254" s="668" t="s">
        <v>18</v>
      </c>
      <c r="D254" s="1101" t="s">
        <v>19</v>
      </c>
      <c r="E254" s="65"/>
      <c r="F254" s="65"/>
      <c r="G254" s="67"/>
      <c r="H254" s="380" t="s">
        <v>14</v>
      </c>
      <c r="I254" s="217"/>
      <c r="J254" s="217"/>
      <c r="K254" s="218"/>
      <c r="L254" s="389">
        <f ca="1">L255+L256+L257+L258</f>
        <v>76200</v>
      </c>
      <c r="M254" s="85"/>
      <c r="N254" s="262">
        <f>N255+N256+N257+N258</f>
        <v>18980</v>
      </c>
      <c r="O254" s="262">
        <f ca="1">IF(L254&gt;0,N254*100/L254,0)</f>
        <v>24.908136482939632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x14ac:dyDescent="0.25">
      <c r="A255" s="207"/>
      <c r="B255" s="367"/>
      <c r="C255" s="65"/>
      <c r="D255" s="1303" t="s">
        <v>320</v>
      </c>
      <c r="E255" s="65"/>
      <c r="F255" s="65"/>
      <c r="G255" s="67"/>
      <c r="H255" s="216" t="s">
        <v>14</v>
      </c>
      <c r="I255" s="217"/>
      <c r="J255" s="217"/>
      <c r="K255" s="218"/>
      <c r="L255" s="71">
        <f ca="1">IFERROR(__xludf.DUMMYFUNCTION("IMPORTRANGE(""https://docs.google.com/spreadsheets/d/1eHaY18a8A9IcSdp1K8H6x8fbOy06t2VsZHhMHf-1x7Y/edit?usp=sharing"",""แผน!BB69"")"),12000)</f>
        <v>12000</v>
      </c>
      <c r="M255" s="85"/>
      <c r="N255" s="387">
        <f>1000+1480</f>
        <v>2480</v>
      </c>
      <c r="O255" s="85"/>
      <c r="P255" s="85"/>
      <c r="Q255" s="85"/>
      <c r="R255" s="85"/>
      <c r="S255" s="85"/>
      <c r="T255" s="85"/>
      <c r="U255" s="85"/>
    </row>
    <row r="256" spans="1:21" ht="18.75" x14ac:dyDescent="0.25">
      <c r="A256" s="364"/>
      <c r="B256" s="367"/>
      <c r="C256" s="367"/>
      <c r="D256" s="567" t="s">
        <v>317</v>
      </c>
      <c r="E256" s="65"/>
      <c r="F256" s="65"/>
      <c r="G256" s="67"/>
      <c r="H256" s="216" t="s">
        <v>14</v>
      </c>
      <c r="I256" s="69"/>
      <c r="J256" s="69"/>
      <c r="K256" s="70"/>
      <c r="L256" s="71">
        <f ca="1">IFERROR(__xludf.DUMMYFUNCTION("IMPORTRANGE(""https://docs.google.com/spreadsheets/d/1eHaY18a8A9IcSdp1K8H6x8fbOy06t2VsZHhMHf-1x7Y/edit?usp=sharing"",""แผน!BC69"")"),0)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x14ac:dyDescent="0.25">
      <c r="A257" s="364"/>
      <c r="B257" s="367"/>
      <c r="C257" s="367"/>
      <c r="D257" s="567" t="s">
        <v>88</v>
      </c>
      <c r="E257" s="65"/>
      <c r="F257" s="65"/>
      <c r="G257" s="67"/>
      <c r="H257" s="216" t="s">
        <v>14</v>
      </c>
      <c r="I257" s="69"/>
      <c r="J257" s="69"/>
      <c r="K257" s="70"/>
      <c r="L257" s="71">
        <f ca="1">IFERROR(__xludf.DUMMYFUNCTION("IMPORTRANGE(""https://docs.google.com/spreadsheets/d/1eHaY18a8A9IcSdp1K8H6x8fbOy06t2VsZHhMHf-1x7Y/edit?usp=sharing"",""แผน!BD69"")"),31200)</f>
        <v>31200</v>
      </c>
      <c r="M257" s="85"/>
      <c r="N257" s="387">
        <f>4000+12500</f>
        <v>16500</v>
      </c>
      <c r="O257" s="85"/>
      <c r="P257" s="85"/>
      <c r="Q257" s="85"/>
      <c r="R257" s="85"/>
      <c r="S257" s="85"/>
      <c r="T257" s="85"/>
      <c r="U257" s="85"/>
    </row>
    <row r="258" spans="1:21" ht="18.75" x14ac:dyDescent="0.25">
      <c r="A258" s="364"/>
      <c r="B258" s="367"/>
      <c r="C258" s="367"/>
      <c r="D258" s="265" t="s">
        <v>89</v>
      </c>
      <c r="E258" s="65"/>
      <c r="F258" s="65"/>
      <c r="G258" s="67"/>
      <c r="H258" s="216" t="s">
        <v>14</v>
      </c>
      <c r="I258" s="69"/>
      <c r="J258" s="69"/>
      <c r="K258" s="70"/>
      <c r="L258" s="71">
        <f ca="1">IFERROR(__xludf.DUMMYFUNCTION("IMPORTRANGE(""https://docs.google.com/spreadsheets/d/1eHaY18a8A9IcSdp1K8H6x8fbOy06t2VsZHhMHf-1x7Y/edit?usp=sharing"",""แผน!BE69"")"),33000)</f>
        <v>33000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x14ac:dyDescent="0.3">
      <c r="A259" s="220"/>
      <c r="B259" s="221"/>
      <c r="C259" s="668" t="s">
        <v>18</v>
      </c>
      <c r="D259" s="931" t="s">
        <v>38</v>
      </c>
      <c r="E259" s="223"/>
      <c r="F259" s="223"/>
      <c r="G259" s="224"/>
      <c r="H259" s="225"/>
      <c r="I259" s="217"/>
      <c r="J259" s="69"/>
      <c r="K259" s="70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x14ac:dyDescent="0.25">
      <c r="A260" s="220"/>
      <c r="B260" s="221"/>
      <c r="C260" s="221"/>
      <c r="D260" s="234" t="s">
        <v>108</v>
      </c>
      <c r="E260" s="229"/>
      <c r="F260" s="229"/>
      <c r="G260" s="225"/>
      <c r="H260" s="235" t="s">
        <v>35</v>
      </c>
      <c r="I260" s="237">
        <f ca="1">IFERROR(__xludf.DUMMYFUNCTION("IMPORTRANGE(""https://docs.google.com/spreadsheets/d/1eHaY18a8A9IcSdp1K8H6x8fbOy06t2VsZHhMHf-1x7Y/edit?usp=sharing"",""แผน!BH69"")"),40)</f>
        <v>40</v>
      </c>
      <c r="J260" s="794">
        <v>40</v>
      </c>
      <c r="K260" s="86">
        <f ca="1">IF(I260&gt;0,J260*100/I260,0)</f>
        <v>100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x14ac:dyDescent="0.25">
      <c r="A261" s="220"/>
      <c r="B261" s="221"/>
      <c r="C261" s="221"/>
      <c r="D261" s="400" t="s">
        <v>43</v>
      </c>
      <c r="E261" s="229"/>
      <c r="F261" s="229"/>
      <c r="G261" s="225"/>
      <c r="H261" s="225"/>
      <c r="I261" s="69"/>
      <c r="J261" s="69"/>
      <c r="K261" s="70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x14ac:dyDescent="0.25">
      <c r="A262" s="220"/>
      <c r="B262" s="221"/>
      <c r="C262" s="221"/>
      <c r="D262" s="221"/>
      <c r="E262" s="228" t="s">
        <v>109</v>
      </c>
      <c r="F262" s="229"/>
      <c r="G262" s="225"/>
      <c r="H262" s="235" t="s">
        <v>35</v>
      </c>
      <c r="I262" s="237">
        <f ca="1">IFERROR(__xludf.DUMMYFUNCTION("IMPORTRANGE(""https://docs.google.com/spreadsheets/d/1eHaY18a8A9IcSdp1K8H6x8fbOy06t2VsZHhMHf-1x7Y/edit?usp=sharing"",""แผน!KF69"")"),40)</f>
        <v>40</v>
      </c>
      <c r="J262" s="794">
        <v>40</v>
      </c>
      <c r="K262" s="86">
        <f ca="1">IF(I262&gt;0,J262*100/I262,0)</f>
        <v>100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x14ac:dyDescent="0.25">
      <c r="A263" s="220"/>
      <c r="B263" s="221"/>
      <c r="C263" s="221"/>
      <c r="D263" s="221"/>
      <c r="E263" s="228" t="s">
        <v>110</v>
      </c>
      <c r="F263" s="229"/>
      <c r="G263" s="225"/>
      <c r="H263" s="235" t="s">
        <v>61</v>
      </c>
      <c r="I263" s="237">
        <f ca="1">IFERROR(__xludf.DUMMYFUNCTION("IMPORTRANGE(""https://docs.google.com/spreadsheets/d/1eHaY18a8A9IcSdp1K8H6x8fbOy06t2VsZHhMHf-1x7Y/edit?usp=sharing"",""แผน!KG69"")"),1)</f>
        <v>1</v>
      </c>
      <c r="J263" s="794">
        <v>1</v>
      </c>
      <c r="K263" s="86">
        <f ca="1">IF(I263&gt;0,J263*100/I263,0)</f>
        <v>100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0</v>
      </c>
      <c r="K265" s="360">
        <f ca="1">IF(I265&gt;0,J265*100/I265,0)</f>
        <v>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t="shared" ref="O266:O274" ca="1" si="63">IF(L266&gt;0,N266*100/L266,0)</f>
        <v>0</v>
      </c>
      <c r="P266" s="211">
        <f t="shared" ref="P266:P274" ca="1" si="64">IF(M266&gt;0,N266*100/M266,0)</f>
        <v>0</v>
      </c>
      <c r="Q266" s="211">
        <f ca="1">Q267+Q268</f>
        <v>50660</v>
      </c>
      <c r="R266" s="211">
        <f ca="1">R267+R268</f>
        <v>50660</v>
      </c>
      <c r="S266" s="211">
        <f ca="1">S267+S268</f>
        <v>3440</v>
      </c>
      <c r="T266" s="211">
        <f t="shared" ref="T266:T274" ca="1" si="65">IF(Q266&gt;0,S266*100/Q266,0)</f>
        <v>6.7903671535728387</v>
      </c>
      <c r="U266" s="211">
        <f t="shared" ref="U266:U274" ca="1" si="66">IF(R266&gt;0,S266*100/R266,0)</f>
        <v>6.7903671535728387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0</v>
      </c>
      <c r="O268" s="86">
        <f t="shared" ca="1" si="63"/>
        <v>0</v>
      </c>
      <c r="P268" s="86">
        <f t="shared" ca="1" si="64"/>
        <v>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3440</v>
      </c>
      <c r="T268" s="86">
        <f t="shared" ca="1" si="65"/>
        <v>6.7903671535728387</v>
      </c>
      <c r="U268" s="86">
        <f t="shared" ca="1" si="66"/>
        <v>6.7903671535728387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0</v>
      </c>
      <c r="O269" s="86">
        <f t="shared" ca="1" si="63"/>
        <v>0</v>
      </c>
      <c r="P269" s="86">
        <f t="shared" ca="1" si="64"/>
        <v>0</v>
      </c>
      <c r="Q269" s="86">
        <f ca="1">Q270+Q271</f>
        <v>50660</v>
      </c>
      <c r="R269" s="86">
        <f ca="1">R270+R271</f>
        <v>50660</v>
      </c>
      <c r="S269" s="86">
        <f ca="1">S270+S271</f>
        <v>3440</v>
      </c>
      <c r="T269" s="86">
        <f t="shared" ca="1" si="65"/>
        <v>6.7903671535728387</v>
      </c>
      <c r="U269" s="86">
        <f t="shared" ca="1" si="66"/>
        <v>6.7903671535728387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IFERROR(__xludf.DUMMYFUNCTION("IMPORTRANGE(""https://docs.google.com/spreadsheets/d/1-uDff_7J0KD5mKrp0Vvzr7lt3OU09vwQwhkpOPPYv2Y/edit?usp=sharing"",""งบพรบ!DE69"")"),5000)</f>
        <v>5000</v>
      </c>
      <c r="M271" s="86">
        <f ca="1">IFERROR(__xludf.DUMMYFUNCTION("IMPORTRANGE(""https://docs.google.com/spreadsheets/d/1-uDff_7J0KD5mKrp0Vvzr7lt3OU09vwQwhkpOPPYv2Y/edit?usp=sharing"",""งบพรบ!DJ69"")"),5000)</f>
        <v>5000</v>
      </c>
      <c r="N271" s="86">
        <f ca="1">IFERROR(__xludf.DUMMYFUNCTION("IMPORTRANGE(""https://docs.google.com/spreadsheets/d/1-uDff_7J0KD5mKrp0Vvzr7lt3OU09vwQwhkpOPPYv2Y/edit?usp=sharing"",""งบพรบ!DL69"")"),0)</f>
        <v>0</v>
      </c>
      <c r="O271" s="86">
        <f t="shared" ca="1" si="63"/>
        <v>0</v>
      </c>
      <c r="P271" s="86">
        <f t="shared" ca="1" si="64"/>
        <v>0</v>
      </c>
      <c r="Q271" s="86">
        <f ca="1">IFERROR(__xludf.DUMMYFUNCTION("IMPORTRANGE(""https://docs.google.com/spreadsheets/d/1ItG2mGa2ceCfYo0BwxsXqNm01IGEUdYcSSLTEv9YCik/edit?usp=sharing"",""เบิกจ่ายกองทุน!AP69"")"),50660)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IFERROR(__xludf.DUMMYFUNCTION("IMPORTRANGE(""https://docs.google.com/spreadsheets/d/1ItG2mGa2ceCfYo0BwxsXqNm01IGEUdYcSSLTEv9YCik/edit?usp=sharing"",""เบิกจ่ายกองทุน!AQ69"")"),50660)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IFERROR(__xludf.DUMMYFUNCTION("IMPORTRANGE(""https://docs.google.com/spreadsheets/d/1ItG2mGa2ceCfYo0BwxsXqNm01IGEUdYcSSLTEv9YCik/edit?usp=sharing"",""เบิกจ่ายกองทุน!AR69"")"),3440)</f>
        <v>3440</v>
      </c>
      <c r="T271" s="86">
        <f t="shared" ca="1" si="65"/>
        <v>6.7903671535728387</v>
      </c>
      <c r="U271" s="86">
        <f t="shared" ca="1" si="66"/>
        <v>6.7903671535728387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IFERROR(__xludf.DUMMYFUNCTION("IMPORTRANGE(""https://docs.google.com/spreadsheets/d/1-uDff_7J0KD5mKrp0Vvzr7lt3OU09vwQwhkpOPPYv2Y/edit?usp=sharing"",""งบพรบ!DH69"")"),0)</f>
        <v>0</v>
      </c>
      <c r="M274" s="86">
        <f ca="1">IFERROR(__xludf.DUMMYFUNCTION("IMPORTRANGE(""https://docs.google.com/spreadsheets/d/1-uDff_7J0KD5mKrp0Vvzr7lt3OU09vwQwhkpOPPYv2Y/edit?usp=sharing"",""งบพรบ!DK69"")"),0)</f>
        <v>0</v>
      </c>
      <c r="N274" s="86">
        <f ca="1">IFERROR(__xludf.DUMMYFUNCTION("IMPORTRANGE(""https://docs.google.com/spreadsheets/d/1-uDff_7J0KD5mKrp0Vvzr7lt3OU09vwQwhkpOPPYv2Y/edit?usp=sharing"",""งบพรบ!DM69"")"),0)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IFERROR(__xludf.DUMMYFUNCTION("IMPORTRANGE(""https://docs.google.com/spreadsheets/d/1eHaY18a8A9IcSdp1K8H6x8fbOy06t2VsZHhMHf-1x7Y/edit?usp=sharing"",""แผน!EC69"")"),22)</f>
        <v>22</v>
      </c>
      <c r="J276" s="1117">
        <v>0</v>
      </c>
      <c r="K276" s="83">
        <f ca="1">IF(I276&gt;0,J276*100/I276,0)</f>
        <v>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40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400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106700</v>
      </c>
      <c r="M282" s="262">
        <f ca="1">M283+M284</f>
        <v>106700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106700</v>
      </c>
      <c r="M284" s="72">
        <f t="shared" ca="1" si="73"/>
        <v>106700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106700</v>
      </c>
      <c r="M285" s="72">
        <f ca="1">M286+M287</f>
        <v>106700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IFERROR(__xludf.DUMMYFUNCTION("IMPORTRANGE(""https://docs.google.com/spreadsheets/d/1-uDff_7J0KD5mKrp0Vvzr7lt3OU09vwQwhkpOPPYv2Y/edit?usp=sharing"",""งบพรบ!DO69"")"),106700)</f>
        <v>106700</v>
      </c>
      <c r="M287" s="72">
        <f ca="1">IFERROR(__xludf.DUMMYFUNCTION("IMPORTRANGE(""https://docs.google.com/spreadsheets/d/1-uDff_7J0KD5mKrp0Vvzr7lt3OU09vwQwhkpOPPYv2Y/edit?usp=sharing"",""งบพรบ!DT69"")"),106700)</f>
        <v>106700</v>
      </c>
      <c r="N287" s="72">
        <f ca="1">IFERROR(__xludf.DUMMYFUNCTION("IMPORTRANGE(""https://docs.google.com/spreadsheets/d/1-uDff_7J0KD5mKrp0Vvzr7lt3OU09vwQwhkpOPPYv2Y/edit?usp=sharing"",""งบพรบ!DV69"")"),0)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IFERROR(__xludf.DUMMYFUNCTION("IMPORTRANGE(""https://docs.google.com/spreadsheets/d/1-uDff_7J0KD5mKrp0Vvzr7lt3OU09vwQwhkpOPPYv2Y/edit?usp=sharing"",""งบพรบ!DR69"")"),0)</f>
        <v>0</v>
      </c>
      <c r="M290" s="72">
        <f ca="1">IFERROR(__xludf.DUMMYFUNCTION("IMPORTRANGE(""https://docs.google.com/spreadsheets/d/1-uDff_7J0KD5mKrp0Vvzr7lt3OU09vwQwhkpOPPYv2Y/edit?usp=sharing"",""งบพรบ!DU69"")"),0)</f>
        <v>0</v>
      </c>
      <c r="N290" s="72">
        <f ca="1">IFERROR(__xludf.DUMMYFUNCTION("IMPORTRANGE(""https://docs.google.com/spreadsheets/d/1-uDff_7J0KD5mKrp0Vvzr7lt3OU09vwQwhkpOPPYv2Y/edit?usp=sharing"",""งบพรบ!DW69"")"),0)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IFERROR(__xludf.DUMMYFUNCTION("IMPORTRANGE(""https://docs.google.com/spreadsheets/d/1eHaY18a8A9IcSdp1K8H6x8fbOy06t2VsZHhMHf-1x7Y/edit?usp=sharing"",""แผน!EE69"")"),400)</f>
        <v>400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IFERROR(__xludf.DUMMYFUNCTION("IMPORTRANGE(""https://docs.google.com/spreadsheets/d/1eHaY18a8A9IcSdp1K8H6x8fbOy06t2VsZHhMHf-1x7Y/edit?usp=sharing"",""แผน!ED69"")"),40)</f>
        <v>40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IFERROR(__xludf.DUMMYFUNCTION("IMPORTRANGE(""https://docs.google.com/spreadsheets/d/1eHaY18a8A9IcSdp1K8H6x8fbOy06t2VsZHhMHf-1x7Y/edit?usp=sharing"",""แผน!ED69"")"),40)</f>
        <v>40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IFERROR(__xludf.DUMMYFUNCTION("IMPORTRANGE(""https://docs.google.com/spreadsheets/d/1eHaY18a8A9IcSdp1K8H6x8fbOy06t2VsZHhMHf-1x7Y/edit?usp=sharing"",""แผน!ED69"")"),40)</f>
        <v>40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133360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133360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133360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IFERROR(__xludf.DUMMYFUNCTION("IMPORTRANGE(""https://docs.google.com/spreadsheets/d/1-uDff_7J0KD5mKrp0Vvzr7lt3OU09vwQwhkpOPPYv2Y/edit?usp=sharing"",""งบพรบ!DY69"")"),0)</f>
        <v>0</v>
      </c>
      <c r="M308" s="72">
        <f ca="1">IFERROR(__xludf.DUMMYFUNCTION("IMPORTRANGE(""https://docs.google.com/spreadsheets/d/1-uDff_7J0KD5mKrp0Vvzr7lt3OU09vwQwhkpOPPYv2Y/edit?usp=sharing"",""งบพรบ!ED69"")"),133360)</f>
        <v>133360</v>
      </c>
      <c r="N308" s="72">
        <f ca="1">IFERROR(__xludf.DUMMYFUNCTION("IMPORTRANGE(""https://docs.google.com/spreadsheets/d/1-uDff_7J0KD5mKrp0Vvzr7lt3OU09vwQwhkpOPPYv2Y/edit?usp=sharing"",""งบพรบ!EF69"")"),0)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IFERROR(__xludf.DUMMYFUNCTION("IMPORTRANGE(""https://docs.google.com/spreadsheets/d/1ItG2mGa2ceCfYo0BwxsXqNm01IGEUdYcSSLTEv9YCik/edit?usp=sharing"",""เบิกจ่ายกองทุน!BB69"")"),0)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IFERROR(__xludf.DUMMYFUNCTION("IMPORTRANGE(""https://docs.google.com/spreadsheets/d/1ItG2mGa2ceCfYo0BwxsXqNm01IGEUdYcSSLTEv9YCik/edit?usp=sharing"",""เบิกจ่ายกองทุน!BC69"")"),0)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IFERROR(__xludf.DUMMYFUNCTION("IMPORTRANGE(""https://docs.google.com/spreadsheets/d/1ItG2mGa2ceCfYo0BwxsXqNm01IGEUdYcSSLTEv9YCik/edit?usp=sharing"",""เบิกจ่ายกองทุน!BD69"")"),0)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IFERROR(__xludf.DUMMYFUNCTION("IMPORTRANGE(""https://docs.google.com/spreadsheets/d/1-uDff_7J0KD5mKrp0Vvzr7lt3OU09vwQwhkpOPPYv2Y/edit?usp=sharing"",""งบพรบ!EB69"")"),0)</f>
        <v>0</v>
      </c>
      <c r="M311" s="72">
        <f ca="1">IFERROR(__xludf.DUMMYFUNCTION("IMPORTRANGE(""https://docs.google.com/spreadsheets/d/1-uDff_7J0KD5mKrp0Vvzr7lt3OU09vwQwhkpOPPYv2Y/edit?usp=sharing"",""งบพรบ!EE69"")"),0)</f>
        <v>0</v>
      </c>
      <c r="N311" s="72">
        <f ca="1">IFERROR(__xludf.DUMMYFUNCTION("IMPORTRANGE(""https://docs.google.com/spreadsheets/d/1-uDff_7J0KD5mKrp0Vvzr7lt3OU09vwQwhkpOPPYv2Y/edit?usp=sharing"",""งบพรบ!EG69"")"),0)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57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IFERROR(__xludf.DUMMYFUNCTION("IMPORTRANGE(""https://docs.google.com/spreadsheets/d/1eHaY18a8A9IcSdp1K8H6x8fbOy06t2VsZHhMHf-1x7Y/edit?usp=sharing"",""แผน!EF69"")"),0)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893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2</v>
      </c>
      <c r="J319" s="595">
        <f>J330</f>
        <v>1</v>
      </c>
      <c r="K319" s="589">
        <f ca="1">IF(I319&gt;0,J319*100/I319,0)</f>
        <v>50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x14ac:dyDescent="0.3">
      <c r="A320" s="255"/>
      <c r="B320" s="256"/>
      <c r="C320" s="668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185000</v>
      </c>
      <c r="M320" s="262">
        <f ca="1">M321+M322</f>
        <v>185000</v>
      </c>
      <c r="N320" s="262">
        <f ca="1">N321+N322</f>
        <v>27652.26</v>
      </c>
      <c r="O320" s="262">
        <f t="shared" ref="O320:O328" ca="1" si="81">IF(L320&gt;0,N320*100/L320,0)</f>
        <v>14.947167567567568</v>
      </c>
      <c r="P320" s="262">
        <f t="shared" ref="P320:P328" ca="1" si="82">IF(M320&gt;0,N320*100/M320,0)</f>
        <v>14.947167567567568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185000</v>
      </c>
      <c r="M322" s="72">
        <f t="shared" ca="1" si="85"/>
        <v>185000</v>
      </c>
      <c r="N322" s="72">
        <f t="shared" ca="1" si="85"/>
        <v>27652.26</v>
      </c>
      <c r="O322" s="72">
        <f t="shared" ca="1" si="81"/>
        <v>14.947167567567568</v>
      </c>
      <c r="P322" s="72">
        <f t="shared" ca="1" si="82"/>
        <v>14.947167567567568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185000</v>
      </c>
      <c r="M323" s="72">
        <f ca="1">M324+M325</f>
        <v>185000</v>
      </c>
      <c r="N323" s="72">
        <f ca="1">N324+N325</f>
        <v>27652.26</v>
      </c>
      <c r="O323" s="72">
        <f t="shared" ca="1" si="81"/>
        <v>14.947167567567568</v>
      </c>
      <c r="P323" s="72">
        <f t="shared" ca="1" si="82"/>
        <v>14.947167567567568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IFERROR(__xludf.DUMMYFUNCTION("IMPORTRANGE(""https://docs.google.com/spreadsheets/d/1-uDff_7J0KD5mKrp0Vvzr7lt3OU09vwQwhkpOPPYv2Y/edit?usp=sharing"",""งบพรบ!EI69"")"),185000)</f>
        <v>185000</v>
      </c>
      <c r="M325" s="72">
        <f ca="1">IFERROR(__xludf.DUMMYFUNCTION("IMPORTRANGE(""https://docs.google.com/spreadsheets/d/1-uDff_7J0KD5mKrp0Vvzr7lt3OU09vwQwhkpOPPYv2Y/edit?usp=sharing"",""งบพรบ!EN69"")"),185000)</f>
        <v>185000</v>
      </c>
      <c r="N325" s="72">
        <f ca="1">IFERROR(__xludf.DUMMYFUNCTION("IMPORTRANGE(""https://docs.google.com/spreadsheets/d/1-uDff_7J0KD5mKrp0Vvzr7lt3OU09vwQwhkpOPPYv2Y/edit?usp=sharing"",""งบพรบ!EP69"")"),27652.26)</f>
        <v>27652.26</v>
      </c>
      <c r="O325" s="72">
        <f t="shared" ca="1" si="81"/>
        <v>14.947167567567568</v>
      </c>
      <c r="P325" s="72">
        <f t="shared" ca="1" si="82"/>
        <v>14.947167567567568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IFERROR(__xludf.DUMMYFUNCTION("IMPORTRANGE(""https://docs.google.com/spreadsheets/d/1-uDff_7J0KD5mKrp0Vvzr7lt3OU09vwQwhkpOPPYv2Y/edit?usp=sharing"",""งบพรบ!EL69"")"),0)</f>
        <v>0</v>
      </c>
      <c r="M328" s="72">
        <f ca="1">IFERROR(__xludf.DUMMYFUNCTION("IMPORTRANGE(""https://docs.google.com/spreadsheets/d/1-uDff_7J0KD5mKrp0Vvzr7lt3OU09vwQwhkpOPPYv2Y/edit?usp=sharing"",""งบพรบ!EO69"")"),0)</f>
        <v>0</v>
      </c>
      <c r="N328" s="72">
        <f ca="1">IFERROR(__xludf.DUMMYFUNCTION("IMPORTRANGE(""https://docs.google.com/spreadsheets/d/1-uDff_7J0KD5mKrp0Vvzr7lt3OU09vwQwhkpOPPYv2Y/edit?usp=sharing"",""งบพรบ!EQ69"")"),0)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x14ac:dyDescent="0.3">
      <c r="A329" s="274"/>
      <c r="B329" s="275"/>
      <c r="C329" s="668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IFERROR(__xludf.DUMMYFUNCTION("IMPORTRANGE(""https://docs.google.com/spreadsheets/d/1eHaY18a8A9IcSdp1K8H6x8fbOy06t2VsZHhMHf-1x7Y/edit?usp=sharing"",""แผน!EJ69"")"),2)</f>
        <v>2</v>
      </c>
      <c r="J330" s="292">
        <v>1</v>
      </c>
      <c r="K330" s="72">
        <f ca="1">IF(I330&gt;0,J330*100/I330,0)</f>
        <v>50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3540</v>
      </c>
      <c r="J332" s="515">
        <f ca="1">J344+J347+J348+J349+J353+J354</f>
        <v>21607</v>
      </c>
      <c r="K332" s="516">
        <f ca="1">IF(I332&gt;0,J332*100/I332,0)</f>
        <v>610.36723163841805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197000</v>
      </c>
      <c r="M333" s="262">
        <f ca="1">M334+M335</f>
        <v>197000</v>
      </c>
      <c r="N333" s="262">
        <f ca="1">N334+N335</f>
        <v>128800</v>
      </c>
      <c r="O333" s="262">
        <f t="shared" ref="O333:O341" ca="1" si="87">IF(L333&gt;0,N333*100/L333,0)</f>
        <v>65.380710659898483</v>
      </c>
      <c r="P333" s="262">
        <f t="shared" ref="P333:P341" ca="1" si="88">IF(M333&gt;0,N333*100/M333,0)</f>
        <v>65.380710659898483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197000</v>
      </c>
      <c r="M335" s="72">
        <f t="shared" ca="1" si="91"/>
        <v>197000</v>
      </c>
      <c r="N335" s="72">
        <f t="shared" ca="1" si="91"/>
        <v>128800</v>
      </c>
      <c r="O335" s="72">
        <f t="shared" ca="1" si="87"/>
        <v>65.380710659898483</v>
      </c>
      <c r="P335" s="72">
        <f t="shared" ca="1" si="88"/>
        <v>65.380710659898483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197000</v>
      </c>
      <c r="M336" s="72">
        <f ca="1">M337+M338</f>
        <v>197000</v>
      </c>
      <c r="N336" s="72">
        <f ca="1">N337+N338</f>
        <v>128800</v>
      </c>
      <c r="O336" s="72">
        <f t="shared" ca="1" si="87"/>
        <v>65.380710659898483</v>
      </c>
      <c r="P336" s="72">
        <f t="shared" ca="1" si="88"/>
        <v>65.380710659898483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IFERROR(__xludf.DUMMYFUNCTION("IMPORTRANGE(""https://docs.google.com/spreadsheets/d/1-uDff_7J0KD5mKrp0Vvzr7lt3OU09vwQwhkpOPPYv2Y/edit?usp=sharing"",""งบพรบ!ES69"")"),197000)</f>
        <v>197000</v>
      </c>
      <c r="M338" s="72">
        <f ca="1">IFERROR(__xludf.DUMMYFUNCTION("IMPORTRANGE(""https://docs.google.com/spreadsheets/d/1-uDff_7J0KD5mKrp0Vvzr7lt3OU09vwQwhkpOPPYv2Y/edit?usp=sharing"",""งบพรบ!EX69"")"),197000)</f>
        <v>197000</v>
      </c>
      <c r="N338" s="72">
        <f ca="1">IFERROR(__xludf.DUMMYFUNCTION("IMPORTRANGE(""https://docs.google.com/spreadsheets/d/1-uDff_7J0KD5mKrp0Vvzr7lt3OU09vwQwhkpOPPYv2Y/edit?usp=sharing"",""งบพรบ!EZ69"")"),128800)</f>
        <v>128800</v>
      </c>
      <c r="O338" s="72">
        <f t="shared" ca="1" si="87"/>
        <v>65.380710659898483</v>
      </c>
      <c r="P338" s="72">
        <f t="shared" ca="1" si="88"/>
        <v>65.380710659898483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IFERROR(__xludf.DUMMYFUNCTION("IMPORTRANGE(""https://docs.google.com/spreadsheets/d/1-uDff_7J0KD5mKrp0Vvzr7lt3OU09vwQwhkpOPPYv2Y/edit?usp=sharing"",""งบพรบ!EV69"")"),0)</f>
        <v>0</v>
      </c>
      <c r="M341" s="72">
        <f ca="1">IFERROR(__xludf.DUMMYFUNCTION("IMPORTRANGE(""https://docs.google.com/spreadsheets/d/1-uDff_7J0KD5mKrp0Vvzr7lt3OU09vwQwhkpOPPYv2Y/edit?usp=sharing"",""งบพรบ!EY69"")"),0)</f>
        <v>0</v>
      </c>
      <c r="N341" s="72">
        <f ca="1">IFERROR(__xludf.DUMMYFUNCTION("IMPORTRANGE(""https://docs.google.com/spreadsheets/d/1-uDff_7J0KD5mKrp0Vvzr7lt3OU09vwQwhkpOPPYv2Y/edit?usp=sharing"",""งบพรบ!FA69"")"),0)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8661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IFERROR(__xludf.DUMMYFUNCTION("IMPORTRANGE(""https://docs.google.com/spreadsheets/d/1eHaY18a8A9IcSdp1K8H6x8fbOy06t2VsZHhMHf-1x7Y/edit?usp=sharing"",""แผน!EK69"")"),3540)</f>
        <v>3540</v>
      </c>
      <c r="J344" s="291">
        <f ca="1">IFERROR(__xludf.DUMMYFUNCTION("IMPORTRANGE(""https://docs.google.com/spreadsheets/d/1awYsYK3VOup2i3Pq_Yjnu8DRu_mYwSBnCR2QPthd0rU/edit?usp=sharing"",""ศูนย์ยกเว้นโฉนด!D69"")"),8270)</f>
        <v>8270</v>
      </c>
      <c r="K344" s="72">
        <f ca="1">IF(I344&gt;0,J344*100/I344,0)</f>
        <v>233.61581920903956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IFERROR(__xludf.DUMMYFUNCTION("IMPORTRANGE(""https://docs.google.com/spreadsheets/d/1eHaY18a8A9IcSdp1K8H6x8fbOy06t2VsZHhMHf-1x7Y/edit?usp=sharing"",""แผน!EL69"")"),5)</f>
        <v>5</v>
      </c>
      <c r="J346" s="291">
        <f ca="1">IFERROR(__xludf.DUMMYFUNCTION("IMPORTRANGE(""https://docs.google.com/spreadsheets/d/1awYsYK3VOup2i3Pq_Yjnu8DRu_mYwSBnCR2QPthd0rU/edit?usp=sharing"",""ศูนย์รวม!E69"")"),5)</f>
        <v>5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IFERROR(__xludf.DUMMYFUNCTION("IMPORTRANGE(""https://docs.google.com/spreadsheets/d/1awYsYK3VOup2i3Pq_Yjnu8DRu_mYwSBnCR2QPthd0rU/edit?usp=sharing"",""ศูนย์ยกเว้นโฉนด!F69"")"),200)</f>
        <v>200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IFERROR(__xludf.DUMMYFUNCTION("IMPORTRANGE(""https://docs.google.com/spreadsheets/d/1awYsYK3VOup2i3Pq_Yjnu8DRu_mYwSBnCR2QPthd0rU/edit?usp=sharing"",""ศูนย์ยกเว้นโฉนด!H69"")"),0)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12999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IFERROR(__xludf.DUMMYFUNCTION("IMPORTRANGE(""https://docs.google.com/spreadsheets/d/1awYsYK3VOup2i3Pq_Yjnu8DRu_mYwSBnCR2QPthd0rU/edit?usp=sharing"",""โฉนดM3!G69"")"),53)</f>
        <v>53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IFERROR(__xludf.DUMMYFUNCTION("IMPORTRANGE(""https://docs.google.com/spreadsheets/d/1awYsYK3VOup2i3Pq_Yjnu8DRu_mYwSBnCR2QPthd0rU/edit?usp=sharing"",""โฉนดM3!H69"")"),12513)</f>
        <v>12513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IFERROR(__xludf.DUMMYFUNCTION("IMPORTRANGE(""https://docs.google.com/spreadsheets/d/1awYsYK3VOup2i3Pq_Yjnu8DRu_mYwSBnCR2QPthd0rU/edit?usp=sharing"",""โฉนดM3!I69"")"),433)</f>
        <v>433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810360</v>
      </c>
      <c r="M356" s="262">
        <f ca="1">M357+M358</f>
        <v>845210</v>
      </c>
      <c r="N356" s="262">
        <f ca="1">N357+N358</f>
        <v>591316.63</v>
      </c>
      <c r="O356" s="262">
        <f t="shared" ref="O356:O364" ca="1" si="93">IF(L356&gt;0,N356*100/L356,0)</f>
        <v>72.969622143244976</v>
      </c>
      <c r="P356" s="262">
        <f t="shared" ref="P356:P364" ca="1" si="94">IF(M356&gt;0,N356*100/M356,0)</f>
        <v>69.96091267259024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810360</v>
      </c>
      <c r="M358" s="72">
        <f t="shared" ca="1" si="97"/>
        <v>845210</v>
      </c>
      <c r="N358" s="72">
        <f t="shared" ca="1" si="97"/>
        <v>591316.63</v>
      </c>
      <c r="O358" s="72">
        <f t="shared" ca="1" si="93"/>
        <v>72.969622143244976</v>
      </c>
      <c r="P358" s="72">
        <f t="shared" ca="1" si="94"/>
        <v>69.96091267259024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810360</v>
      </c>
      <c r="M359" s="72">
        <f ca="1">M360+M361</f>
        <v>845210</v>
      </c>
      <c r="N359" s="72">
        <f ca="1">N360+N361</f>
        <v>591316.63</v>
      </c>
      <c r="O359" s="72">
        <f t="shared" ca="1" si="93"/>
        <v>72.969622143244976</v>
      </c>
      <c r="P359" s="72">
        <f t="shared" ca="1" si="94"/>
        <v>69.96091267259024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IFERROR(__xludf.DUMMYFUNCTION("IMPORTRANGE(""https://docs.google.com/spreadsheets/d/1-uDff_7J0KD5mKrp0Vvzr7lt3OU09vwQwhkpOPPYv2Y/edit?usp=sharing"",""งบพรบ!FC69"")"),810360)</f>
        <v>810360</v>
      </c>
      <c r="M361" s="72">
        <f ca="1">IFERROR(__xludf.DUMMYFUNCTION("IMPORTRANGE(""https://docs.google.com/spreadsheets/d/1-uDff_7J0KD5mKrp0Vvzr7lt3OU09vwQwhkpOPPYv2Y/edit?usp=sharing"",""งบพรบ!FH69"")"),845210)</f>
        <v>845210</v>
      </c>
      <c r="N361" s="72">
        <f ca="1">IFERROR(__xludf.DUMMYFUNCTION("IMPORTRANGE(""https://docs.google.com/spreadsheets/d/1-uDff_7J0KD5mKrp0Vvzr7lt3OU09vwQwhkpOPPYv2Y/edit?usp=sharing"",""งบพรบ!FJ69"")"),591316.63)</f>
        <v>591316.63</v>
      </c>
      <c r="O361" s="72">
        <f t="shared" ca="1" si="93"/>
        <v>72.969622143244976</v>
      </c>
      <c r="P361" s="72">
        <f t="shared" ca="1" si="94"/>
        <v>69.96091267259024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IFERROR(__xludf.DUMMYFUNCTION("IMPORTRANGE(""https://docs.google.com/spreadsheets/d/1-uDff_7J0KD5mKrp0Vvzr7lt3OU09vwQwhkpOPPYv2Y/edit?usp=sharing"",""งบพรบ!FF69"")"),0)</f>
        <v>0</v>
      </c>
      <c r="M364" s="72">
        <f ca="1">IFERROR(__xludf.DUMMYFUNCTION("IMPORTRANGE(""https://docs.google.com/spreadsheets/d/1-uDff_7J0KD5mKrp0Vvzr7lt3OU09vwQwhkpOPPYv2Y/edit?usp=sharing"",""งบพรบ!FI69"")"),0)</f>
        <v>0</v>
      </c>
      <c r="N364" s="72">
        <f ca="1">IFERROR(__xludf.DUMMYFUNCTION("IMPORTRANGE(""https://docs.google.com/spreadsheets/d/1-uDff_7J0KD5mKrp0Vvzr7lt3OU09vwQwhkpOPPYv2Y/edit?usp=sharing"",""งบพรบ!FK69"")"),0)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567</v>
      </c>
      <c r="J365" s="538">
        <f ca="1">J371</f>
        <v>435</v>
      </c>
      <c r="K365" s="539">
        <f ca="1">IF(I365&gt;0,J365*100/I365,0)</f>
        <v>76.719576719576722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IFERROR(__xludf.DUMMYFUNCTION("IMPORTRANGE(""https://docs.google.com/spreadsheets/d/1tdoBKaGub7dwA3U6UFTqxio9LNnvDCQjHKmttSEBsFQ/edit?usp=sharing"",""จัดที่ดิน!AB69"")"),216)</f>
        <v>216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IFERROR(__xludf.DUMMYFUNCTION("IMPORTRANGE(""https://docs.google.com/spreadsheets/d/1eHaY18a8A9IcSdp1K8H6x8fbOy06t2VsZHhMHf-1x7Y/edit?usp=sharing"",""แผน!EW69"")"),3000)</f>
        <v>3000</v>
      </c>
      <c r="J368" s="879">
        <f ca="1">IFERROR(__xludf.DUMMYFUNCTION("IMPORTRANGE(""https://docs.google.com/spreadsheets/d/1tdoBKaGub7dwA3U6UFTqxio9LNnvDCQjHKmttSEBsFQ/edit?usp=sharing"",""จัดที่ดิน!AC69"")"),3122.27)</f>
        <v>3122.27</v>
      </c>
      <c r="K368" s="72">
        <f t="shared" ca="1" si="99"/>
        <v>104.07566666666666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IFERROR(__xludf.DUMMYFUNCTION("IMPORTRANGE(""https://docs.google.com/spreadsheets/d/1eHaY18a8A9IcSdp1K8H6x8fbOy06t2VsZHhMHf-1x7Y/edit?usp=sharing"",""แผน!EX69"")"),567)</f>
        <v>567</v>
      </c>
      <c r="J369" s="291">
        <f ca="1">IFERROR(__xludf.DUMMYFUNCTION("IMPORTRANGE(""https://docs.google.com/spreadsheets/d/1tdoBKaGub7dwA3U6UFTqxio9LNnvDCQjHKmttSEBsFQ/edit?usp=sharing"",""จัดที่ดิน!AD69"")"),607)</f>
        <v>607</v>
      </c>
      <c r="K369" s="72">
        <f t="shared" ca="1" si="99"/>
        <v>107.05467372134039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IFERROR(__xludf.DUMMYFUNCTION("IMPORTRANGE(""https://docs.google.com/spreadsheets/d/1tdoBKaGub7dwA3U6UFTqxio9LNnvDCQjHKmttSEBsFQ/edit?usp=sharing"",""จัดที่ดิน!AE69"")"),10279.36)</f>
        <v>10279.36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IFERROR(__xludf.DUMMYFUNCTION("IMPORTRANGE(""https://docs.google.com/spreadsheets/d/1eHaY18a8A9IcSdp1K8H6x8fbOy06t2VsZHhMHf-1x7Y/edit?usp=sharing"",""แผน!EY69"")"),567)</f>
        <v>567</v>
      </c>
      <c r="J371" s="291">
        <f ca="1">IFERROR(__xludf.DUMMYFUNCTION("IMPORTRANGE(""https://docs.google.com/spreadsheets/d/1tdoBKaGub7dwA3U6UFTqxio9LNnvDCQjHKmttSEBsFQ/edit?usp=sharing"",""จัดที่ดิน!AF69"")"),435)</f>
        <v>435</v>
      </c>
      <c r="K371" s="72">
        <f t="shared" ca="1" si="99"/>
        <v>76.719576719576722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IFERROR(__xludf.DUMMYFUNCTION("IMPORTRANGE(""https://docs.google.com/spreadsheets/d/1tdoBKaGub7dwA3U6UFTqxio9LNnvDCQjHKmttSEBsFQ/edit?usp=sharing"",""จัดที่ดิน!AG69"")"),7836.87)</f>
        <v>7836.87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IFERROR(__xludf.DUMMYFUNCTION("IMPORTRANGE(""https://docs.google.com/spreadsheets/d/1-uDff_7J0KD5mKrp0Vvzr7lt3OU09vwQwhkpOPPYv2Y/edit?usp=sharing"",""งบพรบ!IE69"")"),0)</f>
        <v>0</v>
      </c>
      <c r="M380" s="72">
        <f ca="1">IFERROR(__xludf.DUMMYFUNCTION("IMPORTRANGE(""https://docs.google.com/spreadsheets/d/1-uDff_7J0KD5mKrp0Vvzr7lt3OU09vwQwhkpOPPYv2Y/edit?usp=sharing"",""งบพรบ!IJ69"")"),0)</f>
        <v>0</v>
      </c>
      <c r="N380" s="72">
        <f ca="1">IFERROR(__xludf.DUMMYFUNCTION("IMPORTRANGE(""https://docs.google.com/spreadsheets/d/1-uDff_7J0KD5mKrp0Vvzr7lt3OU09vwQwhkpOPPYv2Y/edit?usp=sharing"",""งบพรบ!IL69"")"),0)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IFERROR(__xludf.DUMMYFUNCTION("IMPORTRANGE(""https://docs.google.com/spreadsheets/d/1ItG2mGa2ceCfYo0BwxsXqNm01IGEUdYcSSLTEv9YCik/edit?usp=sharing"",""เบิกจ่ายกองทุน!BW69"")"),0)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IFERROR(__xludf.DUMMYFUNCTION("IMPORTRANGE(""https://docs.google.com/spreadsheets/d/1ItG2mGa2ceCfYo0BwxsXqNm01IGEUdYcSSLTEv9YCik/edit?usp=sharing"",""เบิกจ่ายกองทุน!BX69"")"),0)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IFERROR(__xludf.DUMMYFUNCTION("IMPORTRANGE(""https://docs.google.com/spreadsheets/d/1ItG2mGa2ceCfYo0BwxsXqNm01IGEUdYcSSLTEv9YCik/edit?usp=sharing"",""เบิกจ่ายกองทุน!BY69"")"),0)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IFERROR(__xludf.DUMMYFUNCTION("IMPORTRANGE(""https://docs.google.com/spreadsheets/d/1-uDff_7J0KD5mKrp0Vvzr7lt3OU09vwQwhkpOPPYv2Y/edit?usp=sharing"",""งบพรบ!IH69"")"),0)</f>
        <v>0</v>
      </c>
      <c r="M383" s="72">
        <f ca="1">IFERROR(__xludf.DUMMYFUNCTION("IMPORTRANGE(""https://docs.google.com/spreadsheets/d/1-uDff_7J0KD5mKrp0Vvzr7lt3OU09vwQwhkpOPPYv2Y/edit?usp=sharing"",""งบพรบ!IK69"")"),0)</f>
        <v>0</v>
      </c>
      <c r="N383" s="72">
        <f ca="1">IFERROR(__xludf.DUMMYFUNCTION("IMPORTRANGE(""https://docs.google.com/spreadsheets/d/1-uDff_7J0KD5mKrp0Vvzr7lt3OU09vwQwhkpOPPYv2Y/edit?usp=sharing"",""งบพรบ!IM69"")"),0)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IFERROR(__xludf.DUMMYFUNCTION("IMPORTRANGE(""https://docs.google.com/spreadsheets/d/1eHaY18a8A9IcSdp1K8H6x8fbOy06t2VsZHhMHf-1x7Y/edit?usp=sharing"",""แผน!JQ69"")"),0)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IFERROR(__xludf.DUMMYFUNCTION("IMPORTRANGE(""https://docs.google.com/spreadsheets/d/1eHaY18a8A9IcSdp1K8H6x8fbOy06t2VsZHhMHf-1x7Y/edit?usp=sharing"",""แผน!JQ69"")"),0)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IFERROR(__xludf.DUMMYFUNCTION("IMPORTRANGE(""https://docs.google.com/spreadsheets/d/1ItG2mGa2ceCfYo0BwxsXqNm01IGEUdYcSSLTEv9YCik/edit?usp=sharing"",""เบิกจ่ายกองทุน!CL69"")"),0)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IFERROR(__xludf.DUMMYFUNCTION("IMPORTRANGE(""https://docs.google.com/spreadsheets/d/1ItG2mGa2ceCfYo0BwxsXqNm01IGEUdYcSSLTEv9YCik/edit?usp=sharing"",""เบิกจ่ายกองทุน!CM69"")"),0)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IFERROR(__xludf.DUMMYFUNCTION("IMPORTRANGE(""https://docs.google.com/spreadsheets/d/1ItG2mGa2ceCfYo0BwxsXqNm01IGEUdYcSSLTEv9YCik/edit?usp=sharing"",""เบิกจ่ายกองทุน!CN69"")"),0)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50092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481300</v>
      </c>
      <c r="M413" s="262">
        <f ca="1">M414+M415</f>
        <v>481300</v>
      </c>
      <c r="N413" s="262">
        <f ca="1">N414+N415</f>
        <v>90989.13</v>
      </c>
      <c r="O413" s="262">
        <f t="shared" ref="O413:O421" ca="1" si="112">IF(L413&gt;0,N413*100/L413,0)</f>
        <v>18.904868065655517</v>
      </c>
      <c r="P413" s="262">
        <f t="shared" ref="P413:P421" ca="1" si="113">IF(M413&gt;0,N413*100/M413,0)</f>
        <v>18.904868065655517</v>
      </c>
      <c r="Q413" s="262">
        <f ca="1">Q414+Q415</f>
        <v>36920</v>
      </c>
      <c r="R413" s="262">
        <f ca="1">R414+R415</f>
        <v>36920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481300</v>
      </c>
      <c r="M415" s="72">
        <f t="shared" ca="1" si="116"/>
        <v>481300</v>
      </c>
      <c r="N415" s="72">
        <f t="shared" ca="1" si="116"/>
        <v>90989.13</v>
      </c>
      <c r="O415" s="72">
        <f t="shared" ca="1" si="112"/>
        <v>18.904868065655517</v>
      </c>
      <c r="P415" s="72">
        <f t="shared" ca="1" si="113"/>
        <v>18.904868065655517</v>
      </c>
      <c r="Q415" s="72">
        <f t="shared" ca="1" si="117"/>
        <v>36920</v>
      </c>
      <c r="R415" s="72">
        <f t="shared" ca="1" si="117"/>
        <v>36920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481300</v>
      </c>
      <c r="M416" s="72">
        <f ca="1">M417+M418</f>
        <v>481300</v>
      </c>
      <c r="N416" s="72">
        <f ca="1">N417+N418</f>
        <v>90989.13</v>
      </c>
      <c r="O416" s="72">
        <f t="shared" ca="1" si="112"/>
        <v>18.904868065655517</v>
      </c>
      <c r="P416" s="72">
        <f t="shared" ca="1" si="113"/>
        <v>18.904868065655517</v>
      </c>
      <c r="Q416" s="72">
        <f ca="1">Q417+Q418</f>
        <v>36920</v>
      </c>
      <c r="R416" s="72">
        <f ca="1">R417+R418</f>
        <v>36920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IFERROR(__xludf.DUMMYFUNCTION("IMPORTRANGE(""https://docs.google.com/spreadsheets/d/1-uDff_7J0KD5mKrp0Vvzr7lt3OU09vwQwhkpOPPYv2Y/edit?usp=sharing"",""งบพรบ!IO69"")"),481300)</f>
        <v>481300</v>
      </c>
      <c r="M418" s="72">
        <f ca="1">IFERROR(__xludf.DUMMYFUNCTION("IMPORTRANGE(""https://docs.google.com/spreadsheets/d/1-uDff_7J0KD5mKrp0Vvzr7lt3OU09vwQwhkpOPPYv2Y/edit?usp=sharing"",""งบพรบ!IT69"")"),481300)</f>
        <v>481300</v>
      </c>
      <c r="N418" s="72">
        <f ca="1">IFERROR(__xludf.DUMMYFUNCTION("IMPORTRANGE(""https://docs.google.com/spreadsheets/d/1-uDff_7J0KD5mKrp0Vvzr7lt3OU09vwQwhkpOPPYv2Y/edit?usp=sharing"",""งบพรบ!IV69"")"),90989.13)</f>
        <v>90989.13</v>
      </c>
      <c r="O418" s="72">
        <f t="shared" ca="1" si="112"/>
        <v>18.904868065655517</v>
      </c>
      <c r="P418" s="72">
        <f t="shared" ca="1" si="113"/>
        <v>18.904868065655517</v>
      </c>
      <c r="Q418" s="72">
        <f ca="1">IFERROR(__xludf.DUMMYFUNCTION("IMPORTRANGE(""https://docs.google.com/spreadsheets/d/1ItG2mGa2ceCfYo0BwxsXqNm01IGEUdYcSSLTEv9YCik/edit?usp=sharing"",""เบิกจ่ายกองทุน!BZ69"")"),36920)</f>
        <v>36920</v>
      </c>
      <c r="R418" s="72">
        <f ca="1">IFERROR(__xludf.DUMMYFUNCTION("IMPORTRANGE(""https://docs.google.com/spreadsheets/d/1ItG2mGa2ceCfYo0BwxsXqNm01IGEUdYcSSLTEv9YCik/edit?usp=sharing"",""เบิกจ่ายกองทุน!CA69"")"),36920)</f>
        <v>36920</v>
      </c>
      <c r="S418" s="72">
        <f ca="1">IFERROR(__xludf.DUMMYFUNCTION("IMPORTRANGE(""https://docs.google.com/spreadsheets/d/1ItG2mGa2ceCfYo0BwxsXqNm01IGEUdYcSSLTEv9YCik/edit?usp=sharing"",""เบิกจ่ายกองทุน!CB69"")"),0)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IFERROR(__xludf.DUMMYFUNCTION("IMPORTRANGE(""https://docs.google.com/spreadsheets/d/1-uDff_7J0KD5mKrp0Vvzr7lt3OU09vwQwhkpOPPYv2Y/edit?usp=sharing"",""งบพรบ!IR69"")"),0)</f>
        <v>0</v>
      </c>
      <c r="M421" s="72">
        <f ca="1">IFERROR(__xludf.DUMMYFUNCTION("IMPORTRANGE(""https://docs.google.com/spreadsheets/d/1-uDff_7J0KD5mKrp0Vvzr7lt3OU09vwQwhkpOPPYv2Y/edit?usp=sharing"",""งบพรบ!IU69"")"),0)</f>
        <v>0</v>
      </c>
      <c r="N421" s="72">
        <f ca="1">IFERROR(__xludf.DUMMYFUNCTION("IMPORTRANGE(""https://docs.google.com/spreadsheets/d/1-uDff_7J0KD5mKrp0Vvzr7lt3OU09vwQwhkpOPPYv2Y/edit?usp=sharing"",""งบพรบ!IW69"")"),0)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50092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IFERROR(__xludf.DUMMYFUNCTION("IMPORTRANGE(""https://docs.google.com/spreadsheets/d/1eHaY18a8A9IcSdp1K8H6x8fbOy06t2VsZHhMHf-1x7Y/edit?usp=sharing"",""แผน!HJ69"")"),50092)</f>
        <v>50092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IFERROR(__xludf.DUMMYFUNCTION("IMPORTRANGE(""https://docs.google.com/spreadsheets/d/1eHaY18a8A9IcSdp1K8H6x8fbOy06t2VsZHhMHf-1x7Y/edit?usp=sharing"",""แผน!HK69"")"),3536)</f>
        <v>3536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IFERROR(__xludf.DUMMYFUNCTION("IMPORTRANGE(""https://docs.google.com/spreadsheets/d/1eHaY18a8A9IcSdp1K8H6x8fbOy06t2VsZHhMHf-1x7Y/edit?usp=sharing"",""แผน!HJ69"")"),50092)</f>
        <v>50092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IFERROR(__xludf.DUMMYFUNCTION("IMPORTRANGE(""https://docs.google.com/spreadsheets/d/1eHaY18a8A9IcSdp1K8H6x8fbOy06t2VsZHhMHf-1x7Y/edit?usp=sharing"",""แผน!HK69"")"),3536)</f>
        <v>3536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IFERROR(__xludf.DUMMYFUNCTION("IMPORTRANGE(""https://docs.google.com/spreadsheets/d/1eHaY18a8A9IcSdp1K8H6x8fbOy06t2VsZHhMHf-1x7Y/edit?usp=sharing"",""แผน!HJ69"")"),50092)</f>
        <v>50092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IFERROR(__xludf.DUMMYFUNCTION("IMPORTRANGE(""https://docs.google.com/spreadsheets/d/1eHaY18a8A9IcSdp1K8H6x8fbOy06t2VsZHhMHf-1x7Y/edit?usp=sharing"",""แผน!HK69"")"),3536)</f>
        <v>3536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434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IFERROR(__xludf.DUMMYFUNCTION("IMPORTRANGE(""https://docs.google.com/spreadsheets/d/1eHaY18a8A9IcSdp1K8H6x8fbOy06t2VsZHhMHf-1x7Y/edit?usp=sharing"",""แผน!HL69"")"),434)</f>
        <v>434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IFERROR(__xludf.DUMMYFUNCTION("IMPORTRANGE(""https://docs.google.com/spreadsheets/d/1eHaY18a8A9IcSdp1K8H6x8fbOy06t2VsZHhMHf-1x7Y/edit?usp=sharing"",""แผน!HM69"")"),0)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80</v>
      </c>
      <c r="J492" s="595">
        <f>J503</f>
        <v>80</v>
      </c>
      <c r="K492" s="589">
        <f ca="1">IF(I492&gt;0,J492*100/I492,0)</f>
        <v>100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x14ac:dyDescent="0.3">
      <c r="A493" s="255"/>
      <c r="B493" s="267"/>
      <c r="C493" s="668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58100</v>
      </c>
      <c r="M493" s="262">
        <f ca="1">M494+M495</f>
        <v>58100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1074460</v>
      </c>
      <c r="R493" s="262">
        <f ca="1">R494+R495</f>
        <v>1082160</v>
      </c>
      <c r="S493" s="262">
        <f ca="1">S494+S495</f>
        <v>336602.37</v>
      </c>
      <c r="T493" s="262">
        <f t="shared" ref="T493:T501" ca="1" si="120">IF(Q493&gt;0,S493*100/Q493,0)</f>
        <v>31.327585019451632</v>
      </c>
      <c r="U493" s="262">
        <f t="shared" ref="U493:U501" ca="1" si="121">IF(R493&gt;0,S493*100/R493,0)</f>
        <v>31.104676757595918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58100</v>
      </c>
      <c r="M495" s="72">
        <f t="shared" ca="1" si="122"/>
        <v>58100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1074460</v>
      </c>
      <c r="R495" s="72">
        <f t="shared" ca="1" si="123"/>
        <v>1082160</v>
      </c>
      <c r="S495" s="72">
        <f t="shared" ca="1" si="123"/>
        <v>336602.37</v>
      </c>
      <c r="T495" s="72">
        <f t="shared" ca="1" si="120"/>
        <v>31.327585019451632</v>
      </c>
      <c r="U495" s="72">
        <f t="shared" ca="1" si="121"/>
        <v>31.104676757595918</v>
      </c>
    </row>
    <row r="496" spans="1:21" ht="18.75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58100</v>
      </c>
      <c r="M496" s="72">
        <f ca="1">M497+M498</f>
        <v>58100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1074460</v>
      </c>
      <c r="R496" s="72">
        <f ca="1">R497+R498</f>
        <v>1082160</v>
      </c>
      <c r="S496" s="72">
        <f ca="1">S497+S498</f>
        <v>336602.37</v>
      </c>
      <c r="T496" s="72">
        <f t="shared" ca="1" si="120"/>
        <v>31.327585019451632</v>
      </c>
      <c r="U496" s="72">
        <f t="shared" ca="1" si="121"/>
        <v>31.104676757595918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IFERROR(__xludf.DUMMYFUNCTION("IMPORTRANGE(""https://docs.google.com/spreadsheets/d/1-uDff_7J0KD5mKrp0Vvzr7lt3OU09vwQwhkpOPPYv2Y/edit?usp=sharing"",""งบพรบ!HU69"")"),58100)</f>
        <v>58100</v>
      </c>
      <c r="M498" s="72">
        <f ca="1">IFERROR(__xludf.DUMMYFUNCTION("IMPORTRANGE(""https://docs.google.com/spreadsheets/d/1-uDff_7J0KD5mKrp0Vvzr7lt3OU09vwQwhkpOPPYv2Y/edit?usp=sharing"",""งบพรบ!HZ69"")"),58100)</f>
        <v>58100</v>
      </c>
      <c r="N498" s="72">
        <f ca="1">IFERROR(__xludf.DUMMYFUNCTION("IMPORTRANGE(""https://docs.google.com/spreadsheets/d/1-uDff_7J0KD5mKrp0Vvzr7lt3OU09vwQwhkpOPPYv2Y/edit?usp=sharing"",""งบพรบ!IB69"")"),0)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IFERROR(__xludf.DUMMYFUNCTION("IMPORTRANGE(""https://docs.google.com/spreadsheets/d/1ItG2mGa2ceCfYo0BwxsXqNm01IGEUdYcSSLTEv9YCik/edit?usp=sharing"",""เบิกจ่ายกองทุน!AD69"")"),1074460)</f>
        <v>1074460</v>
      </c>
      <c r="R498" s="72">
        <f ca="1">IFERROR(__xludf.DUMMYFUNCTION("IMPORTRANGE(""https://docs.google.com/spreadsheets/d/1ItG2mGa2ceCfYo0BwxsXqNm01IGEUdYcSSLTEv9YCik/edit?usp=sharing"",""เบิกจ่ายกองทุน!AE69"")"),1082160)</f>
        <v>1082160</v>
      </c>
      <c r="S498" s="72">
        <f ca="1">IFERROR(__xludf.DUMMYFUNCTION("IMPORTRANGE(""https://docs.google.com/spreadsheets/d/1ItG2mGa2ceCfYo0BwxsXqNm01IGEUdYcSSLTEv9YCik/edit?usp=sharing"",""เบิกจ่ายกองทุน!AF69"")"),336602.37)</f>
        <v>336602.37</v>
      </c>
      <c r="T498" s="72">
        <f t="shared" ca="1" si="120"/>
        <v>31.327585019451632</v>
      </c>
      <c r="U498" s="72">
        <f t="shared" ca="1" si="121"/>
        <v>31.104676757595918</v>
      </c>
    </row>
    <row r="499" spans="1:21" ht="18.75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IFERROR(__xludf.DUMMYFUNCTION("IMPORTRANGE(""https://docs.google.com/spreadsheets/d/1-uDff_7J0KD5mKrp0Vvzr7lt3OU09vwQwhkpOPPYv2Y/edit?usp=sharing"",""งบพรบ!HX69"")"),0)</f>
        <v>0</v>
      </c>
      <c r="M501" s="72">
        <f ca="1">IFERROR(__xludf.DUMMYFUNCTION("IMPORTRANGE(""https://docs.google.com/spreadsheets/d/1-uDff_7J0KD5mKrp0Vvzr7lt3OU09vwQwhkpOPPYv2Y/edit?usp=sharing"",""งบพรบ!IA69"")"),0)</f>
        <v>0</v>
      </c>
      <c r="N501" s="72">
        <f ca="1">IFERROR(__xludf.DUMMYFUNCTION("IMPORTRANGE(""https://docs.google.com/spreadsheets/d/1-uDff_7J0KD5mKrp0Vvzr7lt3OU09vwQwhkpOPPYv2Y/edit?usp=sharing"",""งบพรบ!IC69"")"),0)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x14ac:dyDescent="0.3">
      <c r="A502" s="274"/>
      <c r="B502" s="275"/>
      <c r="C502" s="668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IFERROR(__xludf.DUMMYFUNCTION("IMPORTRANGE(""https://docs.google.com/spreadsheets/d/1eHaY18a8A9IcSdp1K8H6x8fbOy06t2VsZHhMHf-1x7Y/edit?usp=sharing"",""แผน!GX69"")"),80)</f>
        <v>80</v>
      </c>
      <c r="J503" s="601">
        <f>J505</f>
        <v>80</v>
      </c>
      <c r="K503" s="262">
        <f t="shared" ref="K503:K509" ca="1" si="124">IF(I503&gt;0,J503*100/I503,0)</f>
        <v>100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IFERROR(__xludf.DUMMYFUNCTION("IMPORTRANGE(""https://docs.google.com/spreadsheets/d/1eHaY18a8A9IcSdp1K8H6x8fbOy06t2VsZHhMHf-1x7Y/edit?usp=sharing"",""แผน!GY69"")"),80)</f>
        <v>80</v>
      </c>
      <c r="J504" s="292">
        <v>80</v>
      </c>
      <c r="K504" s="72">
        <f t="shared" ca="1" si="124"/>
        <v>100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IFERROR(__xludf.DUMMYFUNCTION("IMPORTRANGE(""https://docs.google.com/spreadsheets/d/1eHaY18a8A9IcSdp1K8H6x8fbOy06t2VsZHhMHf-1x7Y/edit?usp=sharing"",""แผน!GZ69"")"),80)</f>
        <v>80</v>
      </c>
      <c r="J505" s="292">
        <v>80</v>
      </c>
      <c r="K505" s="72">
        <f t="shared" ca="1" si="124"/>
        <v>100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IFERROR(__xludf.DUMMYFUNCTION("IMPORTRANGE(""https://docs.google.com/spreadsheets/d/1eHaY18a8A9IcSdp1K8H6x8fbOy06t2VsZHhMHf-1x7Y/edit?usp=sharing"",""แผน!HA69"")"),80)</f>
        <v>80</v>
      </c>
      <c r="J506" s="292">
        <v>80</v>
      </c>
      <c r="K506" s="72">
        <f t="shared" ca="1" si="124"/>
        <v>100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IFERROR(__xludf.DUMMYFUNCTION("IMPORTRANGE(""https://docs.google.com/spreadsheets/d/1eHaY18a8A9IcSdp1K8H6x8fbOy06t2VsZHhMHf-1x7Y/edit?usp=sharing"",""แผน!HB69"")"),40)</f>
        <v>40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IFERROR(__xludf.DUMMYFUNCTION("IMPORTRANGE(""https://docs.google.com/spreadsheets/d/1eHaY18a8A9IcSdp1K8H6x8fbOy06t2VsZHhMHf-1x7Y/edit?usp=sharing"",""แผน!HC69"")"),0)</f>
        <v>0</v>
      </c>
      <c r="J509" s="739">
        <v>80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IFERROR(__xludf.DUMMYFUNCTION("IMPORTRANGE(""https://docs.google.com/spreadsheets/d/1-uDff_7J0KD5mKrp0Vvzr7lt3OU09vwQwhkpOPPYv2Y/edit?usp=sharing"",""งบพรบ!FM69"")"),0)</f>
        <v>0</v>
      </c>
      <c r="M518" s="72">
        <f ca="1">IFERROR(__xludf.DUMMYFUNCTION("IMPORTRANGE(""https://docs.google.com/spreadsheets/d/1-uDff_7J0KD5mKrp0Vvzr7lt3OU09vwQwhkpOPPYv2Y/edit?usp=sharing"",""งบพรบ!FR69"")"),0)</f>
        <v>0</v>
      </c>
      <c r="N518" s="72">
        <f ca="1">IFERROR(__xludf.DUMMYFUNCTION("IMPORTRANGE(""https://docs.google.com/spreadsheets/d/1-uDff_7J0KD5mKrp0Vvzr7lt3OU09vwQwhkpOPPYv2Y/edit?usp=sharing"",""งบพรบ!FT69"")"),0)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IFERROR(__xludf.DUMMYFUNCTION("IMPORTRANGE(""https://docs.google.com/spreadsheets/d/1-uDff_7J0KD5mKrp0Vvzr7lt3OU09vwQwhkpOPPYv2Y/edit?usp=sharing"",""งบพรบ!FP69"")"),0)</f>
        <v>0</v>
      </c>
      <c r="M521" s="72">
        <f ca="1">IFERROR(__xludf.DUMMYFUNCTION("IMPORTRANGE(""https://docs.google.com/spreadsheets/d/1-uDff_7J0KD5mKrp0Vvzr7lt3OU09vwQwhkpOPPYv2Y/edit?usp=sharing"",""งบพรบ!FS69"")"),0)</f>
        <v>0</v>
      </c>
      <c r="N521" s="72">
        <f ca="1">IFERROR(__xludf.DUMMYFUNCTION("IMPORTRANGE(""https://docs.google.com/spreadsheets/d/1-uDff_7J0KD5mKrp0Vvzr7lt3OU09vwQwhkpOPPYv2Y/edit?usp=sharing"",""งบพรบ!FU69"")"),0)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IFERROR(__xludf.DUMMYFUNCTION("IMPORTRANGE(""https://docs.google.com/spreadsheets/d/1-uDff_7J0KD5mKrp0Vvzr7lt3OU09vwQwhkpOPPYv2Y/edit?usp=sharing"",""งบพรบ!FW69"")"),0)</f>
        <v>0</v>
      </c>
      <c r="M539" s="72">
        <f ca="1">IFERROR(__xludf.DUMMYFUNCTION("IMPORTRANGE(""https://docs.google.com/spreadsheets/d/1-uDff_7J0KD5mKrp0Vvzr7lt3OU09vwQwhkpOPPYv2Y/edit?usp=sharing"",""งบพรบ!GB69"")"),0)</f>
        <v>0</v>
      </c>
      <c r="N539" s="72">
        <f ca="1">IFERROR(__xludf.DUMMYFUNCTION("IMPORTRANGE(""https://docs.google.com/spreadsheets/d/1-uDff_7J0KD5mKrp0Vvzr7lt3OU09vwQwhkpOPPYv2Y/edit?usp=sharing"",""งบพรบ!GD69"")"),0)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IFERROR(__xludf.DUMMYFUNCTION("IMPORTRANGE(""https://docs.google.com/spreadsheets/d/1-uDff_7J0KD5mKrp0Vvzr7lt3OU09vwQwhkpOPPYv2Y/edit?usp=sharing"",""งบพรบ!FZ69"")"),0)</f>
        <v>0</v>
      </c>
      <c r="M542" s="72">
        <f ca="1">IFERROR(__xludf.DUMMYFUNCTION("IMPORTRANGE(""https://docs.google.com/spreadsheets/d/1-uDff_7J0KD5mKrp0Vvzr7lt3OU09vwQwhkpOPPYv2Y/edit?usp=sharing"",""งบพรบ!GC69"")"),0)</f>
        <v>0</v>
      </c>
      <c r="N542" s="72">
        <f ca="1">IFERROR(__xludf.DUMMYFUNCTION("IMPORTRANGE(""https://docs.google.com/spreadsheets/d/1-uDff_7J0KD5mKrp0Vvzr7lt3OU09vwQwhkpOPPYv2Y/edit?usp=sharing"",""งบพรบ!GE69"")"),0)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IFERROR(__xludf.DUMMYFUNCTION("IMPORTRANGE(""https://docs.google.com/spreadsheets/d/1-uDff_7J0KD5mKrp0Vvzr7lt3OU09vwQwhkpOPPYv2Y/edit?usp=sharing"",""งบพรบ!GG69"")"),0)</f>
        <v>0</v>
      </c>
      <c r="M560" s="72">
        <f ca="1">IFERROR(__xludf.DUMMYFUNCTION("IMPORTRANGE(""https://docs.google.com/spreadsheets/d/1-uDff_7J0KD5mKrp0Vvzr7lt3OU09vwQwhkpOPPYv2Y/edit?usp=sharing"",""งบพรบ!GL69"")"),0)</f>
        <v>0</v>
      </c>
      <c r="N560" s="72">
        <f ca="1">IFERROR(__xludf.DUMMYFUNCTION("IMPORTRANGE(""https://docs.google.com/spreadsheets/d/1-uDff_7J0KD5mKrp0Vvzr7lt3OU09vwQwhkpOPPYv2Y/edit?usp=sharing"",""งบพรบ!GN69"")"),0)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IFERROR(__xludf.DUMMYFUNCTION("IMPORTRANGE(""https://docs.google.com/spreadsheets/d/1-uDff_7J0KD5mKrp0Vvzr7lt3OU09vwQwhkpOPPYv2Y/edit?usp=sharing"",""งบพรบ!GJ69"")"),0)</f>
        <v>0</v>
      </c>
      <c r="M563" s="72">
        <f ca="1">IFERROR(__xludf.DUMMYFUNCTION("IMPORTRANGE(""https://docs.google.com/spreadsheets/d/1-uDff_7J0KD5mKrp0Vvzr7lt3OU09vwQwhkpOPPYv2Y/edit?usp=sharing"",""งบพรบ!GM69"")"),0)</f>
        <v>0</v>
      </c>
      <c r="N563" s="72">
        <f ca="1">IFERROR(__xludf.DUMMYFUNCTION("IMPORTRANGE(""https://docs.google.com/spreadsheets/d/1-uDff_7J0KD5mKrp0Vvzr7lt3OU09vwQwhkpOPPYv2Y/edit?usp=sharing"",""งบพรบ!GO69"")"),0)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IFERROR(__xludf.DUMMYFUNCTION("IMPORTRANGE(""https://docs.google.com/spreadsheets/d/1-uDff_7J0KD5mKrp0Vvzr7lt3OU09vwQwhkpOPPYv2Y/edit?usp=sharing"",""งบพรบ!GQ69"")"),0)</f>
        <v>0</v>
      </c>
      <c r="M581" s="72">
        <f ca="1">IFERROR(__xludf.DUMMYFUNCTION("IMPORTRANGE(""https://docs.google.com/spreadsheets/d/1-uDff_7J0KD5mKrp0Vvzr7lt3OU09vwQwhkpOPPYv2Y/edit?usp=sharing"",""งบพรบ!GV69"")"),0)</f>
        <v>0</v>
      </c>
      <c r="N581" s="72">
        <f ca="1">IFERROR(__xludf.DUMMYFUNCTION("IMPORTRANGE(""https://docs.google.com/spreadsheets/d/1-uDff_7J0KD5mKrp0Vvzr7lt3OU09vwQwhkpOPPYv2Y/edit?usp=sharing"",""งบพรบ!GX69"")"),0)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IFERROR(__xludf.DUMMYFUNCTION("IMPORTRANGE(""https://docs.google.com/spreadsheets/d/1-uDff_7J0KD5mKrp0Vvzr7lt3OU09vwQwhkpOPPYv2Y/edit?usp=sharing"",""งบพรบ!GT69"")"),0)</f>
        <v>0</v>
      </c>
      <c r="M584" s="72">
        <f ca="1">IFERROR(__xludf.DUMMYFUNCTION("IMPORTRANGE(""https://docs.google.com/spreadsheets/d/1-uDff_7J0KD5mKrp0Vvzr7lt3OU09vwQwhkpOPPYv2Y/edit?usp=sharing"",""งบพรบ!GW69"")"),0)</f>
        <v>0</v>
      </c>
      <c r="N584" s="72">
        <f ca="1">IFERROR(__xludf.DUMMYFUNCTION("IMPORTRANGE(""https://docs.google.com/spreadsheets/d/1-uDff_7J0KD5mKrp0Vvzr7lt3OU09vwQwhkpOPPYv2Y/edit?usp=sharing"",""งบพรบ!GY69"")"),0)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7226</v>
      </c>
      <c r="M599" s="211">
        <f ca="1">M600+M601</f>
        <v>7226</v>
      </c>
      <c r="N599" s="211">
        <f ca="1">N600+N601</f>
        <v>0</v>
      </c>
      <c r="O599" s="211">
        <f t="shared" ref="O599:O607" ca="1" si="149">IF(L599&gt;0,N599*100/L599,0)</f>
        <v>0</v>
      </c>
      <c r="P599" s="211">
        <f t="shared" ref="P599:P607" ca="1" si="150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7226</v>
      </c>
      <c r="M601" s="86">
        <f t="shared" ca="1" si="153"/>
        <v>7226</v>
      </c>
      <c r="N601" s="86">
        <f t="shared" ca="1" si="153"/>
        <v>0</v>
      </c>
      <c r="O601" s="86">
        <f t="shared" ca="1" si="149"/>
        <v>0</v>
      </c>
      <c r="P601" s="86">
        <f t="shared" ca="1" si="150"/>
        <v>0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9.5" x14ac:dyDescent="0.3">
      <c r="A602" s="207"/>
      <c r="B602" s="367"/>
      <c r="C602" s="367"/>
      <c r="D602" s="941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5">
        <f ca="1">L603+L604</f>
        <v>7226</v>
      </c>
      <c r="M602" s="86">
        <f ca="1">M603+M604</f>
        <v>7226</v>
      </c>
      <c r="N602" s="86">
        <f ca="1">N603+N604</f>
        <v>0</v>
      </c>
      <c r="O602" s="86">
        <f t="shared" ca="1" si="149"/>
        <v>0</v>
      </c>
      <c r="P602" s="86">
        <f t="shared" ca="1" si="150"/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IFERROR(__xludf.DUMMYFUNCTION("IMPORTRANGE(""https://docs.google.com/spreadsheets/d/1-uDff_7J0KD5mKrp0Vvzr7lt3OU09vwQwhkpOPPYv2Y/edit?usp=sharing"",""งบพรบ!HK69"")"),7226)</f>
        <v>7226</v>
      </c>
      <c r="M604" s="86">
        <f ca="1">IFERROR(__xludf.DUMMYFUNCTION("IMPORTRANGE(""https://docs.google.com/spreadsheets/d/1-uDff_7J0KD5mKrp0Vvzr7lt3OU09vwQwhkpOPPYv2Y/edit?usp=sharing"",""งบพรบ!HP69"")"),7226)</f>
        <v>7226</v>
      </c>
      <c r="N604" s="86">
        <f ca="1">IFERROR(__xludf.DUMMYFUNCTION("IMPORTRANGE(""https://docs.google.com/spreadsheets/d/1-uDff_7J0KD5mKrp0Vvzr7lt3OU09vwQwhkpOPPYv2Y/edit?usp=sharing"",""งบพรบ!HR69"")"),0)</f>
        <v>0</v>
      </c>
      <c r="O604" s="86">
        <f t="shared" ca="1" si="149"/>
        <v>0</v>
      </c>
      <c r="P604" s="86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IFERROR(__xludf.DUMMYFUNCTION("IMPORTRANGE(""https://docs.google.com/spreadsheets/d/1ItG2mGa2ceCfYo0BwxsXqNm01IGEUdYcSSLTEv9YCik/edit?usp=sharing"",""เบิกจ่ายกองทุน!AV69"")"),0)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IFERROR(__xludf.DUMMYFUNCTION("IMPORTRANGE(""https://docs.google.com/spreadsheets/d/1ItG2mGa2ceCfYo0BwxsXqNm01IGEUdYcSSLTEv9YCik/edit?usp=sharing"",""เบิกจ่ายกองทุน!AW69"")"),0)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IFERROR(__xludf.DUMMYFUNCTION("IMPORTRANGE(""https://docs.google.com/spreadsheets/d/1ItG2mGa2ceCfYo0BwxsXqNm01IGEUdYcSSLTEv9YCik/edit?usp=sharing"",""เบิกจ่ายกองทุน!AX69"")"),0)</f>
        <v>0</v>
      </c>
      <c r="T604" s="86">
        <f t="shared" ca="1" si="151"/>
        <v>0</v>
      </c>
      <c r="U604" s="86">
        <f t="shared" ca="1" si="152"/>
        <v>0</v>
      </c>
    </row>
    <row r="605" spans="1:21" ht="19.5" x14ac:dyDescent="0.3">
      <c r="A605" s="207"/>
      <c r="B605" s="367"/>
      <c r="C605" s="367"/>
      <c r="D605" s="941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IFERROR(__xludf.DUMMYFUNCTION("IMPORTRANGE(""https://docs.google.com/spreadsheets/d/1-uDff_7J0KD5mKrp0Vvzr7lt3OU09vwQwhkpOPPYv2Y/edit?usp=sharing"",""งบพรบ!HN69"")"),0)</f>
        <v>0</v>
      </c>
      <c r="M607" s="86">
        <f ca="1">IFERROR(__xludf.DUMMYFUNCTION("IMPORTRANGE(""https://docs.google.com/spreadsheets/d/1-uDff_7J0KD5mKrp0Vvzr7lt3OU09vwQwhkpOPPYv2Y/edit?usp=sharing"",""งบพรบ!HQ69"")"),0)</f>
        <v>0</v>
      </c>
      <c r="N607" s="86">
        <f ca="1">IFERROR(__xludf.DUMMYFUNCTION("IMPORTRANGE(""https://docs.google.com/spreadsheets/d/1-uDff_7J0KD5mKrp0Vvzr7lt3OU09vwQwhkpOPPYv2Y/edit?usp=sharing"",""งบพรบ!HS69"")"),0)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IFERROR(__xludf.DUMMYFUNCTION("IMPORTRANGE(""https://docs.google.com/spreadsheets/d/1ItG2mGa2ceCfYo0BwxsXqNm01IGEUdYcSSLTEv9YCik/edit?usp=sharing"",""เบิกจ่ายกองทุน!AY69"")"),0)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IFERROR(__xludf.DUMMYFUNCTION("IMPORTRANGE(""https://docs.google.com/spreadsheets/d/1ItG2mGa2ceCfYo0BwxsXqNm01IGEUdYcSSLTEv9YCik/edit?usp=sharing"",""เบิกจ่ายกองทุน!AZ69"")"),0)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IFERROR(__xludf.DUMMYFUNCTION("IMPORTRANGE(""https://docs.google.com/spreadsheets/d/1ItG2mGa2ceCfYo0BwxsXqNm01IGEUdYcSSLTEv9YCik/edit?usp=sharing"",""เบิกจ่ายกองทุน!BA69"")"),0)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x14ac:dyDescent="0.3">
      <c r="A608" s="220"/>
      <c r="B608" s="221"/>
      <c r="C608" s="668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100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11725</v>
      </c>
      <c r="R616" s="262">
        <f ca="1">R617+R618</f>
        <v>11725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11725</v>
      </c>
      <c r="R618" s="72">
        <f t="shared" ca="1" si="160"/>
        <v>11725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11725</v>
      </c>
      <c r="R619" s="72">
        <f ca="1">R620+R621</f>
        <v>11725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IFERROR(__xludf.DUMMYFUNCTION("IMPORTRANGE(""https://docs.google.com/spreadsheets/d/1ItG2mGa2ceCfYo0BwxsXqNm01IGEUdYcSSLTEv9YCik/edit?usp=sharing"",""เบิกจ่ายกองทุน!F69"")"),11725)</f>
        <v>11725</v>
      </c>
      <c r="R621" s="72">
        <f ca="1">IFERROR(__xludf.DUMMYFUNCTION("IMPORTRANGE(""https://docs.google.com/spreadsheets/d/1ItG2mGa2ceCfYo0BwxsXqNm01IGEUdYcSSLTEv9YCik/edit?usp=sharing"",""เบิกจ่ายกองทุน!G69"")"),11725)</f>
        <v>11725</v>
      </c>
      <c r="S621" s="72">
        <f ca="1">IFERROR(__xludf.DUMMYFUNCTION("IMPORTRANGE(""https://docs.google.com/spreadsheets/d/1ItG2mGa2ceCfYo0BwxsXqNm01IGEUdYcSSLTEv9YCik/edit?usp=sharing"",""เบิกจ่ายกองทุน!H69"")"),0)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IFERROR(__xludf.DUMMYFUNCTION("IMPORTRANGE(""https://docs.google.com/spreadsheets/d/1eHaY18a8A9IcSdp1K8H6x8fbOy06t2VsZHhMHf-1x7Y/edit?usp=sharing"",""แผน!ID69"")"),100)</f>
        <v>100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IFERROR(__xludf.DUMMYFUNCTION("IMPORTRANGE(""https://docs.google.com/spreadsheets/d/1eHaY18a8A9IcSdp1K8H6x8fbOy06t2VsZHhMHf-1x7Y/edit?usp=sharing"",""แผน!IC69"")"),0)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IFERROR(__xludf.DUMMYFUNCTION("IMPORTRANGE(""https://docs.google.com/spreadsheets/d/1eHaY18a8A9IcSdp1K8H6x8fbOy06t2VsZHhMHf-1x7Y/edit?usp=sharing"",""แผน!IC69"")"),0)</f>
        <v>0</v>
      </c>
      <c r="J628" s="292">
        <v>9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IFERROR(__xludf.DUMMYFUNCTION("IMPORTRANGE(""https://docs.google.com/spreadsheets/d/1eHaY18a8A9IcSdp1K8H6x8fbOy06t2VsZHhMHf-1x7Y/edit?usp=sharing"",""แผน!IE69"")"),0)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IFERROR(__xludf.DUMMYFUNCTION("IMPORTRANGE(""https://docs.google.com/spreadsheets/d/1ItG2mGa2ceCfYo0BwxsXqNm01IGEUdYcSSLTEv9YCik/edit?usp=sharing"",""เบิกจ่ายกองทุน!I69"")"),0)</f>
        <v>0</v>
      </c>
      <c r="R647" s="72">
        <f ca="1">IFERROR(__xludf.DUMMYFUNCTION("IMPORTRANGE(""https://docs.google.com/spreadsheets/d/1ItG2mGa2ceCfYo0BwxsXqNm01IGEUdYcSSLTEv9YCik/edit?usp=sharing"",""เบิกจ่ายกองทุน!J69"")"),0)</f>
        <v>0</v>
      </c>
      <c r="S647" s="72">
        <f ca="1">IFERROR(__xludf.DUMMYFUNCTION("IMPORTRANGE(""https://docs.google.com/spreadsheets/d/1ItG2mGa2ceCfYo0BwxsXqNm01IGEUdYcSSLTEv9YCik/edit?usp=sharing"",""เบิกจ่ายกองทุน!K69"")"),0)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67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IFERROR(__xludf.DUMMYFUNCTION("IMPORTRANGE(""https://docs.google.com/spreadsheets/d/1eHaY18a8A9IcSdp1K8H6x8fbOy06t2VsZHhMHf-1x7Y/edit?usp=sharing"",""แผน!IF69"")"),0)</f>
        <v>0</v>
      </c>
      <c r="J652" s="291">
        <f ca="1">IFERROR(__xludf.DUMMYFUNCTION("IMPORTRANGE(""https://docs.google.com/spreadsheets/d/1tdoBKaGub7dwA3U6UFTqxio9LNnvDCQjHKmttSEBsFQ/edit?usp=sharing"",""จัดที่ดิน!AU69"")"),0)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IFERROR(__xludf.DUMMYFUNCTION("IMPORTRANGE(""https://docs.google.com/spreadsheets/d/1eHaY18a8A9IcSdp1K8H6x8fbOy06t2VsZHhMHf-1x7Y/edit?usp=sharing"",""แผน!IG69"")"),0)</f>
        <v>0</v>
      </c>
      <c r="J653" s="291">
        <f ca="1">IFERROR(__xludf.DUMMYFUNCTION("IMPORTRANGE(""https://docs.google.com/spreadsheets/d/1tdoBKaGub7dwA3U6UFTqxio9LNnvDCQjHKmttSEBsFQ/edit?usp=sharing"",""จัดที่ดิน!AW69"")"),0)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IFERROR(__xludf.DUMMYFUNCTION("IMPORTRANGE(""https://docs.google.com/spreadsheets/d/1eHaY18a8A9IcSdp1K8H6x8fbOy06t2VsZHhMHf-1x7Y/edit?usp=sharing"",""แผน!IH69"")"),0)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IFERROR(__xludf.DUMMYFUNCTION("IMPORTRANGE(""https://docs.google.com/spreadsheets/d/1eHaY18a8A9IcSdp1K8H6x8fbOy06t2VsZHhMHf-1x7Y/edit?usp=sharing"",""แผน!II69"")"),0)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IFERROR(__xludf.DUMMYFUNCTION("IMPORTRANGE(""https://docs.google.com/spreadsheets/d/1eHaY18a8A9IcSdp1K8H6x8fbOy06t2VsZHhMHf-1x7Y/edit?usp=sharing"",""แผน!IJ69"")"),0)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IFERROR(__xludf.DUMMYFUNCTION("IMPORTRANGE(""https://docs.google.com/spreadsheets/d/1eHaY18a8A9IcSdp1K8H6x8fbOy06t2VsZHhMHf-1x7Y/edit?usp=sharing"",""แผน!IK69"")"),0)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IFERROR(__xludf.DUMMYFUNCTION("IMPORTRANGE(""https://docs.google.com/spreadsheets/d/1tdoBKaGub7dwA3U6UFTqxio9LNnvDCQjHKmttSEBsFQ/edit?usp=sharing"",""จัดที่ดิน!AY69"")"),0)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IFERROR(__xludf.DUMMYFUNCTION("IMPORTRANGE(""https://docs.google.com/spreadsheets/d/1tdoBKaGub7dwA3U6UFTqxio9LNnvDCQjHKmttSEBsFQ/edit?usp=sharing"",""จัดที่ดิน!AZ69"")"),0)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IFERROR(__xludf.DUMMYFUNCTION("IMPORTRANGE(""https://docs.google.com/spreadsheets/d/1eHaY18a8A9IcSdp1K8H6x8fbOy06t2VsZHhMHf-1x7Y/edit?usp=sharing"",""แผน!IL69"")"),0)</f>
        <v>0</v>
      </c>
      <c r="J673" s="291">
        <f ca="1">IFERROR(__xludf.DUMMYFUNCTION("IMPORTRANGE(""https://docs.google.com/spreadsheets/d/1tdoBKaGub7dwA3U6UFTqxio9LNnvDCQjHKmttSEBsFQ/edit?usp=sharing"",""จัดที่ดิน!BA69"")"),0)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IFERROR(__xludf.DUMMYFUNCTION("IMPORTRANGE(""https://docs.google.com/spreadsheets/d/1eHaY18a8A9IcSdp1K8H6x8fbOy06t2VsZHhMHf-1x7Y/edit?usp=sharing"",""แผน!IM69"")"),0)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IFERROR(__xludf.DUMMYFUNCTION("IMPORTRANGE(""https://docs.google.com/spreadsheets/d/1eHaY18a8A9IcSdp1K8H6x8fbOy06t2VsZHhMHf-1x7Y/edit?usp=sharing"",""แผน!IN69"")"),0)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IFERROR(__xludf.DUMMYFUNCTION("IMPORTRANGE(""https://docs.google.com/spreadsheets/d/1eHaY18a8A9IcSdp1K8H6x8fbOy06t2VsZHhMHf-1x7Y/edit?usp=sharing"",""แผน!IO69"")"),0)</f>
        <v>0</v>
      </c>
      <c r="J676" s="291">
        <f ca="1">IFERROR(__xludf.DUMMYFUNCTION("IMPORTRANGE(""https://docs.google.com/spreadsheets/d/1tdoBKaGub7dwA3U6UFTqxio9LNnvDCQjHKmttSEBsFQ/edit?usp=sharing"",""จัดที่ดิน!BF69"")"),0)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IFERROR(__xludf.DUMMYFUNCTION("IMPORTRANGE(""https://docs.google.com/spreadsheets/d/1tdoBKaGub7dwA3U6UFTqxio9LNnvDCQjHKmttSEBsFQ/edit?usp=sharing"",""จัดที่ดิน!BG69"")"),0)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IFERROR(__xludf.DUMMYFUNCTION("IMPORTRANGE(""https://docs.google.com/spreadsheets/d/1eHaY18a8A9IcSdp1K8H6x8fbOy06t2VsZHhMHf-1x7Y/edit?usp=sharing"",""แผน!IP69"")"),0)</f>
        <v>0</v>
      </c>
      <c r="J678" s="291">
        <f ca="1">IFERROR(__xludf.DUMMYFUNCTION("IMPORTRANGE(""https://docs.google.com/spreadsheets/d/1tdoBKaGub7dwA3U6UFTqxio9LNnvDCQjHKmttSEBsFQ/edit?usp=sharing"",""จัดที่ดิน!BH69"")"),0)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IFERROR(__xludf.DUMMYFUNCTION("IMPORTRANGE(""https://docs.google.com/spreadsheets/d/1eHaY18a8A9IcSdp1K8H6x8fbOy06t2VsZHhMHf-1x7Y/edit?usp=sharing"",""แผน!IQ69"")"),0)</f>
        <v>0</v>
      </c>
      <c r="J679" s="291">
        <f ca="1">IFERROR(__xludf.DUMMYFUNCTION("IMPORTRANGE(""https://docs.google.com/spreadsheets/d/1tdoBKaGub7dwA3U6UFTqxio9LNnvDCQjHKmttSEBsFQ/edit?usp=sharing"",""จัดที่ดิน!BK69"")"),0)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IFERROR(__xludf.DUMMYFUNCTION("IMPORTRANGE(""https://docs.google.com/spreadsheets/d/1tdoBKaGub7dwA3U6UFTqxio9LNnvDCQjHKmttSEBsFQ/edit?usp=sharing"",""จัดที่ดิน!BL69"")"),0)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IFERROR(__xludf.DUMMYFUNCTION("IMPORTRANGE(""https://docs.google.com/spreadsheets/d/1eHaY18a8A9IcSdp1K8H6x8fbOy06t2VsZHhMHf-1x7Y/edit?usp=sharing"",""แผน!IR69"")"),0)</f>
        <v>0</v>
      </c>
      <c r="J681" s="291">
        <f ca="1">IFERROR(__xludf.DUMMYFUNCTION("IMPORTRANGE(""https://docs.google.com/spreadsheets/d/1tdoBKaGub7dwA3U6UFTqxio9LNnvDCQjHKmttSEBsFQ/edit?usp=sharing"",""จัดที่ดิน!BM69"")"),0)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IFERROR(__xludf.DUMMYFUNCTION("IMPORTRANGE(""https://docs.google.com/spreadsheets/d/1eHaY18a8A9IcSdp1K8H6x8fbOy06t2VsZHhMHf-1x7Y/edit?usp=sharing"",""แผน!IS69"")"),0)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60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181480</v>
      </c>
      <c r="R690" s="262">
        <f ca="1">R691+R692</f>
        <v>181480</v>
      </c>
      <c r="S690" s="262">
        <f ca="1">S691+S692</f>
        <v>15220</v>
      </c>
      <c r="T690" s="262">
        <f t="shared" ref="T690:T698" ca="1" si="169">IF(Q690&gt;0,S690*100/Q690,0)</f>
        <v>8.3865990742781573</v>
      </c>
      <c r="U690" s="262">
        <f t="shared" ref="U690:U698" ca="1" si="170">IF(R690&gt;0,S690*100/R690,0)</f>
        <v>8.3865990742781573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181480</v>
      </c>
      <c r="R692" s="72">
        <f t="shared" ca="1" si="172"/>
        <v>181480</v>
      </c>
      <c r="S692" s="72">
        <f t="shared" ca="1" si="172"/>
        <v>15220</v>
      </c>
      <c r="T692" s="72">
        <f t="shared" ca="1" si="169"/>
        <v>8.3865990742781573</v>
      </c>
      <c r="U692" s="72">
        <f t="shared" ca="1" si="170"/>
        <v>8.3865990742781573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181480</v>
      </c>
      <c r="R693" s="72">
        <f ca="1">R694+R695</f>
        <v>181480</v>
      </c>
      <c r="S693" s="72">
        <f ca="1">S694+S695</f>
        <v>15220</v>
      </c>
      <c r="T693" s="72">
        <f t="shared" ca="1" si="169"/>
        <v>8.3865990742781573</v>
      </c>
      <c r="U693" s="72">
        <f t="shared" ca="1" si="170"/>
        <v>8.3865990742781573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IFERROR(__xludf.DUMMYFUNCTION("IMPORTRANGE(""https://docs.google.com/spreadsheets/d/1ItG2mGa2ceCfYo0BwxsXqNm01IGEUdYcSSLTEv9YCik/edit?usp=sharing"",""เบิกจ่ายกองทุน!L69"")"),181480)</f>
        <v>181480</v>
      </c>
      <c r="R695" s="72">
        <f ca="1">IFERROR(__xludf.DUMMYFUNCTION("IMPORTRANGE(""https://docs.google.com/spreadsheets/d/1ItG2mGa2ceCfYo0BwxsXqNm01IGEUdYcSSLTEv9YCik/edit?usp=sharing"",""เบิกจ่ายกองทุน!M69"")"),181480)</f>
        <v>181480</v>
      </c>
      <c r="S695" s="72">
        <f ca="1">IFERROR(__xludf.DUMMYFUNCTION("IMPORTRANGE(""https://docs.google.com/spreadsheets/d/1ItG2mGa2ceCfYo0BwxsXqNm01IGEUdYcSSLTEv9YCik/edit?usp=sharing"",""เบิกจ่ายกองทุน!N69"")"),15220)</f>
        <v>15220</v>
      </c>
      <c r="T695" s="72">
        <f t="shared" ca="1" si="169"/>
        <v>8.3865990742781573</v>
      </c>
      <c r="U695" s="72">
        <f t="shared" ca="1" si="170"/>
        <v>8.3865990742781573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IFERROR(__xludf.DUMMYFUNCTION("IMPORTRANGE(""https://docs.google.com/spreadsheets/d/1eHaY18a8A9IcSdp1K8H6x8fbOy06t2VsZHhMHf-1x7Y/edit?usp=sharing"",""แผน!LC69"")"),0)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64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IFERROR(__xludf.DUMMYFUNCTION("IMPORTRANGE(""https://docs.google.com/spreadsheets/d/1eHaY18a8A9IcSdp1K8H6x8fbOy06t2VsZHhMHf-1x7Y/edit?usp=sharing"",""แผน!LJ69"")"),60)</f>
        <v>60</v>
      </c>
      <c r="J703" s="291">
        <f ca="1">IFERROR(__xludf.DUMMYFUNCTION("IMPORTRANGE(""https://docs.google.com/spreadsheets/d/1tdoBKaGub7dwA3U6UFTqxio9LNnvDCQjHKmttSEBsFQ/edit?usp=sharing"",""จัดที่ดิน!AP69"")"),0)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IFERROR(__xludf.DUMMYFUNCTION("IMPORTRANGE(""https://docs.google.com/spreadsheets/d/1tdoBKaGub7dwA3U6UFTqxio9LNnvDCQjHKmttSEBsFQ/edit?usp=sharing"",""จัดที่ดิน!AQ69"")"),0)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IFERROR(__xludf.DUMMYFUNCTION("IMPORTRANGE(""https://docs.google.com/spreadsheets/d/1eHaY18a8A9IcSdp1K8H6x8fbOy06t2VsZHhMHf-1x7Y/edit?usp=sharing"",""แผน!LK69"")"),4)</f>
        <v>4</v>
      </c>
      <c r="J705" s="291">
        <f ca="1">IFERROR(__xludf.DUMMYFUNCTION("IMPORTRANGE(""https://docs.google.com/spreadsheets/d/1tdoBKaGub7dwA3U6UFTqxio9LNnvDCQjHKmttSEBsFQ/edit?usp=sharing"",""จัดที่ดิน!AR69"")"),0)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IFERROR(__xludf.DUMMYFUNCTION("IMPORTRANGE(""https://docs.google.com/spreadsheets/d/1tdoBKaGub7dwA3U6UFTqxio9LNnvDCQjHKmttSEBsFQ/edit?usp=sharing"",""จัดที่ดิน!AS69"")"),0)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IFERROR(__xludf.DUMMYFUNCTION("IMPORTRANGE(""https://docs.google.com/spreadsheets/d/1eHaY18a8A9IcSdp1K8H6x8fbOy06t2VsZHhMHf-1x7Y/edit?usp=sharing"",""แผน!LJ69"")"),60)</f>
        <v>60</v>
      </c>
      <c r="J707" s="291">
        <f ca="1">IFERROR(__xludf.DUMMYFUNCTION("IMPORTRANGE(""https://docs.google.com/spreadsheets/d/1tdoBKaGub7dwA3U6UFTqxio9LNnvDCQjHKmttSEBsFQ/edit?usp=sharing"",""จัดที่ดิน!BN69"")"),0)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IFERROR(__xludf.DUMMYFUNCTION("IMPORTRANGE(""https://docs.google.com/spreadsheets/d/1tdoBKaGub7dwA3U6UFTqxio9LNnvDCQjHKmttSEBsFQ/edit?usp=sharing"",""จัดที่ดิน!BO69"")"),0)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IFERROR(__xludf.DUMMYFUNCTION("IMPORTRANGE(""https://docs.google.com/spreadsheets/d/1eHaY18a8A9IcSdp1K8H6x8fbOy06t2VsZHhMHf-1x7Y/edit?usp=sharing"",""แผน!LK69"")"),4)</f>
        <v>4</v>
      </c>
      <c r="J709" s="291">
        <f ca="1">IFERROR(__xludf.DUMMYFUNCTION("IMPORTRANGE(""https://docs.google.com/spreadsheets/d/1tdoBKaGub7dwA3U6UFTqxio9LNnvDCQjHKmttSEBsFQ/edit?usp=sharing"",""จัดที่ดิน!BP69"")"),0)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IFERROR(__xludf.DUMMYFUNCTION("IMPORTRANGE(""https://docs.google.com/spreadsheets/d/1tdoBKaGub7dwA3U6UFTqxio9LNnvDCQjHKmttSEBsFQ/edit?usp=sharing"",""จัดที่ดิน!BQ69"")"),0)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IFERROR(__xludf.DUMMYFUNCTION("IMPORTRANGE(""https://docs.google.com/spreadsheets/d/1eHaY18a8A9IcSdp1K8H6x8fbOy06t2VsZHhMHf-1x7Y/edit?usp=sharing"",""แผน!GA69"")"),52)</f>
        <v>52</v>
      </c>
      <c r="J726" s="743">
        <f>J742+J746+J749</f>
        <v>50</v>
      </c>
      <c r="K726" s="744">
        <f ca="1">IF(I726&gt;0,J726*100/I726,0)</f>
        <v>96.15384615384616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IFERROR(__xludf.DUMMYFUNCTION("IMPORTRANGE(""https://docs.google.com/spreadsheets/d/1eHaY18a8A9IcSdp1K8H6x8fbOy06t2VsZHhMHf-1x7Y/edit?usp=sharing"",""แผน!FZ69"")"),500)</f>
        <v>500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391730</v>
      </c>
      <c r="R728" s="262">
        <f ca="1">R729+R730</f>
        <v>391730</v>
      </c>
      <c r="S728" s="262">
        <f ca="1">S729+S730</f>
        <v>312290</v>
      </c>
      <c r="T728" s="262">
        <f t="shared" ref="T728:T736" ca="1" si="182">IF(Q728&gt;0,S728*100/Q728,0)</f>
        <v>79.720726010262169</v>
      </c>
      <c r="U728" s="262">
        <f t="shared" ref="U728:U736" ca="1" si="183">IF(R728&gt;0,S728*100/R728,0)</f>
        <v>79.720726010262169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391730</v>
      </c>
      <c r="R730" s="72">
        <f t="shared" ca="1" si="185"/>
        <v>391730</v>
      </c>
      <c r="S730" s="72">
        <f t="shared" ca="1" si="185"/>
        <v>312290</v>
      </c>
      <c r="T730" s="72">
        <f t="shared" ca="1" si="182"/>
        <v>79.720726010262169</v>
      </c>
      <c r="U730" s="72">
        <f t="shared" ca="1" si="183"/>
        <v>79.720726010262169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391730</v>
      </c>
      <c r="R731" s="72">
        <f ca="1">R732+R733</f>
        <v>391730</v>
      </c>
      <c r="S731" s="72">
        <f ca="1">S732+S733</f>
        <v>312290</v>
      </c>
      <c r="T731" s="72">
        <f t="shared" ca="1" si="182"/>
        <v>79.720726010262169</v>
      </c>
      <c r="U731" s="72">
        <f t="shared" ca="1" si="183"/>
        <v>79.720726010262169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IFERROR(__xludf.DUMMYFUNCTION("IMPORTRANGE(""https://docs.google.com/spreadsheets/d/1ItG2mGa2ceCfYo0BwxsXqNm01IGEUdYcSSLTEv9YCik/edit?usp=sharing"",""เบิกจ่ายกองทุน!O69"")"),391730)</f>
        <v>391730</v>
      </c>
      <c r="R733" s="72">
        <f ca="1">IFERROR(__xludf.DUMMYFUNCTION("IMPORTRANGE(""https://docs.google.com/spreadsheets/d/1ItG2mGa2ceCfYo0BwxsXqNm01IGEUdYcSSLTEv9YCik/edit?usp=sharing"",""เบิกจ่ายกองทุน!P69"")"),391730)</f>
        <v>391730</v>
      </c>
      <c r="S733" s="72">
        <f ca="1">IFERROR(__xludf.DUMMYFUNCTION("IMPORTRANGE(""https://docs.google.com/spreadsheets/d/1ItG2mGa2ceCfYo0BwxsXqNm01IGEUdYcSSLTEv9YCik/edit?usp=sharing"",""เบิกจ่ายกองทุน!Q69"")"),312290)</f>
        <v>312290</v>
      </c>
      <c r="T733" s="72">
        <f t="shared" ca="1" si="182"/>
        <v>79.720726010262169</v>
      </c>
      <c r="U733" s="72">
        <f t="shared" ca="1" si="183"/>
        <v>79.720726010262169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IFERROR(__xludf.DUMMYFUNCTION("IMPORTRANGE(""https://docs.google.com/spreadsheets/d/1eHaY18a8A9IcSdp1K8H6x8fbOy06t2VsZHhMHf-1x7Y/edit?usp=sharing"",""แผน!GB69"")"),400)</f>
        <v>400</v>
      </c>
      <c r="J740" s="794">
        <v>400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IFERROR(__xludf.DUMMYFUNCTION("IMPORTRANGE(""https://docs.google.com/spreadsheets/d/1eHaY18a8A9IcSdp1K8H6x8fbOy06t2VsZHhMHf-1x7Y/edit?usp=sharing"",""แผน!GC69"")"),40)</f>
        <v>40</v>
      </c>
      <c r="J742" s="794">
        <v>40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IFERROR(__xludf.DUMMYFUNCTION("IMPORTRANGE(""https://docs.google.com/spreadsheets/d/1eHaY18a8A9IcSdp1K8H6x8fbOy06t2VsZHhMHf-1x7Y/edit?usp=sharing"",""แผน!GD69"")"),100)</f>
        <v>100</v>
      </c>
      <c r="J744" s="794">
        <v>100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IFERROR(__xludf.DUMMYFUNCTION("IMPORTRANGE(""https://docs.google.com/spreadsheets/d/1eHaY18a8A9IcSdp1K8H6x8fbOy06t2VsZHhMHf-1x7Y/edit?usp=sharing"",""แผน!GE69"")"),10)</f>
        <v>10</v>
      </c>
      <c r="J746" s="794">
        <v>10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IFERROR(__xludf.DUMMYFUNCTION("IMPORTRANGE(""https://docs.google.com/spreadsheets/d/1eHaY18a8A9IcSdp1K8H6x8fbOy06t2VsZHhMHf-1x7Y/edit?usp=sharing"",""แผน!GF69"")"),2)</f>
        <v>2</v>
      </c>
      <c r="J749" s="794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IFERROR(__xludf.DUMMYFUNCTION("IMPORTRANGE(""https://docs.google.com/spreadsheets/d/1eHaY18a8A9IcSdp1K8H6x8fbOy06t2VsZHhMHf-1x7Y/edit?usp=sharing"",""แผน!GB69"")"),400)</f>
        <v>400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IFERROR(__xludf.DUMMYFUNCTION("IMPORTRANGE(""https://docs.google.com/spreadsheets/d/1eHaY18a8A9IcSdp1K8H6x8fbOy06t2VsZHhMHf-1x7Y/edit?usp=sharing"",""แผน!GD69"")"),100)</f>
        <v>100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IFERROR(__xludf.DUMMYFUNCTION("IMPORTRANGE(""https://docs.google.com/spreadsheets/d/1ItG2mGa2ceCfYo0BwxsXqNm01IGEUdYcSSLTEv9YCik/edit?usp=sharing"",""เบิกจ่ายกองทุน!AA69"")"),0)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IFERROR(__xludf.DUMMYFUNCTION("IMPORTRANGE(""https://docs.google.com/spreadsheets/d/1ItG2mGa2ceCfYo0BwxsXqNm01IGEUdYcSSLTEv9YCik/edit?usp=sharing"",""เบิกจ่ายกองทุน!AB69"")"),0)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IFERROR(__xludf.DUMMYFUNCTION("IMPORTRANGE(""https://docs.google.com/spreadsheets/d/1ItG2mGa2ceCfYo0BwxsXqNm01IGEUdYcSSLTEv9YCik/edit?usp=sharing"",""เบิกจ่ายกองทุน!AC69"")"),0)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IFERROR(__xludf.DUMMYFUNCTION("IMPORTRANGE(""https://docs.google.com/spreadsheets/d/1eHaY18a8A9IcSdp1K8H6x8fbOy06t2VsZHhMHf-1x7Y/edit?usp=sharing"",""แผน!FI69"")"),0)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IFERROR(__xludf.DUMMYFUNCTION("IMPORTRANGE(""https://docs.google.com/spreadsheets/d/1eHaY18a8A9IcSdp1K8H6x8fbOy06t2VsZHhMHf-1x7Y/edit?usp=sharing"",""แผน!FQ69"")"),0)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IFERROR(__xludf.DUMMYFUNCTION("IMPORTRANGE(""https://docs.google.com/spreadsheets/d/1eHaY18a8A9IcSdp1K8H6x8fbOy06t2VsZHhMHf-1x7Y/edit?usp=sharing"",""แผน!FR69"")"),0)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IFERROR(__xludf.DUMMYFUNCTION("IMPORTRANGE(""https://docs.google.com/spreadsheets/d/1eHaY18a8A9IcSdp1K8H6x8fbOy06t2VsZHhMHf-1x7Y/edit?usp=sharing"",""แผน!FS69"")"),0)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IFERROR(__xludf.DUMMYFUNCTION("IMPORTRANGE(""https://docs.google.com/spreadsheets/d/1eHaY18a8A9IcSdp1K8H6x8fbOy06t2VsZHhMHf-1x7Y/edit?usp=sharing"",""แผน!FT69"")"),0)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IFERROR(__xludf.DUMMYFUNCTION("IMPORTRANGE(""https://docs.google.com/spreadsheets/d/10OvvATaaLtwErnr3qtWFcTmtbfpFEt5Bsqel9sXx0uE/edit?usp=sharing"",""งานกองทุน!D69"")"),5803980.74)</f>
        <v>5803980.7400000002</v>
      </c>
      <c r="J778" s="291">
        <f ca="1">IFERROR(__xludf.DUMMYFUNCTION("IMPORTRANGE(""https://docs.google.com/spreadsheets/d/10OvvATaaLtwErnr3qtWFcTmtbfpFEt5Bsqel9sXx0uE/edit?usp=sharing"",""งานกองทุน!F69"")"),5412275.92)</f>
        <v>5412275.9199999999</v>
      </c>
      <c r="K778" s="72">
        <f t="shared" ref="K778:K785" ca="1" si="192">IF(I778&gt;0,J778*100/I778,0)</f>
        <v>93.251100623052722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IFERROR(__xludf.DUMMYFUNCTION("IMPORTRANGE(""https://docs.google.com/spreadsheets/d/10OvvATaaLtwErnr3qtWFcTmtbfpFEt5Bsqel9sXx0uE/edit?usp=sharing"",""งานกองทุน!C69"")"),411)</f>
        <v>411</v>
      </c>
      <c r="J779" s="291">
        <f ca="1">IFERROR(__xludf.DUMMYFUNCTION("IMPORTRANGE(""https://docs.google.com/spreadsheets/d/10OvvATaaLtwErnr3qtWFcTmtbfpFEt5Bsqel9sXx0uE/edit?usp=sharing"",""งานกองทุน!E69"")"),343)</f>
        <v>343</v>
      </c>
      <c r="K779" s="72">
        <f t="shared" ca="1" si="192"/>
        <v>83.454987834549883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IFERROR(__xludf.DUMMYFUNCTION("IMPORTRANGE(""https://docs.google.com/spreadsheets/d/10OvvATaaLtwErnr3qtWFcTmtbfpFEt5Bsqel9sXx0uE/edit?usp=sharing"",""งานกองทุน!I69"")"),5203811.49)</f>
        <v>5203811.49</v>
      </c>
      <c r="J780" s="291">
        <f ca="1">IFERROR(__xludf.DUMMYFUNCTION("IMPORTRANGE(""https://docs.google.com/spreadsheets/d/10OvvATaaLtwErnr3qtWFcTmtbfpFEt5Bsqel9sXx0uE/edit?usp=sharing"",""งานกองทุน!K69"")"),1382053.65)</f>
        <v>1382053.65</v>
      </c>
      <c r="K780" s="72">
        <f t="shared" ca="1" si="192"/>
        <v>26.558487997804086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IFERROR(__xludf.DUMMYFUNCTION("IMPORTRANGE(""https://docs.google.com/spreadsheets/d/10OvvATaaLtwErnr3qtWFcTmtbfpFEt5Bsqel9sXx0uE/edit?usp=sharing"",""งานกองทุน!H69"")"),208)</f>
        <v>208</v>
      </c>
      <c r="J781" s="291">
        <f ca="1">IFERROR(__xludf.DUMMYFUNCTION("IMPORTRANGE(""https://docs.google.com/spreadsheets/d/10OvvATaaLtwErnr3qtWFcTmtbfpFEt5Bsqel9sXx0uE/edit?usp=sharing"",""งานกองทุน!J69"")"),127)</f>
        <v>127</v>
      </c>
      <c r="K781" s="72">
        <f t="shared" ca="1" si="192"/>
        <v>61.057692307692307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IFERROR(__xludf.DUMMYFUNCTION("IMPORTRANGE(""https://docs.google.com/spreadsheets/d/10OvvATaaLtwErnr3qtWFcTmtbfpFEt5Bsqel9sXx0uE/edit?usp=sharing"",""งานกองทุน!N69"")"),63028)</f>
        <v>63028</v>
      </c>
      <c r="J782" s="291">
        <f ca="1">IFERROR(__xludf.DUMMYFUNCTION("IMPORTRANGE(""https://docs.google.com/spreadsheets/d/10OvvATaaLtwErnr3qtWFcTmtbfpFEt5Bsqel9sXx0uE/edit?usp=sharing"",""งานกองทุน!P69"")"),63028)</f>
        <v>63028</v>
      </c>
      <c r="K782" s="72">
        <f t="shared" ca="1" si="192"/>
        <v>100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IFERROR(__xludf.DUMMYFUNCTION("IMPORTRANGE(""https://docs.google.com/spreadsheets/d/10OvvATaaLtwErnr3qtWFcTmtbfpFEt5Bsqel9sXx0uE/edit?usp=sharing"",""งานกองทุน!M69"")"),42)</f>
        <v>42</v>
      </c>
      <c r="J783" s="291">
        <f ca="1">IFERROR(__xludf.DUMMYFUNCTION("IMPORTRANGE(""https://docs.google.com/spreadsheets/d/10OvvATaaLtwErnr3qtWFcTmtbfpFEt5Bsqel9sXx0uE/edit?usp=sharing"",""งานกองทุน!O69"")"),0)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IFERROR(__xludf.DUMMYFUNCTION("IMPORTRANGE(""https://docs.google.com/spreadsheets/d/10OvvATaaLtwErnr3qtWFcTmtbfpFEt5Bsqel9sXx0uE/edit?usp=sharing"",""งานกองทุน!S69"")"),12488000)</f>
        <v>12488000</v>
      </c>
      <c r="J784" s="291">
        <f ca="1">IFERROR(__xludf.DUMMYFUNCTION("IMPORTRANGE(""https://docs.google.com/spreadsheets/d/10OvvATaaLtwErnr3qtWFcTmtbfpFEt5Bsqel9sXx0uE/edit?usp=sharing"",""งานกองทุน!U69"")"),11125000)</f>
        <v>11125000</v>
      </c>
      <c r="K784" s="72">
        <f t="shared" ca="1" si="192"/>
        <v>89.085522101217165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IFERROR(__xludf.DUMMYFUNCTION("IMPORTRANGE(""https://docs.google.com/spreadsheets/d/10OvvATaaLtwErnr3qtWFcTmtbfpFEt5Bsqel9sXx0uE/edit?usp=sharing"",""งานกองทุน!R69"")"),446)</f>
        <v>446</v>
      </c>
      <c r="J785" s="773">
        <f ca="1">IFERROR(__xludf.DUMMYFUNCTION("IMPORTRANGE(""https://docs.google.com/spreadsheets/d/10OvvATaaLtwErnr3qtWFcTmtbfpFEt5Bsqel9sXx0uE/edit?usp=sharing"",""งานกองทุน!T69"")"),270)</f>
        <v>270</v>
      </c>
      <c r="K785" s="181">
        <f t="shared" ca="1" si="192"/>
        <v>60.538116591928251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D2CDF-29F2-4A12-B838-228D76FC6F8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9" width="18.71093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364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2564232</v>
      </c>
      <c r="M18" s="57">
        <f ca="1">M19+M20</f>
        <v>2794537.1</v>
      </c>
      <c r="N18" s="57">
        <f ca="1">N19+N20</f>
        <v>1866252.31</v>
      </c>
      <c r="O18" s="57">
        <f t="shared" ref="O18:O26" ca="1" si="0">IF(L18&gt;0,N18*100/L18,0)</f>
        <v>72.780166147212896</v>
      </c>
      <c r="P18" s="57">
        <f t="shared" ref="P18:P26" ca="1" si="1">IF(M18&gt;0,N18*100/M18,0)</f>
        <v>66.782162598592805</v>
      </c>
      <c r="Q18" s="57">
        <f ca="1">Q19+Q20</f>
        <v>1089515.3900000001</v>
      </c>
      <c r="R18" s="57">
        <f ca="1">R19+R20</f>
        <v>1089515</v>
      </c>
      <c r="S18" s="57">
        <f ca="1">S19+S20</f>
        <v>496614</v>
      </c>
      <c r="T18" s="57">
        <f t="shared" ref="T18:T26" ca="1" si="2">IF(Q18&gt;0,S18*100/Q18,0)</f>
        <v>45.581182657731887</v>
      </c>
      <c r="U18" s="57">
        <f t="shared" ref="U18:U26" ca="1" si="3">IF(R18&gt;0,S18*100/R18,0)</f>
        <v>45.581198973855336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2564232</v>
      </c>
      <c r="M20" s="63">
        <f t="shared" ca="1" si="4"/>
        <v>2794537.1</v>
      </c>
      <c r="N20" s="63">
        <f t="shared" ca="1" si="4"/>
        <v>1866252.31</v>
      </c>
      <c r="O20" s="63">
        <f t="shared" ca="1" si="0"/>
        <v>72.780166147212896</v>
      </c>
      <c r="P20" s="63">
        <f t="shared" ca="1" si="1"/>
        <v>66.782162598592805</v>
      </c>
      <c r="Q20" s="63">
        <f t="shared" ca="1" si="5"/>
        <v>1089515.3900000001</v>
      </c>
      <c r="R20" s="63">
        <f t="shared" ca="1" si="5"/>
        <v>1089515</v>
      </c>
      <c r="S20" s="63">
        <f t="shared" ca="1" si="5"/>
        <v>496614</v>
      </c>
      <c r="T20" s="63">
        <f t="shared" ca="1" si="2"/>
        <v>45.581182657731887</v>
      </c>
      <c r="U20" s="63">
        <f t="shared" ca="1" si="3"/>
        <v>45.581198973855336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2564232</v>
      </c>
      <c r="M21" s="72">
        <f ca="1">M22+M23</f>
        <v>2794537.1</v>
      </c>
      <c r="N21" s="72">
        <f ca="1">N22+N23</f>
        <v>1866252.31</v>
      </c>
      <c r="O21" s="72">
        <f t="shared" ca="1" si="0"/>
        <v>72.780166147212896</v>
      </c>
      <c r="P21" s="72">
        <f t="shared" ca="1" si="1"/>
        <v>66.782162598592805</v>
      </c>
      <c r="Q21" s="72">
        <f ca="1">Q22+Q23</f>
        <v>1089515.3900000001</v>
      </c>
      <c r="R21" s="72">
        <f ca="1">R22+R23</f>
        <v>1089515</v>
      </c>
      <c r="S21" s="72">
        <f ca="1">S22+S23</f>
        <v>496614</v>
      </c>
      <c r="T21" s="72">
        <f t="shared" ca="1" si="2"/>
        <v>45.581182657731887</v>
      </c>
      <c r="U21" s="72">
        <f t="shared" ca="1" si="3"/>
        <v>45.581198973855336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399">
        <f ca="1">L49+L64+L77+L99+L122+L144+L162+L191+L178+L271+L287+L308+L325+L338+L361+L380+L418+L498+L518+L539+L560+L581+L604+L621+L647+L695+L719+L733+L765</f>
        <v>2564232</v>
      </c>
      <c r="M23" s="387">
        <f ca="1">M49+M64+M77+M99+M122+M144+M162+M191+M178+M271+M287+M308+M325+M338+M361+M380+M418+M498+M518+M539+M560+M581+M604+M621+M647+M695+M719+M733+M765</f>
        <v>2794537.1</v>
      </c>
      <c r="N23" s="387">
        <f ca="1">N49+N64+N77+N99+N122+N144+N162+N191+N178+N271+N287+N308+N325+N338+N361+N380+N418+N498+N518+N539+N560+N581+N604+N621+N647+N695+N719+N733+N765</f>
        <v>1866252.31</v>
      </c>
      <c r="O23" s="72">
        <f t="shared" ca="1" si="0"/>
        <v>72.780166147212896</v>
      </c>
      <c r="P23" s="72">
        <f t="shared" ca="1" si="1"/>
        <v>66.782162598592805</v>
      </c>
      <c r="Q23" s="72">
        <f t="shared" ca="1" si="6"/>
        <v>1089515.3900000001</v>
      </c>
      <c r="R23" s="72">
        <f t="shared" ca="1" si="6"/>
        <v>1089515</v>
      </c>
      <c r="S23" s="72">
        <f t="shared" ca="1" si="6"/>
        <v>496614</v>
      </c>
      <c r="T23" s="72">
        <f t="shared" ca="1" si="2"/>
        <v>45.581182657731887</v>
      </c>
      <c r="U23" s="72">
        <f t="shared" ca="1" si="3"/>
        <v>45.581198973855336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399">
        <f ca="1">L52+L67+L80+L102+L125+L147+L165+L194+L181+L274+L290+L311+L328+L341+L364+L383+L421+L501+L521+L542+L563+L584+L607+L624+L650+L698+L722+L736+L768</f>
        <v>0</v>
      </c>
      <c r="M26" s="1399">
        <f ca="1">M52+M67+M80+M102+M125+M147+M165+M194+M181+M274+M290+M311+M328+M341+M364+M383+M421+M501+M521+M542+M563+M584+M607+M624+M650+M698+M722+M736+M768</f>
        <v>0</v>
      </c>
      <c r="N26" s="1399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2389122</v>
      </c>
      <c r="M40" s="1050">
        <f ca="1">M44+M59+M72+M94+M125+M139+M157+M173+M186+M266+M282+M303+M320+M333+M356</f>
        <v>2619427.1</v>
      </c>
      <c r="N40" s="1050">
        <f ca="1">N44+N59+N72+N94+N125+N139+N157+N173+N186+N266+N282+N303+N320+N333+N356</f>
        <v>1829568.31</v>
      </c>
      <c r="O40" s="1050">
        <f ca="1">IF(L40&gt;0,N40*100/L40,0)</f>
        <v>76.579107722418527</v>
      </c>
      <c r="P40" s="1050">
        <f ca="1">IF(M40&gt;0,N40*100/M40,0)</f>
        <v>69.846124368187219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488312</v>
      </c>
      <c r="M44" s="1031">
        <f ca="1">M45+M46</f>
        <v>577067.1</v>
      </c>
      <c r="N44" s="1031">
        <f ca="1">N45+N46</f>
        <v>425002.1</v>
      </c>
      <c r="O44" s="1031">
        <f t="shared" ref="O44:O52" ca="1" si="8">IF(L44&gt;0,N44*100/L44,0)</f>
        <v>87.03494896705385</v>
      </c>
      <c r="P44" s="1031">
        <f t="shared" ref="P44:P52" ca="1" si="9">IF(M44&gt;0,N44*100/M44,0)</f>
        <v>73.648645018924142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488312</v>
      </c>
      <c r="M46" s="1018">
        <f t="shared" ca="1" si="12"/>
        <v>577067.1</v>
      </c>
      <c r="N46" s="1018">
        <f t="shared" ca="1" si="12"/>
        <v>425002.1</v>
      </c>
      <c r="O46" s="1018">
        <f t="shared" ca="1" si="8"/>
        <v>87.03494896705385</v>
      </c>
      <c r="P46" s="1018">
        <f t="shared" ca="1" si="9"/>
        <v>73.648645018924142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488312</v>
      </c>
      <c r="M47" s="72">
        <f ca="1">M48+M49</f>
        <v>577067.1</v>
      </c>
      <c r="N47" s="72">
        <f ca="1">N48+N49</f>
        <v>425002.1</v>
      </c>
      <c r="O47" s="72">
        <f t="shared" ca="1" si="8"/>
        <v>87.03494896705385</v>
      </c>
      <c r="P47" s="72">
        <f t="shared" ca="1" si="9"/>
        <v>73.648645018924142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IFERROR(__xludf.DUMMYFUNCTION("IMPORTRANGE(""https://docs.google.com/spreadsheets/d/1-uDff_7J0KD5mKrp0Vvzr7lt3OU09vwQwhkpOPPYv2Y/edit?usp=sharing"",""งบพรบ!P70"")"),488312)</f>
        <v>488312</v>
      </c>
      <c r="M49" s="72">
        <f ca="1">IFERROR(__xludf.DUMMYFUNCTION("IMPORTRANGE(""https://docs.google.com/spreadsheets/d/1-uDff_7J0KD5mKrp0Vvzr7lt3OU09vwQwhkpOPPYv2Y/edit?usp=sharing"",""งบพรบ!V70"")"),577067.1)</f>
        <v>577067.1</v>
      </c>
      <c r="N49" s="72">
        <f ca="1">IFERROR(__xludf.DUMMYFUNCTION("IMPORTRANGE(""https://docs.google.com/spreadsheets/d/1-uDff_7J0KD5mKrp0Vvzr7lt3OU09vwQwhkpOPPYv2Y/edit?usp=sharing"",""งบพรบ!Y70"")"),425002.1)</f>
        <v>425002.1</v>
      </c>
      <c r="O49" s="72">
        <f t="shared" ca="1" si="8"/>
        <v>87.03494896705385</v>
      </c>
      <c r="P49" s="72">
        <f t="shared" ca="1" si="9"/>
        <v>73.648645018924142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IFERROR(__xludf.DUMMYFUNCTION("IMPORTRANGE(""https://docs.google.com/spreadsheets/d/1-uDff_7J0KD5mKrp0Vvzr7lt3OU09vwQwhkpOPPYv2Y/edit?usp=sharing"",""งบพรบ!S70"")"),0)</f>
        <v>0</v>
      </c>
      <c r="M52" s="72">
        <f ca="1">IFERROR(__xludf.DUMMYFUNCTION("IMPORTRANGE(""https://docs.google.com/spreadsheets/d/1-uDff_7J0KD5mKrp0Vvzr7lt3OU09vwQwhkpOPPYv2Y/edit?usp=sharing"",""งบพรบ!W70"")"),0)</f>
        <v>0</v>
      </c>
      <c r="N52" s="72">
        <f ca="1">IFERROR(__xludf.DUMMYFUNCTION("IMPORTRANGE(""https://docs.google.com/spreadsheets/d/1-uDff_7J0KD5mKrp0Vvzr7lt3OU09vwQwhkpOPPYv2Y/edit?usp=sharing"",""งบพรบ!Z70"")"),0)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650600</v>
      </c>
      <c r="M59" s="1001">
        <f ca="1">M60+M61</f>
        <v>659600</v>
      </c>
      <c r="N59" s="1001">
        <f ca="1">N60+N61</f>
        <v>594695.74</v>
      </c>
      <c r="O59" s="1001">
        <f t="shared" ref="O59:O67" ca="1" si="14">IF(L59&gt;0,N59*100/L59,0)</f>
        <v>91.407276360282822</v>
      </c>
      <c r="P59" s="1001">
        <f t="shared" ref="P59:P67" ca="1" si="15">IF(M59&gt;0,N59*100/M59,0)</f>
        <v>90.160057610673135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650600</v>
      </c>
      <c r="M61" s="988">
        <f t="shared" ca="1" si="18"/>
        <v>659600</v>
      </c>
      <c r="N61" s="988">
        <f t="shared" ca="1" si="18"/>
        <v>594695.74</v>
      </c>
      <c r="O61" s="988">
        <f t="shared" ca="1" si="14"/>
        <v>91.407276360282822</v>
      </c>
      <c r="P61" s="988">
        <f t="shared" ca="1" si="15"/>
        <v>90.160057610673135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650600</v>
      </c>
      <c r="M62" s="72">
        <f ca="1">M63+M64</f>
        <v>659600</v>
      </c>
      <c r="N62" s="72">
        <f ca="1">N63+N64</f>
        <v>594695.74</v>
      </c>
      <c r="O62" s="72">
        <f t="shared" ca="1" si="14"/>
        <v>91.407276360282822</v>
      </c>
      <c r="P62" s="72">
        <f t="shared" ca="1" si="15"/>
        <v>90.160057610673135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IFERROR(__xludf.DUMMYFUNCTION("IMPORTRANGE(""https://docs.google.com/spreadsheets/d/1-uDff_7J0KD5mKrp0Vvzr7lt3OU09vwQwhkpOPPYv2Y/edit?usp=sharing"",""งบพรบ!AC70"")"),650600)</f>
        <v>650600</v>
      </c>
      <c r="M64" s="72">
        <f ca="1">IFERROR(__xludf.DUMMYFUNCTION("IMPORTRANGE(""https://docs.google.com/spreadsheets/d/1-uDff_7J0KD5mKrp0Vvzr7lt3OU09vwQwhkpOPPYv2Y/edit?usp=sharing"",""งบพรบ!AH70"")"),659600)</f>
        <v>659600</v>
      </c>
      <c r="N64" s="72">
        <f ca="1">IFERROR(__xludf.DUMMYFUNCTION("IMPORTRANGE(""https://docs.google.com/spreadsheets/d/1-uDff_7J0KD5mKrp0Vvzr7lt3OU09vwQwhkpOPPYv2Y/edit?usp=sharing"",""งบพรบ!AJ70"")"),594695.74)</f>
        <v>594695.74</v>
      </c>
      <c r="O64" s="72">
        <f t="shared" ca="1" si="14"/>
        <v>91.407276360282822</v>
      </c>
      <c r="P64" s="72">
        <f t="shared" ca="1" si="15"/>
        <v>90.160057610673135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IFERROR(__xludf.DUMMYFUNCTION("IMPORTRANGE(""https://docs.google.com/spreadsheets/d/1-uDff_7J0KD5mKrp0Vvzr7lt3OU09vwQwhkpOPPYv2Y/edit?usp=sharing"",""งบพรบ!AF70"")"),0)</f>
        <v>0</v>
      </c>
      <c r="M67" s="181">
        <f ca="1">IFERROR(__xludf.DUMMYFUNCTION("IMPORTRANGE(""https://docs.google.com/spreadsheets/d/1-uDff_7J0KD5mKrp0Vvzr7lt3OU09vwQwhkpOPPYv2Y/edit?usp=sharing"",""งบพรบ!AI70"")"),0)</f>
        <v>0</v>
      </c>
      <c r="N67" s="181">
        <f ca="1">IFERROR(__xludf.DUMMYFUNCTION("IMPORTRANGE(""https://docs.google.com/spreadsheets/d/1-uDff_7J0KD5mKrp0Vvzr7lt3OU09vwQwhkpOPPYv2Y/edit?usp=sharing"",""งบพรบ!AK70"")"),0)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IFERROR(__xludf.DUMMYFUNCTION("IMPORTRANGE(""https://docs.google.com/spreadsheets/d/1-uDff_7J0KD5mKrp0Vvzr7lt3OU09vwQwhkpOPPYv2Y/edit?usp=sharing"",""งบพรบ!AM70"")"),0)</f>
        <v>0</v>
      </c>
      <c r="M77" s="72">
        <f ca="1">IFERROR(__xludf.DUMMYFUNCTION("IMPORTRANGE(""https://docs.google.com/spreadsheets/d/1-uDff_7J0KD5mKrp0Vvzr7lt3OU09vwQwhkpOPPYv2Y/edit?usp=sharing"",""งบพรบ!AR70"")"),0)</f>
        <v>0</v>
      </c>
      <c r="N77" s="72">
        <f ca="1">IFERROR(__xludf.DUMMYFUNCTION("IMPORTRANGE(""https://docs.google.com/spreadsheets/d/1-uDff_7J0KD5mKrp0Vvzr7lt3OU09vwQwhkpOPPYv2Y/edit?usp=sharing"",""งบพรบ!AT70"")"),0)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IFERROR(__xludf.DUMMYFUNCTION("IMPORTRANGE(""https://docs.google.com/spreadsheets/d/1ItG2mGa2ceCfYo0BwxsXqNm01IGEUdYcSSLTEv9YCik/edit?usp=sharing"",""เบิกจ่ายกองทุน!BH70"")"),0)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IFERROR(__xludf.DUMMYFUNCTION("IMPORTRANGE(""https://docs.google.com/spreadsheets/d/1ItG2mGa2ceCfYo0BwxsXqNm01IGEUdYcSSLTEv9YCik/edit?usp=sharing"",""เบิกจ่ายกองทุน!BI70"")"),0)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IFERROR(__xludf.DUMMYFUNCTION("IMPORTRANGE(""https://docs.google.com/spreadsheets/d/1ItG2mGa2ceCfYo0BwxsXqNm01IGEUdYcSSLTEv9YCik/edit?usp=sharing"",""เบิกจ่ายกองทุน!BJ70"")"),0)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IFERROR(__xludf.DUMMYFUNCTION("IMPORTRANGE(""https://docs.google.com/spreadsheets/d/1-uDff_7J0KD5mKrp0Vvzr7lt3OU09vwQwhkpOPPYv2Y/edit?usp=sharing"",""งบพรบ!AP70"")"),0)</f>
        <v>0</v>
      </c>
      <c r="M80" s="72">
        <f ca="1">IFERROR(__xludf.DUMMYFUNCTION("IMPORTRANGE(""https://docs.google.com/spreadsheets/d/1-uDff_7J0KD5mKrp0Vvzr7lt3OU09vwQwhkpOPPYv2Y/edit?usp=sharing"",""งบพรบ!AS70"")"),0)</f>
        <v>0</v>
      </c>
      <c r="N80" s="72">
        <f ca="1">IFERROR(__xludf.DUMMYFUNCTION("IMPORTRANGE(""https://docs.google.com/spreadsheets/d/1-uDff_7J0KD5mKrp0Vvzr7lt3OU09vwQwhkpOPPYv2Y/edit?usp=sharing"",""งบพรบ!AU70"")"),0)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IFERROR(__xludf.DUMMYFUNCTION("IMPORTRANGE(""https://docs.google.com/spreadsheets/d/1ItG2mGa2ceCfYo0BwxsXqNm01IGEUdYcSSLTEv9YCik/edit?usp=sharing"",""เบิกจ่ายกองทุน!BK70"")"),0)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IFERROR(__xludf.DUMMYFUNCTION("IMPORTRANGE(""https://docs.google.com/spreadsheets/d/1ItG2mGa2ceCfYo0BwxsXqNm01IGEUdYcSSLTEv9YCik/edit?usp=sharing"",""เบิกจ่ายกองทุน!BL70"")"),0)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IFERROR(__xludf.DUMMYFUNCTION("IMPORTRANGE(""https://docs.google.com/spreadsheets/d/1ItG2mGa2ceCfYo0BwxsXqNm01IGEUdYcSSLTEv9YCik/edit?usp=sharing"",""เบิกจ่ายกองทุน!BM70"")"),0)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IFERROR(__xludf.DUMMYFUNCTION("IMPORTRANGE(""https://docs.google.com/spreadsheets/d/1eHaY18a8A9IcSdp1K8H6x8fbOy06t2VsZHhMHf-1x7Y/edit?usp=sharing"",""แผน!H70"")"),0)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IFERROR(__xludf.DUMMYFUNCTION("IMPORTRANGE(""https://docs.google.com/spreadsheets/d/1eHaY18a8A9IcSdp1K8H6x8fbOy06t2VsZHhMHf-1x7Y/edit?usp=sharing"",""แผน!I70"")"),0)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IFERROR(__xludf.DUMMYFUNCTION("IMPORTRANGE(""https://docs.google.com/spreadsheets/d/1eHaY18a8A9IcSdp1K8H6x8fbOy06t2VsZHhMHf-1x7Y/edit?usp=sharing"",""แผน!F70"")"),0)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IFERROR(__xludf.DUMMYFUNCTION("IMPORTRANGE(""https://docs.google.com/spreadsheets/d/1eHaY18a8A9IcSdp1K8H6x8fbOy06t2VsZHhMHf-1x7Y/edit?usp=sharing"",""แผน!G70"")"),0)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IFERROR(__xludf.DUMMYFUNCTION("IMPORTRANGE(""https://docs.google.com/spreadsheets/d/1eHaY18a8A9IcSdp1K8H6x8fbOy06t2VsZHhMHf-1x7Y/edit?usp=sharing"",""แผน!D70"")"),0)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IFERROR(__xludf.DUMMYFUNCTION("IMPORTRANGE(""https://docs.google.com/spreadsheets/d/1eHaY18a8A9IcSdp1K8H6x8fbOy06t2VsZHhMHf-1x7Y/edit?usp=sharing"",""แผน!E70"")"),0)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IFERROR(__xludf.DUMMYFUNCTION("IMPORTRANGE(""https://docs.google.com/spreadsheets/d/1eHaY18a8A9IcSdp1K8H6x8fbOy06t2VsZHhMHf-1x7Y/edit?usp=sharing"",""แผน!J70"")"),0)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IFERROR(__xludf.DUMMYFUNCTION("IMPORTRANGE(""https://docs.google.com/spreadsheets/d/1-uDff_7J0KD5mKrp0Vvzr7lt3OU09vwQwhkpOPPYv2Y/edit?usp=sharing"",""งบพรบ!AW70"")"),0)</f>
        <v>0</v>
      </c>
      <c r="M99" s="72">
        <f ca="1">IFERROR(__xludf.DUMMYFUNCTION("IMPORTRANGE(""https://docs.google.com/spreadsheets/d/1-uDff_7J0KD5mKrp0Vvzr7lt3OU09vwQwhkpOPPYv2Y/edit?usp=sharing"",""งบพรบ!BB70"")"),0)</f>
        <v>0</v>
      </c>
      <c r="N99" s="72">
        <f ca="1">IFERROR(__xludf.DUMMYFUNCTION("IMPORTRANGE(""https://docs.google.com/spreadsheets/d/1-uDff_7J0KD5mKrp0Vvzr7lt3OU09vwQwhkpOPPYv2Y/edit?usp=sharing"",""งบพรบ!BD70"")"),0)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IFERROR(__xludf.DUMMYFUNCTION("IMPORTRANGE(""https://docs.google.com/spreadsheets/d/1ItG2mGa2ceCfYo0BwxsXqNm01IGEUdYcSSLTEv9YCik/edit?usp=sharing"",""เบิกจ่ายกองทุน!AJ70"")"),0)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IFERROR(__xludf.DUMMYFUNCTION("IMPORTRANGE(""https://docs.google.com/spreadsheets/d/1ItG2mGa2ceCfYo0BwxsXqNm01IGEUdYcSSLTEv9YCik/edit?usp=sharing"",""เบิกจ่ายกองทุน!AK70"")"),0)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IFERROR(__xludf.DUMMYFUNCTION("IMPORTRANGE(""https://docs.google.com/spreadsheets/d/1ItG2mGa2ceCfYo0BwxsXqNm01IGEUdYcSSLTEv9YCik/edit?usp=sharing"",""เบิกจ่ายกองทุน!AL70"")"),0)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IFERROR(__xludf.DUMMYFUNCTION("IMPORTRANGE(""https://docs.google.com/spreadsheets/d/1-uDff_7J0KD5mKrp0Vvzr7lt3OU09vwQwhkpOPPYv2Y/edit?usp=sharing"",""งบพรบ!AZ70"")"),0)</f>
        <v>0</v>
      </c>
      <c r="M102" s="72">
        <f ca="1">IFERROR(__xludf.DUMMYFUNCTION("IMPORTRANGE(""https://docs.google.com/spreadsheets/d/1-uDff_7J0KD5mKrp0Vvzr7lt3OU09vwQwhkpOPPYv2Y/edit?usp=sharing"",""งบพรบ!BC70"")"),0)</f>
        <v>0</v>
      </c>
      <c r="N102" s="72">
        <f ca="1">IFERROR(__xludf.DUMMYFUNCTION("IMPORTRANGE(""https://docs.google.com/spreadsheets/d/1-uDff_7J0KD5mKrp0Vvzr7lt3OU09vwQwhkpOPPYv2Y/edit?usp=sharing"",""งบพรบ!BE70"")"),0)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IFERROR(__xludf.DUMMYFUNCTION("IMPORTRANGE(""https://docs.google.com/spreadsheets/d/1eHaY18a8A9IcSdp1K8H6x8fbOy06t2VsZHhMHf-1x7Y/edit?usp=sharing"",""แผน!N70"")"),0)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IFERROR(__xludf.DUMMYFUNCTION("IMPORTRANGE(""https://docs.google.com/spreadsheets/d/1eHaY18a8A9IcSdp1K8H6x8fbOy06t2VsZHhMHf-1x7Y/edit?usp=sharing"",""แผน!O70"")"),0)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IFERROR(__xludf.DUMMYFUNCTION("IMPORTRANGE(""https://docs.google.com/spreadsheets/d/1eHaY18a8A9IcSdp1K8H6x8fbOy06t2VsZHhMHf-1x7Y/edit?usp=sharing"",""แผน!R70"")"),0)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59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101162</v>
      </c>
      <c r="T117" s="262">
        <f t="shared" ref="T117:T125" ca="1" si="35">IF(Q117&gt;0,S117*100/Q117,0)</f>
        <v>58.252907981112521</v>
      </c>
      <c r="U117" s="262">
        <f t="shared" ref="U117:U125" ca="1" si="36">IF(R117&gt;0,S117*100/R117,0)</f>
        <v>58.252907981112521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173660</v>
      </c>
      <c r="S119" s="72">
        <f t="shared" ca="1" si="38"/>
        <v>101162</v>
      </c>
      <c r="T119" s="72">
        <f t="shared" ca="1" si="35"/>
        <v>58.252907981112521</v>
      </c>
      <c r="U119" s="72">
        <f t="shared" ca="1" si="36"/>
        <v>58.252907981112521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101162</v>
      </c>
      <c r="T120" s="72">
        <f t="shared" ca="1" si="35"/>
        <v>58.252907981112521</v>
      </c>
      <c r="U120" s="72">
        <f t="shared" ca="1" si="36"/>
        <v>58.252907981112521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IFERROR(__xludf.DUMMYFUNCTION("IMPORTRANGE(""https://docs.google.com/spreadsheets/d/1-uDff_7J0KD5mKrp0Vvzr7lt3OU09vwQwhkpOPPYv2Y/edit?usp=sharing"",""งบพรบ!BG70"")"),0)</f>
        <v>0</v>
      </c>
      <c r="M122" s="72">
        <f ca="1">IFERROR(__xludf.DUMMYFUNCTION("IMPORTRANGE(""https://docs.google.com/spreadsheets/d/1-uDff_7J0KD5mKrp0Vvzr7lt3OU09vwQwhkpOPPYv2Y/edit?usp=sharing"",""งบพรบ!BL70"")"),0)</f>
        <v>0</v>
      </c>
      <c r="N122" s="72">
        <f ca="1">IFERROR(__xludf.DUMMYFUNCTION("IMPORTRANGE(""https://docs.google.com/spreadsheets/d/1-uDff_7J0KD5mKrp0Vvzr7lt3OU09vwQwhkpOPPYv2Y/edit?usp=sharing"",""งบพรบ!BN70"")"),0)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IFERROR(__xludf.DUMMYFUNCTION("IMPORTRANGE(""https://docs.google.com/spreadsheets/d/1ItG2mGa2ceCfYo0BwxsXqNm01IGEUdYcSSLTEv9YCik/edit?usp=sharing"",""เบิกจ่ายกองทุน!U70"")"),173660)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IFERROR(__xludf.DUMMYFUNCTION("IMPORTRANGE(""https://docs.google.com/spreadsheets/d/1ItG2mGa2ceCfYo0BwxsXqNm01IGEUdYcSSLTEv9YCik/edit?usp=sharing"",""เบิกจ่ายกองทุน!V70"")"),173660)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IFERROR(__xludf.DUMMYFUNCTION("IMPORTRANGE(""https://docs.google.com/spreadsheets/d/1ItG2mGa2ceCfYo0BwxsXqNm01IGEUdYcSSLTEv9YCik/edit?usp=sharing"",""เบิกจ่ายกองทุน!W70"")"),101162)</f>
        <v>101162</v>
      </c>
      <c r="T122" s="72">
        <f t="shared" ca="1" si="35"/>
        <v>58.252907981112521</v>
      </c>
      <c r="U122" s="72">
        <f t="shared" ca="1" si="36"/>
        <v>58.252907981112521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IFERROR(__xludf.DUMMYFUNCTION("IMPORTRANGE(""https://docs.google.com/spreadsheets/d/1-uDff_7J0KD5mKrp0Vvzr7lt3OU09vwQwhkpOPPYv2Y/edit?usp=sharing"",""งบพรบ!BJ70"")"),0)</f>
        <v>0</v>
      </c>
      <c r="M125" s="72">
        <f ca="1">IFERROR(__xludf.DUMMYFUNCTION("IMPORTRANGE(""https://docs.google.com/spreadsheets/d/1-uDff_7J0KD5mKrp0Vvzr7lt3OU09vwQwhkpOPPYv2Y/edit?usp=sharing"",""งบพรบ!BM70"")"),0)</f>
        <v>0</v>
      </c>
      <c r="N125" s="72">
        <f ca="1">IFERROR(__xludf.DUMMYFUNCTION("IMPORTRANGE(""https://docs.google.com/spreadsheets/d/1-uDff_7J0KD5mKrp0Vvzr7lt3OU09vwQwhkpOPPYv2Y/edit?usp=sharing"",""งบพรบ!BO70"")"),0)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IFERROR(__xludf.DUMMYFUNCTION("IMPORTRANGE(""https://docs.google.com/spreadsheets/d/1ItG2mGa2ceCfYo0BwxsXqNm01IGEUdYcSSLTEv9YCik/edit?usp=sharing"",""เบิกจ่ายกองทุน!X70"")"),0)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IFERROR(__xludf.DUMMYFUNCTION("IMPORTRANGE(""https://docs.google.com/spreadsheets/d/1ItG2mGa2ceCfYo0BwxsXqNm01IGEUdYcSSLTEv9YCik/edit?usp=sharing"",""เบิกจ่ายกองทุน!Y70"")"),0)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IFERROR(__xludf.DUMMYFUNCTION("IMPORTRANGE(""https://docs.google.com/spreadsheets/d/1ItG2mGa2ceCfYo0BwxsXqNm01IGEUdYcSSLTEv9YCik/edit?usp=sharing"",""เบิกจ่ายกองทุน!Z70"")"),0)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304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IFERROR(__xludf.DUMMYFUNCTION("IMPORTRANGE(""https://docs.google.com/spreadsheets/d/1eHaY18a8A9IcSdp1K8H6x8fbOy06t2VsZHhMHf-1x7Y/edit?usp=sharing"",""แผน!FF70"")"),10)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IFERROR(__xludf.DUMMYFUNCTION("IMPORTRANGE(""https://docs.google.com/spreadsheets/d/1eHaY18a8A9IcSdp1K8H6x8fbOy06t2VsZHhMHf-1x7Y/edit?usp=sharing"",""แผน!FG70"")"),0)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IFERROR(__xludf.DUMMYFUNCTION("IMPORTRANGE(""https://docs.google.com/spreadsheets/d/1eHaY18a8A9IcSdp1K8H6x8fbOy06t2VsZHhMHf-1x7Y/edit?usp=sharing"",""แผน!FH70"")"),10)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IFERROR(__xludf.DUMMYFUNCTION("IMPORTRANGE(""https://docs.google.com/spreadsheets/d/1eHaY18a8A9IcSdp1K8H6x8fbOy06t2VsZHhMHf-1x7Y/edit?usp=sharing"",""แผน!FI70"")"),0)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10</v>
      </c>
      <c r="J137" s="254">
        <f>J152</f>
        <v>10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1</v>
      </c>
      <c r="J138" s="254">
        <f>J153</f>
        <v>1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98000</v>
      </c>
      <c r="M139" s="262">
        <f ca="1">M140+M141</f>
        <v>93000</v>
      </c>
      <c r="N139" s="262">
        <f ca="1">N140+N141</f>
        <v>79653.98</v>
      </c>
      <c r="O139" s="262">
        <f t="shared" ref="O139:O147" ca="1" si="39">IF(L139&gt;0,N139*100/L139,0)</f>
        <v>81.27957142857143</v>
      </c>
      <c r="P139" s="262">
        <f t="shared" ref="P139:P147" ca="1" si="40">IF(M139&gt;0,N139*100/M139,0)</f>
        <v>85.649440860215051</v>
      </c>
      <c r="Q139" s="262">
        <f ca="1">Q140+Q141</f>
        <v>39860</v>
      </c>
      <c r="R139" s="262">
        <f ca="1">R140+R141</f>
        <v>39860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98000</v>
      </c>
      <c r="M141" s="72">
        <f t="shared" ca="1" si="43"/>
        <v>93000</v>
      </c>
      <c r="N141" s="72">
        <f t="shared" ca="1" si="43"/>
        <v>79653.98</v>
      </c>
      <c r="O141" s="72">
        <f t="shared" ca="1" si="39"/>
        <v>81.27957142857143</v>
      </c>
      <c r="P141" s="72">
        <f t="shared" ca="1" si="40"/>
        <v>85.649440860215051</v>
      </c>
      <c r="Q141" s="72">
        <f t="shared" ca="1" si="44"/>
        <v>39860</v>
      </c>
      <c r="R141" s="72">
        <f t="shared" ca="1" si="44"/>
        <v>39860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98000</v>
      </c>
      <c r="M142" s="72">
        <f ca="1">M143+M144</f>
        <v>93000</v>
      </c>
      <c r="N142" s="72">
        <f ca="1">N143+N144</f>
        <v>79653.98</v>
      </c>
      <c r="O142" s="72">
        <f t="shared" ca="1" si="39"/>
        <v>81.27957142857143</v>
      </c>
      <c r="P142" s="72">
        <f t="shared" ca="1" si="40"/>
        <v>85.649440860215051</v>
      </c>
      <c r="Q142" s="72">
        <f ca="1">Q143+Q144</f>
        <v>39860</v>
      </c>
      <c r="R142" s="72">
        <f ca="1">R143+R144</f>
        <v>39860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IFERROR(__xludf.DUMMYFUNCTION("IMPORTRANGE(""https://docs.google.com/spreadsheets/d/1-uDff_7J0KD5mKrp0Vvzr7lt3OU09vwQwhkpOPPYv2Y/edit?usp=sharing"",""งบพรบ!BQ70"")"),98000)</f>
        <v>98000</v>
      </c>
      <c r="M144" s="72">
        <f ca="1">IFERROR(__xludf.DUMMYFUNCTION("IMPORTRANGE(""https://docs.google.com/spreadsheets/d/1-uDff_7J0KD5mKrp0Vvzr7lt3OU09vwQwhkpOPPYv2Y/edit?usp=sharing"",""งบพรบ!BV70"")"),93000)</f>
        <v>93000</v>
      </c>
      <c r="N144" s="72">
        <f ca="1">IFERROR(__xludf.DUMMYFUNCTION("IMPORTRANGE(""https://docs.google.com/spreadsheets/d/1-uDff_7J0KD5mKrp0Vvzr7lt3OU09vwQwhkpOPPYv2Y/edit?usp=sharing"",""งบพรบ!BX70"")"),79653.98)</f>
        <v>79653.98</v>
      </c>
      <c r="O144" s="72">
        <f t="shared" ca="1" si="39"/>
        <v>81.27957142857143</v>
      </c>
      <c r="P144" s="72">
        <f t="shared" ca="1" si="40"/>
        <v>85.649440860215051</v>
      </c>
      <c r="Q144" s="72">
        <f ca="1">IFERROR(__xludf.DUMMYFUNCTION("IMPORTRANGE(""https://docs.google.com/spreadsheets/d/1ItG2mGa2ceCfYo0BwxsXqNm01IGEUdYcSSLTEv9YCik/edit?usp=sharing"",""เบิกจ่ายกองทุน!CF70"")"),39860)</f>
        <v>39860</v>
      </c>
      <c r="R144" s="72">
        <f ca="1">IFERROR(__xludf.DUMMYFUNCTION("IMPORTRANGE(""https://docs.google.com/spreadsheets/d/1ItG2mGa2ceCfYo0BwxsXqNm01IGEUdYcSSLTEv9YCik/edit?usp=sharing"",""เบิกจ่ายกองทุน!CG70"")"),39860)</f>
        <v>39860</v>
      </c>
      <c r="S144" s="72">
        <f ca="1">IFERROR(__xludf.DUMMYFUNCTION("IMPORTRANGE(""https://docs.google.com/spreadsheets/d/1ItG2mGa2ceCfYo0BwxsXqNm01IGEUdYcSSLTEv9YCik/edit?usp=sharing"",""เบิกจ่ายกองทุน!CH70"")"),0)</f>
        <v>0</v>
      </c>
      <c r="T144" s="72">
        <f t="shared" ca="1" si="41"/>
        <v>0</v>
      </c>
      <c r="U144" s="72">
        <f t="shared" ca="1" si="42"/>
        <v>0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IFERROR(__xludf.DUMMYFUNCTION("IMPORTRANGE(""https://docs.google.com/spreadsheets/d/1-uDff_7J0KD5mKrp0Vvzr7lt3OU09vwQwhkpOPPYv2Y/edit?usp=sharing"",""งบพรบ!BT70"")"),0)</f>
        <v>0</v>
      </c>
      <c r="M147" s="72">
        <f ca="1">IFERROR(__xludf.DUMMYFUNCTION("IMPORTRANGE(""https://docs.google.com/spreadsheets/d/1-uDff_7J0KD5mKrp0Vvzr7lt3OU09vwQwhkpOPPYv2Y/edit?usp=sharing"",""งบพรบ!BW70"")"),0)</f>
        <v>0</v>
      </c>
      <c r="N147" s="72">
        <f ca="1">IFERROR(__xludf.DUMMYFUNCTION("IMPORTRANGE(""https://docs.google.com/spreadsheets/d/1-uDff_7J0KD5mKrp0Vvzr7lt3OU09vwQwhkpOPPYv2Y/edit?usp=sharing"",""งบพรบ!BY70"")"),0)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IFERROR(__xludf.DUMMYFUNCTION("IMPORTRANGE(""https://docs.google.com/spreadsheets/d/1ItG2mGa2ceCfYo0BwxsXqNm01IGEUdYcSSLTEv9YCik/edit?usp=sharing"",""เบิกจ่ายกองทุน!CI70"")"),0)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IFERROR(__xludf.DUMMYFUNCTION("IMPORTRANGE(""https://docs.google.com/spreadsheets/d/1ItG2mGa2ceCfYo0BwxsXqNm01IGEUdYcSSLTEv9YCik/edit?usp=sharing"",""เบิกจ่ายกองทุน!CJ70"")"),0)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IFERROR(__xludf.DUMMYFUNCTION("IMPORTRANGE(""https://docs.google.com/spreadsheets/d/1ItG2mGa2ceCfYo0BwxsXqNm01IGEUdYcSSLTEv9YCik/edit?usp=sharing"",""เบิกจ่ายกองทุน!CK70"")"),0)</f>
        <v>0</v>
      </c>
      <c r="T147" s="72">
        <f t="shared" ca="1" si="41"/>
        <v>0</v>
      </c>
      <c r="U147" s="72">
        <f t="shared" ca="1" si="42"/>
        <v>0</v>
      </c>
    </row>
    <row r="148" spans="1:21" ht="19.5" x14ac:dyDescent="0.3">
      <c r="A148" s="274"/>
      <c r="B148" s="275"/>
      <c r="C148" s="668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IFERROR(__xludf.DUMMYFUNCTION("IMPORTRANGE(""https://docs.google.com/spreadsheets/d/1eHaY18a8A9IcSdp1K8H6x8fbOy06t2VsZHhMHf-1x7Y/edit?usp=sharing"",""แผน!U70"")"),0)</f>
        <v>0</v>
      </c>
      <c r="J150" s="292"/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IFERROR(__xludf.DUMMYFUNCTION("IMPORTRANGE(""https://docs.google.com/spreadsheets/d/1eHaY18a8A9IcSdp1K8H6x8fbOy06t2VsZHhMHf-1x7Y/edit?usp=sharing"",""แผน!V70"")"),0)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IFERROR(__xludf.DUMMYFUNCTION("IMPORTRANGE(""https://docs.google.com/spreadsheets/d/1eHaY18a8A9IcSdp1K8H6x8fbOy06t2VsZHhMHf-1x7Y/edit?usp=sharing"",""แผน!W70"")"),10)</f>
        <v>10</v>
      </c>
      <c r="J152" s="292">
        <v>10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IFERROR(__xludf.DUMMYFUNCTION("IMPORTRANGE(""https://docs.google.com/spreadsheets/d/1eHaY18a8A9IcSdp1K8H6x8fbOy06t2VsZHhMHf-1x7Y/edit?usp=sharing"",""แผน!X70"")"),1)</f>
        <v>1</v>
      </c>
      <c r="J153" s="292">
        <v>1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IFERROR(__xludf.DUMMYFUNCTION("IMPORTRANGE(""https://docs.google.com/spreadsheets/d/1eHaY18a8A9IcSdp1K8H6x8fbOy06t2VsZHhMHf-1x7Y/edit?usp=sharing"",""แผน!Y70"")"),0)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5690</v>
      </c>
      <c r="N157" s="262">
        <f ca="1">N158+N159</f>
        <v>5338</v>
      </c>
      <c r="O157" s="262">
        <f t="shared" ref="O157:O165" ca="1" si="45">IF(L157&gt;0,N157*100/L157,0)</f>
        <v>118.62222222222222</v>
      </c>
      <c r="P157" s="262">
        <f t="shared" ref="P157:P165" ca="1" si="46">IF(M157&gt;0,N157*100/M157,0)</f>
        <v>93.813708260105443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5690</v>
      </c>
      <c r="N159" s="72">
        <f t="shared" ca="1" si="49"/>
        <v>5338</v>
      </c>
      <c r="O159" s="72">
        <f t="shared" ca="1" si="45"/>
        <v>118.62222222222222</v>
      </c>
      <c r="P159" s="72">
        <f t="shared" ca="1" si="46"/>
        <v>93.813708260105443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5690</v>
      </c>
      <c r="N160" s="72">
        <f ca="1">N161+N162</f>
        <v>5338</v>
      </c>
      <c r="O160" s="72">
        <f t="shared" ca="1" si="45"/>
        <v>118.62222222222222</v>
      </c>
      <c r="P160" s="72">
        <f t="shared" ca="1" si="46"/>
        <v>93.813708260105443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IFERROR(__xludf.DUMMYFUNCTION("IMPORTRANGE(""https://docs.google.com/spreadsheets/d/1-uDff_7J0KD5mKrp0Vvzr7lt3OU09vwQwhkpOPPYv2Y/edit?usp=sharing"",""งบพรบ!CA70"")"),4500)</f>
        <v>4500</v>
      </c>
      <c r="M162" s="72">
        <f ca="1">IFERROR(__xludf.DUMMYFUNCTION("IMPORTRANGE(""https://docs.google.com/spreadsheets/d/1-uDff_7J0KD5mKrp0Vvzr7lt3OU09vwQwhkpOPPYv2Y/edit?usp=sharing"",""งบพรบ!CF70"")"),5690)</f>
        <v>5690</v>
      </c>
      <c r="N162" s="72">
        <f ca="1">IFERROR(__xludf.DUMMYFUNCTION("IMPORTRANGE(""https://docs.google.com/spreadsheets/d/1-uDff_7J0KD5mKrp0Vvzr7lt3OU09vwQwhkpOPPYv2Y/edit?usp=sharing"",""งบพรบ!CH70"")"),5338)</f>
        <v>5338</v>
      </c>
      <c r="O162" s="72">
        <f t="shared" ca="1" si="45"/>
        <v>118.62222222222222</v>
      </c>
      <c r="P162" s="72">
        <f t="shared" ca="1" si="46"/>
        <v>93.813708260105443</v>
      </c>
      <c r="Q162" s="72">
        <f ca="1">IFERROR(__xludf.DUMMYFUNCTION("IMPORTRANGE(""https://docs.google.com/spreadsheets/d/1ItG2mGa2ceCfYo0BwxsXqNm01IGEUdYcSSLTEv9YCik/edit?usp=sharing"",""เบิกจ่ายกองทุน!AM70"")"),0)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IFERROR(__xludf.DUMMYFUNCTION("IMPORTRANGE(""https://docs.google.com/spreadsheets/d/1ItG2mGa2ceCfYo0BwxsXqNm01IGEUdYcSSLTEv9YCik/edit?usp=sharing"",""เบิกจ่ายกองทุน!AN70"")"),0)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IFERROR(__xludf.DUMMYFUNCTION("IMPORTRANGE(""https://docs.google.com/spreadsheets/d/1ItG2mGa2ceCfYo0BwxsXqNm01IGEUdYcSSLTEv9YCik/edit?usp=sharing"",""เบิกจ่ายกองทุน!AO70"")"),0)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IFERROR(__xludf.DUMMYFUNCTION("IMPORTRANGE(""https://docs.google.com/spreadsheets/d/1-uDff_7J0KD5mKrp0Vvzr7lt3OU09vwQwhkpOPPYv2Y/edit?usp=sharing"",""งบพรบ!CD70"")"),0)</f>
        <v>0</v>
      </c>
      <c r="M165" s="72">
        <f ca="1">IFERROR(__xludf.DUMMYFUNCTION("IMPORTRANGE(""https://docs.google.com/spreadsheets/d/1-uDff_7J0KD5mKrp0Vvzr7lt3OU09vwQwhkpOPPYv2Y/edit?usp=sharing"",""งบพรบ!CG70"")"),0)</f>
        <v>0</v>
      </c>
      <c r="N165" s="72">
        <f ca="1">IFERROR(__xludf.DUMMYFUNCTION("IMPORTRANGE(""https://docs.google.com/spreadsheets/d/1-uDff_7J0KD5mKrp0Vvzr7lt3OU09vwQwhkpOPPYv2Y/edit?usp=sharing"",""งบพรบ!CI70"")"),0)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IFERROR(__xludf.DUMMYFUNCTION("IMPORTRANGE(""https://docs.google.com/spreadsheets/d/1eHaY18a8A9IcSdp1K8H6x8fbOy06t2VsZHhMHf-1x7Y/edit?usp=sharing"",""แผน!Z70"")"),15)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15</v>
      </c>
      <c r="J172" s="963">
        <f>J183+J184</f>
        <v>7</v>
      </c>
      <c r="K172" s="962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29630</v>
      </c>
      <c r="N173" s="262">
        <f ca="1">N174+N175</f>
        <v>29630</v>
      </c>
      <c r="O173" s="262">
        <f t="shared" ref="O173:O181" ca="1" si="51">IF(L173&gt;0,N173*100/L173,0)</f>
        <v>151.2506380806534</v>
      </c>
      <c r="P173" s="262">
        <f t="shared" ref="P173:P181" ca="1" si="52">IF(M173&gt;0,N173*100/M173,0)</f>
        <v>100</v>
      </c>
      <c r="Q173" s="262">
        <f ca="1">Q174+Q175</f>
        <v>21200</v>
      </c>
      <c r="R173" s="262">
        <f ca="1">R174+R175</f>
        <v>21200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29630</v>
      </c>
      <c r="N175" s="72">
        <f t="shared" ca="1" si="55"/>
        <v>29630</v>
      </c>
      <c r="O175" s="72">
        <f t="shared" ca="1" si="51"/>
        <v>151.2506380806534</v>
      </c>
      <c r="P175" s="72">
        <f t="shared" ca="1" si="52"/>
        <v>100</v>
      </c>
      <c r="Q175" s="72">
        <f t="shared" ca="1" si="56"/>
        <v>21200</v>
      </c>
      <c r="R175" s="72">
        <f t="shared" ca="1" si="56"/>
        <v>21200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29630</v>
      </c>
      <c r="N176" s="72">
        <f ca="1">N177+N178</f>
        <v>29630</v>
      </c>
      <c r="O176" s="72">
        <f t="shared" ca="1" si="51"/>
        <v>151.2506380806534</v>
      </c>
      <c r="P176" s="72">
        <f t="shared" ca="1" si="52"/>
        <v>100</v>
      </c>
      <c r="Q176" s="72">
        <f ca="1">Q177+Q178</f>
        <v>21200</v>
      </c>
      <c r="R176" s="72">
        <f ca="1">R177+R178</f>
        <v>21200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IFERROR(__xludf.DUMMYFUNCTION("IMPORTRANGE(""https://docs.google.com/spreadsheets/d/1-uDff_7J0KD5mKrp0Vvzr7lt3OU09vwQwhkpOPPYv2Y/edit?usp=sharing"",""งบพรบ!CK70"")"),19590)</f>
        <v>19590</v>
      </c>
      <c r="M178" s="72">
        <f ca="1">IFERROR(__xludf.DUMMYFUNCTION("IMPORTRANGE(""https://docs.google.com/spreadsheets/d/1-uDff_7J0KD5mKrp0Vvzr7lt3OU09vwQwhkpOPPYv2Y/edit?usp=sharing"",""งบพรบ!CP70"")"),29630)</f>
        <v>29630</v>
      </c>
      <c r="N178" s="72">
        <f ca="1">IFERROR(__xludf.DUMMYFUNCTION("IMPORTRANGE(""https://docs.google.com/spreadsheets/d/1-uDff_7J0KD5mKrp0Vvzr7lt3OU09vwQwhkpOPPYv2Y/edit?usp=sharing"",""งบพรบ!CR70"")"),29630)</f>
        <v>29630</v>
      </c>
      <c r="O178" s="72">
        <f t="shared" ca="1" si="51"/>
        <v>151.2506380806534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IFERROR(__xludf.DUMMYFUNCTION("IMPORTRANGE(""https://docs.google.com/spreadsheets/d/1ItG2mGa2ceCfYo0BwxsXqNm01IGEUdYcSSLTEv9YCik/edit?usp=sharing"",""เบิกจ่ายกองทุน!DG70"")"),21200)</f>
        <v>21200</v>
      </c>
      <c r="R178" s="72">
        <f ca="1">IFERROR(__xludf.DUMMYFUNCTION("IMPORTRANGE(""https://docs.google.com/spreadsheets/d/1ItG2mGa2ceCfYo0BwxsXqNm01IGEUdYcSSLTEv9YCik/edit?usp=sharing"",""เบิกจ่ายกองทุน!DH70"")"),21200)</f>
        <v>21200</v>
      </c>
      <c r="S178" s="72">
        <f ca="1">IFERROR(__xludf.DUMMYFUNCTION("IMPORTRANGE(""https://docs.google.com/spreadsheets/d/1ItG2mGa2ceCfYo0BwxsXqNm01IGEUdYcSSLTEv9YCik/edit?usp=sharing"",""เบิกจ่ายกองทุน!DI70"")"),0)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IFERROR(__xludf.DUMMYFUNCTION("IMPORTRANGE(""https://docs.google.com/spreadsheets/d/1-uDff_7J0KD5mKrp0Vvzr7lt3OU09vwQwhkpOPPYv2Y/edit?usp=sharing"",""งบพรบ!CN70"")"),0)</f>
        <v>0</v>
      </c>
      <c r="M181" s="72">
        <f ca="1">IFERROR(__xludf.DUMMYFUNCTION("IMPORTRANGE(""https://docs.google.com/spreadsheets/d/1-uDff_7J0KD5mKrp0Vvzr7lt3OU09vwQwhkpOPPYv2Y/edit?usp=sharing"",""งบพรบ!CQ70"")"),0)</f>
        <v>0</v>
      </c>
      <c r="N181" s="72">
        <f ca="1">IFERROR(__xludf.DUMMYFUNCTION("IMPORTRANGE(""https://docs.google.com/spreadsheets/d/1-uDff_7J0KD5mKrp0Vvzr7lt3OU09vwQwhkpOPPYv2Y/edit?usp=sharing"",""งบพรบ!CS70"")"),0)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IFERROR(__xludf.DUMMYFUNCTION("IMPORTRANGE(""https://docs.google.com/spreadsheets/d/1eHaY18a8A9IcSdp1K8H6x8fbOy06t2VsZHhMHf-1x7Y/edit?usp=sharing"",""แผน!AA70"")"),15)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25500</v>
      </c>
      <c r="M186" s="262">
        <f ca="1">M187+M188</f>
        <v>30460</v>
      </c>
      <c r="N186" s="262">
        <f ca="1">N187+N188</f>
        <v>15800</v>
      </c>
      <c r="O186" s="262">
        <f t="shared" ref="O186:O194" ca="1" si="57">IF(L186&gt;0,N186*100/L186,0)</f>
        <v>61.96078431372549</v>
      </c>
      <c r="P186" s="262">
        <f t="shared" ref="P186:P194" ca="1" si="58">IF(M186&gt;0,N186*100/M186,0)</f>
        <v>51.871306631648061</v>
      </c>
      <c r="Q186" s="262">
        <f ca="1">Q187+Q188</f>
        <v>42000</v>
      </c>
      <c r="R186" s="262">
        <f ca="1">R187+R188</f>
        <v>42000</v>
      </c>
      <c r="S186" s="262">
        <f ca="1">S187+S188</f>
        <v>42000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25500</v>
      </c>
      <c r="M188" s="72">
        <f t="shared" ca="1" si="61"/>
        <v>30460</v>
      </c>
      <c r="N188" s="72">
        <f t="shared" ca="1" si="61"/>
        <v>15800</v>
      </c>
      <c r="O188" s="72">
        <f t="shared" ca="1" si="57"/>
        <v>61.96078431372549</v>
      </c>
      <c r="P188" s="72">
        <f t="shared" ca="1" si="58"/>
        <v>51.871306631648061</v>
      </c>
      <c r="Q188" s="72">
        <f t="shared" ca="1" si="62"/>
        <v>42000</v>
      </c>
      <c r="R188" s="72">
        <f t="shared" ca="1" si="62"/>
        <v>42000</v>
      </c>
      <c r="S188" s="72">
        <f t="shared" ca="1" si="62"/>
        <v>42000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25500</v>
      </c>
      <c r="M189" s="72">
        <f ca="1">M190+M191</f>
        <v>30460</v>
      </c>
      <c r="N189" s="72">
        <f ca="1">N190+N191</f>
        <v>15800</v>
      </c>
      <c r="O189" s="72">
        <f t="shared" ca="1" si="57"/>
        <v>61.96078431372549</v>
      </c>
      <c r="P189" s="72">
        <f t="shared" ca="1" si="58"/>
        <v>51.871306631648061</v>
      </c>
      <c r="Q189" s="72">
        <f ca="1">Q190+Q191</f>
        <v>42000</v>
      </c>
      <c r="R189" s="72">
        <f ca="1">R190+R191</f>
        <v>42000</v>
      </c>
      <c r="S189" s="72">
        <f ca="1">S190+S191</f>
        <v>42000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IFERROR(__xludf.DUMMYFUNCTION("IMPORTRANGE(""https://docs.google.com/spreadsheets/d/1-uDff_7J0KD5mKrp0Vvzr7lt3OU09vwQwhkpOPPYv2Y/edit?usp=sharing"",""งบพรบ!CU70"")"),25500)</f>
        <v>25500</v>
      </c>
      <c r="M191" s="72">
        <f ca="1">IFERROR(__xludf.DUMMYFUNCTION("IMPORTRANGE(""https://docs.google.com/spreadsheets/d/1-uDff_7J0KD5mKrp0Vvzr7lt3OU09vwQwhkpOPPYv2Y/edit?usp=sharing"",""งบพรบ!CZ70"")"),30460)</f>
        <v>30460</v>
      </c>
      <c r="N191" s="72">
        <f ca="1">IFERROR(__xludf.DUMMYFUNCTION("IMPORTRANGE(""https://docs.google.com/spreadsheets/d/1-uDff_7J0KD5mKrp0Vvzr7lt3OU09vwQwhkpOPPYv2Y/edit?usp=sharing"",""งบพรบ!DB70"")"),15800)</f>
        <v>15800</v>
      </c>
      <c r="O191" s="72">
        <f t="shared" ca="1" si="57"/>
        <v>61.96078431372549</v>
      </c>
      <c r="P191" s="72">
        <f t="shared" ca="1" si="58"/>
        <v>51.871306631648061</v>
      </c>
      <c r="Q191" s="72">
        <f ca="1">IFERROR(__xludf.DUMMYFUNCTION("IMPORTRANGE(""https://docs.google.com/spreadsheets/d/1ItG2mGa2ceCfYo0BwxsXqNm01IGEUdYcSSLTEv9YCik/edit?usp=sharing"",""เบิกจ่ายกองทุน!BQ70"")"),42000)</f>
        <v>42000</v>
      </c>
      <c r="R191" s="72">
        <f ca="1">IFERROR(__xludf.DUMMYFUNCTION("IMPORTRANGE(""https://docs.google.com/spreadsheets/d/1ItG2mGa2ceCfYo0BwxsXqNm01IGEUdYcSSLTEv9YCik/edit?usp=sharing"",""เบิกจ่ายกองทุน!BR70"")"),42000)</f>
        <v>42000</v>
      </c>
      <c r="S191" s="72">
        <f ca="1">IFERROR(__xludf.DUMMYFUNCTION("IMPORTRANGE(""https://docs.google.com/spreadsheets/d/1ItG2mGa2ceCfYo0BwxsXqNm01IGEUdYcSSLTEv9YCik/edit?usp=sharing"",""เบิกจ่ายกองทุน!BS70"")"),42000)</f>
        <v>42000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IFERROR(__xludf.DUMMYFUNCTION("IMPORTRANGE(""https://docs.google.com/spreadsheets/d/1-uDff_7J0KD5mKrp0Vvzr7lt3OU09vwQwhkpOPPYv2Y/edit?usp=sharing"",""งบพรบ!CX70"")"),0)</f>
        <v>0</v>
      </c>
      <c r="M194" s="72">
        <f ca="1">IFERROR(__xludf.DUMMYFUNCTION("IMPORTRANGE(""https://docs.google.com/spreadsheets/d/1-uDff_7J0KD5mKrp0Vvzr7lt3OU09vwQwhkpOPPYv2Y/edit?usp=sharing"",""งบพรบ!DA70"")"),0)</f>
        <v>0</v>
      </c>
      <c r="N194" s="72">
        <f ca="1">IFERROR(__xludf.DUMMYFUNCTION("IMPORTRANGE(""https://docs.google.com/spreadsheets/d/1-uDff_7J0KD5mKrp0Vvzr7lt3OU09vwQwhkpOPPYv2Y/edit?usp=sharing"",""งบพรบ!DC70"")"),0)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IFERROR(__xludf.DUMMYFUNCTION("IMPORTRANGE(""https://docs.google.com/spreadsheets/d/1ItG2mGa2ceCfYo0BwxsXqNm01IGEUdYcSSLTEv9YCik/edit?usp=sharing"",""เบิกจ่ายกองทุน!BT70"")"),0)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IFERROR(__xludf.DUMMYFUNCTION("IMPORTRANGE(""https://docs.google.com/spreadsheets/d/1ItG2mGa2ceCfYo0BwxsXqNm01IGEUdYcSSLTEv9YCik/edit?usp=sharing"",""เบิกจ่ายกองทุน!BU70"")"),0)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IFERROR(__xludf.DUMMYFUNCTION("IMPORTRANGE(""https://docs.google.com/spreadsheets/d/1ItG2mGa2ceCfYo0BwxsXqNm01IGEUdYcSSLTEv9YCik/edit?usp=sharing"",""เบิกจ่ายกองทุน!BV70"")"),0)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IFERROR(__xludf.DUMMYFUNCTION("IMPORTRANGE(""https://docs.google.com/spreadsheets/d/1eHaY18a8A9IcSdp1K8H6x8fbOy06t2VsZHhMHf-1x7Y/edit?usp=sharing"",""แผน!AB70"")"),6000)</f>
        <v>6000</v>
      </c>
      <c r="M196" s="85"/>
      <c r="N196" s="961">
        <v>1600</v>
      </c>
      <c r="O196" s="262">
        <f ca="1">IF(L196&gt;0,N196*100/L196,0)</f>
        <v>26.666666666666668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IFERROR(__xludf.DUMMYFUNCTION("IMPORTRANGE(""https://docs.google.com/spreadsheets/d/1eHaY18a8A9IcSdp1K8H6x8fbOy06t2VsZHhMHf-1x7Y/edit?usp=sharing"",""แผน!AE70"")"),4)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3</v>
      </c>
      <c r="J202" s="538">
        <f>J209</f>
        <v>3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15000</v>
      </c>
      <c r="M203" s="85"/>
      <c r="N203" s="262">
        <f>N204+N205+N206+N207</f>
        <v>15000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42000</v>
      </c>
      <c r="R203" s="384"/>
      <c r="S203" s="385">
        <f>S204+S205+S206+S207</f>
        <v>42000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IFERROR(__xludf.DUMMYFUNCTION("IMPORTRANGE(""https://docs.google.com/spreadsheets/d/1eHaY18a8A9IcSdp1K8H6x8fbOy06t2VsZHhMHf-1x7Y/edit?usp=sharing"",""แผน!AG70"")"),3000)</f>
        <v>3000</v>
      </c>
      <c r="M204" s="85"/>
      <c r="N204" s="387">
        <v>3000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IFERROR(__xludf.DUMMYFUNCTION("IMPORTRANGE(""https://docs.google.com/spreadsheets/d/1eHaY18a8A9IcSdp1K8H6x8fbOy06t2VsZHhMHf-1x7Y/edit?usp=sharing"",""แผน!AH70"")"),0)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IFERROR(__xludf.DUMMYFUNCTION("IMPORTRANGE(""https://docs.google.com/spreadsheets/d/1eHaY18a8A9IcSdp1K8H6x8fbOy06t2VsZHhMHf-1x7Y/edit?usp=sharing"",""แผน!AI70"")"),0)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IFERROR(__xludf.DUMMYFUNCTION("IMPORTRANGE(""https://docs.google.com/spreadsheets/d/1eHaY18a8A9IcSdp1K8H6x8fbOy06t2VsZHhMHf-1x7Y/edit?usp=sharing"",""แผน!LV70"")"),42000)</f>
        <v>42000</v>
      </c>
      <c r="R206" s="85"/>
      <c r="S206" s="387">
        <v>42000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IFERROR(__xludf.DUMMYFUNCTION("IMPORTRANGE(""https://docs.google.com/spreadsheets/d/1eHaY18a8A9IcSdp1K8H6x8fbOy06t2VsZHhMHf-1x7Y/edit?usp=sharing"",""แผน!AJ70"")"),12000)</f>
        <v>12000</v>
      </c>
      <c r="M207" s="85"/>
      <c r="N207" s="387">
        <v>12000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IFERROR(__xludf.DUMMYFUNCTION("IMPORTRANGE(""https://docs.google.com/spreadsheets/d/1eHaY18a8A9IcSdp1K8H6x8fbOy06t2VsZHhMHf-1x7Y/edit?usp=sharing"",""แผน!AK70"")"),3)</f>
        <v>3</v>
      </c>
      <c r="J209" s="292">
        <v>3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IFERROR(__xludf.DUMMYFUNCTION("IMPORTRANGE(""https://docs.google.com/spreadsheets/d/1eHaY18a8A9IcSdp1K8H6x8fbOy06t2VsZHhMHf-1x7Y/edit?usp=sharing"",""แผน!JX70"")"),3)</f>
        <v>3</v>
      </c>
      <c r="J211" s="292">
        <v>3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IFERROR(__xludf.DUMMYFUNCTION("IMPORTRANGE(""https://docs.google.com/spreadsheets/d/1eHaY18a8A9IcSdp1K8H6x8fbOy06t2VsZHhMHf-1x7Y/edit?usp=sharing"",""แผน!JY70"")"),0)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IFERROR(__xludf.DUMMYFUNCTION("IMPORTRANGE(""https://docs.google.com/spreadsheets/d/1eHaY18a8A9IcSdp1K8H6x8fbOy06t2VsZHhMHf-1x7Y/edit?usp=sharing"",""แผน!AM70"")"),0)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IFERROR(__xludf.DUMMYFUNCTION("IMPORTRANGE(""https://docs.google.com/spreadsheets/d/1eHaY18a8A9IcSdp1K8H6x8fbOy06t2VsZHhMHf-1x7Y/edit?usp=sharing"",""แผน!AN70"")"),0)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IFERROR(__xludf.DUMMYFUNCTION("IMPORTRANGE(""https://docs.google.com/spreadsheets/d/1eHaY18a8A9IcSdp1K8H6x8fbOy06t2VsZHhMHf-1x7Y/edit?usp=sharing"",""แผน!AO70"")"),0)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IFERROR(__xludf.DUMMYFUNCTION("IMPORTRANGE(""https://docs.google.com/spreadsheets/d/1eHaY18a8A9IcSdp1K8H6x8fbOy06t2VsZHhMHf-1x7Y/edit?usp=sharing"",""แผน!LY70"")"),0)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IFERROR(__xludf.DUMMYFUNCTION("IMPORTRANGE(""https://docs.google.com/spreadsheets/d/1eHaY18a8A9IcSdp1K8H6x8fbOy06t2VsZHhMHf-1x7Y/edit?usp=sharing"",""แผน!AP70"")"),0)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IFERROR(__xludf.DUMMYFUNCTION("IMPORTRANGE(""https://docs.google.com/spreadsheets/d/1eHaY18a8A9IcSdp1K8H6x8fbOy06t2VsZHhMHf-1x7Y/edit?usp=sharing"",""แผน!AP70"")"),0)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IFERROR(__xludf.DUMMYFUNCTION("IMPORTRANGE(""https://docs.google.com/spreadsheets/d/1eHaY18a8A9IcSdp1K8H6x8fbOy06t2VsZHhMHf-1x7Y/edit?usp=sharing"",""แผน!AR70"")"),2500)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IFERROR(__xludf.DUMMYFUNCTION("IMPORTRANGE(""https://docs.google.com/spreadsheets/d/1eHaY18a8A9IcSdp1K8H6x8fbOy06t2VsZHhMHf-1x7Y/edit?usp=sharing"",""แผน!AS70"")"),2000)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IFERROR(__xludf.DUMMYFUNCTION("IMPORTRANGE(""https://docs.google.com/spreadsheets/d/1eHaY18a8A9IcSdp1K8H6x8fbOy06t2VsZHhMHf-1x7Y/edit?usp=sharing"",""แผน!AT70"")"),0)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IFERROR(__xludf.DUMMYFUNCTION("IMPORTRANGE(""https://docs.google.com/spreadsheets/d/1eHaY18a8A9IcSdp1K8H6x8fbOy06t2VsZHhMHf-1x7Y/edit?usp=sharing"",""แผน!AV70"")"),20000)</f>
        <v>20000</v>
      </c>
      <c r="J228" s="292">
        <v>0</v>
      </c>
      <c r="K228" s="746">
        <f ca="1">IF(I228&gt;0,J228*100/I228,0)</f>
        <v>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IFERROR(__xludf.DUMMYFUNCTION("IMPORTRANGE(""https://docs.google.com/spreadsheets/d/1eHaY18a8A9IcSdp1K8H6x8fbOy06t2VsZHhMHf-1x7Y/edit?usp=sharing"",""แผน!AV70"")"),20000)</f>
        <v>20000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IFERROR(__xludf.DUMMYFUNCTION("IMPORTRANGE(""https://docs.google.com/spreadsheets/d/1eHaY18a8A9IcSdp1K8H6x8fbOy06t2VsZHhMHf-1x7Y/edit?usp=sharing"",""แผน!AU70"")"),0)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958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955">
        <v>0</v>
      </c>
      <c r="R232" s="955">
        <v>0</v>
      </c>
      <c r="S232" s="95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53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34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IFERROR(__xludf.DUMMYFUNCTION("IMPORTRANGE(""https://docs.google.com/spreadsheets/d/1eHaY18a8A9IcSdp1K8H6x8fbOy06t2VsZHhMHf-1x7Y/edit?usp=sharing"",""แผน!AX70"")"),0)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IFERROR(__xludf.DUMMYFUNCTION("IMPORTRANGE(""https://docs.google.com/spreadsheets/d/1eHaY18a8A9IcSdp1K8H6x8fbOy06t2VsZHhMHf-1x7Y/edit?usp=sharing"",""แผน!AY70"")"),0)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IFERROR(__xludf.DUMMYFUNCTION("IMPORTRANGE(""https://docs.google.com/spreadsheets/d/1eHaY18a8A9IcSdp1K8H6x8fbOy06t2VsZHhMHf-1x7Y/edit?usp=sharing"",""แผน!AZ70"")"),0)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IFERROR(__xludf.DUMMYFUNCTION("IMPORTRANGE(""https://docs.google.com/spreadsheets/d/1eHaY18a8A9IcSdp1K8H6x8fbOy06t2VsZHhMHf-1x7Y/edit?usp=sharing"",""แผน!BA70"")"),0)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45" t="s">
        <v>35</v>
      </c>
      <c r="I249" s="570">
        <f ca="1">IFERROR(__xludf.DUMMYFUNCTION("IMPORTRANGE(""https://docs.google.com/spreadsheets/d/1eHaY18a8A9IcSdp1K8H6x8fbOy06t2VsZHhMHf-1x7Y/edit?usp=sharing"",""แผน!BG70"")"),0)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945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945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IFERROR(__xludf.DUMMYFUNCTION("IMPORTRANGE(""https://docs.google.com/spreadsheets/d/1eHaY18a8A9IcSdp1K8H6x8fbOy06t2VsZHhMHf-1x7Y/edit?usp=sharing"",""แผน!BB70"")"),0)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IFERROR(__xludf.DUMMYFUNCTION("IMPORTRANGE(""https://docs.google.com/spreadsheets/d/1eHaY18a8A9IcSdp1K8H6x8fbOy06t2VsZHhMHf-1x7Y/edit?usp=sharing"",""แผน!BC70"")"),0)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IFERROR(__xludf.DUMMYFUNCTION("IMPORTRANGE(""https://docs.google.com/spreadsheets/d/1eHaY18a8A9IcSdp1K8H6x8fbOy06t2VsZHhMHf-1x7Y/edit?usp=sharing"",""แผน!BD70"")"),0)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IFERROR(__xludf.DUMMYFUNCTION("IMPORTRANGE(""https://docs.google.com/spreadsheets/d/1eHaY18a8A9IcSdp1K8H6x8fbOy06t2VsZHhMHf-1x7Y/edit?usp=sharing"",""แผน!BE70"")"),0)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IFERROR(__xludf.DUMMYFUNCTION("IMPORTRANGE(""https://docs.google.com/spreadsheets/d/1eHaY18a8A9IcSdp1K8H6x8fbOy06t2VsZHhMHf-1x7Y/edit?usp=sharing"",""แผน!BH70"")"),0)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27440</v>
      </c>
      <c r="T266" s="211">
        <f t="shared" ref="T266:T274" ca="1" si="65">IF(Q266&gt;0,S266*100/Q266,0)</f>
        <v>54.165021713383339</v>
      </c>
      <c r="U266" s="211">
        <f t="shared" ref="U266:U274" ca="1" si="66">IF(R266&gt;0,S266*100/R266,0)</f>
        <v>54.165021713383339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27440</v>
      </c>
      <c r="T268" s="86">
        <f t="shared" ca="1" si="65"/>
        <v>54.165021713383339</v>
      </c>
      <c r="U268" s="86">
        <f t="shared" ca="1" si="66"/>
        <v>54.165021713383339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27440</v>
      </c>
      <c r="T269" s="86">
        <f t="shared" ca="1" si="65"/>
        <v>54.165021713383339</v>
      </c>
      <c r="U269" s="86">
        <f t="shared" ca="1" si="66"/>
        <v>54.165021713383339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IFERROR(__xludf.DUMMYFUNCTION("IMPORTRANGE(""https://docs.google.com/spreadsheets/d/1-uDff_7J0KD5mKrp0Vvzr7lt3OU09vwQwhkpOPPYv2Y/edit?usp=sharing"",""งบพรบ!DE70"")"),5000)</f>
        <v>5000</v>
      </c>
      <c r="M271" s="86">
        <f ca="1">IFERROR(__xludf.DUMMYFUNCTION("IMPORTRANGE(""https://docs.google.com/spreadsheets/d/1-uDff_7J0KD5mKrp0Vvzr7lt3OU09vwQwhkpOPPYv2Y/edit?usp=sharing"",""งบพรบ!DJ70"")"),5000)</f>
        <v>5000</v>
      </c>
      <c r="N271" s="86">
        <f ca="1">IFERROR(__xludf.DUMMYFUNCTION("IMPORTRANGE(""https://docs.google.com/spreadsheets/d/1-uDff_7J0KD5mKrp0Vvzr7lt3OU09vwQwhkpOPPYv2Y/edit?usp=sharing"",""งบพรบ!DL70"")"),5000)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IFERROR(__xludf.DUMMYFUNCTION("IMPORTRANGE(""https://docs.google.com/spreadsheets/d/1ItG2mGa2ceCfYo0BwxsXqNm01IGEUdYcSSLTEv9YCik/edit?usp=sharing"",""เบิกจ่ายกองทุน!AP70"")"),50660)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IFERROR(__xludf.DUMMYFUNCTION("IMPORTRANGE(""https://docs.google.com/spreadsheets/d/1ItG2mGa2ceCfYo0BwxsXqNm01IGEUdYcSSLTEv9YCik/edit?usp=sharing"",""เบิกจ่ายกองทุน!AQ70"")"),50660)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IFERROR(__xludf.DUMMYFUNCTION("IMPORTRANGE(""https://docs.google.com/spreadsheets/d/1ItG2mGa2ceCfYo0BwxsXqNm01IGEUdYcSSLTEv9YCik/edit?usp=sharing"",""เบิกจ่ายกองทุน!AR70"")"),27440)</f>
        <v>27440</v>
      </c>
      <c r="T271" s="86">
        <f t="shared" ca="1" si="65"/>
        <v>54.165021713383339</v>
      </c>
      <c r="U271" s="86">
        <f t="shared" ca="1" si="66"/>
        <v>54.165021713383339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IFERROR(__xludf.DUMMYFUNCTION("IMPORTRANGE(""https://docs.google.com/spreadsheets/d/1-uDff_7J0KD5mKrp0Vvzr7lt3OU09vwQwhkpOPPYv2Y/edit?usp=sharing"",""งบพรบ!DH70"")"),0)</f>
        <v>0</v>
      </c>
      <c r="M274" s="86">
        <f ca="1">IFERROR(__xludf.DUMMYFUNCTION("IMPORTRANGE(""https://docs.google.com/spreadsheets/d/1-uDff_7J0KD5mKrp0Vvzr7lt3OU09vwQwhkpOPPYv2Y/edit?usp=sharing"",""งบพรบ!DK70"")"),0)</f>
        <v>0</v>
      </c>
      <c r="N274" s="86">
        <f ca="1">IFERROR(__xludf.DUMMYFUNCTION("IMPORTRANGE(""https://docs.google.com/spreadsheets/d/1-uDff_7J0KD5mKrp0Vvzr7lt3OU09vwQwhkpOPPYv2Y/edit?usp=sharing"",""งบพรบ!DM70"")"),0)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21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IFERROR(__xludf.DUMMYFUNCTION("IMPORTRANGE(""https://docs.google.com/spreadsheets/d/1eHaY18a8A9IcSdp1K8H6x8fbOy06t2VsZHhMHf-1x7Y/edit?usp=sharing"",""แผน!EC70"")"),22)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IFERROR(__xludf.DUMMYFUNCTION("IMPORTRANGE(""https://docs.google.com/spreadsheets/d/1-uDff_7J0KD5mKrp0Vvzr7lt3OU09vwQwhkpOPPYv2Y/edit?usp=sharing"",""งบพรบ!DO70"")"),0)</f>
        <v>0</v>
      </c>
      <c r="M287" s="72">
        <f ca="1">IFERROR(__xludf.DUMMYFUNCTION("IMPORTRANGE(""https://docs.google.com/spreadsheets/d/1-uDff_7J0KD5mKrp0Vvzr7lt3OU09vwQwhkpOPPYv2Y/edit?usp=sharing"",""งบพรบ!DT70"")"),0)</f>
        <v>0</v>
      </c>
      <c r="N287" s="72">
        <f ca="1">IFERROR(__xludf.DUMMYFUNCTION("IMPORTRANGE(""https://docs.google.com/spreadsheets/d/1-uDff_7J0KD5mKrp0Vvzr7lt3OU09vwQwhkpOPPYv2Y/edit?usp=sharing"",""งบพรบ!DV70"")"),0)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IFERROR(__xludf.DUMMYFUNCTION("IMPORTRANGE(""https://docs.google.com/spreadsheets/d/1-uDff_7J0KD5mKrp0Vvzr7lt3OU09vwQwhkpOPPYv2Y/edit?usp=sharing"",""งบพรบ!DR70"")"),0)</f>
        <v>0</v>
      </c>
      <c r="M290" s="72">
        <f ca="1">IFERROR(__xludf.DUMMYFUNCTION("IMPORTRANGE(""https://docs.google.com/spreadsheets/d/1-uDff_7J0KD5mKrp0Vvzr7lt3OU09vwQwhkpOPPYv2Y/edit?usp=sharing"",""งบพรบ!DU70"")"),0)</f>
        <v>0</v>
      </c>
      <c r="N290" s="72">
        <f ca="1">IFERROR(__xludf.DUMMYFUNCTION("IMPORTRANGE(""https://docs.google.com/spreadsheets/d/1-uDff_7J0KD5mKrp0Vvzr7lt3OU09vwQwhkpOPPYv2Y/edit?usp=sharing"",""งบพรบ!DW70"")"),0)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IFERROR(__xludf.DUMMYFUNCTION("IMPORTRANGE(""https://docs.google.com/spreadsheets/d/1eHaY18a8A9IcSdp1K8H6x8fbOy06t2VsZHhMHf-1x7Y/edit?usp=sharing"",""แผน!EE70"")"),0)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IFERROR(__xludf.DUMMYFUNCTION("IMPORTRANGE(""https://docs.google.com/spreadsheets/d/1eHaY18a8A9IcSdp1K8H6x8fbOy06t2VsZHhMHf-1x7Y/edit?usp=sharing"",""แผน!ED70"")"),0)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IFERROR(__xludf.DUMMYFUNCTION("IMPORTRANGE(""https://docs.google.com/spreadsheets/d/1eHaY18a8A9IcSdp1K8H6x8fbOy06t2VsZHhMHf-1x7Y/edit?usp=sharing"",""แผน!ED70"")"),0)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IFERROR(__xludf.DUMMYFUNCTION("IMPORTRANGE(""https://docs.google.com/spreadsheets/d/1eHaY18a8A9IcSdp1K8H6x8fbOy06t2VsZHhMHf-1x7Y/edit?usp=sharing"",""แผน!ED70"")"),0)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30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81360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260958.39</v>
      </c>
      <c r="R303" s="262">
        <f ca="1">R304+R305</f>
        <v>260958</v>
      </c>
      <c r="S303" s="262">
        <f ca="1">S304+S305</f>
        <v>133820</v>
      </c>
      <c r="T303" s="262">
        <f t="shared" ref="T303:T311" ca="1" si="77">IF(Q303&gt;0,S303*100/Q303,0)</f>
        <v>51.280206012920296</v>
      </c>
      <c r="U303" s="262">
        <f t="shared" ref="U303:U311" ca="1" si="78">IF(R303&gt;0,S303*100/R303,0)</f>
        <v>51.280282650848029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81360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260958.39</v>
      </c>
      <c r="R305" s="72">
        <f t="shared" ca="1" si="80"/>
        <v>260958</v>
      </c>
      <c r="S305" s="72">
        <f t="shared" ca="1" si="80"/>
        <v>133820</v>
      </c>
      <c r="T305" s="72">
        <f t="shared" ca="1" si="77"/>
        <v>51.280206012920296</v>
      </c>
      <c r="U305" s="72">
        <f t="shared" ca="1" si="78"/>
        <v>51.280282650848029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81360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260958.39</v>
      </c>
      <c r="R306" s="72">
        <f ca="1">R307+R308</f>
        <v>260958</v>
      </c>
      <c r="S306" s="72">
        <f ca="1">S307+S308</f>
        <v>133820</v>
      </c>
      <c r="T306" s="72">
        <f t="shared" ca="1" si="77"/>
        <v>51.280206012920296</v>
      </c>
      <c r="U306" s="72">
        <f t="shared" ca="1" si="78"/>
        <v>51.280282650848029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IFERROR(__xludf.DUMMYFUNCTION("IMPORTRANGE(""https://docs.google.com/spreadsheets/d/1-uDff_7J0KD5mKrp0Vvzr7lt3OU09vwQwhkpOPPYv2Y/edit?usp=sharing"",""งบพรบ!DY70"")"),0)</f>
        <v>0</v>
      </c>
      <c r="M308" s="72">
        <f ca="1">IFERROR(__xludf.DUMMYFUNCTION("IMPORTRANGE(""https://docs.google.com/spreadsheets/d/1-uDff_7J0KD5mKrp0Vvzr7lt3OU09vwQwhkpOPPYv2Y/edit?usp=sharing"",""งบพรบ!ED70"")"),81360)</f>
        <v>81360</v>
      </c>
      <c r="N308" s="72">
        <f ca="1">IFERROR(__xludf.DUMMYFUNCTION("IMPORTRANGE(""https://docs.google.com/spreadsheets/d/1-uDff_7J0KD5mKrp0Vvzr7lt3OU09vwQwhkpOPPYv2Y/edit?usp=sharing"",""งบพรบ!EF70"")"),0)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IFERROR(__xludf.DUMMYFUNCTION("IMPORTRANGE(""https://docs.google.com/spreadsheets/d/1ItG2mGa2ceCfYo0BwxsXqNm01IGEUdYcSSLTEv9YCik/edit?usp=sharing"",""เบิกจ่ายกองทุน!BB70"")"),260958.39)</f>
        <v>260958.39</v>
      </c>
      <c r="R308" s="72">
        <f ca="1">IFERROR(__xludf.DUMMYFUNCTION("IMPORTRANGE(""https://docs.google.com/spreadsheets/d/1ItG2mGa2ceCfYo0BwxsXqNm01IGEUdYcSSLTEv9YCik/edit?usp=sharing"",""เบิกจ่ายกองทุน!BC70"")"),260958)</f>
        <v>260958</v>
      </c>
      <c r="S308" s="72">
        <f ca="1">IFERROR(__xludf.DUMMYFUNCTION("IMPORTRANGE(""https://docs.google.com/spreadsheets/d/1ItG2mGa2ceCfYo0BwxsXqNm01IGEUdYcSSLTEv9YCik/edit?usp=sharing"",""เบิกจ่ายกองทุน!BD70"")"),133820)</f>
        <v>133820</v>
      </c>
      <c r="T308" s="72">
        <f t="shared" ca="1" si="77"/>
        <v>51.280206012920296</v>
      </c>
      <c r="U308" s="72">
        <f t="shared" ca="1" si="78"/>
        <v>51.280282650848029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IFERROR(__xludf.DUMMYFUNCTION("IMPORTRANGE(""https://docs.google.com/spreadsheets/d/1-uDff_7J0KD5mKrp0Vvzr7lt3OU09vwQwhkpOPPYv2Y/edit?usp=sharing"",""งบพรบ!EB70"")"),0)</f>
        <v>0</v>
      </c>
      <c r="M311" s="72">
        <f ca="1">IFERROR(__xludf.DUMMYFUNCTION("IMPORTRANGE(""https://docs.google.com/spreadsheets/d/1-uDff_7J0KD5mKrp0Vvzr7lt3OU09vwQwhkpOPPYv2Y/edit?usp=sharing"",""งบพรบ!EE70"")"),0)</f>
        <v>0</v>
      </c>
      <c r="N311" s="72">
        <f ca="1">IFERROR(__xludf.DUMMYFUNCTION("IMPORTRANGE(""https://docs.google.com/spreadsheets/d/1-uDff_7J0KD5mKrp0Vvzr7lt3OU09vwQwhkpOPPYv2Y/edit?usp=sharing"",""งบพรบ!EG70"")"),0)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IFERROR(__xludf.DUMMYFUNCTION("IMPORTRANGE(""https://docs.google.com/spreadsheets/d/1eHaY18a8A9IcSdp1K8H6x8fbOy06t2VsZHhMHf-1x7Y/edit?usp=sharing"",""แผน!EF70"")"),30)</f>
        <v>30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893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IFERROR(__xludf.DUMMYFUNCTION("IMPORTRANGE(""https://docs.google.com/spreadsheets/d/1-uDff_7J0KD5mKrp0Vvzr7lt3OU09vwQwhkpOPPYv2Y/edit?usp=sharing"",""งบพรบ!EI70"")"),0)</f>
        <v>0</v>
      </c>
      <c r="M325" s="72">
        <f ca="1">IFERROR(__xludf.DUMMYFUNCTION("IMPORTRANGE(""https://docs.google.com/spreadsheets/d/1-uDff_7J0KD5mKrp0Vvzr7lt3OU09vwQwhkpOPPYv2Y/edit?usp=sharing"",""งบพรบ!EN70"")"),0)</f>
        <v>0</v>
      </c>
      <c r="N325" s="72">
        <f ca="1">IFERROR(__xludf.DUMMYFUNCTION("IMPORTRANGE(""https://docs.google.com/spreadsheets/d/1-uDff_7J0KD5mKrp0Vvzr7lt3OU09vwQwhkpOPPYv2Y/edit?usp=sharing"",""งบพรบ!EP70"")"),0)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IFERROR(__xludf.DUMMYFUNCTION("IMPORTRANGE(""https://docs.google.com/spreadsheets/d/1-uDff_7J0KD5mKrp0Vvzr7lt3OU09vwQwhkpOPPYv2Y/edit?usp=sharing"",""งบพรบ!EL70"")"),0)</f>
        <v>0</v>
      </c>
      <c r="M328" s="72">
        <f ca="1">IFERROR(__xludf.DUMMYFUNCTION("IMPORTRANGE(""https://docs.google.com/spreadsheets/d/1-uDff_7J0KD5mKrp0Vvzr7lt3OU09vwQwhkpOPPYv2Y/edit?usp=sharing"",""งบพรบ!EO70"")"),0)</f>
        <v>0</v>
      </c>
      <c r="N328" s="72">
        <f ca="1">IFERROR(__xludf.DUMMYFUNCTION("IMPORTRANGE(""https://docs.google.com/spreadsheets/d/1-uDff_7J0KD5mKrp0Vvzr7lt3OU09vwQwhkpOPPYv2Y/edit?usp=sharing"",""งบพรบ!EQ70"")"),0)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IFERROR(__xludf.DUMMYFUNCTION("IMPORTRANGE(""https://docs.google.com/spreadsheets/d/1eHaY18a8A9IcSdp1K8H6x8fbOy06t2VsZHhMHf-1x7Y/edit?usp=sharing"",""แผน!EJ70"")"),0)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1000</v>
      </c>
      <c r="J332" s="515">
        <f ca="1">J344+J347+J348+J349+J353+J354</f>
        <v>3504</v>
      </c>
      <c r="K332" s="516">
        <f ca="1">IF(I332&gt;0,J332*100/I332,0)</f>
        <v>350.4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179000</v>
      </c>
      <c r="M333" s="262">
        <f ca="1">M334+M335</f>
        <v>179000</v>
      </c>
      <c r="N333" s="262">
        <f ca="1">N334+N335</f>
        <v>114903</v>
      </c>
      <c r="O333" s="262">
        <f t="shared" ref="O333:O341" ca="1" si="87">IF(L333&gt;0,N333*100/L333,0)</f>
        <v>64.191620111731837</v>
      </c>
      <c r="P333" s="262">
        <f t="shared" ref="P333:P341" ca="1" si="88">IF(M333&gt;0,N333*100/M333,0)</f>
        <v>64.191620111731837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179000</v>
      </c>
      <c r="M335" s="72">
        <f t="shared" ca="1" si="91"/>
        <v>179000</v>
      </c>
      <c r="N335" s="72">
        <f t="shared" ca="1" si="91"/>
        <v>114903</v>
      </c>
      <c r="O335" s="72">
        <f t="shared" ca="1" si="87"/>
        <v>64.191620111731837</v>
      </c>
      <c r="P335" s="72">
        <f t="shared" ca="1" si="88"/>
        <v>64.191620111731837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179000</v>
      </c>
      <c r="M336" s="72">
        <f ca="1">M337+M338</f>
        <v>179000</v>
      </c>
      <c r="N336" s="72">
        <f ca="1">N337+N338</f>
        <v>114903</v>
      </c>
      <c r="O336" s="72">
        <f t="shared" ca="1" si="87"/>
        <v>64.191620111731837</v>
      </c>
      <c r="P336" s="72">
        <f t="shared" ca="1" si="88"/>
        <v>64.191620111731837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IFERROR(__xludf.DUMMYFUNCTION("IMPORTRANGE(""https://docs.google.com/spreadsheets/d/1-uDff_7J0KD5mKrp0Vvzr7lt3OU09vwQwhkpOPPYv2Y/edit?usp=sharing"",""งบพรบ!ES70"")"),179000)</f>
        <v>179000</v>
      </c>
      <c r="M338" s="72">
        <f ca="1">IFERROR(__xludf.DUMMYFUNCTION("IMPORTRANGE(""https://docs.google.com/spreadsheets/d/1-uDff_7J0KD5mKrp0Vvzr7lt3OU09vwQwhkpOPPYv2Y/edit?usp=sharing"",""งบพรบ!EX70"")"),179000)</f>
        <v>179000</v>
      </c>
      <c r="N338" s="72">
        <f ca="1">IFERROR(__xludf.DUMMYFUNCTION("IMPORTRANGE(""https://docs.google.com/spreadsheets/d/1-uDff_7J0KD5mKrp0Vvzr7lt3OU09vwQwhkpOPPYv2Y/edit?usp=sharing"",""งบพรบ!EZ70"")"),114903)</f>
        <v>114903</v>
      </c>
      <c r="O338" s="72">
        <f t="shared" ca="1" si="87"/>
        <v>64.191620111731837</v>
      </c>
      <c r="P338" s="72">
        <f t="shared" ca="1" si="88"/>
        <v>64.191620111731837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IFERROR(__xludf.DUMMYFUNCTION("IMPORTRANGE(""https://docs.google.com/spreadsheets/d/1-uDff_7J0KD5mKrp0Vvzr7lt3OU09vwQwhkpOPPYv2Y/edit?usp=sharing"",""งบพรบ!EV70"")"),0)</f>
        <v>0</v>
      </c>
      <c r="M341" s="72">
        <f ca="1">IFERROR(__xludf.DUMMYFUNCTION("IMPORTRANGE(""https://docs.google.com/spreadsheets/d/1-uDff_7J0KD5mKrp0Vvzr7lt3OU09vwQwhkpOPPYv2Y/edit?usp=sharing"",""งบพรบ!EY70"")"),0)</f>
        <v>0</v>
      </c>
      <c r="N341" s="72">
        <f ca="1">IFERROR(__xludf.DUMMYFUNCTION("IMPORTRANGE(""https://docs.google.com/spreadsheets/d/1-uDff_7J0KD5mKrp0Vvzr7lt3OU09vwQwhkpOPPYv2Y/edit?usp=sharing"",""งบพรบ!FA70"")"),0)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1505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IFERROR(__xludf.DUMMYFUNCTION("IMPORTRANGE(""https://docs.google.com/spreadsheets/d/1eHaY18a8A9IcSdp1K8H6x8fbOy06t2VsZHhMHf-1x7Y/edit?usp=sharing"",""แผน!EK70"")"),1000)</f>
        <v>1000</v>
      </c>
      <c r="J344" s="291">
        <f ca="1">IFERROR(__xludf.DUMMYFUNCTION("IMPORTRANGE(""https://docs.google.com/spreadsheets/d/1awYsYK3VOup2i3Pq_Yjnu8DRu_mYwSBnCR2QPthd0rU/edit?usp=sharing"",""ศูนย์ยกเว้นโฉนด!D70"")"),1432)</f>
        <v>1432</v>
      </c>
      <c r="K344" s="72">
        <f ca="1">IF(I344&gt;0,J344*100/I344,0)</f>
        <v>143.19999999999999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IFERROR(__xludf.DUMMYFUNCTION("IMPORTRANGE(""https://docs.google.com/spreadsheets/d/1eHaY18a8A9IcSdp1K8H6x8fbOy06t2VsZHhMHf-1x7Y/edit?usp=sharing"",""แผน!EL70"")"),2)</f>
        <v>2</v>
      </c>
      <c r="J346" s="291">
        <f ca="1">IFERROR(__xludf.DUMMYFUNCTION("IMPORTRANGE(""https://docs.google.com/spreadsheets/d/1awYsYK3VOup2i3Pq_Yjnu8DRu_mYwSBnCR2QPthd0rU/edit?usp=sharing"",""ศูนย์รวม!E70"")"),0)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IFERROR(__xludf.DUMMYFUNCTION("IMPORTRANGE(""https://docs.google.com/spreadsheets/d/1awYsYK3VOup2i3Pq_Yjnu8DRu_mYwSBnCR2QPthd0rU/edit?usp=sharing"",""ศูนย์ยกเว้นโฉนด!F70"")"),4)</f>
        <v>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IFERROR(__xludf.DUMMYFUNCTION("IMPORTRANGE(""https://docs.google.com/spreadsheets/d/1awYsYK3VOup2i3Pq_Yjnu8DRu_mYwSBnCR2QPthd0rU/edit?usp=sharing"",""ศูนย์ยกเว้นโฉนด!G70"")"),43)</f>
        <v>43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IFERROR(__xludf.DUMMYFUNCTION("IMPORTRANGE(""https://docs.google.com/spreadsheets/d/1awYsYK3VOup2i3Pq_Yjnu8DRu_mYwSBnCR2QPthd0rU/edit?usp=sharing"",""ศูนย์ยกเว้นโฉนด!H70"")"),26)</f>
        <v>26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2741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IFERROR(__xludf.DUMMYFUNCTION("IMPORTRANGE(""https://docs.google.com/spreadsheets/d/1awYsYK3VOup2i3Pq_Yjnu8DRu_mYwSBnCR2QPthd0rU/edit?usp=sharing"",""โฉนดM3!G70"")"),742)</f>
        <v>742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IFERROR(__xludf.DUMMYFUNCTION("IMPORTRANGE(""https://docs.google.com/spreadsheets/d/1awYsYK3VOup2i3Pq_Yjnu8DRu_mYwSBnCR2QPthd0rU/edit?usp=sharing"",""โฉนดM3!H70"")"),1853)</f>
        <v>1853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IFERROR(__xludf.DUMMYFUNCTION("IMPORTRANGE(""https://docs.google.com/spreadsheets/d/1awYsYK3VOup2i3Pq_Yjnu8DRu_mYwSBnCR2QPthd0rU/edit?usp=sharing"",""โฉนดM3!I70"")"),146)</f>
        <v>146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918620</v>
      </c>
      <c r="M356" s="262">
        <f ca="1">M357+M358</f>
        <v>958620</v>
      </c>
      <c r="N356" s="262">
        <f ca="1">N357+N358</f>
        <v>559545.49</v>
      </c>
      <c r="O356" s="262">
        <f t="shared" ref="O356:O364" ca="1" si="93">IF(L356&gt;0,N356*100/L356,0)</f>
        <v>60.911529250397336</v>
      </c>
      <c r="P356" s="262">
        <f t="shared" ref="P356:P364" ca="1" si="94">IF(M356&gt;0,N356*100/M356,0)</f>
        <v>58.369895266111705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918620</v>
      </c>
      <c r="M358" s="72">
        <f t="shared" ca="1" si="97"/>
        <v>958620</v>
      </c>
      <c r="N358" s="72">
        <f t="shared" ca="1" si="97"/>
        <v>559545.49</v>
      </c>
      <c r="O358" s="72">
        <f t="shared" ca="1" si="93"/>
        <v>60.911529250397336</v>
      </c>
      <c r="P358" s="72">
        <f t="shared" ca="1" si="94"/>
        <v>58.369895266111705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918620</v>
      </c>
      <c r="M359" s="72">
        <f ca="1">M360+M361</f>
        <v>958620</v>
      </c>
      <c r="N359" s="72">
        <f ca="1">N360+N361</f>
        <v>559545.49</v>
      </c>
      <c r="O359" s="72">
        <f t="shared" ca="1" si="93"/>
        <v>60.911529250397336</v>
      </c>
      <c r="P359" s="72">
        <f t="shared" ca="1" si="94"/>
        <v>58.369895266111705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IFERROR(__xludf.DUMMYFUNCTION("IMPORTRANGE(""https://docs.google.com/spreadsheets/d/1-uDff_7J0KD5mKrp0Vvzr7lt3OU09vwQwhkpOPPYv2Y/edit?usp=sharing"",""งบพรบ!FC70"")"),918620)</f>
        <v>918620</v>
      </c>
      <c r="M361" s="72">
        <f ca="1">IFERROR(__xludf.DUMMYFUNCTION("IMPORTRANGE(""https://docs.google.com/spreadsheets/d/1-uDff_7J0KD5mKrp0Vvzr7lt3OU09vwQwhkpOPPYv2Y/edit?usp=sharing"",""งบพรบ!FH70"")"),958620)</f>
        <v>958620</v>
      </c>
      <c r="N361" s="72">
        <f ca="1">IFERROR(__xludf.DUMMYFUNCTION("IMPORTRANGE(""https://docs.google.com/spreadsheets/d/1-uDff_7J0KD5mKrp0Vvzr7lt3OU09vwQwhkpOPPYv2Y/edit?usp=sharing"",""งบพรบ!FJ70"")"),559545.49)</f>
        <v>559545.49</v>
      </c>
      <c r="O361" s="72">
        <f t="shared" ca="1" si="93"/>
        <v>60.911529250397336</v>
      </c>
      <c r="P361" s="72">
        <f t="shared" ca="1" si="94"/>
        <v>58.369895266111705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IFERROR(__xludf.DUMMYFUNCTION("IMPORTRANGE(""https://docs.google.com/spreadsheets/d/1-uDff_7J0KD5mKrp0Vvzr7lt3OU09vwQwhkpOPPYv2Y/edit?usp=sharing"",""งบพรบ!FF70"")"),0)</f>
        <v>0</v>
      </c>
      <c r="M364" s="72">
        <f ca="1">IFERROR(__xludf.DUMMYFUNCTION("IMPORTRANGE(""https://docs.google.com/spreadsheets/d/1-uDff_7J0KD5mKrp0Vvzr7lt3OU09vwQwhkpOPPYv2Y/edit?usp=sharing"",""งบพรบ!FI70"")"),0)</f>
        <v>0</v>
      </c>
      <c r="N364" s="72">
        <f ca="1">IFERROR(__xludf.DUMMYFUNCTION("IMPORTRANGE(""https://docs.google.com/spreadsheets/d/1-uDff_7J0KD5mKrp0Vvzr7lt3OU09vwQwhkpOPPYv2Y/edit?usp=sharing"",""งบพรบ!FK70"")"),0)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149</v>
      </c>
      <c r="J365" s="538">
        <f ca="1">J371</f>
        <v>60</v>
      </c>
      <c r="K365" s="539">
        <f ca="1">IF(I365&gt;0,J365*100/I365,0)</f>
        <v>40.268456375838923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IFERROR(__xludf.DUMMYFUNCTION("IMPORTRANGE(""https://docs.google.com/spreadsheets/d/1tdoBKaGub7dwA3U6UFTqxio9LNnvDCQjHKmttSEBsFQ/edit?usp=sharing"",""จัดที่ดิน!AB70"")"),136)</f>
        <v>136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IFERROR(__xludf.DUMMYFUNCTION("IMPORTRANGE(""https://docs.google.com/spreadsheets/d/1eHaY18a8A9IcSdp1K8H6x8fbOy06t2VsZHhMHf-1x7Y/edit?usp=sharing"",""แผน!EW70"")"),1100)</f>
        <v>1100</v>
      </c>
      <c r="J368" s="879">
        <f ca="1">IFERROR(__xludf.DUMMYFUNCTION("IMPORTRANGE(""https://docs.google.com/spreadsheets/d/1tdoBKaGub7dwA3U6UFTqxio9LNnvDCQjHKmttSEBsFQ/edit?usp=sharing"",""จัดที่ดิน!AC70"")"),1399.56)</f>
        <v>1399.56</v>
      </c>
      <c r="K368" s="72">
        <f t="shared" ca="1" si="99"/>
        <v>127.23272727272727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IFERROR(__xludf.DUMMYFUNCTION("IMPORTRANGE(""https://docs.google.com/spreadsheets/d/1eHaY18a8A9IcSdp1K8H6x8fbOy06t2VsZHhMHf-1x7Y/edit?usp=sharing"",""แผน!EX70"")"),149)</f>
        <v>149</v>
      </c>
      <c r="J369" s="291">
        <f ca="1">IFERROR(__xludf.DUMMYFUNCTION("IMPORTRANGE(""https://docs.google.com/spreadsheets/d/1tdoBKaGub7dwA3U6UFTqxio9LNnvDCQjHKmttSEBsFQ/edit?usp=sharing"",""จัดที่ดิน!AD70"")"),59)</f>
        <v>59</v>
      </c>
      <c r="K369" s="72">
        <f t="shared" ca="1" si="99"/>
        <v>39.597315436241608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IFERROR(__xludf.DUMMYFUNCTION("IMPORTRANGE(""https://docs.google.com/spreadsheets/d/1tdoBKaGub7dwA3U6UFTqxio9LNnvDCQjHKmttSEBsFQ/edit?usp=sharing"",""จัดที่ดิน!AE70"")"),924.5)</f>
        <v>924.5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IFERROR(__xludf.DUMMYFUNCTION("IMPORTRANGE(""https://docs.google.com/spreadsheets/d/1eHaY18a8A9IcSdp1K8H6x8fbOy06t2VsZHhMHf-1x7Y/edit?usp=sharing"",""แผน!EY70"")"),149)</f>
        <v>149</v>
      </c>
      <c r="J371" s="291">
        <f ca="1">IFERROR(__xludf.DUMMYFUNCTION("IMPORTRANGE(""https://docs.google.com/spreadsheets/d/1tdoBKaGub7dwA3U6UFTqxio9LNnvDCQjHKmttSEBsFQ/edit?usp=sharing"",""จัดที่ดิน!AF70"")"),60)</f>
        <v>60</v>
      </c>
      <c r="K371" s="72">
        <f t="shared" ca="1" si="99"/>
        <v>40.268456375838923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IFERROR(__xludf.DUMMYFUNCTION("IMPORTRANGE(""https://docs.google.com/spreadsheets/d/1tdoBKaGub7dwA3U6UFTqxio9LNnvDCQjHKmttSEBsFQ/edit?usp=sharing"",""จัดที่ดิน!AG70"")"),927.7)</f>
        <v>927.7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2000</v>
      </c>
      <c r="J374" s="563">
        <f ca="1">J386+J388</f>
        <v>500</v>
      </c>
      <c r="K374" s="564">
        <f ca="1">IF(I374&gt;0,J374*100/I374,0)</f>
        <v>25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41100</v>
      </c>
      <c r="M375" s="262">
        <f ca="1">M376+M377</f>
        <v>41100</v>
      </c>
      <c r="N375" s="262">
        <f ca="1">N376+N377</f>
        <v>24984</v>
      </c>
      <c r="O375" s="262">
        <f t="shared" ref="O375:O383" ca="1" si="100">IF(L375&gt;0,N375*100/L375,0)</f>
        <v>60.788321167883211</v>
      </c>
      <c r="P375" s="262">
        <f t="shared" ref="P375:P383" ca="1" si="101">IF(M375&gt;0,N375*100/M375,0)</f>
        <v>60.788321167883211</v>
      </c>
      <c r="Q375" s="262">
        <f ca="1">Q376+Q377</f>
        <v>125000</v>
      </c>
      <c r="R375" s="262">
        <f ca="1">R376+R377</f>
        <v>125000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41100</v>
      </c>
      <c r="M377" s="72">
        <f t="shared" ca="1" si="104"/>
        <v>41100</v>
      </c>
      <c r="N377" s="72">
        <f t="shared" ca="1" si="104"/>
        <v>24984</v>
      </c>
      <c r="O377" s="72">
        <f t="shared" ca="1" si="100"/>
        <v>60.788321167883211</v>
      </c>
      <c r="P377" s="72">
        <f t="shared" ca="1" si="101"/>
        <v>60.788321167883211</v>
      </c>
      <c r="Q377" s="72">
        <f t="shared" ca="1" si="105"/>
        <v>125000</v>
      </c>
      <c r="R377" s="72">
        <f t="shared" ca="1" si="105"/>
        <v>125000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41100</v>
      </c>
      <c r="M378" s="72">
        <f ca="1">M379+M380</f>
        <v>41100</v>
      </c>
      <c r="N378" s="72">
        <f ca="1">N379+N380</f>
        <v>24984</v>
      </c>
      <c r="O378" s="72">
        <f t="shared" ca="1" si="100"/>
        <v>60.788321167883211</v>
      </c>
      <c r="P378" s="72">
        <f t="shared" ca="1" si="101"/>
        <v>60.788321167883211</v>
      </c>
      <c r="Q378" s="72">
        <f ca="1">Q379+Q380</f>
        <v>125000</v>
      </c>
      <c r="R378" s="72">
        <f ca="1">R379+R380</f>
        <v>125000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IFERROR(__xludf.DUMMYFUNCTION("IMPORTRANGE(""https://docs.google.com/spreadsheets/d/1-uDff_7J0KD5mKrp0Vvzr7lt3OU09vwQwhkpOPPYv2Y/edit?usp=sharing"",""งบพรบ!IE70"")"),41100)</f>
        <v>41100</v>
      </c>
      <c r="M380" s="72">
        <f ca="1">IFERROR(__xludf.DUMMYFUNCTION("IMPORTRANGE(""https://docs.google.com/spreadsheets/d/1-uDff_7J0KD5mKrp0Vvzr7lt3OU09vwQwhkpOPPYv2Y/edit?usp=sharing"",""งบพรบ!IJ70"")"),41100)</f>
        <v>41100</v>
      </c>
      <c r="N380" s="72">
        <f ca="1">IFERROR(__xludf.DUMMYFUNCTION("IMPORTRANGE(""https://docs.google.com/spreadsheets/d/1-uDff_7J0KD5mKrp0Vvzr7lt3OU09vwQwhkpOPPYv2Y/edit?usp=sharing"",""งบพรบ!IL70"")"),24984)</f>
        <v>24984</v>
      </c>
      <c r="O380" s="72">
        <f t="shared" ca="1" si="100"/>
        <v>60.788321167883211</v>
      </c>
      <c r="P380" s="72">
        <f t="shared" ca="1" si="101"/>
        <v>60.788321167883211</v>
      </c>
      <c r="Q380" s="72">
        <f ca="1">IFERROR(__xludf.DUMMYFUNCTION("IMPORTRANGE(""https://docs.google.com/spreadsheets/d/1ItG2mGa2ceCfYo0BwxsXqNm01IGEUdYcSSLTEv9YCik/edit?usp=sharing"",""เบิกจ่ายกองทุน!BW70"")"),125000)</f>
        <v>125000</v>
      </c>
      <c r="R380" s="72">
        <f ca="1">IFERROR(__xludf.DUMMYFUNCTION("IMPORTRANGE(""https://docs.google.com/spreadsheets/d/1ItG2mGa2ceCfYo0BwxsXqNm01IGEUdYcSSLTEv9YCik/edit?usp=sharing"",""เบิกจ่ายกองทุน!BX70"")"),125000)</f>
        <v>125000</v>
      </c>
      <c r="S380" s="72">
        <f ca="1">IFERROR(__xludf.DUMMYFUNCTION("IMPORTRANGE(""https://docs.google.com/spreadsheets/d/1ItG2mGa2ceCfYo0BwxsXqNm01IGEUdYcSSLTEv9YCik/edit?usp=sharing"",""เบิกจ่ายกองทุน!BY70"")"),0)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IFERROR(__xludf.DUMMYFUNCTION("IMPORTRANGE(""https://docs.google.com/spreadsheets/d/1-uDff_7J0KD5mKrp0Vvzr7lt3OU09vwQwhkpOPPYv2Y/edit?usp=sharing"",""งบพรบ!IH70"")"),0)</f>
        <v>0</v>
      </c>
      <c r="M383" s="72">
        <f ca="1">IFERROR(__xludf.DUMMYFUNCTION("IMPORTRANGE(""https://docs.google.com/spreadsheets/d/1-uDff_7J0KD5mKrp0Vvzr7lt3OU09vwQwhkpOPPYv2Y/edit?usp=sharing"",""งบพรบ!IK70"")"),0)</f>
        <v>0</v>
      </c>
      <c r="N383" s="72">
        <f ca="1">IFERROR(__xludf.DUMMYFUNCTION("IMPORTRANGE(""https://docs.google.com/spreadsheets/d/1-uDff_7J0KD5mKrp0Vvzr7lt3OU09vwQwhkpOPPYv2Y/edit?usp=sharing"",""งบพรบ!IM70"")"),0)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IFERROR(__xludf.DUMMYFUNCTION("IMPORTRANGE(""https://docs.google.com/spreadsheets/d/1w5rwWK1o49a35cNtocGL0gxDwhFSTZUQu90BiH9_zqM/edit?usp=sharing"",""RTK!H70"")"),35)</f>
        <v>35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IFERROR(__xludf.DUMMYFUNCTION("IMPORTRANGE(""https://docs.google.com/spreadsheets/d/1w5rwWK1o49a35cNtocGL0gxDwhFSTZUQu90BiH9_zqM/edit?usp=sharing"",""RTK!G70"")"),2000)</f>
        <v>2000</v>
      </c>
      <c r="J386" s="291">
        <f ca="1">IFERROR(__xludf.DUMMYFUNCTION("IMPORTRANGE(""https://docs.google.com/spreadsheets/d/1w5rwWK1o49a35cNtocGL0gxDwhFSTZUQu90BiH9_zqM/edit?usp=sharing"",""RTK!I70"")"),500)</f>
        <v>500</v>
      </c>
      <c r="K386" s="72">
        <f ca="1">IF(I386&gt;0,J386*100/I386,0)</f>
        <v>25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IFERROR(__xludf.DUMMYFUNCTION("IMPORTRANGE(""https://docs.google.com/spreadsheets/d/1w5rwWK1o49a35cNtocGL0gxDwhFSTZUQu90BiH9_zqM/edit?usp=sharing"",""RTK!L70"")"),0)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IFERROR(__xludf.DUMMYFUNCTION("IMPORTRANGE(""https://docs.google.com/spreadsheets/d/1w5rwWK1o49a35cNtocGL0gxDwhFSTZUQu90BiH9_zqM/edit?usp=sharing"",""RTK!K70"")"),0)</f>
        <v>0</v>
      </c>
      <c r="J388" s="237">
        <f ca="1">IFERROR(__xludf.DUMMYFUNCTION("IMPORTRANGE(""https://docs.google.com/spreadsheets/d/1w5rwWK1o49a35cNtocGL0gxDwhFSTZUQu90BiH9_zqM/edit?usp=sharing"",""RTK!M70"")"),0)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IFERROR(__xludf.DUMMYFUNCTION("IMPORTRANGE(""https://docs.google.com/spreadsheets/d/1ItG2mGa2ceCfYo0BwxsXqNm01IGEUdYcSSLTEv9YCik/edit?usp=sharing"",""เบิกจ่ายกองทุน!CL70"")"),0)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IFERROR(__xludf.DUMMYFUNCTION("IMPORTRANGE(""https://docs.google.com/spreadsheets/d/1ItG2mGa2ceCfYo0BwxsXqNm01IGEUdYcSSLTEv9YCik/edit?usp=sharing"",""เบิกจ่ายกองทุน!CM70"")"),0)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IFERROR(__xludf.DUMMYFUNCTION("IMPORTRANGE(""https://docs.google.com/spreadsheets/d/1ItG2mGa2ceCfYo0BwxsXqNm01IGEUdYcSSLTEv9YCik/edit?usp=sharing"",""เบิกจ่ายกองทุน!CN70"")"),0)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134010</v>
      </c>
      <c r="M413" s="262">
        <f ca="1">M414+M415</f>
        <v>134010</v>
      </c>
      <c r="N413" s="262">
        <f ca="1">N414+N415</f>
        <v>11700</v>
      </c>
      <c r="O413" s="262">
        <f t="shared" ref="O413:O421" ca="1" si="112">IF(L413&gt;0,N413*100/L413,0)</f>
        <v>8.730691739422431</v>
      </c>
      <c r="P413" s="262">
        <f t="shared" ref="P413:P421" ca="1" si="113">IF(M413&gt;0,N413*100/M413,0)</f>
        <v>8.730691739422431</v>
      </c>
      <c r="Q413" s="262">
        <f ca="1">Q414+Q415</f>
        <v>16800</v>
      </c>
      <c r="R413" s="262">
        <f ca="1">R414+R415</f>
        <v>16800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134010</v>
      </c>
      <c r="M415" s="72">
        <f t="shared" ca="1" si="116"/>
        <v>134010</v>
      </c>
      <c r="N415" s="72">
        <f t="shared" ca="1" si="116"/>
        <v>11700</v>
      </c>
      <c r="O415" s="72">
        <f t="shared" ca="1" si="112"/>
        <v>8.730691739422431</v>
      </c>
      <c r="P415" s="72">
        <f t="shared" ca="1" si="113"/>
        <v>8.730691739422431</v>
      </c>
      <c r="Q415" s="72">
        <f t="shared" ca="1" si="117"/>
        <v>16800</v>
      </c>
      <c r="R415" s="72">
        <f t="shared" ca="1" si="117"/>
        <v>16800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8.75" x14ac:dyDescent="0.25">
      <c r="A416" s="255"/>
      <c r="B416" s="267"/>
      <c r="C416" s="267"/>
      <c r="D416" s="852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1">
        <f ca="1">L417+L418</f>
        <v>134010</v>
      </c>
      <c r="M416" s="72">
        <f ca="1">M417+M418</f>
        <v>134010</v>
      </c>
      <c r="N416" s="72">
        <f ca="1">N417+N418</f>
        <v>11700</v>
      </c>
      <c r="O416" s="72">
        <f t="shared" ca="1" si="112"/>
        <v>8.730691739422431</v>
      </c>
      <c r="P416" s="72">
        <f t="shared" ca="1" si="113"/>
        <v>8.730691739422431</v>
      </c>
      <c r="Q416" s="72">
        <f ca="1">Q417+Q418</f>
        <v>16800</v>
      </c>
      <c r="R416" s="72">
        <f ca="1">R417+R418</f>
        <v>16800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IFERROR(__xludf.DUMMYFUNCTION("IMPORTRANGE(""https://docs.google.com/spreadsheets/d/1-uDff_7J0KD5mKrp0Vvzr7lt3OU09vwQwhkpOPPYv2Y/edit?usp=sharing"",""งบพรบ!IO70"")"),134010)</f>
        <v>134010</v>
      </c>
      <c r="M418" s="72">
        <f ca="1">IFERROR(__xludf.DUMMYFUNCTION("IMPORTRANGE(""https://docs.google.com/spreadsheets/d/1-uDff_7J0KD5mKrp0Vvzr7lt3OU09vwQwhkpOPPYv2Y/edit?usp=sharing"",""งบพรบ!IT70"")"),134010)</f>
        <v>134010</v>
      </c>
      <c r="N418" s="72">
        <f ca="1">IFERROR(__xludf.DUMMYFUNCTION("IMPORTRANGE(""https://docs.google.com/spreadsheets/d/1-uDff_7J0KD5mKrp0Vvzr7lt3OU09vwQwhkpOPPYv2Y/edit?usp=sharing"",""งบพรบ!IV70"")"),11700)</f>
        <v>11700</v>
      </c>
      <c r="O418" s="72">
        <f t="shared" ca="1" si="112"/>
        <v>8.730691739422431</v>
      </c>
      <c r="P418" s="72">
        <f t="shared" ca="1" si="113"/>
        <v>8.730691739422431</v>
      </c>
      <c r="Q418" s="72">
        <f ca="1">IFERROR(__xludf.DUMMYFUNCTION("IMPORTRANGE(""https://docs.google.com/spreadsheets/d/1ItG2mGa2ceCfYo0BwxsXqNm01IGEUdYcSSLTEv9YCik/edit?usp=sharing"",""เบิกจ่ายกองทุน!BZ70"")"),16800)</f>
        <v>16800</v>
      </c>
      <c r="R418" s="72">
        <f ca="1">IFERROR(__xludf.DUMMYFUNCTION("IMPORTRANGE(""https://docs.google.com/spreadsheets/d/1ItG2mGa2ceCfYo0BwxsXqNm01IGEUdYcSSLTEv9YCik/edit?usp=sharing"",""เบิกจ่ายกองทุน!CA70"")"),16800)</f>
        <v>16800</v>
      </c>
      <c r="S418" s="72">
        <f ca="1">IFERROR(__xludf.DUMMYFUNCTION("IMPORTRANGE(""https://docs.google.com/spreadsheets/d/1ItG2mGa2ceCfYo0BwxsXqNm01IGEUdYcSSLTEv9YCik/edit?usp=sharing"",""เบิกจ่ายกองทุน!CB70"")"),0)</f>
        <v>0</v>
      </c>
      <c r="T418" s="72">
        <f t="shared" ca="1" si="114"/>
        <v>0</v>
      </c>
      <c r="U418" s="72">
        <f t="shared" ca="1" si="115"/>
        <v>0</v>
      </c>
    </row>
    <row r="419" spans="1:21" ht="18.75" x14ac:dyDescent="0.25">
      <c r="A419" s="255"/>
      <c r="B419" s="267"/>
      <c r="C419" s="267"/>
      <c r="D419" s="852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IFERROR(__xludf.DUMMYFUNCTION("IMPORTRANGE(""https://docs.google.com/spreadsheets/d/1-uDff_7J0KD5mKrp0Vvzr7lt3OU09vwQwhkpOPPYv2Y/edit?usp=sharing"",""งบพรบ!IR70"")"),0)</f>
        <v>0</v>
      </c>
      <c r="M421" s="72">
        <f ca="1">IFERROR(__xludf.DUMMYFUNCTION("IMPORTRANGE(""https://docs.google.com/spreadsheets/d/1-uDff_7J0KD5mKrp0Vvzr7lt3OU09vwQwhkpOPPYv2Y/edit?usp=sharing"",""งบพรบ!IU70"")"),0)</f>
        <v>0</v>
      </c>
      <c r="N421" s="72">
        <f ca="1">IFERROR(__xludf.DUMMYFUNCTION("IMPORTRANGE(""https://docs.google.com/spreadsheets/d/1-uDff_7J0KD5mKrp0Vvzr7lt3OU09vwQwhkpOPPYv2Y/edit?usp=sharing"",""งบพรบ!IW70"")"),0)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IFERROR(__xludf.DUMMYFUNCTION("IMPORTRANGE(""https://docs.google.com/spreadsheets/d/1eHaY18a8A9IcSdp1K8H6x8fbOy06t2VsZHhMHf-1x7Y/edit?usp=sharing"",""แผน!HJ70"")"),0)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IFERROR(__xludf.DUMMYFUNCTION("IMPORTRANGE(""https://docs.google.com/spreadsheets/d/1eHaY18a8A9IcSdp1K8H6x8fbOy06t2VsZHhMHf-1x7Y/edit?usp=sharing"",""แผน!HK70"")"),0)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IFERROR(__xludf.DUMMYFUNCTION("IMPORTRANGE(""https://docs.google.com/spreadsheets/d/1eHaY18a8A9IcSdp1K8H6x8fbOy06t2VsZHhMHf-1x7Y/edit?usp=sharing"",""แผน!HJ70"")"),0)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IFERROR(__xludf.DUMMYFUNCTION("IMPORTRANGE(""https://docs.google.com/spreadsheets/d/1eHaY18a8A9IcSdp1K8H6x8fbOy06t2VsZHhMHf-1x7Y/edit?usp=sharing"",""แผน!HK70"")"),0)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IFERROR(__xludf.DUMMYFUNCTION("IMPORTRANGE(""https://docs.google.com/spreadsheets/d/1eHaY18a8A9IcSdp1K8H6x8fbOy06t2VsZHhMHf-1x7Y/edit?usp=sharing"",""แผน!HJ70"")"),0)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IFERROR(__xludf.DUMMYFUNCTION("IMPORTRANGE(""https://docs.google.com/spreadsheets/d/1eHaY18a8A9IcSdp1K8H6x8fbOy06t2VsZHhMHf-1x7Y/edit?usp=sharing"",""แผน!HK70"")"),0)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251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IFERROR(__xludf.DUMMYFUNCTION("IMPORTRANGE(""https://docs.google.com/spreadsheets/d/1eHaY18a8A9IcSdp1K8H6x8fbOy06t2VsZHhMHf-1x7Y/edit?usp=sharing"",""แผน!HL70"")"),251)</f>
        <v>251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IFERROR(__xludf.DUMMYFUNCTION("IMPORTRANGE(""https://docs.google.com/spreadsheets/d/1eHaY18a8A9IcSdp1K8H6x8fbOy06t2VsZHhMHf-1x7Y/edit?usp=sharing"",""แผน!HM70"")"),0)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IFERROR(__xludf.DUMMYFUNCTION("IMPORTRANGE(""https://docs.google.com/spreadsheets/d/1-uDff_7J0KD5mKrp0Vvzr7lt3OU09vwQwhkpOPPYv2Y/edit?usp=sharing"",""งบพรบ!HU70"")"),0)</f>
        <v>0</v>
      </c>
      <c r="M498" s="72">
        <f ca="1">IFERROR(__xludf.DUMMYFUNCTION("IMPORTRANGE(""https://docs.google.com/spreadsheets/d/1-uDff_7J0KD5mKrp0Vvzr7lt3OU09vwQwhkpOPPYv2Y/edit?usp=sharing"",""งบพรบ!HZ70"")"),0)</f>
        <v>0</v>
      </c>
      <c r="N498" s="72">
        <f ca="1">IFERROR(__xludf.DUMMYFUNCTION("IMPORTRANGE(""https://docs.google.com/spreadsheets/d/1-uDff_7J0KD5mKrp0Vvzr7lt3OU09vwQwhkpOPPYv2Y/edit?usp=sharing"",""งบพรบ!IB70"")"),0)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IFERROR(__xludf.DUMMYFUNCTION("IMPORTRANGE(""https://docs.google.com/spreadsheets/d/1ItG2mGa2ceCfYo0BwxsXqNm01IGEUdYcSSLTEv9YCik/edit?usp=sharing"",""เบิกจ่ายกองทุน!AD70"")"),0)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IFERROR(__xludf.DUMMYFUNCTION("IMPORTRANGE(""https://docs.google.com/spreadsheets/d/1ItG2mGa2ceCfYo0BwxsXqNm01IGEUdYcSSLTEv9YCik/edit?usp=sharing"",""เบิกจ่ายกองทุน!AE70"")"),0)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IFERROR(__xludf.DUMMYFUNCTION("IMPORTRANGE(""https://docs.google.com/spreadsheets/d/1ItG2mGa2ceCfYo0BwxsXqNm01IGEUdYcSSLTEv9YCik/edit?usp=sharing"",""เบิกจ่ายกองทุน!AF70"")"),0)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IFERROR(__xludf.DUMMYFUNCTION("IMPORTRANGE(""https://docs.google.com/spreadsheets/d/1-uDff_7J0KD5mKrp0Vvzr7lt3OU09vwQwhkpOPPYv2Y/edit?usp=sharing"",""งบพรบ!HX70"")"),0)</f>
        <v>0</v>
      </c>
      <c r="M501" s="72">
        <f ca="1">IFERROR(__xludf.DUMMYFUNCTION("IMPORTRANGE(""https://docs.google.com/spreadsheets/d/1-uDff_7J0KD5mKrp0Vvzr7lt3OU09vwQwhkpOPPYv2Y/edit?usp=sharing"",""งบพรบ!IA70"")"),0)</f>
        <v>0</v>
      </c>
      <c r="N501" s="72">
        <f ca="1">IFERROR(__xludf.DUMMYFUNCTION("IMPORTRANGE(""https://docs.google.com/spreadsheets/d/1-uDff_7J0KD5mKrp0Vvzr7lt3OU09vwQwhkpOPPYv2Y/edit?usp=sharing"",""งบพรบ!IC70"")"),0)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IFERROR(__xludf.DUMMYFUNCTION("IMPORTRANGE(""https://docs.google.com/spreadsheets/d/1eHaY18a8A9IcSdp1K8H6x8fbOy06t2VsZHhMHf-1x7Y/edit?usp=sharing"",""แผน!GX70"")"),0)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IFERROR(__xludf.DUMMYFUNCTION("IMPORTRANGE(""https://docs.google.com/spreadsheets/d/1eHaY18a8A9IcSdp1K8H6x8fbOy06t2VsZHhMHf-1x7Y/edit?usp=sharing"",""แผน!GY70"")"),0)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IFERROR(__xludf.DUMMYFUNCTION("IMPORTRANGE(""https://docs.google.com/spreadsheets/d/1eHaY18a8A9IcSdp1K8H6x8fbOy06t2VsZHhMHf-1x7Y/edit?usp=sharing"",""แผน!GZ70"")"),0)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IFERROR(__xludf.DUMMYFUNCTION("IMPORTRANGE(""https://docs.google.com/spreadsheets/d/1eHaY18a8A9IcSdp1K8H6x8fbOy06t2VsZHhMHf-1x7Y/edit?usp=sharing"",""แผน!HA70"")"),0)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IFERROR(__xludf.DUMMYFUNCTION("IMPORTRANGE(""https://docs.google.com/spreadsheets/d/1eHaY18a8A9IcSdp1K8H6x8fbOy06t2VsZHhMHf-1x7Y/edit?usp=sharing"",""แผน!HB70"")"),0)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IFERROR(__xludf.DUMMYFUNCTION("IMPORTRANGE(""https://docs.google.com/spreadsheets/d/1eHaY18a8A9IcSdp1K8H6x8fbOy06t2VsZHhMHf-1x7Y/edit?usp=sharing"",""แผน!HC70"")"),0)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IFERROR(__xludf.DUMMYFUNCTION("IMPORTRANGE(""https://docs.google.com/spreadsheets/d/1-uDff_7J0KD5mKrp0Vvzr7lt3OU09vwQwhkpOPPYv2Y/edit?usp=sharing"",""งบพรบ!FM70"")"),0)</f>
        <v>0</v>
      </c>
      <c r="M518" s="72">
        <f ca="1">IFERROR(__xludf.DUMMYFUNCTION("IMPORTRANGE(""https://docs.google.com/spreadsheets/d/1-uDff_7J0KD5mKrp0Vvzr7lt3OU09vwQwhkpOPPYv2Y/edit?usp=sharing"",""งบพรบ!FR70"")"),0)</f>
        <v>0</v>
      </c>
      <c r="N518" s="72">
        <f ca="1">IFERROR(__xludf.DUMMYFUNCTION("IMPORTRANGE(""https://docs.google.com/spreadsheets/d/1-uDff_7J0KD5mKrp0Vvzr7lt3OU09vwQwhkpOPPYv2Y/edit?usp=sharing"",""งบพรบ!FT70"")"),0)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IFERROR(__xludf.DUMMYFUNCTION("IMPORTRANGE(""https://docs.google.com/spreadsheets/d/1-uDff_7J0KD5mKrp0Vvzr7lt3OU09vwQwhkpOPPYv2Y/edit?usp=sharing"",""งบพรบ!FP70"")"),0)</f>
        <v>0</v>
      </c>
      <c r="M521" s="72">
        <f ca="1">IFERROR(__xludf.DUMMYFUNCTION("IMPORTRANGE(""https://docs.google.com/spreadsheets/d/1-uDff_7J0KD5mKrp0Vvzr7lt3OU09vwQwhkpOPPYv2Y/edit?usp=sharing"",""งบพรบ!FS70"")"),0)</f>
        <v>0</v>
      </c>
      <c r="N521" s="72">
        <f ca="1">IFERROR(__xludf.DUMMYFUNCTION("IMPORTRANGE(""https://docs.google.com/spreadsheets/d/1-uDff_7J0KD5mKrp0Vvzr7lt3OU09vwQwhkpOPPYv2Y/edit?usp=sharing"",""งบพรบ!FU70"")"),0)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IFERROR(__xludf.DUMMYFUNCTION("IMPORTRANGE(""https://docs.google.com/spreadsheets/d/1-uDff_7J0KD5mKrp0Vvzr7lt3OU09vwQwhkpOPPYv2Y/edit?usp=sharing"",""งบพรบ!FW70"")"),0)</f>
        <v>0</v>
      </c>
      <c r="M539" s="72">
        <f ca="1">IFERROR(__xludf.DUMMYFUNCTION("IMPORTRANGE(""https://docs.google.com/spreadsheets/d/1-uDff_7J0KD5mKrp0Vvzr7lt3OU09vwQwhkpOPPYv2Y/edit?usp=sharing"",""งบพรบ!GB70"")"),0)</f>
        <v>0</v>
      </c>
      <c r="N539" s="72">
        <f ca="1">IFERROR(__xludf.DUMMYFUNCTION("IMPORTRANGE(""https://docs.google.com/spreadsheets/d/1-uDff_7J0KD5mKrp0Vvzr7lt3OU09vwQwhkpOPPYv2Y/edit?usp=sharing"",""งบพรบ!GD70"")"),0)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IFERROR(__xludf.DUMMYFUNCTION("IMPORTRANGE(""https://docs.google.com/spreadsheets/d/1-uDff_7J0KD5mKrp0Vvzr7lt3OU09vwQwhkpOPPYv2Y/edit?usp=sharing"",""งบพรบ!FZ70"")"),0)</f>
        <v>0</v>
      </c>
      <c r="M542" s="72">
        <f ca="1">IFERROR(__xludf.DUMMYFUNCTION("IMPORTRANGE(""https://docs.google.com/spreadsheets/d/1-uDff_7J0KD5mKrp0Vvzr7lt3OU09vwQwhkpOPPYv2Y/edit?usp=sharing"",""งบพรบ!GC70"")"),0)</f>
        <v>0</v>
      </c>
      <c r="N542" s="72">
        <f ca="1">IFERROR(__xludf.DUMMYFUNCTION("IMPORTRANGE(""https://docs.google.com/spreadsheets/d/1-uDff_7J0KD5mKrp0Vvzr7lt3OU09vwQwhkpOPPYv2Y/edit?usp=sharing"",""งบพรบ!GE70"")"),0)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IFERROR(__xludf.DUMMYFUNCTION("IMPORTRANGE(""https://docs.google.com/spreadsheets/d/1-uDff_7J0KD5mKrp0Vvzr7lt3OU09vwQwhkpOPPYv2Y/edit?usp=sharing"",""งบพรบ!GG70"")"),0)</f>
        <v>0</v>
      </c>
      <c r="M560" s="72">
        <f ca="1">IFERROR(__xludf.DUMMYFUNCTION("IMPORTRANGE(""https://docs.google.com/spreadsheets/d/1-uDff_7J0KD5mKrp0Vvzr7lt3OU09vwQwhkpOPPYv2Y/edit?usp=sharing"",""งบพรบ!GL70"")"),0)</f>
        <v>0</v>
      </c>
      <c r="N560" s="72">
        <f ca="1">IFERROR(__xludf.DUMMYFUNCTION("IMPORTRANGE(""https://docs.google.com/spreadsheets/d/1-uDff_7J0KD5mKrp0Vvzr7lt3OU09vwQwhkpOPPYv2Y/edit?usp=sharing"",""งบพรบ!GN70"")"),0)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IFERROR(__xludf.DUMMYFUNCTION("IMPORTRANGE(""https://docs.google.com/spreadsheets/d/1-uDff_7J0KD5mKrp0Vvzr7lt3OU09vwQwhkpOPPYv2Y/edit?usp=sharing"",""งบพรบ!GJ70"")"),0)</f>
        <v>0</v>
      </c>
      <c r="M563" s="72">
        <f ca="1">IFERROR(__xludf.DUMMYFUNCTION("IMPORTRANGE(""https://docs.google.com/spreadsheets/d/1-uDff_7J0KD5mKrp0Vvzr7lt3OU09vwQwhkpOPPYv2Y/edit?usp=sharing"",""งบพรบ!GM70"")"),0)</f>
        <v>0</v>
      </c>
      <c r="N563" s="72">
        <f ca="1">IFERROR(__xludf.DUMMYFUNCTION("IMPORTRANGE(""https://docs.google.com/spreadsheets/d/1-uDff_7J0KD5mKrp0Vvzr7lt3OU09vwQwhkpOPPYv2Y/edit?usp=sharing"",""งบพรบ!GO70"")"),0)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IFERROR(__xludf.DUMMYFUNCTION("IMPORTRANGE(""https://docs.google.com/spreadsheets/d/1-uDff_7J0KD5mKrp0Vvzr7lt3OU09vwQwhkpOPPYv2Y/edit?usp=sharing"",""งบพรบ!GQ70"")"),0)</f>
        <v>0</v>
      </c>
      <c r="M581" s="72">
        <f ca="1">IFERROR(__xludf.DUMMYFUNCTION("IMPORTRANGE(""https://docs.google.com/spreadsheets/d/1-uDff_7J0KD5mKrp0Vvzr7lt3OU09vwQwhkpOPPYv2Y/edit?usp=sharing"",""งบพรบ!GV70"")"),0)</f>
        <v>0</v>
      </c>
      <c r="N581" s="72">
        <f ca="1">IFERROR(__xludf.DUMMYFUNCTION("IMPORTRANGE(""https://docs.google.com/spreadsheets/d/1-uDff_7J0KD5mKrp0Vvzr7lt3OU09vwQwhkpOPPYv2Y/edit?usp=sharing"",""งบพรบ!GX70"")"),0)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IFERROR(__xludf.DUMMYFUNCTION("IMPORTRANGE(""https://docs.google.com/spreadsheets/d/1-uDff_7J0KD5mKrp0Vvzr7lt3OU09vwQwhkpOPPYv2Y/edit?usp=sharing"",""งบพรบ!GT70"")"),0)</f>
        <v>0</v>
      </c>
      <c r="M584" s="72">
        <f ca="1">IFERROR(__xludf.DUMMYFUNCTION("IMPORTRANGE(""https://docs.google.com/spreadsheets/d/1-uDff_7J0KD5mKrp0Vvzr7lt3OU09vwQwhkpOPPYv2Y/edit?usp=sharing"",""งบพรบ!GW70"")"),0)</f>
        <v>0</v>
      </c>
      <c r="N584" s="72">
        <f ca="1">IFERROR(__xludf.DUMMYFUNCTION("IMPORTRANGE(""https://docs.google.com/spreadsheets/d/1-uDff_7J0KD5mKrp0Vvzr7lt3OU09vwQwhkpOPPYv2Y/edit?usp=sharing"",""งบพรบ!GY70"")"),0)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826" t="s">
        <v>217</v>
      </c>
      <c r="B596" s="824"/>
      <c r="C596" s="825"/>
      <c r="D596" s="824"/>
      <c r="E596" s="824"/>
      <c r="F596" s="824"/>
      <c r="G596" s="824"/>
      <c r="H596" s="823"/>
      <c r="I596" s="822"/>
      <c r="J596" s="822"/>
      <c r="K596" s="821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820" t="s">
        <v>218</v>
      </c>
      <c r="C597" s="299"/>
      <c r="D597" s="251"/>
      <c r="E597" s="250"/>
      <c r="F597" s="250"/>
      <c r="G597" s="250"/>
      <c r="H597" s="819" t="s">
        <v>99</v>
      </c>
      <c r="I597" s="818"/>
      <c r="J597" s="814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817"/>
      <c r="B598" s="816" t="s">
        <v>219</v>
      </c>
      <c r="C598" s="251"/>
      <c r="D598" s="250"/>
      <c r="E598" s="250"/>
      <c r="F598" s="250"/>
      <c r="G598" s="252"/>
      <c r="H598" s="815" t="s">
        <v>35</v>
      </c>
      <c r="I598" s="814"/>
      <c r="J598" s="814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44" t="s">
        <v>19</v>
      </c>
      <c r="E599" s="1401"/>
      <c r="F599" s="1401"/>
      <c r="G599" s="1402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99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IFERROR(__xludf.DUMMYFUNCTION("IMPORTRANGE(""https://docs.google.com/spreadsheets/d/1-uDff_7J0KD5mKrp0Vvzr7lt3OU09vwQwhkpOPPYv2Y/edit?usp=sharing"",""งบพรบ!HK70"")"),0)</f>
        <v>0</v>
      </c>
      <c r="M604" s="72">
        <f ca="1">IFERROR(__xludf.DUMMYFUNCTION("IMPORTRANGE(""https://docs.google.com/spreadsheets/d/1-uDff_7J0KD5mKrp0Vvzr7lt3OU09vwQwhkpOPPYv2Y/edit?usp=sharing"",""งบพรบ!HP70"")"),0)</f>
        <v>0</v>
      </c>
      <c r="N604" s="72">
        <f ca="1">IFERROR(__xludf.DUMMYFUNCTION("IMPORTRANGE(""https://docs.google.com/spreadsheets/d/1-uDff_7J0KD5mKrp0Vvzr7lt3OU09vwQwhkpOPPYv2Y/edit?usp=sharing"",""งบพรบ!HR70"")"),0)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IFERROR(__xludf.DUMMYFUNCTION("IMPORTRANGE(""https://docs.google.com/spreadsheets/d/1ItG2mGa2ceCfYo0BwxsXqNm01IGEUdYcSSLTEv9YCik/edit?usp=sharing"",""เบิกจ่ายกองทุน!AV70"")"),0)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IFERROR(__xludf.DUMMYFUNCTION("IMPORTRANGE(""https://docs.google.com/spreadsheets/d/1ItG2mGa2ceCfYo0BwxsXqNm01IGEUdYcSSLTEv9YCik/edit?usp=sharing"",""เบิกจ่ายกองทุน!AW70"")"),0)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IFERROR(__xludf.DUMMYFUNCTION("IMPORTRANGE(""https://docs.google.com/spreadsheets/d/1ItG2mGa2ceCfYo0BwxsXqNm01IGEUdYcSSLTEv9YCik/edit?usp=sharing"",""เบิกจ่ายกองทุน!AX70"")"),0)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99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IFERROR(__xludf.DUMMYFUNCTION("IMPORTRANGE(""https://docs.google.com/spreadsheets/d/1-uDff_7J0KD5mKrp0Vvzr7lt3OU09vwQwhkpOPPYv2Y/edit?usp=sharing"",""งบพรบ!HN70"")"),0)</f>
        <v>0</v>
      </c>
      <c r="M607" s="72">
        <f ca="1">IFERROR(__xludf.DUMMYFUNCTION("IMPORTRANGE(""https://docs.google.com/spreadsheets/d/1-uDff_7J0KD5mKrp0Vvzr7lt3OU09vwQwhkpOPPYv2Y/edit?usp=sharing"",""งบพรบ!HQ70"")"),0)</f>
        <v>0</v>
      </c>
      <c r="N607" s="72">
        <f ca="1">IFERROR(__xludf.DUMMYFUNCTION("IMPORTRANGE(""https://docs.google.com/spreadsheets/d/1-uDff_7J0KD5mKrp0Vvzr7lt3OU09vwQwhkpOPPYv2Y/edit?usp=sharing"",""งบพรบ!HS70"")"),0)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IFERROR(__xludf.DUMMYFUNCTION("IMPORTRANGE(""https://docs.google.com/spreadsheets/d/1ItG2mGa2ceCfYo0BwxsXqNm01IGEUdYcSSLTEv9YCik/edit?usp=sharing"",""เบิกจ่ายกองทุน!AY70"")"),0)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IFERROR(__xludf.DUMMYFUNCTION("IMPORTRANGE(""https://docs.google.com/spreadsheets/d/1ItG2mGa2ceCfYo0BwxsXqNm01IGEUdYcSSLTEv9YCik/edit?usp=sharing"",""เบิกจ่ายกองทุน!AZ70"")"),0)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IFERROR(__xludf.DUMMYFUNCTION("IMPORTRANGE(""https://docs.google.com/spreadsheets/d/1ItG2mGa2ceCfYo0BwxsXqNm01IGEUdYcSSLTEv9YCik/edit?usp=sharing"",""เบิกจ่ายกองทุน!BA70"")"),0)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13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812"/>
      <c r="B612" s="811"/>
      <c r="C612" s="811"/>
      <c r="D612" s="811"/>
      <c r="E612" s="810" t="s">
        <v>223</v>
      </c>
      <c r="F612" s="809"/>
      <c r="G612" s="808"/>
      <c r="H612" s="807" t="s">
        <v>35</v>
      </c>
      <c r="I612" s="806"/>
      <c r="J612" s="806"/>
      <c r="K612" s="805"/>
      <c r="L612" s="804"/>
      <c r="M612" s="803"/>
      <c r="N612" s="803"/>
      <c r="O612" s="803"/>
      <c r="P612" s="803"/>
      <c r="Q612" s="803"/>
      <c r="R612" s="803"/>
      <c r="S612" s="803"/>
      <c r="T612" s="803"/>
      <c r="U612" s="803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6825</v>
      </c>
      <c r="R616" s="262">
        <f ca="1">R617+R618</f>
        <v>6825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6825</v>
      </c>
      <c r="R618" s="72">
        <f t="shared" ca="1" si="160"/>
        <v>6825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6825</v>
      </c>
      <c r="R619" s="72">
        <f ca="1">R620+R621</f>
        <v>6825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IFERROR(__xludf.DUMMYFUNCTION("IMPORTRANGE(""https://docs.google.com/spreadsheets/d/1ItG2mGa2ceCfYo0BwxsXqNm01IGEUdYcSSLTEv9YCik/edit?usp=sharing"",""เบิกจ่ายกองทุน!F70"")"),6825)</f>
        <v>6825</v>
      </c>
      <c r="R621" s="72">
        <f ca="1">IFERROR(__xludf.DUMMYFUNCTION("IMPORTRANGE(""https://docs.google.com/spreadsheets/d/1ItG2mGa2ceCfYo0BwxsXqNm01IGEUdYcSSLTEv9YCik/edit?usp=sharing"",""เบิกจ่ายกองทุน!G70"")"),6825)</f>
        <v>6825</v>
      </c>
      <c r="S621" s="72">
        <f ca="1">IFERROR(__xludf.DUMMYFUNCTION("IMPORTRANGE(""https://docs.google.com/spreadsheets/d/1ItG2mGa2ceCfYo0BwxsXqNm01IGEUdYcSSLTEv9YCik/edit?usp=sharing"",""เบิกจ่ายกองทุน!H70"")"),0)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IFERROR(__xludf.DUMMYFUNCTION("IMPORTRANGE(""https://docs.google.com/spreadsheets/d/1eHaY18a8A9IcSdp1K8H6x8fbOy06t2VsZHhMHf-1x7Y/edit?usp=sharing"",""แผน!ID70"")"),50)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IFERROR(__xludf.DUMMYFUNCTION("IMPORTRANGE(""https://docs.google.com/spreadsheets/d/1eHaY18a8A9IcSdp1K8H6x8fbOy06t2VsZHhMHf-1x7Y/edit?usp=sharing"",""แผน!IC70"")"),0)</f>
        <v>0</v>
      </c>
      <c r="J627" s="292">
        <v>7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IFERROR(__xludf.DUMMYFUNCTION("IMPORTRANGE(""https://docs.google.com/spreadsheets/d/1eHaY18a8A9IcSdp1K8H6x8fbOy06t2VsZHhMHf-1x7Y/edit?usp=sharing"",""แผน!IC70"")"),0)</f>
        <v>0</v>
      </c>
      <c r="J628" s="292">
        <v>7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IFERROR(__xludf.DUMMYFUNCTION("IMPORTRANGE(""https://docs.google.com/spreadsheets/d/1eHaY18a8A9IcSdp1K8H6x8fbOy06t2VsZHhMHf-1x7Y/edit?usp=sharing"",""แผน!IE70"")"),0)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1600</v>
      </c>
      <c r="R642" s="262">
        <f ca="1">R643+R644</f>
        <v>1600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1600</v>
      </c>
      <c r="R644" s="72">
        <f t="shared" ca="1" si="166"/>
        <v>1600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1600</v>
      </c>
      <c r="R645" s="72">
        <f ca="1">R646+R647</f>
        <v>1600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IFERROR(__xludf.DUMMYFUNCTION("IMPORTRANGE(""https://docs.google.com/spreadsheets/d/1ItG2mGa2ceCfYo0BwxsXqNm01IGEUdYcSSLTEv9YCik/edit?usp=sharing"",""เบิกจ่ายกองทุน!I70"")"),1600)</f>
        <v>1600</v>
      </c>
      <c r="R647" s="72">
        <f ca="1">IFERROR(__xludf.DUMMYFUNCTION("IMPORTRANGE(""https://docs.google.com/spreadsheets/d/1ItG2mGa2ceCfYo0BwxsXqNm01IGEUdYcSSLTEv9YCik/edit?usp=sharing"",""เบิกจ่ายกองทุน!J70"")"),1600)</f>
        <v>1600</v>
      </c>
      <c r="S647" s="72">
        <f ca="1">IFERROR(__xludf.DUMMYFUNCTION("IMPORTRANGE(""https://docs.google.com/spreadsheets/d/1ItG2mGa2ceCfYo0BwxsXqNm01IGEUdYcSSLTEv9YCik/edit?usp=sharing"",""เบิกจ่ายกองทุน!K70"")"),0)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IFERROR(__xludf.DUMMYFUNCTION("IMPORTRANGE(""https://docs.google.com/spreadsheets/d/1eHaY18a8A9IcSdp1K8H6x8fbOy06t2VsZHhMHf-1x7Y/edit?usp=sharing"",""แผน!IF70"")"),0)</f>
        <v>0</v>
      </c>
      <c r="J652" s="291">
        <f ca="1">IFERROR(__xludf.DUMMYFUNCTION("IMPORTRANGE(""https://docs.google.com/spreadsheets/d/1tdoBKaGub7dwA3U6UFTqxio9LNnvDCQjHKmttSEBsFQ/edit?usp=sharing"",""จัดที่ดิน!AU70"")"),0)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IFERROR(__xludf.DUMMYFUNCTION("IMPORTRANGE(""https://docs.google.com/spreadsheets/d/1eHaY18a8A9IcSdp1K8H6x8fbOy06t2VsZHhMHf-1x7Y/edit?usp=sharing"",""แผน!IG70"")"),0)</f>
        <v>0</v>
      </c>
      <c r="J653" s="291">
        <f ca="1">IFERROR(__xludf.DUMMYFUNCTION("IMPORTRANGE(""https://docs.google.com/spreadsheets/d/1tdoBKaGub7dwA3U6UFTqxio9LNnvDCQjHKmttSEBsFQ/edit?usp=sharing"",""จัดที่ดิน!AW70"")"),0)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IFERROR(__xludf.DUMMYFUNCTION("IMPORTRANGE(""https://docs.google.com/spreadsheets/d/1eHaY18a8A9IcSdp1K8H6x8fbOy06t2VsZHhMHf-1x7Y/edit?usp=sharing"",""แผน!IH70"")"),0)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IFERROR(__xludf.DUMMYFUNCTION("IMPORTRANGE(""https://docs.google.com/spreadsheets/d/1eHaY18a8A9IcSdp1K8H6x8fbOy06t2VsZHhMHf-1x7Y/edit?usp=sharing"",""แผน!II70"")"),0)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IFERROR(__xludf.DUMMYFUNCTION("IMPORTRANGE(""https://docs.google.com/spreadsheets/d/1eHaY18a8A9IcSdp1K8H6x8fbOy06t2VsZHhMHf-1x7Y/edit?usp=sharing"",""แผน!IJ70"")"),0)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IFERROR(__xludf.DUMMYFUNCTION("IMPORTRANGE(""https://docs.google.com/spreadsheets/d/1eHaY18a8A9IcSdp1K8H6x8fbOy06t2VsZHhMHf-1x7Y/edit?usp=sharing"",""แผน!IK70"")"),0)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IFERROR(__xludf.DUMMYFUNCTION("IMPORTRANGE(""https://docs.google.com/spreadsheets/d/1tdoBKaGub7dwA3U6UFTqxio9LNnvDCQjHKmttSEBsFQ/edit?usp=sharing"",""จัดที่ดิน!AY70"")"),0)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IFERROR(__xludf.DUMMYFUNCTION("IMPORTRANGE(""https://docs.google.com/spreadsheets/d/1tdoBKaGub7dwA3U6UFTqxio9LNnvDCQjHKmttSEBsFQ/edit?usp=sharing"",""จัดที่ดิน!AZ70"")"),0)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IFERROR(__xludf.DUMMYFUNCTION("IMPORTRANGE(""https://docs.google.com/spreadsheets/d/1eHaY18a8A9IcSdp1K8H6x8fbOy06t2VsZHhMHf-1x7Y/edit?usp=sharing"",""แผน!IL70"")"),0)</f>
        <v>0</v>
      </c>
      <c r="J673" s="291">
        <f ca="1">IFERROR(__xludf.DUMMYFUNCTION("IMPORTRANGE(""https://docs.google.com/spreadsheets/d/1tdoBKaGub7dwA3U6UFTqxio9LNnvDCQjHKmttSEBsFQ/edit?usp=sharing"",""จัดที่ดิน!BA70"")"),0)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IFERROR(__xludf.DUMMYFUNCTION("IMPORTRANGE(""https://docs.google.com/spreadsheets/d/1eHaY18a8A9IcSdp1K8H6x8fbOy06t2VsZHhMHf-1x7Y/edit?usp=sharing"",""แผน!IM70"")"),5)</f>
        <v>5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IFERROR(__xludf.DUMMYFUNCTION("IMPORTRANGE(""https://docs.google.com/spreadsheets/d/1eHaY18a8A9IcSdp1K8H6x8fbOy06t2VsZHhMHf-1x7Y/edit?usp=sharing"",""แผน!IN70"")"),30)</f>
        <v>30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IFERROR(__xludf.DUMMYFUNCTION("IMPORTRANGE(""https://docs.google.com/spreadsheets/d/1eHaY18a8A9IcSdp1K8H6x8fbOy06t2VsZHhMHf-1x7Y/edit?usp=sharing"",""แผน!IO70"")"),5)</f>
        <v>5</v>
      </c>
      <c r="J676" s="291">
        <f ca="1">IFERROR(__xludf.DUMMYFUNCTION("IMPORTRANGE(""https://docs.google.com/spreadsheets/d/1tdoBKaGub7dwA3U6UFTqxio9LNnvDCQjHKmttSEBsFQ/edit?usp=sharing"",""จัดที่ดิน!BF70"")"),0)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IFERROR(__xludf.DUMMYFUNCTION("IMPORTRANGE(""https://docs.google.com/spreadsheets/d/1tdoBKaGub7dwA3U6UFTqxio9LNnvDCQjHKmttSEBsFQ/edit?usp=sharing"",""จัดที่ดิน!BG70"")"),0)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IFERROR(__xludf.DUMMYFUNCTION("IMPORTRANGE(""https://docs.google.com/spreadsheets/d/1eHaY18a8A9IcSdp1K8H6x8fbOy06t2VsZHhMHf-1x7Y/edit?usp=sharing"",""แผน!IP70"")"),30)</f>
        <v>30</v>
      </c>
      <c r="J678" s="291">
        <f ca="1">IFERROR(__xludf.DUMMYFUNCTION("IMPORTRANGE(""https://docs.google.com/spreadsheets/d/1tdoBKaGub7dwA3U6UFTqxio9LNnvDCQjHKmttSEBsFQ/edit?usp=sharing"",""จัดที่ดิน!BH70"")"),0)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IFERROR(__xludf.DUMMYFUNCTION("IMPORTRANGE(""https://docs.google.com/spreadsheets/d/1eHaY18a8A9IcSdp1K8H6x8fbOy06t2VsZHhMHf-1x7Y/edit?usp=sharing"",""แผน!IQ70"")"),0)</f>
        <v>0</v>
      </c>
      <c r="J679" s="291">
        <f ca="1">IFERROR(__xludf.DUMMYFUNCTION("IMPORTRANGE(""https://docs.google.com/spreadsheets/d/1tdoBKaGub7dwA3U6UFTqxio9LNnvDCQjHKmttSEBsFQ/edit?usp=sharing"",""จัดที่ดิน!BK70"")"),0)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IFERROR(__xludf.DUMMYFUNCTION("IMPORTRANGE(""https://docs.google.com/spreadsheets/d/1tdoBKaGub7dwA3U6UFTqxio9LNnvDCQjHKmttSEBsFQ/edit?usp=sharing"",""จัดที่ดิน!BL70"")"),0)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IFERROR(__xludf.DUMMYFUNCTION("IMPORTRANGE(""https://docs.google.com/spreadsheets/d/1eHaY18a8A9IcSdp1K8H6x8fbOy06t2VsZHhMHf-1x7Y/edit?usp=sharing"",""แผน!IR70"")"),0)</f>
        <v>0</v>
      </c>
      <c r="J681" s="291">
        <f ca="1">IFERROR(__xludf.DUMMYFUNCTION("IMPORTRANGE(""https://docs.google.com/spreadsheets/d/1tdoBKaGub7dwA3U6UFTqxio9LNnvDCQjHKmttSEBsFQ/edit?usp=sharing"",""จัดที่ดิน!BM70"")"),0)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IFERROR(__xludf.DUMMYFUNCTION("IMPORTRANGE(""https://docs.google.com/spreadsheets/d/1eHaY18a8A9IcSdp1K8H6x8fbOy06t2VsZHhMHf-1x7Y/edit?usp=sharing"",""แผน!IS70"")"),0)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30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121560</v>
      </c>
      <c r="R690" s="262">
        <f ca="1">R691+R692</f>
        <v>121560</v>
      </c>
      <c r="S690" s="262">
        <f ca="1">S691+S692</f>
        <v>35162</v>
      </c>
      <c r="T690" s="262">
        <f t="shared" ref="T690:T698" ca="1" si="169">IF(Q690&gt;0,S690*100/Q690,0)</f>
        <v>28.925633432050017</v>
      </c>
      <c r="U690" s="262">
        <f t="shared" ref="U690:U698" ca="1" si="170">IF(R690&gt;0,S690*100/R690,0)</f>
        <v>28.925633432050017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121560</v>
      </c>
      <c r="R692" s="72">
        <f t="shared" ca="1" si="172"/>
        <v>121560</v>
      </c>
      <c r="S692" s="72">
        <f t="shared" ca="1" si="172"/>
        <v>35162</v>
      </c>
      <c r="T692" s="72">
        <f t="shared" ca="1" si="169"/>
        <v>28.925633432050017</v>
      </c>
      <c r="U692" s="72">
        <f t="shared" ca="1" si="170"/>
        <v>28.925633432050017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121560</v>
      </c>
      <c r="R693" s="72">
        <f ca="1">R694+R695</f>
        <v>121560</v>
      </c>
      <c r="S693" s="72">
        <f ca="1">S694+S695</f>
        <v>35162</v>
      </c>
      <c r="T693" s="72">
        <f t="shared" ca="1" si="169"/>
        <v>28.925633432050017</v>
      </c>
      <c r="U693" s="72">
        <f t="shared" ca="1" si="170"/>
        <v>28.925633432050017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IFERROR(__xludf.DUMMYFUNCTION("IMPORTRANGE(""https://docs.google.com/spreadsheets/d/1ItG2mGa2ceCfYo0BwxsXqNm01IGEUdYcSSLTEv9YCik/edit?usp=sharing"",""เบิกจ่ายกองทุน!L70"")"),121560)</f>
        <v>121560</v>
      </c>
      <c r="R695" s="72">
        <f ca="1">IFERROR(__xludf.DUMMYFUNCTION("IMPORTRANGE(""https://docs.google.com/spreadsheets/d/1ItG2mGa2ceCfYo0BwxsXqNm01IGEUdYcSSLTEv9YCik/edit?usp=sharing"",""เบิกจ่ายกองทุน!M70"")"),121560)</f>
        <v>121560</v>
      </c>
      <c r="S695" s="72">
        <f ca="1">IFERROR(__xludf.DUMMYFUNCTION("IMPORTRANGE(""https://docs.google.com/spreadsheets/d/1ItG2mGa2ceCfYo0BwxsXqNm01IGEUdYcSSLTEv9YCik/edit?usp=sharing"",""เบิกจ่ายกองทุน!N70"")"),35162)</f>
        <v>35162</v>
      </c>
      <c r="T695" s="72">
        <f t="shared" ca="1" si="169"/>
        <v>28.925633432050017</v>
      </c>
      <c r="U695" s="72">
        <f t="shared" ca="1" si="170"/>
        <v>28.925633432050017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IFERROR(__xludf.DUMMYFUNCTION("IMPORTRANGE(""https://docs.google.com/spreadsheets/d/1eHaY18a8A9IcSdp1K8H6x8fbOy06t2VsZHhMHf-1x7Y/edit?usp=sharing"",""แผน!LC70"")"),0)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32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IFERROR(__xludf.DUMMYFUNCTION("IMPORTRANGE(""https://docs.google.com/spreadsheets/d/1eHaY18a8A9IcSdp1K8H6x8fbOy06t2VsZHhMHf-1x7Y/edit?usp=sharing"",""แผน!LJ70"")"),30)</f>
        <v>30</v>
      </c>
      <c r="J703" s="291">
        <f ca="1">IFERROR(__xludf.DUMMYFUNCTION("IMPORTRANGE(""https://docs.google.com/spreadsheets/d/1tdoBKaGub7dwA3U6UFTqxio9LNnvDCQjHKmttSEBsFQ/edit?usp=sharing"",""จัดที่ดิน!AP70"")"),0)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IFERROR(__xludf.DUMMYFUNCTION("IMPORTRANGE(""https://docs.google.com/spreadsheets/d/1tdoBKaGub7dwA3U6UFTqxio9LNnvDCQjHKmttSEBsFQ/edit?usp=sharing"",""จัดที่ดิน!AQ70"")"),0)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IFERROR(__xludf.DUMMYFUNCTION("IMPORTRANGE(""https://docs.google.com/spreadsheets/d/1eHaY18a8A9IcSdp1K8H6x8fbOy06t2VsZHhMHf-1x7Y/edit?usp=sharing"",""แผน!LK70"")"),2)</f>
        <v>2</v>
      </c>
      <c r="J705" s="291">
        <f ca="1">IFERROR(__xludf.DUMMYFUNCTION("IMPORTRANGE(""https://docs.google.com/spreadsheets/d/1tdoBKaGub7dwA3U6UFTqxio9LNnvDCQjHKmttSEBsFQ/edit?usp=sharing"",""จัดที่ดิน!AR70"")"),0)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IFERROR(__xludf.DUMMYFUNCTION("IMPORTRANGE(""https://docs.google.com/spreadsheets/d/1tdoBKaGub7dwA3U6UFTqxio9LNnvDCQjHKmttSEBsFQ/edit?usp=sharing"",""จัดที่ดิน!AS70"")"),0)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IFERROR(__xludf.DUMMYFUNCTION("IMPORTRANGE(""https://docs.google.com/spreadsheets/d/1eHaY18a8A9IcSdp1K8H6x8fbOy06t2VsZHhMHf-1x7Y/edit?usp=sharing"",""แผน!LJ70"")"),30)</f>
        <v>30</v>
      </c>
      <c r="J707" s="291">
        <f ca="1">IFERROR(__xludf.DUMMYFUNCTION("IMPORTRANGE(""https://docs.google.com/spreadsheets/d/1tdoBKaGub7dwA3U6UFTqxio9LNnvDCQjHKmttSEBsFQ/edit?usp=sharing"",""จัดที่ดิน!BN70"")"),0)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IFERROR(__xludf.DUMMYFUNCTION("IMPORTRANGE(""https://docs.google.com/spreadsheets/d/1tdoBKaGub7dwA3U6UFTqxio9LNnvDCQjHKmttSEBsFQ/edit?usp=sharing"",""จัดที่ดิน!BO70"")"),0)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IFERROR(__xludf.DUMMYFUNCTION("IMPORTRANGE(""https://docs.google.com/spreadsheets/d/1eHaY18a8A9IcSdp1K8H6x8fbOy06t2VsZHhMHf-1x7Y/edit?usp=sharing"",""แผน!LK70"")"),2)</f>
        <v>2</v>
      </c>
      <c r="J709" s="291">
        <f ca="1">IFERROR(__xludf.DUMMYFUNCTION("IMPORTRANGE(""https://docs.google.com/spreadsheets/d/1tdoBKaGub7dwA3U6UFTqxio9LNnvDCQjHKmttSEBsFQ/edit?usp=sharing"",""จัดที่ดิน!BP70"")"),0)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IFERROR(__xludf.DUMMYFUNCTION("IMPORTRANGE(""https://docs.google.com/spreadsheets/d/1tdoBKaGub7dwA3U6UFTqxio9LNnvDCQjHKmttSEBsFQ/edit?usp=sharing"",""จัดที่ดิน!BQ70"")"),0)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IFERROR(__xludf.DUMMYFUNCTION("IMPORTRANGE(""https://docs.google.com/spreadsheets/d/1eHaY18a8A9IcSdp1K8H6x8fbOy06t2VsZHhMHf-1x7Y/edit?usp=sharing"",""แผน!GA70"")"),11)</f>
        <v>11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IFERROR(__xludf.DUMMYFUNCTION("IMPORTRANGE(""https://docs.google.com/spreadsheets/d/1eHaY18a8A9IcSdp1K8H6x8fbOy06t2VsZHhMHf-1x7Y/edit?usp=sharing"",""แผน!FZ70"")"),100)</f>
        <v>100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111882</v>
      </c>
      <c r="R728" s="262">
        <f ca="1">R729+R730</f>
        <v>111882</v>
      </c>
      <c r="S728" s="262">
        <f ca="1">S729+S730</f>
        <v>79680</v>
      </c>
      <c r="T728" s="262">
        <f t="shared" ref="T728:T736" ca="1" si="182">IF(Q728&gt;0,S728*100/Q728,0)</f>
        <v>71.217890277256402</v>
      </c>
      <c r="U728" s="262">
        <f t="shared" ref="U728:U736" ca="1" si="183">IF(R728&gt;0,S728*100/R728,0)</f>
        <v>71.217890277256402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111882</v>
      </c>
      <c r="R730" s="72">
        <f t="shared" ca="1" si="185"/>
        <v>111882</v>
      </c>
      <c r="S730" s="72">
        <f t="shared" ca="1" si="185"/>
        <v>79680</v>
      </c>
      <c r="T730" s="72">
        <f t="shared" ca="1" si="182"/>
        <v>71.217890277256402</v>
      </c>
      <c r="U730" s="72">
        <f t="shared" ca="1" si="183"/>
        <v>71.217890277256402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111882</v>
      </c>
      <c r="R731" s="72">
        <f ca="1">R732+R733</f>
        <v>111882</v>
      </c>
      <c r="S731" s="72">
        <f ca="1">S732+S733</f>
        <v>79680</v>
      </c>
      <c r="T731" s="72">
        <f t="shared" ca="1" si="182"/>
        <v>71.217890277256402</v>
      </c>
      <c r="U731" s="72">
        <f t="shared" ca="1" si="183"/>
        <v>71.217890277256402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IFERROR(__xludf.DUMMYFUNCTION("IMPORTRANGE(""https://docs.google.com/spreadsheets/d/1ItG2mGa2ceCfYo0BwxsXqNm01IGEUdYcSSLTEv9YCik/edit?usp=sharing"",""เบิกจ่ายกองทุน!O70"")"),111882)</f>
        <v>111882</v>
      </c>
      <c r="R733" s="72">
        <f ca="1">IFERROR(__xludf.DUMMYFUNCTION("IMPORTRANGE(""https://docs.google.com/spreadsheets/d/1ItG2mGa2ceCfYo0BwxsXqNm01IGEUdYcSSLTEv9YCik/edit?usp=sharing"",""เบิกจ่ายกองทุน!P70"")"),111882)</f>
        <v>111882</v>
      </c>
      <c r="S733" s="72">
        <f ca="1">IFERROR(__xludf.DUMMYFUNCTION("IMPORTRANGE(""https://docs.google.com/spreadsheets/d/1ItG2mGa2ceCfYo0BwxsXqNm01IGEUdYcSSLTEv9YCik/edit?usp=sharing"",""เบิกจ่ายกองทุน!Q70"")"),79680)</f>
        <v>79680</v>
      </c>
      <c r="T733" s="72">
        <f t="shared" ca="1" si="182"/>
        <v>71.217890277256402</v>
      </c>
      <c r="U733" s="72">
        <f t="shared" ca="1" si="183"/>
        <v>71.217890277256402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IFERROR(__xludf.DUMMYFUNCTION("IMPORTRANGE(""https://docs.google.com/spreadsheets/d/1eHaY18a8A9IcSdp1K8H6x8fbOy06t2VsZHhMHf-1x7Y/edit?usp=sharing"",""แผน!GB70"")"),80)</f>
        <v>80</v>
      </c>
      <c r="J740" s="794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IFERROR(__xludf.DUMMYFUNCTION("IMPORTRANGE(""https://docs.google.com/spreadsheets/d/1eHaY18a8A9IcSdp1K8H6x8fbOy06t2VsZHhMHf-1x7Y/edit?usp=sharing"",""แผน!GC70"")"),8)</f>
        <v>8</v>
      </c>
      <c r="J742" s="794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IFERROR(__xludf.DUMMYFUNCTION("IMPORTRANGE(""https://docs.google.com/spreadsheets/d/1eHaY18a8A9IcSdp1K8H6x8fbOy06t2VsZHhMHf-1x7Y/edit?usp=sharing"",""แผน!GD70"")"),20)</f>
        <v>20</v>
      </c>
      <c r="J744" s="794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IFERROR(__xludf.DUMMYFUNCTION("IMPORTRANGE(""https://docs.google.com/spreadsheets/d/1eHaY18a8A9IcSdp1K8H6x8fbOy06t2VsZHhMHf-1x7Y/edit?usp=sharing"",""แผน!GE70"")"),2)</f>
        <v>2</v>
      </c>
      <c r="J746" s="794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IFERROR(__xludf.DUMMYFUNCTION("IMPORTRANGE(""https://docs.google.com/spreadsheets/d/1eHaY18a8A9IcSdp1K8H6x8fbOy06t2VsZHhMHf-1x7Y/edit?usp=sharing"",""แผน!GF70"")"),1)</f>
        <v>1</v>
      </c>
      <c r="J749" s="794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IFERROR(__xludf.DUMMYFUNCTION("IMPORTRANGE(""https://docs.google.com/spreadsheets/d/1eHaY18a8A9IcSdp1K8H6x8fbOy06t2VsZHhMHf-1x7Y/edit?usp=sharing"",""แผน!GB70"")"),80)</f>
        <v>80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IFERROR(__xludf.DUMMYFUNCTION("IMPORTRANGE(""https://docs.google.com/spreadsheets/d/1eHaY18a8A9IcSdp1K8H6x8fbOy06t2VsZHhMHf-1x7Y/edit?usp=sharing"",""แผน!GD70"")"),20)</f>
        <v>20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15</v>
      </c>
      <c r="J758" s="743">
        <f>J772</f>
        <v>15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30</v>
      </c>
      <c r="J759" s="743">
        <f>J774</f>
        <v>30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117510</v>
      </c>
      <c r="R760" s="262">
        <f ca="1">R761+R762</f>
        <v>117510</v>
      </c>
      <c r="S760" s="262">
        <f ca="1">S761+S762</f>
        <v>77350</v>
      </c>
      <c r="T760" s="262">
        <f t="shared" ref="T760:T768" ca="1" si="188">IF(Q760&gt;0,S760*100/Q760,0)</f>
        <v>65.824185175729724</v>
      </c>
      <c r="U760" s="262">
        <f t="shared" ref="U760:U768" ca="1" si="189">IF(R760&gt;0,S760*100/R760,0)</f>
        <v>65.824185175729724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117510</v>
      </c>
      <c r="R762" s="72">
        <f t="shared" ca="1" si="191"/>
        <v>117510</v>
      </c>
      <c r="S762" s="72">
        <f t="shared" ca="1" si="191"/>
        <v>77350</v>
      </c>
      <c r="T762" s="72">
        <f t="shared" ca="1" si="188"/>
        <v>65.824185175729724</v>
      </c>
      <c r="U762" s="72">
        <f t="shared" ca="1" si="189"/>
        <v>65.824185175729724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117510</v>
      </c>
      <c r="R763" s="72">
        <f ca="1">R764+R765</f>
        <v>117510</v>
      </c>
      <c r="S763" s="72">
        <f ca="1">S764+S765</f>
        <v>77350</v>
      </c>
      <c r="T763" s="72">
        <f t="shared" ca="1" si="188"/>
        <v>65.824185175729724</v>
      </c>
      <c r="U763" s="72">
        <f t="shared" ca="1" si="189"/>
        <v>65.824185175729724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IFERROR(__xludf.DUMMYFUNCTION("IMPORTRANGE(""https://docs.google.com/spreadsheets/d/1ItG2mGa2ceCfYo0BwxsXqNm01IGEUdYcSSLTEv9YCik/edit?usp=sharing"",""เบิกจ่ายกองทุน!AA70"")"),117510)</f>
        <v>117510</v>
      </c>
      <c r="R765" s="72">
        <f ca="1">IFERROR(__xludf.DUMMYFUNCTION("IMPORTRANGE(""https://docs.google.com/spreadsheets/d/1ItG2mGa2ceCfYo0BwxsXqNm01IGEUdYcSSLTEv9YCik/edit?usp=sharing"",""เบิกจ่ายกองทุน!AB70"")"),117510)</f>
        <v>117510</v>
      </c>
      <c r="S765" s="72">
        <f ca="1">IFERROR(__xludf.DUMMYFUNCTION("IMPORTRANGE(""https://docs.google.com/spreadsheets/d/1ItG2mGa2ceCfYo0BwxsXqNm01IGEUdYcSSLTEv9YCik/edit?usp=sharing"",""เบิกจ่ายกองทุน!AC70"")"),77350)</f>
        <v>77350</v>
      </c>
      <c r="T765" s="72">
        <f t="shared" ca="1" si="188"/>
        <v>65.824185175729724</v>
      </c>
      <c r="U765" s="72">
        <f t="shared" ca="1" si="189"/>
        <v>65.824185175729724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IFERROR(__xludf.DUMMYFUNCTION("IMPORTRANGE(""https://docs.google.com/spreadsheets/d/1eHaY18a8A9IcSdp1K8H6x8fbOy06t2VsZHhMHf-1x7Y/edit?usp=sharing"",""แผน!FI70"")"),0)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IFERROR(__xludf.DUMMYFUNCTION("IMPORTRANGE(""https://docs.google.com/spreadsheets/d/1eHaY18a8A9IcSdp1K8H6x8fbOy06t2VsZHhMHf-1x7Y/edit?usp=sharing"",""แผน!FQ70"")"),15)</f>
        <v>15</v>
      </c>
      <c r="J772" s="292">
        <v>15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IFERROR(__xludf.DUMMYFUNCTION("IMPORTRANGE(""https://docs.google.com/spreadsheets/d/1eHaY18a8A9IcSdp1K8H6x8fbOy06t2VsZHhMHf-1x7Y/edit?usp=sharing"",""แผน!FR70"")"),30)</f>
        <v>30</v>
      </c>
      <c r="J774" s="292">
        <v>30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IFERROR(__xludf.DUMMYFUNCTION("IMPORTRANGE(""https://docs.google.com/spreadsheets/d/1eHaY18a8A9IcSdp1K8H6x8fbOy06t2VsZHhMHf-1x7Y/edit?usp=sharing"",""แผน!FS70"")"),30)</f>
        <v>30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IFERROR(__xludf.DUMMYFUNCTION("IMPORTRANGE(""https://docs.google.com/spreadsheets/d/1eHaY18a8A9IcSdp1K8H6x8fbOy06t2VsZHhMHf-1x7Y/edit?usp=sharing"",""แผน!FT70"")"),15)</f>
        <v>15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IFERROR(__xludf.DUMMYFUNCTION("IMPORTRANGE(""https://docs.google.com/spreadsheets/d/10OvvATaaLtwErnr3qtWFcTmtbfpFEt5Bsqel9sXx0uE/edit?usp=sharing"",""งานกองทุน!D70"")"),649443.03)</f>
        <v>649443.03</v>
      </c>
      <c r="J778" s="291">
        <f ca="1">IFERROR(__xludf.DUMMYFUNCTION("IMPORTRANGE(""https://docs.google.com/spreadsheets/d/10OvvATaaLtwErnr3qtWFcTmtbfpFEt5Bsqel9sXx0uE/edit?usp=sharing"",""งานกองทุน!F70"")"),634565.15)</f>
        <v>634565.15</v>
      </c>
      <c r="K778" s="72">
        <f t="shared" ref="K778:K785" ca="1" si="192">IF(I778&gt;0,J778*100/I778,0)</f>
        <v>97.709132393029137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IFERROR(__xludf.DUMMYFUNCTION("IMPORTRANGE(""https://docs.google.com/spreadsheets/d/10OvvATaaLtwErnr3qtWFcTmtbfpFEt5Bsqel9sXx0uE/edit?usp=sharing"",""งานกองทุน!C70"")"),36)</f>
        <v>36</v>
      </c>
      <c r="J779" s="291">
        <f ca="1">IFERROR(__xludf.DUMMYFUNCTION("IMPORTRANGE(""https://docs.google.com/spreadsheets/d/10OvvATaaLtwErnr3qtWFcTmtbfpFEt5Bsqel9sXx0uE/edit?usp=sharing"",""งานกองทุน!E70"")"),65)</f>
        <v>65</v>
      </c>
      <c r="K779" s="72">
        <f t="shared" ca="1" si="192"/>
        <v>180.55555555555554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IFERROR(__xludf.DUMMYFUNCTION("IMPORTRANGE(""https://docs.google.com/spreadsheets/d/10OvvATaaLtwErnr3qtWFcTmtbfpFEt5Bsqel9sXx0uE/edit?usp=sharing"",""งานกองทุน!I70"")"),19410912.42)</f>
        <v>19410912.420000002</v>
      </c>
      <c r="J780" s="291">
        <f ca="1">IFERROR(__xludf.DUMMYFUNCTION("IMPORTRANGE(""https://docs.google.com/spreadsheets/d/10OvvATaaLtwErnr3qtWFcTmtbfpFEt5Bsqel9sXx0uE/edit?usp=sharing"",""งานกองทุน!K70"")"),17266.17)</f>
        <v>17266.169999999998</v>
      </c>
      <c r="K780" s="72">
        <f t="shared" ca="1" si="192"/>
        <v>8.8950841806950953E-2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IFERROR(__xludf.DUMMYFUNCTION("IMPORTRANGE(""https://docs.google.com/spreadsheets/d/10OvvATaaLtwErnr3qtWFcTmtbfpFEt5Bsqel9sXx0uE/edit?usp=sharing"",""งานกองทุน!H70"")"),300)</f>
        <v>300</v>
      </c>
      <c r="J781" s="291">
        <f ca="1">IFERROR(__xludf.DUMMYFUNCTION("IMPORTRANGE(""https://docs.google.com/spreadsheets/d/10OvvATaaLtwErnr3qtWFcTmtbfpFEt5Bsqel9sXx0uE/edit?usp=sharing"",""งานกองทุน!J70"")"),1)</f>
        <v>1</v>
      </c>
      <c r="K781" s="72">
        <f t="shared" ca="1" si="192"/>
        <v>0.33333333333333331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IFERROR(__xludf.DUMMYFUNCTION("IMPORTRANGE(""https://docs.google.com/spreadsheets/d/10OvvATaaLtwErnr3qtWFcTmtbfpFEt5Bsqel9sXx0uE/edit?usp=sharing"",""งานกองทุน!N70"")"),2378011.96)</f>
        <v>2378011.96</v>
      </c>
      <c r="J782" s="291">
        <f ca="1">IFERROR(__xludf.DUMMYFUNCTION("IMPORTRANGE(""https://docs.google.com/spreadsheets/d/10OvvATaaLtwErnr3qtWFcTmtbfpFEt5Bsqel9sXx0uE/edit?usp=sharing"",""งานกองทุน!P70"")"),280454.08)</f>
        <v>280454.08</v>
      </c>
      <c r="K782" s="72">
        <f t="shared" ca="1" si="192"/>
        <v>11.793636227128143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IFERROR(__xludf.DUMMYFUNCTION("IMPORTRANGE(""https://docs.google.com/spreadsheets/d/10OvvATaaLtwErnr3qtWFcTmtbfpFEt5Bsqel9sXx0uE/edit?usp=sharing"",""งานกองทุน!M70"")"),86)</f>
        <v>86</v>
      </c>
      <c r="J783" s="291">
        <f ca="1">IFERROR(__xludf.DUMMYFUNCTION("IMPORTRANGE(""https://docs.google.com/spreadsheets/d/10OvvATaaLtwErnr3qtWFcTmtbfpFEt5Bsqel9sXx0uE/edit?usp=sharing"",""งานกองทุน!O70"")"),15)</f>
        <v>15</v>
      </c>
      <c r="K783" s="72">
        <f t="shared" ca="1" si="192"/>
        <v>17.441860465116278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IFERROR(__xludf.DUMMYFUNCTION("IMPORTRANGE(""https://docs.google.com/spreadsheets/d/10OvvATaaLtwErnr3qtWFcTmtbfpFEt5Bsqel9sXx0uE/edit?usp=sharing"",""งานกองทุน!S70"")"),2492000)</f>
        <v>2492000</v>
      </c>
      <c r="J784" s="291">
        <f ca="1">IFERROR(__xludf.DUMMYFUNCTION("IMPORTRANGE(""https://docs.google.com/spreadsheets/d/10OvvATaaLtwErnr3qtWFcTmtbfpFEt5Bsqel9sXx0uE/edit?usp=sharing"",""งานกองทุน!U70"")"),500000)</f>
        <v>500000</v>
      </c>
      <c r="K784" s="72">
        <f t="shared" ca="1" si="192"/>
        <v>20.064205457463885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IFERROR(__xludf.DUMMYFUNCTION("IMPORTRANGE(""https://docs.google.com/spreadsheets/d/10OvvATaaLtwErnr3qtWFcTmtbfpFEt5Bsqel9sXx0uE/edit?usp=sharing"",""งานกองทุน!R70"")"),89)</f>
        <v>89</v>
      </c>
      <c r="J785" s="773">
        <f ca="1">IFERROR(__xludf.DUMMYFUNCTION("IMPORTRANGE(""https://docs.google.com/spreadsheets/d/10OvvATaaLtwErnr3qtWFcTmtbfpFEt5Bsqel9sXx0uE/edit?usp=sharing"",""งานกองทุน!T70"")"),10)</f>
        <v>10</v>
      </c>
      <c r="K785" s="181">
        <f t="shared" ca="1" si="192"/>
        <v>11.235955056179776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fitToHeight="0" orientation="portrait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2EE9-4212-4C1E-B924-2A24A60464D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27" t="s">
        <v>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  <c r="S1" s="1427"/>
      <c r="T1" s="1427"/>
      <c r="U1" s="1427"/>
    </row>
    <row r="2" spans="1:21" ht="19.5" x14ac:dyDescent="0.3">
      <c r="A2" s="1427" t="s">
        <v>333</v>
      </c>
      <c r="B2" s="1427"/>
      <c r="C2" s="1427"/>
      <c r="D2" s="1427"/>
      <c r="E2" s="1427"/>
      <c r="F2" s="1427"/>
      <c r="G2" s="1427"/>
      <c r="H2" s="1427"/>
      <c r="I2" s="1427"/>
      <c r="J2" s="1427"/>
      <c r="K2" s="1427"/>
      <c r="L2" s="1427"/>
      <c r="M2" s="1427"/>
      <c r="N2" s="1427"/>
      <c r="O2" s="1427"/>
      <c r="P2" s="1427"/>
      <c r="Q2" s="1427"/>
      <c r="R2" s="1427"/>
      <c r="S2" s="1427"/>
      <c r="T2" s="1427"/>
      <c r="U2" s="1427"/>
    </row>
    <row r="3" spans="1:21" ht="19.5" x14ac:dyDescent="0.3">
      <c r="A3" s="1468" t="s">
        <v>368</v>
      </c>
      <c r="B3" s="1468"/>
      <c r="C3" s="1468"/>
      <c r="D3" s="1468"/>
      <c r="E3" s="1468"/>
      <c r="F3" s="1468"/>
      <c r="G3" s="1468"/>
      <c r="H3" s="1468"/>
      <c r="I3" s="1468"/>
      <c r="J3" s="1468"/>
      <c r="K3" s="1468"/>
      <c r="L3" s="1468"/>
      <c r="M3" s="1468"/>
      <c r="N3" s="1468"/>
      <c r="O3" s="1468"/>
      <c r="P3" s="1468"/>
      <c r="Q3" s="1468"/>
      <c r="R3" s="1468"/>
      <c r="S3" s="1468"/>
      <c r="T3" s="1468"/>
      <c r="U3" s="1468"/>
    </row>
    <row r="4" spans="1:21" ht="19.5" x14ac:dyDescent="0.2">
      <c r="A4" s="1445" t="s">
        <v>2</v>
      </c>
      <c r="B4" s="1405"/>
      <c r="C4" s="1405"/>
      <c r="D4" s="1405"/>
      <c r="E4" s="1405"/>
      <c r="F4" s="1405"/>
      <c r="G4" s="1406"/>
      <c r="H4" s="1437" t="s">
        <v>3</v>
      </c>
      <c r="I4" s="1443" t="s">
        <v>4</v>
      </c>
      <c r="J4" s="1405"/>
      <c r="K4" s="1406"/>
      <c r="L4" s="1438" t="s">
        <v>5</v>
      </c>
      <c r="M4" s="1414"/>
      <c r="N4" s="1414"/>
      <c r="O4" s="1414"/>
      <c r="P4" s="1415"/>
      <c r="Q4" s="1439" t="s">
        <v>6</v>
      </c>
      <c r="R4" s="1414"/>
      <c r="S4" s="1414"/>
      <c r="T4" s="1414"/>
      <c r="U4" s="1415"/>
    </row>
    <row r="5" spans="1:21" ht="19.5" x14ac:dyDescent="0.2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34" t="s">
        <v>7</v>
      </c>
      <c r="M5" s="1412"/>
      <c r="N5" s="1435" t="s">
        <v>8</v>
      </c>
      <c r="O5" s="1411"/>
      <c r="P5" s="1412"/>
      <c r="Q5" s="1436" t="s">
        <v>7</v>
      </c>
      <c r="R5" s="1412"/>
      <c r="S5" s="1435" t="s">
        <v>8</v>
      </c>
      <c r="T5" s="1411"/>
      <c r="U5" s="1412"/>
    </row>
    <row r="6" spans="1:21" ht="19.5" x14ac:dyDescent="0.2">
      <c r="A6" s="1410"/>
      <c r="B6" s="1411"/>
      <c r="C6" s="1411"/>
      <c r="D6" s="1411"/>
      <c r="E6" s="1411"/>
      <c r="F6" s="1411"/>
      <c r="G6" s="1412"/>
      <c r="H6" s="1430"/>
      <c r="I6" s="1264" t="s">
        <v>9</v>
      </c>
      <c r="J6" s="1265" t="s">
        <v>10</v>
      </c>
      <c r="K6" s="1264" t="s">
        <v>11</v>
      </c>
      <c r="L6" s="1263" t="s">
        <v>12</v>
      </c>
      <c r="M6" s="1261" t="s">
        <v>13</v>
      </c>
      <c r="N6" s="1260" t="s">
        <v>14</v>
      </c>
      <c r="O6" s="1259" t="s">
        <v>332</v>
      </c>
      <c r="P6" s="1258" t="s">
        <v>331</v>
      </c>
      <c r="Q6" s="1262" t="s">
        <v>12</v>
      </c>
      <c r="R6" s="1261" t="s">
        <v>13</v>
      </c>
      <c r="S6" s="1260" t="s">
        <v>14</v>
      </c>
      <c r="T6" s="1259" t="s">
        <v>332</v>
      </c>
      <c r="U6" s="1258" t="s">
        <v>331</v>
      </c>
    </row>
    <row r="7" spans="1:21" ht="19.5" hidden="1" x14ac:dyDescent="0.3">
      <c r="A7" s="1446"/>
      <c r="B7" s="1414"/>
      <c r="C7" s="1414"/>
      <c r="D7" s="1414"/>
      <c r="E7" s="1414"/>
      <c r="F7" s="1414"/>
      <c r="G7" s="1415"/>
      <c r="H7" s="1257"/>
      <c r="I7" s="1256"/>
      <c r="J7" s="1256"/>
      <c r="K7" s="1255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9.5" hidden="1" x14ac:dyDescent="0.3">
      <c r="A8" s="1238"/>
      <c r="B8" s="1171"/>
      <c r="C8" s="1207"/>
      <c r="D8" s="1241"/>
      <c r="E8" s="1171"/>
      <c r="F8" s="1171"/>
      <c r="G8" s="1170"/>
      <c r="H8" s="1240"/>
      <c r="I8" s="1206"/>
      <c r="J8" s="1206"/>
      <c r="K8" s="1205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8.75" hidden="1" x14ac:dyDescent="0.25">
      <c r="A9" s="1238"/>
      <c r="B9" s="1171"/>
      <c r="C9" s="1171"/>
      <c r="D9" s="1171"/>
      <c r="E9" s="894"/>
      <c r="F9" s="1171"/>
      <c r="G9" s="1170"/>
      <c r="H9" s="893"/>
      <c r="I9" s="1206"/>
      <c r="J9" s="1206"/>
      <c r="K9" s="1205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8.75" hidden="1" x14ac:dyDescent="0.25">
      <c r="A10" s="1238"/>
      <c r="B10" s="1171"/>
      <c r="C10" s="1171"/>
      <c r="D10" s="1171"/>
      <c r="E10" s="894"/>
      <c r="F10" s="1171"/>
      <c r="G10" s="1170"/>
      <c r="H10" s="893"/>
      <c r="I10" s="1206"/>
      <c r="J10" s="1206"/>
      <c r="K10" s="1205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8.75" hidden="1" x14ac:dyDescent="0.25">
      <c r="A11" s="1238"/>
      <c r="B11" s="1171"/>
      <c r="C11" s="1171"/>
      <c r="D11" s="1239"/>
      <c r="E11" s="1171"/>
      <c r="F11" s="1171"/>
      <c r="G11" s="1170"/>
      <c r="H11" s="893"/>
      <c r="I11" s="1206"/>
      <c r="J11" s="1206"/>
      <c r="K11" s="1205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8.75" hidden="1" x14ac:dyDescent="0.25">
      <c r="A12" s="1238"/>
      <c r="B12" s="1171"/>
      <c r="C12" s="1171"/>
      <c r="D12" s="1171"/>
      <c r="E12" s="894"/>
      <c r="F12" s="1171"/>
      <c r="G12" s="1170"/>
      <c r="H12" s="893"/>
      <c r="I12" s="1206"/>
      <c r="J12" s="1206"/>
      <c r="K12" s="1205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8.75" hidden="1" x14ac:dyDescent="0.25">
      <c r="A13" s="1238"/>
      <c r="B13" s="1171"/>
      <c r="C13" s="1171"/>
      <c r="D13" s="1171"/>
      <c r="E13" s="894"/>
      <c r="F13" s="1171"/>
      <c r="G13" s="1170"/>
      <c r="H13" s="893"/>
      <c r="I13" s="1206"/>
      <c r="J13" s="1206"/>
      <c r="K13" s="1205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8.75" hidden="1" x14ac:dyDescent="0.25">
      <c r="A14" s="1238"/>
      <c r="B14" s="1171"/>
      <c r="C14" s="1171"/>
      <c r="D14" s="1239"/>
      <c r="E14" s="1171"/>
      <c r="F14" s="1171"/>
      <c r="G14" s="1170"/>
      <c r="H14" s="893"/>
      <c r="I14" s="1206"/>
      <c r="J14" s="1206"/>
      <c r="K14" s="1205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8.75" hidden="1" x14ac:dyDescent="0.25">
      <c r="A15" s="1238"/>
      <c r="B15" s="1171"/>
      <c r="C15" s="1171"/>
      <c r="D15" s="1171"/>
      <c r="E15" s="894"/>
      <c r="F15" s="1171"/>
      <c r="G15" s="1170"/>
      <c r="H15" s="893"/>
      <c r="I15" s="1206"/>
      <c r="J15" s="1206"/>
      <c r="K15" s="1205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8.75" hidden="1" x14ac:dyDescent="0.25">
      <c r="A16" s="1237"/>
      <c r="B16" s="1235"/>
      <c r="C16" s="1235"/>
      <c r="D16" s="1235"/>
      <c r="E16" s="1236"/>
      <c r="F16" s="1235"/>
      <c r="G16" s="1234"/>
      <c r="H16" s="1233"/>
      <c r="I16" s="1232"/>
      <c r="J16" s="1232"/>
      <c r="K16" s="1231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16" t="s">
        <v>17</v>
      </c>
      <c r="B17" s="1411"/>
      <c r="C17" s="1411"/>
      <c r="D17" s="1411"/>
      <c r="E17" s="1411"/>
      <c r="F17" s="1411"/>
      <c r="G17" s="1412"/>
      <c r="H17" s="41"/>
      <c r="I17" s="42"/>
      <c r="J17" s="42"/>
      <c r="K17" s="43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46"/>
      <c r="B18" s="47"/>
      <c r="C18" s="1254" t="s">
        <v>18</v>
      </c>
      <c r="D18" s="1253" t="s">
        <v>19</v>
      </c>
      <c r="E18" s="47"/>
      <c r="F18" s="47"/>
      <c r="G18" s="50"/>
      <c r="H18" s="51" t="s">
        <v>14</v>
      </c>
      <c r="I18" s="52"/>
      <c r="J18" s="52"/>
      <c r="K18" s="53"/>
      <c r="L18" s="1252">
        <f ca="1">L19+L20</f>
        <v>6658013</v>
      </c>
      <c r="M18" s="1251">
        <f ca="1">M19+M20</f>
        <v>7015780.1200000001</v>
      </c>
      <c r="N18" s="1251">
        <f ca="1">N19+N20</f>
        <v>4058585.7199999997</v>
      </c>
      <c r="O18" s="1251">
        <f t="shared" ref="O18:O26" ca="1" si="0">IF(L18&gt;0,N18*100/L18,0)</f>
        <v>60.957912217954515</v>
      </c>
      <c r="P18" s="1251">
        <f t="shared" ref="P18:P26" ca="1" si="1">IF(M18&gt;0,N18*100/M18,0)</f>
        <v>57.849385963937536</v>
      </c>
      <c r="Q18" s="1251">
        <f ca="1">Q19+Q20</f>
        <v>3259078.39</v>
      </c>
      <c r="R18" s="1251">
        <f ca="1">R19+R20</f>
        <v>3266778</v>
      </c>
      <c r="S18" s="1251">
        <f ca="1">S19+S20</f>
        <v>1377031</v>
      </c>
      <c r="T18" s="1251">
        <f t="shared" ref="T18:T26" ca="1" si="2">IF(Q18&gt;0,S18*100/Q18,0)</f>
        <v>42.252159513107017</v>
      </c>
      <c r="U18" s="1251">
        <f t="shared" ref="U18:U26" ca="1" si="3">IF(R18&gt;0,S18*100/R18,0)</f>
        <v>42.152573575553653</v>
      </c>
    </row>
    <row r="19" spans="1:21" ht="18.75" hidden="1" x14ac:dyDescent="0.25">
      <c r="A19" s="1250"/>
      <c r="B19" s="1249"/>
      <c r="C19" s="1249"/>
      <c r="D19" s="1249"/>
      <c r="E19" s="1061" t="s">
        <v>20</v>
      </c>
      <c r="F19" s="1249"/>
      <c r="G19" s="1248"/>
      <c r="H19" s="1060" t="s">
        <v>14</v>
      </c>
      <c r="I19" s="1247"/>
      <c r="J19" s="1247"/>
      <c r="K19" s="1246"/>
      <c r="L19" s="1245">
        <f t="shared" ref="L19:N20" si="4">L22+L25</f>
        <v>0</v>
      </c>
      <c r="M19" s="1244">
        <f t="shared" si="4"/>
        <v>0</v>
      </c>
      <c r="N19" s="1244">
        <f t="shared" si="4"/>
        <v>0</v>
      </c>
      <c r="O19" s="1244">
        <f t="shared" si="0"/>
        <v>0</v>
      </c>
      <c r="P19" s="1244">
        <f t="shared" si="1"/>
        <v>0</v>
      </c>
      <c r="Q19" s="1244">
        <f t="shared" ref="Q19:S20" si="5">Q22+Q25</f>
        <v>0</v>
      </c>
      <c r="R19" s="1244">
        <f t="shared" si="5"/>
        <v>0</v>
      </c>
      <c r="S19" s="1244">
        <f t="shared" si="5"/>
        <v>0</v>
      </c>
      <c r="T19" s="1244">
        <f t="shared" si="2"/>
        <v>0</v>
      </c>
      <c r="U19" s="1244">
        <f t="shared" si="3"/>
        <v>0</v>
      </c>
    </row>
    <row r="20" spans="1:21" ht="18.75" hidden="1" x14ac:dyDescent="0.25">
      <c r="A20" s="46"/>
      <c r="B20" s="47"/>
      <c r="C20" s="47"/>
      <c r="D20" s="47"/>
      <c r="E20" s="58" t="s">
        <v>21</v>
      </c>
      <c r="F20" s="47"/>
      <c r="G20" s="50"/>
      <c r="H20" s="59" t="s">
        <v>14</v>
      </c>
      <c r="I20" s="52"/>
      <c r="J20" s="52"/>
      <c r="K20" s="53"/>
      <c r="L20" s="1243">
        <f t="shared" ca="1" si="4"/>
        <v>6658013</v>
      </c>
      <c r="M20" s="1242">
        <f t="shared" ca="1" si="4"/>
        <v>7015780.1200000001</v>
      </c>
      <c r="N20" s="1242">
        <f t="shared" ca="1" si="4"/>
        <v>4058585.7199999997</v>
      </c>
      <c r="O20" s="1242">
        <f t="shared" ca="1" si="0"/>
        <v>60.957912217954515</v>
      </c>
      <c r="P20" s="1242">
        <f t="shared" ca="1" si="1"/>
        <v>57.849385963937536</v>
      </c>
      <c r="Q20" s="1242">
        <f t="shared" ca="1" si="5"/>
        <v>3259078.39</v>
      </c>
      <c r="R20" s="1242">
        <f t="shared" ca="1" si="5"/>
        <v>3266778</v>
      </c>
      <c r="S20" s="1242">
        <f t="shared" ca="1" si="5"/>
        <v>1377031</v>
      </c>
      <c r="T20" s="1242">
        <f t="shared" ca="1" si="2"/>
        <v>42.252159513107017</v>
      </c>
      <c r="U20" s="1242">
        <f t="shared" ca="1" si="3"/>
        <v>42.152573575553653</v>
      </c>
    </row>
    <row r="21" spans="1:21" ht="18.75" x14ac:dyDescent="0.25">
      <c r="A21" s="64"/>
      <c r="B21" s="65"/>
      <c r="C21" s="65"/>
      <c r="D21" s="937" t="s">
        <v>22</v>
      </c>
      <c r="E21" s="65"/>
      <c r="F21" s="65"/>
      <c r="G21" s="67"/>
      <c r="H21" s="68" t="s">
        <v>14</v>
      </c>
      <c r="I21" s="69"/>
      <c r="J21" s="69"/>
      <c r="K21" s="70"/>
      <c r="L21" s="129">
        <f ca="1">L22+L23</f>
        <v>3687513</v>
      </c>
      <c r="M21" s="130">
        <f ca="1">M22+M23</f>
        <v>4045280.12</v>
      </c>
      <c r="N21" s="130">
        <f ca="1">N22+N23</f>
        <v>2649585.7199999997</v>
      </c>
      <c r="O21" s="130">
        <f t="shared" ca="1" si="0"/>
        <v>71.852918755811842</v>
      </c>
      <c r="P21" s="130">
        <f t="shared" ca="1" si="1"/>
        <v>65.498201395259613</v>
      </c>
      <c r="Q21" s="130">
        <f ca="1">Q22+Q23</f>
        <v>3259078.39</v>
      </c>
      <c r="R21" s="130">
        <f ca="1">R22+R23</f>
        <v>3266778</v>
      </c>
      <c r="S21" s="130">
        <f ca="1">S22+S23</f>
        <v>1377031</v>
      </c>
      <c r="T21" s="130">
        <f t="shared" ca="1" si="2"/>
        <v>42.252159513107017</v>
      </c>
      <c r="U21" s="130">
        <f t="shared" ca="1" si="3"/>
        <v>42.152573575553653</v>
      </c>
    </row>
    <row r="22" spans="1:21" ht="18.75" hidden="1" x14ac:dyDescent="0.25">
      <c r="A22" s="1209"/>
      <c r="B22" s="935"/>
      <c r="C22" s="935"/>
      <c r="D22" s="935"/>
      <c r="E22" s="263" t="s">
        <v>20</v>
      </c>
      <c r="F22" s="935"/>
      <c r="G22" s="934"/>
      <c r="H22" s="987" t="s">
        <v>14</v>
      </c>
      <c r="I22" s="939"/>
      <c r="J22" s="939"/>
      <c r="K22" s="938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64"/>
      <c r="B23" s="65"/>
      <c r="C23" s="65"/>
      <c r="D23" s="65"/>
      <c r="E23" s="73" t="s">
        <v>21</v>
      </c>
      <c r="F23" s="65"/>
      <c r="G23" s="67"/>
      <c r="H23" s="68" t="s">
        <v>14</v>
      </c>
      <c r="I23" s="69"/>
      <c r="J23" s="69"/>
      <c r="K23" s="70"/>
      <c r="L23" s="129">
        <f ca="1">L49+L64+L77+L99+L122+L144+L162+L191+L178+L271+L287+L308+L325+L338+L361+L380+L418+L498+L518+L539+L560+L581+L604+L621+L647+L695+L719+L733+L765</f>
        <v>3687513</v>
      </c>
      <c r="M23" s="130">
        <f ca="1">M49+M64+M77+M99+M122+M144+M162+M191+M178+M271+M287+M308+M325+M338+M361+M380+M418+M498+M518+M539+M560+M581+M604+M621+M647+M695+M719+M733+M765</f>
        <v>4045280.12</v>
      </c>
      <c r="N23" s="130">
        <f ca="1">N49+N64+N77+N99+N122+N144+N162+N191+N178+N271+N287+N308+N325+N338+N361+N380+N418+N498+N518+N539+N560+N581+N604+N621+N647+N695+N719+N733+N765</f>
        <v>2649585.7199999997</v>
      </c>
      <c r="O23" s="130">
        <f t="shared" ca="1" si="0"/>
        <v>71.852918755811842</v>
      </c>
      <c r="P23" s="130">
        <f t="shared" ca="1" si="1"/>
        <v>65.498201395259613</v>
      </c>
      <c r="Q23" s="130">
        <f t="shared" ca="1" si="6"/>
        <v>3259078.39</v>
      </c>
      <c r="R23" s="130">
        <f t="shared" ca="1" si="6"/>
        <v>3266778</v>
      </c>
      <c r="S23" s="130">
        <f t="shared" ca="1" si="6"/>
        <v>1377031</v>
      </c>
      <c r="T23" s="130">
        <f t="shared" ca="1" si="2"/>
        <v>42.252159513107017</v>
      </c>
      <c r="U23" s="130">
        <f t="shared" ca="1" si="3"/>
        <v>42.152573575553653</v>
      </c>
    </row>
    <row r="24" spans="1:21" ht="18.75" x14ac:dyDescent="0.25">
      <c r="A24" s="64"/>
      <c r="B24" s="65"/>
      <c r="C24" s="65"/>
      <c r="D24" s="937" t="s">
        <v>23</v>
      </c>
      <c r="E24" s="65"/>
      <c r="F24" s="65"/>
      <c r="G24" s="67"/>
      <c r="H24" s="68" t="s">
        <v>14</v>
      </c>
      <c r="I24" s="69"/>
      <c r="J24" s="69"/>
      <c r="K24" s="70"/>
      <c r="L24" s="129">
        <f ca="1">L25+L26</f>
        <v>2970500</v>
      </c>
      <c r="M24" s="130">
        <f ca="1">M25+M26</f>
        <v>2970500</v>
      </c>
      <c r="N24" s="130">
        <f ca="1">N25+N26</f>
        <v>1409000</v>
      </c>
      <c r="O24" s="130">
        <f t="shared" ca="1" si="0"/>
        <v>47.433092072041745</v>
      </c>
      <c r="P24" s="130">
        <f t="shared" ca="1" si="1"/>
        <v>47.433092072041745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1209"/>
      <c r="B25" s="935"/>
      <c r="C25" s="935"/>
      <c r="D25" s="935"/>
      <c r="E25" s="263" t="s">
        <v>20</v>
      </c>
      <c r="F25" s="935"/>
      <c r="G25" s="934"/>
      <c r="H25" s="987" t="s">
        <v>14</v>
      </c>
      <c r="I25" s="939"/>
      <c r="J25" s="939"/>
      <c r="K25" s="938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64"/>
      <c r="B26" s="65"/>
      <c r="C26" s="65"/>
      <c r="D26" s="65"/>
      <c r="E26" s="73" t="s">
        <v>21</v>
      </c>
      <c r="F26" s="65"/>
      <c r="G26" s="67"/>
      <c r="H26" s="68" t="s">
        <v>14</v>
      </c>
      <c r="I26" s="69"/>
      <c r="J26" s="69"/>
      <c r="K26" s="70"/>
      <c r="L26" s="129">
        <f ca="1">L52+L67+L80+L102+L125+L147+L165+L194+L181+L274+L290+L311+L328+L341+L364+L383+L421+L501+L521+L542+L563+L584+L607+L624+L650+L698+L722+L736+L768</f>
        <v>2970500</v>
      </c>
      <c r="M26" s="130">
        <f ca="1">M52+M67+M80+M102+M125+M147+M165+M194+M181+M274+M290+M311+M328+M341+M364+M383+M421+M501+M521+M542+M563+M584+M607+M624+M650+M698+M722+M736+M768</f>
        <v>2970500</v>
      </c>
      <c r="N26" s="130">
        <f ca="1">N52+N67+N80+N102+N125+N147+N165+N194+N181+N274+N290+N311+N328+N341+N364+N383+N421+N501+N521+N542+N563+N584+N607+N624+N650+N698+N722+N736+N768</f>
        <v>1409000</v>
      </c>
      <c r="O26" s="130">
        <f t="shared" ca="1" si="0"/>
        <v>47.433092072041745</v>
      </c>
      <c r="P26" s="130">
        <f t="shared" ca="1" si="1"/>
        <v>47.433092072041745</v>
      </c>
      <c r="Q26" s="131">
        <f t="shared" ca="1" si="7"/>
        <v>0</v>
      </c>
      <c r="R26" s="131">
        <f t="shared" ca="1" si="7"/>
        <v>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hidden="1" x14ac:dyDescent="0.25">
      <c r="A27" s="1218"/>
      <c r="B27" s="427"/>
      <c r="C27" s="427"/>
      <c r="D27" s="1217" t="s">
        <v>24</v>
      </c>
      <c r="E27" s="427"/>
      <c r="F27" s="427"/>
      <c r="G27" s="428"/>
      <c r="H27" s="673" t="s">
        <v>14</v>
      </c>
      <c r="I27" s="541"/>
      <c r="J27" s="541"/>
      <c r="K27" s="384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9.5" hidden="1" x14ac:dyDescent="0.3">
      <c r="A30" s="1447"/>
      <c r="B30" s="1411"/>
      <c r="C30" s="1411"/>
      <c r="D30" s="1411"/>
      <c r="E30" s="1411"/>
      <c r="F30" s="1411"/>
      <c r="G30" s="1412"/>
      <c r="H30" s="1234"/>
      <c r="I30" s="1232"/>
      <c r="J30" s="1232"/>
      <c r="K30" s="1231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9.5" hidden="1" x14ac:dyDescent="0.3">
      <c r="A31" s="1238"/>
      <c r="B31" s="1171"/>
      <c r="C31" s="1207"/>
      <c r="D31" s="1241"/>
      <c r="E31" s="1171"/>
      <c r="F31" s="1171"/>
      <c r="G31" s="1170"/>
      <c r="H31" s="1240"/>
      <c r="I31" s="1206"/>
      <c r="J31" s="1206"/>
      <c r="K31" s="1205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8.75" hidden="1" x14ac:dyDescent="0.25">
      <c r="A32" s="1238"/>
      <c r="B32" s="1171"/>
      <c r="C32" s="1171"/>
      <c r="D32" s="1171"/>
      <c r="E32" s="894"/>
      <c r="F32" s="1171"/>
      <c r="G32" s="1170"/>
      <c r="H32" s="893"/>
      <c r="I32" s="1206"/>
      <c r="J32" s="1206"/>
      <c r="K32" s="1205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8.75" hidden="1" x14ac:dyDescent="0.25">
      <c r="A33" s="1238"/>
      <c r="B33" s="1171"/>
      <c r="C33" s="1171"/>
      <c r="D33" s="1171"/>
      <c r="E33" s="894"/>
      <c r="F33" s="1171"/>
      <c r="G33" s="1170"/>
      <c r="H33" s="893"/>
      <c r="I33" s="1206"/>
      <c r="J33" s="1206"/>
      <c r="K33" s="1205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8.75" hidden="1" x14ac:dyDescent="0.25">
      <c r="A34" s="1238"/>
      <c r="B34" s="1171"/>
      <c r="C34" s="1171"/>
      <c r="D34" s="1239"/>
      <c r="E34" s="1171"/>
      <c r="F34" s="1171"/>
      <c r="G34" s="1170"/>
      <c r="H34" s="893"/>
      <c r="I34" s="1206"/>
      <c r="J34" s="1206"/>
      <c r="K34" s="1205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8.75" hidden="1" x14ac:dyDescent="0.25">
      <c r="A35" s="1238"/>
      <c r="B35" s="1171"/>
      <c r="C35" s="1171"/>
      <c r="D35" s="1171"/>
      <c r="E35" s="894"/>
      <c r="F35" s="1171"/>
      <c r="G35" s="1170"/>
      <c r="H35" s="893"/>
      <c r="I35" s="1206"/>
      <c r="J35" s="1206"/>
      <c r="K35" s="1205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8.75" hidden="1" x14ac:dyDescent="0.25">
      <c r="A36" s="1238"/>
      <c r="B36" s="1171"/>
      <c r="C36" s="1171"/>
      <c r="D36" s="1171"/>
      <c r="E36" s="894"/>
      <c r="F36" s="1171"/>
      <c r="G36" s="1170"/>
      <c r="H36" s="893"/>
      <c r="I36" s="1206"/>
      <c r="J36" s="1206"/>
      <c r="K36" s="1205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8.75" hidden="1" x14ac:dyDescent="0.25">
      <c r="A37" s="1238"/>
      <c r="B37" s="1171"/>
      <c r="C37" s="1171"/>
      <c r="D37" s="1239"/>
      <c r="E37" s="1171"/>
      <c r="F37" s="1171"/>
      <c r="G37" s="1170"/>
      <c r="H37" s="893"/>
      <c r="I37" s="1206"/>
      <c r="J37" s="1206"/>
      <c r="K37" s="1205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8.75" hidden="1" x14ac:dyDescent="0.25">
      <c r="A38" s="1238"/>
      <c r="B38" s="1171"/>
      <c r="C38" s="1171"/>
      <c r="D38" s="1171"/>
      <c r="E38" s="894"/>
      <c r="F38" s="1171"/>
      <c r="G38" s="1170"/>
      <c r="H38" s="893"/>
      <c r="I38" s="1206"/>
      <c r="J38" s="1206"/>
      <c r="K38" s="1205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8.75" hidden="1" x14ac:dyDescent="0.25">
      <c r="A39" s="1237"/>
      <c r="B39" s="1235"/>
      <c r="C39" s="1235"/>
      <c r="D39" s="1235"/>
      <c r="E39" s="1236"/>
      <c r="F39" s="1235"/>
      <c r="G39" s="1234"/>
      <c r="H39" s="1233"/>
      <c r="I39" s="1232"/>
      <c r="J39" s="1232"/>
      <c r="K39" s="1231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97" t="s">
        <v>25</v>
      </c>
      <c r="B40" s="98"/>
      <c r="C40" s="98"/>
      <c r="D40" s="98"/>
      <c r="E40" s="98"/>
      <c r="F40" s="98"/>
      <c r="G40" s="99"/>
      <c r="H40" s="99"/>
      <c r="I40" s="100"/>
      <c r="J40" s="100"/>
      <c r="K40" s="101"/>
      <c r="L40" s="1230">
        <f ca="1">L44+L59+L72+L94+L125+L139+L157+L173+L186+L266+L282+L303+L320+L333+L356</f>
        <v>3545943</v>
      </c>
      <c r="M40" s="1229">
        <f ca="1">M44+M59+M72+M94+M125+M139+M157+M173+M186+M266+M282+M303+M320+M333+M356</f>
        <v>3903710.12</v>
      </c>
      <c r="N40" s="1229">
        <f ca="1">N44+N59+N72+N94+N125+N139+N157+N173+N186+N266+N282+N303+N320+N333+N356</f>
        <v>2538137.7199999997</v>
      </c>
      <c r="O40" s="1229">
        <f ca="1">IF(L40&gt;0,N40*100/L40,0)</f>
        <v>71.57863846091152</v>
      </c>
      <c r="P40" s="1229">
        <f ca="1">IF(M40&gt;0,N40*100/M40,0)</f>
        <v>65.018601329957349</v>
      </c>
      <c r="Q40" s="1049"/>
      <c r="R40" s="1049"/>
      <c r="S40" s="1049"/>
      <c r="T40" s="1049"/>
      <c r="U40" s="1049"/>
    </row>
    <row r="41" spans="1:21" ht="19.5" x14ac:dyDescent="0.3">
      <c r="A41" s="103" t="s">
        <v>26</v>
      </c>
      <c r="B41" s="104"/>
      <c r="C41" s="104"/>
      <c r="D41" s="104"/>
      <c r="E41" s="104"/>
      <c r="F41" s="104"/>
      <c r="G41" s="104"/>
      <c r="H41" s="104"/>
      <c r="I41" s="105"/>
      <c r="J41" s="105"/>
      <c r="K41" s="106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228"/>
      <c r="B42" s="109" t="s">
        <v>27</v>
      </c>
      <c r="C42" s="108"/>
      <c r="D42" s="108"/>
      <c r="E42" s="108"/>
      <c r="F42" s="108"/>
      <c r="G42" s="108"/>
      <c r="H42" s="110"/>
      <c r="I42" s="111"/>
      <c r="J42" s="111"/>
      <c r="K42" s="112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9.5" hidden="1" x14ac:dyDescent="0.3">
      <c r="A43" s="18"/>
      <c r="B43" s="19"/>
      <c r="C43" s="20"/>
      <c r="D43" s="21"/>
      <c r="E43" s="19"/>
      <c r="F43" s="19"/>
      <c r="G43" s="22"/>
      <c r="H43" s="23"/>
      <c r="I43" s="24"/>
      <c r="J43" s="24"/>
      <c r="K43" s="25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13"/>
      <c r="B44" s="114"/>
      <c r="C44" s="1227" t="s">
        <v>18</v>
      </c>
      <c r="D44" s="1226" t="s">
        <v>19</v>
      </c>
      <c r="E44" s="114"/>
      <c r="F44" s="114"/>
      <c r="G44" s="117"/>
      <c r="H44" s="118" t="s">
        <v>14</v>
      </c>
      <c r="I44" s="119"/>
      <c r="J44" s="119"/>
      <c r="K44" s="120"/>
      <c r="L44" s="1225">
        <f ca="1">L45+L46</f>
        <v>542913</v>
      </c>
      <c r="M44" s="1224">
        <f ca="1">M45+M46</f>
        <v>641695.12</v>
      </c>
      <c r="N44" s="1224">
        <f ca="1">N45+N46</f>
        <v>471999.12</v>
      </c>
      <c r="O44" s="1224">
        <f t="shared" ref="O44:O52" ca="1" si="8">IF(L44&gt;0,N44*100/L44,0)</f>
        <v>86.938260826320246</v>
      </c>
      <c r="P44" s="1224">
        <f t="shared" ref="P44:P52" ca="1" si="9">IF(M44&gt;0,N44*100/M44,0)</f>
        <v>73.555042774830511</v>
      </c>
      <c r="Q44" s="1224">
        <f>Q45+Q46</f>
        <v>0</v>
      </c>
      <c r="R44" s="1224">
        <f>R45+R46</f>
        <v>0</v>
      </c>
      <c r="S44" s="1224">
        <f>S45+S46</f>
        <v>0</v>
      </c>
      <c r="T44" s="1224">
        <f t="shared" ref="T44:T52" si="10">IF(Q44&gt;0,S44*100/Q44,0)</f>
        <v>0</v>
      </c>
      <c r="U44" s="1224">
        <f t="shared" ref="U44:U52" si="11">IF(R44&gt;0,S44*100/R44,0)</f>
        <v>0</v>
      </c>
    </row>
    <row r="45" spans="1:21" ht="18.75" hidden="1" x14ac:dyDescent="0.25">
      <c r="A45" s="1223"/>
      <c r="B45" s="1222"/>
      <c r="C45" s="1222"/>
      <c r="D45" s="1222"/>
      <c r="E45" s="1030" t="s">
        <v>20</v>
      </c>
      <c r="F45" s="1222"/>
      <c r="G45" s="1221"/>
      <c r="H45" s="1029" t="s">
        <v>14</v>
      </c>
      <c r="I45" s="1220"/>
      <c r="J45" s="1220"/>
      <c r="K45" s="1219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13"/>
      <c r="B46" s="114"/>
      <c r="C46" s="114"/>
      <c r="D46" s="114"/>
      <c r="E46" s="123" t="s">
        <v>21</v>
      </c>
      <c r="F46" s="114"/>
      <c r="G46" s="117"/>
      <c r="H46" s="124" t="s">
        <v>14</v>
      </c>
      <c r="I46" s="119"/>
      <c r="J46" s="119"/>
      <c r="K46" s="120"/>
      <c r="L46" s="127">
        <f t="shared" ca="1" si="12"/>
        <v>542913</v>
      </c>
      <c r="M46" s="128">
        <f t="shared" ca="1" si="12"/>
        <v>641695.12</v>
      </c>
      <c r="N46" s="128">
        <f t="shared" ca="1" si="12"/>
        <v>471999.12</v>
      </c>
      <c r="O46" s="128">
        <f t="shared" ca="1" si="8"/>
        <v>86.938260826320246</v>
      </c>
      <c r="P46" s="128">
        <f t="shared" ca="1" si="9"/>
        <v>73.555042774830511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64"/>
      <c r="B47" s="65"/>
      <c r="C47" s="65"/>
      <c r="D47" s="937" t="s">
        <v>22</v>
      </c>
      <c r="E47" s="65"/>
      <c r="F47" s="65"/>
      <c r="G47" s="67"/>
      <c r="H47" s="68" t="s">
        <v>14</v>
      </c>
      <c r="I47" s="69"/>
      <c r="J47" s="69"/>
      <c r="K47" s="70"/>
      <c r="L47" s="129">
        <f ca="1">L48+L49</f>
        <v>542913</v>
      </c>
      <c r="M47" s="130">
        <f ca="1">M48+M49</f>
        <v>641695.12</v>
      </c>
      <c r="N47" s="130">
        <f ca="1">N48+N49</f>
        <v>471999.12</v>
      </c>
      <c r="O47" s="130">
        <f t="shared" ca="1" si="8"/>
        <v>86.938260826320246</v>
      </c>
      <c r="P47" s="130">
        <f t="shared" ca="1" si="9"/>
        <v>73.555042774830511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1209"/>
      <c r="B48" s="935"/>
      <c r="C48" s="935"/>
      <c r="D48" s="935"/>
      <c r="E48" s="263" t="s">
        <v>20</v>
      </c>
      <c r="F48" s="935"/>
      <c r="G48" s="934"/>
      <c r="H48" s="987" t="s">
        <v>14</v>
      </c>
      <c r="I48" s="939"/>
      <c r="J48" s="939"/>
      <c r="K48" s="938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64"/>
      <c r="B49" s="65"/>
      <c r="C49" s="65"/>
      <c r="D49" s="65"/>
      <c r="E49" s="73" t="s">
        <v>21</v>
      </c>
      <c r="F49" s="65"/>
      <c r="G49" s="67"/>
      <c r="H49" s="68" t="s">
        <v>14</v>
      </c>
      <c r="I49" s="69"/>
      <c r="J49" s="69"/>
      <c r="K49" s="70"/>
      <c r="L49" s="129">
        <f ca="1">IFERROR(__xludf.DUMMYFUNCTION("IMPORTRANGE(""https://docs.google.com/spreadsheets/d/1-uDff_7J0KD5mKrp0Vvzr7lt3OU09vwQwhkpOPPYv2Y/edit?usp=sharing"",""งบพรบ!P53"")"),542913)</f>
        <v>542913</v>
      </c>
      <c r="M49" s="130">
        <f ca="1">IFERROR(__xludf.DUMMYFUNCTION("IMPORTRANGE(""https://docs.google.com/spreadsheets/d/1-uDff_7J0KD5mKrp0Vvzr7lt3OU09vwQwhkpOPPYv2Y/edit?usp=sharing"",""งบพรบ!V53"")"),641695.12)</f>
        <v>641695.12</v>
      </c>
      <c r="N49" s="130">
        <f ca="1">IFERROR(__xludf.DUMMYFUNCTION("IMPORTRANGE(""https://docs.google.com/spreadsheets/d/1-uDff_7J0KD5mKrp0Vvzr7lt3OU09vwQwhkpOPPYv2Y/edit?usp=sharing"",""งบพรบ!Y53"")"),471999.12)</f>
        <v>471999.12</v>
      </c>
      <c r="O49" s="130">
        <f t="shared" ca="1" si="8"/>
        <v>86.938260826320246</v>
      </c>
      <c r="P49" s="130">
        <f t="shared" ca="1" si="9"/>
        <v>73.555042774830511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64"/>
      <c r="B50" s="65"/>
      <c r="C50" s="65"/>
      <c r="D50" s="937" t="s">
        <v>23</v>
      </c>
      <c r="E50" s="65"/>
      <c r="F50" s="65"/>
      <c r="G50" s="67"/>
      <c r="H50" s="68" t="s">
        <v>14</v>
      </c>
      <c r="I50" s="69"/>
      <c r="J50" s="69"/>
      <c r="K50" s="70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1209"/>
      <c r="B51" s="935"/>
      <c r="C51" s="935"/>
      <c r="D51" s="935"/>
      <c r="E51" s="263" t="s">
        <v>20</v>
      </c>
      <c r="F51" s="935"/>
      <c r="G51" s="934"/>
      <c r="H51" s="987" t="s">
        <v>14</v>
      </c>
      <c r="I51" s="939"/>
      <c r="J51" s="939"/>
      <c r="K51" s="938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64"/>
      <c r="B52" s="65"/>
      <c r="C52" s="65"/>
      <c r="D52" s="65"/>
      <c r="E52" s="73" t="s">
        <v>21</v>
      </c>
      <c r="F52" s="65"/>
      <c r="G52" s="67"/>
      <c r="H52" s="68" t="s">
        <v>14</v>
      </c>
      <c r="I52" s="69"/>
      <c r="J52" s="69"/>
      <c r="K52" s="70"/>
      <c r="L52" s="129">
        <f ca="1">IFERROR(__xludf.DUMMYFUNCTION("IMPORTRANGE(""https://docs.google.com/spreadsheets/d/1-uDff_7J0KD5mKrp0Vvzr7lt3OU09vwQwhkpOPPYv2Y/edit?usp=sharing"",""งบพรบ!S53"")"),0)</f>
        <v>0</v>
      </c>
      <c r="M52" s="130">
        <f ca="1">IFERROR(__xludf.DUMMYFUNCTION("IMPORTRANGE(""https://docs.google.com/spreadsheets/d/1-uDff_7J0KD5mKrp0Vvzr7lt3OU09vwQwhkpOPPYv2Y/edit?usp=sharing"",""งบพรบ!W53"")"),0)</f>
        <v>0</v>
      </c>
      <c r="N52" s="130">
        <f ca="1">IFERROR(__xludf.DUMMYFUNCTION("IMPORTRANGE(""https://docs.google.com/spreadsheets/d/1-uDff_7J0KD5mKrp0Vvzr7lt3OU09vwQwhkpOPPYv2Y/edit?usp=sharing"",""งบพรบ!Z53"")"),0)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hidden="1" x14ac:dyDescent="0.25">
      <c r="A53" s="1218"/>
      <c r="B53" s="427"/>
      <c r="C53" s="427"/>
      <c r="D53" s="1217" t="s">
        <v>24</v>
      </c>
      <c r="E53" s="427"/>
      <c r="F53" s="427"/>
      <c r="G53" s="428"/>
      <c r="H53" s="673" t="s">
        <v>14</v>
      </c>
      <c r="I53" s="541"/>
      <c r="J53" s="541"/>
      <c r="K53" s="384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18" t="s">
        <v>28</v>
      </c>
      <c r="B56" s="1414"/>
      <c r="C56" s="1414"/>
      <c r="D56" s="1414"/>
      <c r="E56" s="1414"/>
      <c r="F56" s="1414"/>
      <c r="G56" s="1414"/>
      <c r="H56" s="133"/>
      <c r="I56" s="134"/>
      <c r="J56" s="134"/>
      <c r="K56" s="13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40"/>
      <c r="B57" s="1419" t="s">
        <v>29</v>
      </c>
      <c r="C57" s="1401"/>
      <c r="D57" s="1401"/>
      <c r="E57" s="1401"/>
      <c r="F57" s="1401"/>
      <c r="G57" s="1402"/>
      <c r="H57" s="141"/>
      <c r="I57" s="142"/>
      <c r="J57" s="142"/>
      <c r="K57" s="143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46"/>
      <c r="B58" s="147" t="s">
        <v>30</v>
      </c>
      <c r="C58" s="148"/>
      <c r="D58" s="148"/>
      <c r="E58" s="148"/>
      <c r="F58" s="148"/>
      <c r="G58" s="149"/>
      <c r="H58" s="149"/>
      <c r="I58" s="150"/>
      <c r="J58" s="150"/>
      <c r="K58" s="151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154"/>
      <c r="B59" s="155"/>
      <c r="C59" s="1216" t="s">
        <v>18</v>
      </c>
      <c r="D59" s="1215" t="s">
        <v>19</v>
      </c>
      <c r="E59" s="155"/>
      <c r="F59" s="155"/>
      <c r="G59" s="158"/>
      <c r="H59" s="159" t="s">
        <v>14</v>
      </c>
      <c r="I59" s="160"/>
      <c r="J59" s="160"/>
      <c r="K59" s="161"/>
      <c r="L59" s="163">
        <f ca="1">L60+L61</f>
        <v>998200</v>
      </c>
      <c r="M59" s="164">
        <f ca="1">M60+M61</f>
        <v>998200</v>
      </c>
      <c r="N59" s="164">
        <f ca="1">N60+N61</f>
        <v>822627.6</v>
      </c>
      <c r="O59" s="164">
        <f t="shared" ref="O59:O67" ca="1" si="14">IF(L59&gt;0,N59*100/L59,0)</f>
        <v>82.411099979963936</v>
      </c>
      <c r="P59" s="164">
        <f t="shared" ref="P59:P67" ca="1" si="15">IF(M59&gt;0,N59*100/M59,0)</f>
        <v>82.411099979963936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1214"/>
      <c r="B60" s="1213"/>
      <c r="C60" s="1213"/>
      <c r="D60" s="1213"/>
      <c r="E60" s="1000" t="s">
        <v>20</v>
      </c>
      <c r="F60" s="1213"/>
      <c r="G60" s="1212"/>
      <c r="H60" s="999" t="s">
        <v>14</v>
      </c>
      <c r="I60" s="1211"/>
      <c r="J60" s="1211"/>
      <c r="K60" s="1210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154"/>
      <c r="B61" s="155"/>
      <c r="C61" s="155"/>
      <c r="D61" s="155"/>
      <c r="E61" s="165" t="s">
        <v>21</v>
      </c>
      <c r="F61" s="155"/>
      <c r="G61" s="158"/>
      <c r="H61" s="166" t="s">
        <v>14</v>
      </c>
      <c r="I61" s="160"/>
      <c r="J61" s="160"/>
      <c r="K61" s="161"/>
      <c r="L61" s="170">
        <f t="shared" ca="1" si="18"/>
        <v>998200</v>
      </c>
      <c r="M61" s="171">
        <f t="shared" ca="1" si="18"/>
        <v>998200</v>
      </c>
      <c r="N61" s="171">
        <f t="shared" ca="1" si="18"/>
        <v>822627.6</v>
      </c>
      <c r="O61" s="171">
        <f t="shared" ca="1" si="14"/>
        <v>82.411099979963936</v>
      </c>
      <c r="P61" s="171">
        <f t="shared" ca="1" si="15"/>
        <v>82.411099979963936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64"/>
      <c r="B62" s="65"/>
      <c r="C62" s="65"/>
      <c r="D62" s="937" t="s">
        <v>22</v>
      </c>
      <c r="E62" s="65"/>
      <c r="F62" s="65"/>
      <c r="G62" s="67"/>
      <c r="H62" s="68" t="s">
        <v>14</v>
      </c>
      <c r="I62" s="69"/>
      <c r="J62" s="69"/>
      <c r="K62" s="70"/>
      <c r="L62" s="129">
        <f ca="1">L63+L64</f>
        <v>998200</v>
      </c>
      <c r="M62" s="130">
        <f ca="1">M63+M64</f>
        <v>998200</v>
      </c>
      <c r="N62" s="130">
        <f ca="1">N63+N64</f>
        <v>822627.6</v>
      </c>
      <c r="O62" s="130">
        <f t="shared" ca="1" si="14"/>
        <v>82.411099979963936</v>
      </c>
      <c r="P62" s="130">
        <f t="shared" ca="1" si="15"/>
        <v>82.411099979963936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1209"/>
      <c r="B63" s="935"/>
      <c r="C63" s="935"/>
      <c r="D63" s="935"/>
      <c r="E63" s="263" t="s">
        <v>20</v>
      </c>
      <c r="F63" s="935"/>
      <c r="G63" s="934"/>
      <c r="H63" s="987" t="s">
        <v>14</v>
      </c>
      <c r="I63" s="939"/>
      <c r="J63" s="939"/>
      <c r="K63" s="938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64"/>
      <c r="B64" s="65"/>
      <c r="C64" s="65"/>
      <c r="D64" s="65"/>
      <c r="E64" s="73" t="s">
        <v>21</v>
      </c>
      <c r="F64" s="65"/>
      <c r="G64" s="67"/>
      <c r="H64" s="68" t="s">
        <v>14</v>
      </c>
      <c r="I64" s="69"/>
      <c r="J64" s="69"/>
      <c r="K64" s="70"/>
      <c r="L64" s="129">
        <f ca="1">IFERROR(__xludf.DUMMYFUNCTION("IMPORTRANGE(""https://docs.google.com/spreadsheets/d/1-uDff_7J0KD5mKrp0Vvzr7lt3OU09vwQwhkpOPPYv2Y/edit?usp=sharing"",""งบพรบ!AC53"")"),998200)</f>
        <v>998200</v>
      </c>
      <c r="M64" s="130">
        <f ca="1">IFERROR(__xludf.DUMMYFUNCTION("IMPORTRANGE(""https://docs.google.com/spreadsheets/d/1-uDff_7J0KD5mKrp0Vvzr7lt3OU09vwQwhkpOPPYv2Y/edit?usp=sharing"",""งบพรบ!AH53"")"),998200)</f>
        <v>998200</v>
      </c>
      <c r="N64" s="130">
        <f ca="1">IFERROR(__xludf.DUMMYFUNCTION("IMPORTRANGE(""https://docs.google.com/spreadsheets/d/1-uDff_7J0KD5mKrp0Vvzr7lt3OU09vwQwhkpOPPYv2Y/edit?usp=sharing"",""งบพรบ!AJ53"")"),822627.6)</f>
        <v>822627.6</v>
      </c>
      <c r="O64" s="130">
        <f t="shared" ca="1" si="14"/>
        <v>82.411099979963936</v>
      </c>
      <c r="P64" s="130">
        <f t="shared" ca="1" si="15"/>
        <v>82.411099979963936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64"/>
      <c r="B65" s="65"/>
      <c r="C65" s="65"/>
      <c r="D65" s="937" t="s">
        <v>23</v>
      </c>
      <c r="E65" s="65"/>
      <c r="F65" s="65"/>
      <c r="G65" s="67"/>
      <c r="H65" s="68" t="s">
        <v>14</v>
      </c>
      <c r="I65" s="69"/>
      <c r="J65" s="69"/>
      <c r="K65" s="70"/>
      <c r="L65" s="129">
        <f ca="1">L66+L67</f>
        <v>0</v>
      </c>
      <c r="M65" s="130">
        <f ca="1">M66+M67</f>
        <v>0</v>
      </c>
      <c r="N65" s="130">
        <f ca="1">N66+N67</f>
        <v>0</v>
      </c>
      <c r="O65" s="130">
        <f t="shared" ca="1" si="14"/>
        <v>0</v>
      </c>
      <c r="P65" s="130">
        <f t="shared" ca="1" si="15"/>
        <v>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1209"/>
      <c r="B66" s="935"/>
      <c r="C66" s="935"/>
      <c r="D66" s="935"/>
      <c r="E66" s="263" t="s">
        <v>20</v>
      </c>
      <c r="F66" s="935"/>
      <c r="G66" s="934"/>
      <c r="H66" s="987" t="s">
        <v>14</v>
      </c>
      <c r="I66" s="939"/>
      <c r="J66" s="939"/>
      <c r="K66" s="938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172"/>
      <c r="B67" s="173"/>
      <c r="C67" s="173"/>
      <c r="D67" s="173"/>
      <c r="E67" s="174" t="s">
        <v>21</v>
      </c>
      <c r="F67" s="173"/>
      <c r="G67" s="175"/>
      <c r="H67" s="176" t="s">
        <v>14</v>
      </c>
      <c r="I67" s="177"/>
      <c r="J67" s="177"/>
      <c r="K67" s="178"/>
      <c r="L67" s="1208">
        <f ca="1">IFERROR(__xludf.DUMMYFUNCTION("IMPORTRANGE(""https://docs.google.com/spreadsheets/d/1-uDff_7J0KD5mKrp0Vvzr7lt3OU09vwQwhkpOPPYv2Y/edit?usp=sharing"",""งบพรบ!AF53"")"),0)</f>
        <v>0</v>
      </c>
      <c r="M67" s="182">
        <f ca="1">IFERROR(__xludf.DUMMYFUNCTION("IMPORTRANGE(""https://docs.google.com/spreadsheets/d/1-uDff_7J0KD5mKrp0Vvzr7lt3OU09vwQwhkpOPPYv2Y/edit?usp=sharing"",""งบพรบ!AI53"")"),0)</f>
        <v>0</v>
      </c>
      <c r="N67" s="182">
        <f ca="1">IFERROR(__xludf.DUMMYFUNCTION("IMPORTRANGE(""https://docs.google.com/spreadsheets/d/1-uDff_7J0KD5mKrp0Vvzr7lt3OU09vwQwhkpOPPYv2Y/edit?usp=sharing"",""งบพรบ!AK53"")"),0)</f>
        <v>0</v>
      </c>
      <c r="O67" s="182">
        <f t="shared" ca="1" si="14"/>
        <v>0</v>
      </c>
      <c r="P67" s="182">
        <f t="shared" ca="1" si="15"/>
        <v>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183" t="s">
        <v>31</v>
      </c>
      <c r="B68" s="184"/>
      <c r="C68" s="184"/>
      <c r="D68" s="184"/>
      <c r="E68" s="185"/>
      <c r="F68" s="185"/>
      <c r="G68" s="185"/>
      <c r="H68" s="185"/>
      <c r="I68" s="186"/>
      <c r="J68" s="186"/>
      <c r="K68" s="187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192" t="s">
        <v>32</v>
      </c>
      <c r="B69" s="193"/>
      <c r="C69" s="194"/>
      <c r="D69" s="193"/>
      <c r="E69" s="193"/>
      <c r="F69" s="193"/>
      <c r="G69" s="195"/>
      <c r="H69" s="195"/>
      <c r="I69" s="196"/>
      <c r="J69" s="196"/>
      <c r="K69" s="197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00"/>
      <c r="B70" s="48" t="s">
        <v>330</v>
      </c>
      <c r="C70" s="47"/>
      <c r="D70" s="201"/>
      <c r="E70" s="47"/>
      <c r="F70" s="47"/>
      <c r="G70" s="50"/>
      <c r="H70" s="202" t="s">
        <v>34</v>
      </c>
      <c r="I70" s="203">
        <f ca="1">I82</f>
        <v>0</v>
      </c>
      <c r="J70" s="203">
        <f>J82</f>
        <v>0</v>
      </c>
      <c r="K70" s="204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00"/>
      <c r="B71" s="47"/>
      <c r="C71" s="47"/>
      <c r="D71" s="201"/>
      <c r="E71" s="47"/>
      <c r="F71" s="47"/>
      <c r="G71" s="50"/>
      <c r="H71" s="202" t="s">
        <v>35</v>
      </c>
      <c r="I71" s="203">
        <f ca="1">I83</f>
        <v>0</v>
      </c>
      <c r="J71" s="203">
        <f>J83</f>
        <v>0</v>
      </c>
      <c r="K71" s="204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07"/>
      <c r="B72" s="65"/>
      <c r="C72" s="208" t="s">
        <v>18</v>
      </c>
      <c r="D72" s="941" t="s">
        <v>19</v>
      </c>
      <c r="E72" s="65"/>
      <c r="F72" s="65"/>
      <c r="G72" s="67"/>
      <c r="H72" s="210" t="s">
        <v>14</v>
      </c>
      <c r="I72" s="69"/>
      <c r="J72" s="69"/>
      <c r="K72" s="70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936"/>
      <c r="B73" s="935"/>
      <c r="C73" s="935"/>
      <c r="D73" s="935"/>
      <c r="E73" s="263" t="s">
        <v>20</v>
      </c>
      <c r="F73" s="935"/>
      <c r="G73" s="934"/>
      <c r="H73" s="264" t="s">
        <v>14</v>
      </c>
      <c r="I73" s="939"/>
      <c r="J73" s="939"/>
      <c r="K73" s="938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07"/>
      <c r="B74" s="65"/>
      <c r="C74" s="65"/>
      <c r="D74" s="65"/>
      <c r="E74" s="73" t="s">
        <v>21</v>
      </c>
      <c r="F74" s="65"/>
      <c r="G74" s="67"/>
      <c r="H74" s="214" t="s">
        <v>14</v>
      </c>
      <c r="I74" s="69"/>
      <c r="J74" s="69"/>
      <c r="K74" s="70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07"/>
      <c r="B75" s="65"/>
      <c r="C75" s="65"/>
      <c r="D75" s="937" t="s">
        <v>22</v>
      </c>
      <c r="E75" s="65"/>
      <c r="F75" s="65"/>
      <c r="G75" s="67"/>
      <c r="H75" s="216" t="s">
        <v>14</v>
      </c>
      <c r="I75" s="217"/>
      <c r="J75" s="217"/>
      <c r="K75" s="218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936"/>
      <c r="B76" s="935"/>
      <c r="C76" s="935"/>
      <c r="D76" s="935"/>
      <c r="E76" s="263" t="s">
        <v>36</v>
      </c>
      <c r="F76" s="935"/>
      <c r="G76" s="934"/>
      <c r="H76" s="271" t="s">
        <v>14</v>
      </c>
      <c r="I76" s="933"/>
      <c r="J76" s="933"/>
      <c r="K76" s="932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07"/>
      <c r="B77" s="65"/>
      <c r="C77" s="65"/>
      <c r="D77" s="65"/>
      <c r="E77" s="73" t="s">
        <v>37</v>
      </c>
      <c r="F77" s="65"/>
      <c r="G77" s="67"/>
      <c r="H77" s="216" t="s">
        <v>14</v>
      </c>
      <c r="I77" s="217"/>
      <c r="J77" s="217"/>
      <c r="K77" s="218"/>
      <c r="L77" s="129">
        <f ca="1">IFERROR(__xludf.DUMMYFUNCTION("IMPORTRANGE(""https://docs.google.com/spreadsheets/d/1-uDff_7J0KD5mKrp0Vvzr7lt3OU09vwQwhkpOPPYv2Y/edit?usp=sharing"",""งบพรบ!AM53"")"),0)</f>
        <v>0</v>
      </c>
      <c r="M77" s="130">
        <f ca="1">IFERROR(__xludf.DUMMYFUNCTION("IMPORTRANGE(""https://docs.google.com/spreadsheets/d/1-uDff_7J0KD5mKrp0Vvzr7lt3OU09vwQwhkpOPPYv2Y/edit?usp=sharing"",""งบพรบ!AR53"")"),0)</f>
        <v>0</v>
      </c>
      <c r="N77" s="130">
        <f ca="1">IFERROR(__xludf.DUMMYFUNCTION("IMPORTRANGE(""https://docs.google.com/spreadsheets/d/1-uDff_7J0KD5mKrp0Vvzr7lt3OU09vwQwhkpOPPYv2Y/edit?usp=sharing"",""งบพรบ!AT53"")"),0)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IFERROR(__xludf.DUMMYFUNCTION("IMPORTRANGE(""https://docs.google.com/spreadsheets/d/1ItG2mGa2ceCfYo0BwxsXqNm01IGEUdYcSSLTEv9YCik/edit?usp=sharing"",""เบิกจ่ายกองทุน!BH53"")"),0)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IFERROR(__xludf.DUMMYFUNCTION("IMPORTRANGE(""https://docs.google.com/spreadsheets/d/1ItG2mGa2ceCfYo0BwxsXqNm01IGEUdYcSSLTEv9YCik/edit?usp=sharing"",""เบิกจ่ายกองทุน!BI53"")"),0)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IFERROR(__xludf.DUMMYFUNCTION("IMPORTRANGE(""https://docs.google.com/spreadsheets/d/1ItG2mGa2ceCfYo0BwxsXqNm01IGEUdYcSSLTEv9YCik/edit?usp=sharing"",""เบิกจ่ายกองทุน!BJ53"")"),0)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07"/>
      <c r="B78" s="65"/>
      <c r="C78" s="65"/>
      <c r="D78" s="937" t="s">
        <v>23</v>
      </c>
      <c r="E78" s="65"/>
      <c r="F78" s="65"/>
      <c r="G78" s="67"/>
      <c r="H78" s="219" t="s">
        <v>14</v>
      </c>
      <c r="I78" s="217"/>
      <c r="J78" s="217"/>
      <c r="K78" s="218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936"/>
      <c r="B79" s="935"/>
      <c r="C79" s="935"/>
      <c r="D79" s="935"/>
      <c r="E79" s="263" t="s">
        <v>20</v>
      </c>
      <c r="F79" s="935"/>
      <c r="G79" s="934"/>
      <c r="H79" s="271" t="s">
        <v>14</v>
      </c>
      <c r="I79" s="933"/>
      <c r="J79" s="933"/>
      <c r="K79" s="932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5">
        <v>0</v>
      </c>
      <c r="S79" s="75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07"/>
      <c r="B80" s="65"/>
      <c r="C80" s="65"/>
      <c r="D80" s="65"/>
      <c r="E80" s="73" t="s">
        <v>21</v>
      </c>
      <c r="F80" s="65"/>
      <c r="G80" s="67"/>
      <c r="H80" s="219" t="s">
        <v>14</v>
      </c>
      <c r="I80" s="217"/>
      <c r="J80" s="217"/>
      <c r="K80" s="218"/>
      <c r="L80" s="129">
        <f ca="1">IFERROR(__xludf.DUMMYFUNCTION("IMPORTRANGE(""https://docs.google.com/spreadsheets/d/1-uDff_7J0KD5mKrp0Vvzr7lt3OU09vwQwhkpOPPYv2Y/edit?usp=sharing"",""งบพรบ!AP53"")"),0)</f>
        <v>0</v>
      </c>
      <c r="M80" s="130">
        <f ca="1">IFERROR(__xludf.DUMMYFUNCTION("IMPORTRANGE(""https://docs.google.com/spreadsheets/d/1-uDff_7J0KD5mKrp0Vvzr7lt3OU09vwQwhkpOPPYv2Y/edit?usp=sharing"",""งบพรบ!AS53"")"),0)</f>
        <v>0</v>
      </c>
      <c r="N80" s="130">
        <f ca="1">IFERROR(__xludf.DUMMYFUNCTION("IMPORTRANGE(""https://docs.google.com/spreadsheets/d/1-uDff_7J0KD5mKrp0Vvzr7lt3OU09vwQwhkpOPPYv2Y/edit?usp=sharing"",""งบพรบ!AU53"")"),0)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IFERROR(__xludf.DUMMYFUNCTION("IMPORTRANGE(""https://docs.google.com/spreadsheets/d/1ItG2mGa2ceCfYo0BwxsXqNm01IGEUdYcSSLTEv9YCik/edit?usp=sharing"",""เบิกจ่ายกองทุน!BM53"")"),0)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20"/>
      <c r="B81" s="221"/>
      <c r="C81" s="208" t="s">
        <v>18</v>
      </c>
      <c r="D81" s="931" t="s">
        <v>38</v>
      </c>
      <c r="E81" s="223"/>
      <c r="F81" s="223"/>
      <c r="G81" s="224"/>
      <c r="H81" s="225"/>
      <c r="I81" s="217"/>
      <c r="J81" s="217"/>
      <c r="K81" s="218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20"/>
      <c r="B82" s="221"/>
      <c r="C82" s="221"/>
      <c r="D82" s="228" t="s">
        <v>39</v>
      </c>
      <c r="E82" s="229"/>
      <c r="F82" s="229"/>
      <c r="G82" s="225"/>
      <c r="H82" s="230" t="s">
        <v>34</v>
      </c>
      <c r="I82" s="231">
        <f ca="1">I84+I86+I88</f>
        <v>0</v>
      </c>
      <c r="J82" s="231">
        <f>J84+J86+J88</f>
        <v>0</v>
      </c>
      <c r="K82" s="232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20"/>
      <c r="B83" s="221"/>
      <c r="C83" s="221"/>
      <c r="D83" s="221"/>
      <c r="E83" s="229"/>
      <c r="F83" s="229"/>
      <c r="G83" s="225"/>
      <c r="H83" s="230" t="s">
        <v>35</v>
      </c>
      <c r="I83" s="231">
        <f ca="1">I85+I87+I89</f>
        <v>0</v>
      </c>
      <c r="J83" s="231">
        <f>J85+J87+J89</f>
        <v>0</v>
      </c>
      <c r="K83" s="232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20"/>
      <c r="B84" s="221"/>
      <c r="C84" s="221"/>
      <c r="D84" s="221"/>
      <c r="E84" s="234" t="s">
        <v>40</v>
      </c>
      <c r="F84" s="229"/>
      <c r="G84" s="225"/>
      <c r="H84" s="235" t="s">
        <v>34</v>
      </c>
      <c r="I84" s="239">
        <f ca="1">IFERROR(__xludf.DUMMYFUNCTION("IMPORTRANGE(""https://docs.google.com/spreadsheets/d/1eHaY18a8A9IcSdp1K8H6x8fbOy06t2VsZHhMHf-1x7Y/edit?usp=sharing"",""แผน!H53"")"),0)</f>
        <v>0</v>
      </c>
      <c r="J84" s="794">
        <v>0</v>
      </c>
      <c r="K84" s="238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20"/>
      <c r="B85" s="221"/>
      <c r="C85" s="221"/>
      <c r="D85" s="221"/>
      <c r="E85" s="229"/>
      <c r="F85" s="229"/>
      <c r="G85" s="225"/>
      <c r="H85" s="235" t="s">
        <v>35</v>
      </c>
      <c r="I85" s="239">
        <f ca="1">IFERROR(__xludf.DUMMYFUNCTION("IMPORTRANGE(""https://docs.google.com/spreadsheets/d/1eHaY18a8A9IcSdp1K8H6x8fbOy06t2VsZHhMHf-1x7Y/edit?usp=sharing"",""แผน!I53"")"),0)</f>
        <v>0</v>
      </c>
      <c r="J85" s="794">
        <v>0</v>
      </c>
      <c r="K85" s="238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20"/>
      <c r="B86" s="221"/>
      <c r="C86" s="221"/>
      <c r="D86" s="221"/>
      <c r="E86" s="234" t="s">
        <v>41</v>
      </c>
      <c r="F86" s="229"/>
      <c r="G86" s="225"/>
      <c r="H86" s="235" t="s">
        <v>34</v>
      </c>
      <c r="I86" s="239">
        <f ca="1">IFERROR(__xludf.DUMMYFUNCTION("IMPORTRANGE(""https://docs.google.com/spreadsheets/d/1eHaY18a8A9IcSdp1K8H6x8fbOy06t2VsZHhMHf-1x7Y/edit?usp=sharing"",""แผน!F53"")"),0)</f>
        <v>0</v>
      </c>
      <c r="J86" s="794">
        <v>0</v>
      </c>
      <c r="K86" s="238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20"/>
      <c r="B87" s="221"/>
      <c r="C87" s="221"/>
      <c r="D87" s="221"/>
      <c r="E87" s="229"/>
      <c r="F87" s="229"/>
      <c r="G87" s="225"/>
      <c r="H87" s="235" t="s">
        <v>35</v>
      </c>
      <c r="I87" s="239">
        <f ca="1">IFERROR(__xludf.DUMMYFUNCTION("IMPORTRANGE(""https://docs.google.com/spreadsheets/d/1eHaY18a8A9IcSdp1K8H6x8fbOy06t2VsZHhMHf-1x7Y/edit?usp=sharing"",""แผน!G53"")"),0)</f>
        <v>0</v>
      </c>
      <c r="J87" s="794">
        <v>0</v>
      </c>
      <c r="K87" s="238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20"/>
      <c r="B88" s="221"/>
      <c r="C88" s="221"/>
      <c r="D88" s="221"/>
      <c r="E88" s="234" t="s">
        <v>42</v>
      </c>
      <c r="F88" s="229"/>
      <c r="G88" s="225"/>
      <c r="H88" s="235" t="s">
        <v>34</v>
      </c>
      <c r="I88" s="239">
        <f ca="1">IFERROR(__xludf.DUMMYFUNCTION("IMPORTRANGE(""https://docs.google.com/spreadsheets/d/1eHaY18a8A9IcSdp1K8H6x8fbOy06t2VsZHhMHf-1x7Y/edit?usp=sharing"",""แผน!D53"")"),0)</f>
        <v>0</v>
      </c>
      <c r="J88" s="794">
        <v>0</v>
      </c>
      <c r="K88" s="238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20"/>
      <c r="B89" s="221"/>
      <c r="C89" s="221"/>
      <c r="D89" s="221"/>
      <c r="E89" s="229"/>
      <c r="F89" s="229"/>
      <c r="G89" s="225"/>
      <c r="H89" s="235" t="s">
        <v>35</v>
      </c>
      <c r="I89" s="239">
        <f ca="1">IFERROR(__xludf.DUMMYFUNCTION("IMPORTRANGE(""https://docs.google.com/spreadsheets/d/1eHaY18a8A9IcSdp1K8H6x8fbOy06t2VsZHhMHf-1x7Y/edit?usp=sharing"",""แผน!E53"")"),0)</f>
        <v>0</v>
      </c>
      <c r="J89" s="794">
        <v>0</v>
      </c>
      <c r="K89" s="238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20"/>
      <c r="B90" s="221"/>
      <c r="C90" s="221"/>
      <c r="D90" s="228" t="s">
        <v>43</v>
      </c>
      <c r="E90" s="229"/>
      <c r="F90" s="229"/>
      <c r="G90" s="225"/>
      <c r="H90" s="240" t="s">
        <v>34</v>
      </c>
      <c r="I90" s="239">
        <f ca="1">IFERROR(__xludf.DUMMYFUNCTION("IMPORTRANGE(""https://docs.google.com/spreadsheets/d/1eHaY18a8A9IcSdp1K8H6x8fbOy06t2VsZHhMHf-1x7Y/edit?usp=sharing"",""แผน!J53"")"),0)</f>
        <v>0</v>
      </c>
      <c r="J90" s="794">
        <v>0</v>
      </c>
      <c r="K90" s="238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192" t="s">
        <v>44</v>
      </c>
      <c r="B91" s="193"/>
      <c r="C91" s="194"/>
      <c r="D91" s="193"/>
      <c r="E91" s="193"/>
      <c r="F91" s="193"/>
      <c r="G91" s="195"/>
      <c r="H91" s="195"/>
      <c r="I91" s="196"/>
      <c r="J91" s="196"/>
      <c r="K91" s="197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00"/>
      <c r="B92" s="48" t="s">
        <v>45</v>
      </c>
      <c r="C92" s="47"/>
      <c r="D92" s="201"/>
      <c r="E92" s="47"/>
      <c r="F92" s="47"/>
      <c r="G92" s="50"/>
      <c r="H92" s="202" t="s">
        <v>46</v>
      </c>
      <c r="I92" s="203">
        <f ca="1">I108</f>
        <v>30</v>
      </c>
      <c r="J92" s="203">
        <f>J108</f>
        <v>30</v>
      </c>
      <c r="K92" s="204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00"/>
      <c r="B93" s="47"/>
      <c r="C93" s="47"/>
      <c r="D93" s="201"/>
      <c r="E93" s="47"/>
      <c r="F93" s="47"/>
      <c r="G93" s="50"/>
      <c r="H93" s="202" t="s">
        <v>35</v>
      </c>
      <c r="I93" s="203">
        <f ca="1">I109</f>
        <v>10</v>
      </c>
      <c r="J93" s="203">
        <f>J109</f>
        <v>10</v>
      </c>
      <c r="K93" s="204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07"/>
      <c r="B94" s="65"/>
      <c r="C94" s="1122" t="s">
        <v>18</v>
      </c>
      <c r="D94" s="941" t="s">
        <v>19</v>
      </c>
      <c r="E94" s="65"/>
      <c r="F94" s="65"/>
      <c r="G94" s="67"/>
      <c r="H94" s="210" t="s">
        <v>14</v>
      </c>
      <c r="I94" s="69"/>
      <c r="J94" s="69"/>
      <c r="K94" s="70"/>
      <c r="L94" s="212">
        <f ca="1">L95+L96</f>
        <v>6000</v>
      </c>
      <c r="M94" s="213">
        <f ca="1">M95+M96</f>
        <v>6000</v>
      </c>
      <c r="N94" s="213">
        <f ca="1">N95+N96</f>
        <v>0</v>
      </c>
      <c r="O94" s="213">
        <f t="shared" ref="O94:O102" ca="1" si="27">IF(L94&gt;0,N94*100/L94,0)</f>
        <v>0</v>
      </c>
      <c r="P94" s="213">
        <f t="shared" ref="P94:P102" ca="1" si="28">IF(M94&gt;0,N94*100/M94,0)</f>
        <v>0</v>
      </c>
      <c r="Q94" s="213">
        <f ca="1">Q95+Q96</f>
        <v>84420</v>
      </c>
      <c r="R94" s="213">
        <f ca="1">R95+R96</f>
        <v>84420</v>
      </c>
      <c r="S94" s="213">
        <f ca="1">S95+S96</f>
        <v>31760</v>
      </c>
      <c r="T94" s="213">
        <f t="shared" ref="T94:T102" ca="1" si="29">IF(Q94&gt;0,S94*100/Q94,0)</f>
        <v>37.621416725894335</v>
      </c>
      <c r="U94" s="213">
        <f t="shared" ref="U94:U102" ca="1" si="30">IF(R94&gt;0,S94*100/R94,0)</f>
        <v>37.621416725894335</v>
      </c>
    </row>
    <row r="95" spans="1:21" ht="18.75" hidden="1" x14ac:dyDescent="0.25">
      <c r="A95" s="936"/>
      <c r="B95" s="935"/>
      <c r="C95" s="935"/>
      <c r="D95" s="935"/>
      <c r="E95" s="263" t="s">
        <v>20</v>
      </c>
      <c r="F95" s="935"/>
      <c r="G95" s="934"/>
      <c r="H95" s="264" t="s">
        <v>14</v>
      </c>
      <c r="I95" s="939"/>
      <c r="J95" s="939"/>
      <c r="K95" s="938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07"/>
      <c r="B96" s="65"/>
      <c r="C96" s="65"/>
      <c r="D96" s="65"/>
      <c r="E96" s="73" t="s">
        <v>21</v>
      </c>
      <c r="F96" s="65"/>
      <c r="G96" s="67"/>
      <c r="H96" s="214" t="s">
        <v>14</v>
      </c>
      <c r="I96" s="69"/>
      <c r="J96" s="69"/>
      <c r="K96" s="70"/>
      <c r="L96" s="129">
        <f t="shared" ca="1" si="31"/>
        <v>6000</v>
      </c>
      <c r="M96" s="130">
        <f t="shared" ca="1" si="31"/>
        <v>6000</v>
      </c>
      <c r="N96" s="130">
        <f t="shared" ca="1" si="31"/>
        <v>0</v>
      </c>
      <c r="O96" s="130">
        <f t="shared" ca="1" si="27"/>
        <v>0</v>
      </c>
      <c r="P96" s="130">
        <f t="shared" ca="1" si="28"/>
        <v>0</v>
      </c>
      <c r="Q96" s="130">
        <f t="shared" ca="1" si="32"/>
        <v>84420</v>
      </c>
      <c r="R96" s="130">
        <f t="shared" ca="1" si="32"/>
        <v>84420</v>
      </c>
      <c r="S96" s="130">
        <f t="shared" ca="1" si="32"/>
        <v>31760</v>
      </c>
      <c r="T96" s="130">
        <f t="shared" ca="1" si="29"/>
        <v>37.621416725894335</v>
      </c>
      <c r="U96" s="130">
        <f t="shared" ca="1" si="30"/>
        <v>37.621416725894335</v>
      </c>
    </row>
    <row r="97" spans="1:21" ht="18.75" x14ac:dyDescent="0.25">
      <c r="A97" s="207"/>
      <c r="B97" s="65"/>
      <c r="C97" s="65"/>
      <c r="D97" s="937" t="s">
        <v>22</v>
      </c>
      <c r="E97" s="65"/>
      <c r="F97" s="65"/>
      <c r="G97" s="67"/>
      <c r="H97" s="216" t="s">
        <v>14</v>
      </c>
      <c r="I97" s="217"/>
      <c r="J97" s="217"/>
      <c r="K97" s="218"/>
      <c r="L97" s="129">
        <f ca="1">L98+L99</f>
        <v>6000</v>
      </c>
      <c r="M97" s="130">
        <f ca="1">M98+M99</f>
        <v>6000</v>
      </c>
      <c r="N97" s="130">
        <f ca="1">N98+N99</f>
        <v>0</v>
      </c>
      <c r="O97" s="130">
        <f t="shared" ca="1" si="27"/>
        <v>0</v>
      </c>
      <c r="P97" s="130">
        <f t="shared" ca="1" si="28"/>
        <v>0</v>
      </c>
      <c r="Q97" s="130">
        <f ca="1">Q98+Q99</f>
        <v>84420</v>
      </c>
      <c r="R97" s="130">
        <f ca="1">R98+R99</f>
        <v>84420</v>
      </c>
      <c r="S97" s="130">
        <f ca="1">S98+S99</f>
        <v>31760</v>
      </c>
      <c r="T97" s="130">
        <f t="shared" ca="1" si="29"/>
        <v>37.621416725894335</v>
      </c>
      <c r="U97" s="130">
        <f t="shared" ca="1" si="30"/>
        <v>37.621416725894335</v>
      </c>
    </row>
    <row r="98" spans="1:21" ht="18.75" hidden="1" x14ac:dyDescent="0.25">
      <c r="A98" s="936"/>
      <c r="B98" s="935"/>
      <c r="C98" s="935"/>
      <c r="D98" s="935"/>
      <c r="E98" s="263" t="s">
        <v>36</v>
      </c>
      <c r="F98" s="935"/>
      <c r="G98" s="934"/>
      <c r="H98" s="271" t="s">
        <v>14</v>
      </c>
      <c r="I98" s="933"/>
      <c r="J98" s="933"/>
      <c r="K98" s="932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07"/>
      <c r="B99" s="65"/>
      <c r="C99" s="65"/>
      <c r="D99" s="65"/>
      <c r="E99" s="73" t="s">
        <v>37</v>
      </c>
      <c r="F99" s="65"/>
      <c r="G99" s="67"/>
      <c r="H99" s="216" t="s">
        <v>14</v>
      </c>
      <c r="I99" s="217"/>
      <c r="J99" s="217"/>
      <c r="K99" s="218"/>
      <c r="L99" s="129">
        <f ca="1">IFERROR(__xludf.DUMMYFUNCTION("IMPORTRANGE(""https://docs.google.com/spreadsheets/d/1-uDff_7J0KD5mKrp0Vvzr7lt3OU09vwQwhkpOPPYv2Y/edit?usp=sharing"",""งบพรบ!AW53"")"),6000)</f>
        <v>6000</v>
      </c>
      <c r="M99" s="130">
        <f ca="1">IFERROR(__xludf.DUMMYFUNCTION("IMPORTRANGE(""https://docs.google.com/spreadsheets/d/1-uDff_7J0KD5mKrp0Vvzr7lt3OU09vwQwhkpOPPYv2Y/edit?usp=sharing"",""งบพรบ!BB53"")"),6000)</f>
        <v>6000</v>
      </c>
      <c r="N99" s="130">
        <f ca="1">IFERROR(__xludf.DUMMYFUNCTION("IMPORTRANGE(""https://docs.google.com/spreadsheets/d/1-uDff_7J0KD5mKrp0Vvzr7lt3OU09vwQwhkpOPPYv2Y/edit?usp=sharing"",""งบพรบ!BD53"")"),0)</f>
        <v>0</v>
      </c>
      <c r="O99" s="130">
        <f t="shared" ca="1" si="27"/>
        <v>0</v>
      </c>
      <c r="P99" s="130">
        <f t="shared" ca="1" si="28"/>
        <v>0</v>
      </c>
      <c r="Q99" s="130">
        <f ca="1">IFERROR(__xludf.DUMMYFUNCTION("IMPORTRANGE(""https://docs.google.com/spreadsheets/d/1ItG2mGa2ceCfYo0BwxsXqNm01IGEUdYcSSLTEv9YCik/edit?usp=sharing"",""เบิกจ่ายกองทุน!AJ53"")"),84420)</f>
        <v>84420</v>
      </c>
      <c r="R99" s="130">
        <f ca="1">IFERROR(__xludf.DUMMYFUNCTION("IMPORTRANGE(""https://docs.google.com/spreadsheets/d/1ItG2mGa2ceCfYo0BwxsXqNm01IGEUdYcSSLTEv9YCik/edit?usp=sharing"",""เบิกจ่ายกองทุน!AK53"")"),84420)</f>
        <v>84420</v>
      </c>
      <c r="S99" s="130">
        <f ca="1">IFERROR(__xludf.DUMMYFUNCTION("IMPORTRANGE(""https://docs.google.com/spreadsheets/d/1ItG2mGa2ceCfYo0BwxsXqNm01IGEUdYcSSLTEv9YCik/edit?usp=sharing"",""เบิกจ่ายกองทุน!AL53"")"),31760)</f>
        <v>31760</v>
      </c>
      <c r="T99" s="130">
        <f t="shared" ca="1" si="29"/>
        <v>37.621416725894335</v>
      </c>
      <c r="U99" s="130">
        <f t="shared" ca="1" si="30"/>
        <v>37.621416725894335</v>
      </c>
    </row>
    <row r="100" spans="1:21" ht="18.75" x14ac:dyDescent="0.25">
      <c r="A100" s="207"/>
      <c r="B100" s="65"/>
      <c r="C100" s="65"/>
      <c r="D100" s="937" t="s">
        <v>23</v>
      </c>
      <c r="E100" s="65"/>
      <c r="F100" s="65"/>
      <c r="G100" s="67"/>
      <c r="H100" s="219" t="s">
        <v>14</v>
      </c>
      <c r="I100" s="217"/>
      <c r="J100" s="217"/>
      <c r="K100" s="218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936"/>
      <c r="B101" s="935"/>
      <c r="C101" s="935"/>
      <c r="D101" s="935"/>
      <c r="E101" s="263" t="s">
        <v>20</v>
      </c>
      <c r="F101" s="935"/>
      <c r="G101" s="934"/>
      <c r="H101" s="271" t="s">
        <v>14</v>
      </c>
      <c r="I101" s="933"/>
      <c r="J101" s="933"/>
      <c r="K101" s="932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07"/>
      <c r="B102" s="65"/>
      <c r="C102" s="65"/>
      <c r="D102" s="65"/>
      <c r="E102" s="73" t="s">
        <v>21</v>
      </c>
      <c r="F102" s="65"/>
      <c r="G102" s="67"/>
      <c r="H102" s="219" t="s">
        <v>14</v>
      </c>
      <c r="I102" s="217"/>
      <c r="J102" s="217"/>
      <c r="K102" s="218"/>
      <c r="L102" s="129">
        <f ca="1">IFERROR(__xludf.DUMMYFUNCTION("IMPORTRANGE(""https://docs.google.com/spreadsheets/d/1-uDff_7J0KD5mKrp0Vvzr7lt3OU09vwQwhkpOPPYv2Y/edit?usp=sharing"",""งบพรบ!AZ53"")"),0)</f>
        <v>0</v>
      </c>
      <c r="M102" s="130">
        <f ca="1">IFERROR(__xludf.DUMMYFUNCTION("IMPORTRANGE(""https://docs.google.com/spreadsheets/d/1-uDff_7J0KD5mKrp0Vvzr7lt3OU09vwQwhkpOPPYv2Y/edit?usp=sharing"",""งบพรบ!BC53"")"),0)</f>
        <v>0</v>
      </c>
      <c r="N102" s="130">
        <f ca="1">IFERROR(__xludf.DUMMYFUNCTION("IMPORTRANGE(""https://docs.google.com/spreadsheets/d/1-uDff_7J0KD5mKrp0Vvzr7lt3OU09vwQwhkpOPPYv2Y/edit?usp=sharing"",""งบพรบ!BE53"")"),0)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x14ac:dyDescent="0.3">
      <c r="A103" s="220"/>
      <c r="B103" s="221"/>
      <c r="C103" s="1122" t="s">
        <v>18</v>
      </c>
      <c r="D103" s="931" t="s">
        <v>38</v>
      </c>
      <c r="E103" s="223"/>
      <c r="F103" s="223"/>
      <c r="G103" s="224"/>
      <c r="H103" s="225"/>
      <c r="I103" s="217"/>
      <c r="J103" s="69"/>
      <c r="K103" s="70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8.75" hidden="1" x14ac:dyDescent="0.25">
      <c r="A104" s="1173"/>
      <c r="B104" s="1172"/>
      <c r="C104" s="1172"/>
      <c r="D104" s="894"/>
      <c r="E104" s="1171"/>
      <c r="F104" s="1171"/>
      <c r="G104" s="1170"/>
      <c r="H104" s="893"/>
      <c r="I104" s="892"/>
      <c r="J104" s="892"/>
      <c r="K104" s="891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8.75" hidden="1" x14ac:dyDescent="0.25">
      <c r="A105" s="1173"/>
      <c r="B105" s="1172"/>
      <c r="C105" s="1172"/>
      <c r="D105" s="894"/>
      <c r="E105" s="1171"/>
      <c r="F105" s="1171"/>
      <c r="G105" s="1170"/>
      <c r="H105" s="893"/>
      <c r="I105" s="892"/>
      <c r="J105" s="892"/>
      <c r="K105" s="891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8.75" hidden="1" x14ac:dyDescent="0.25">
      <c r="A106" s="1173"/>
      <c r="B106" s="1172"/>
      <c r="C106" s="1172"/>
      <c r="D106" s="1172"/>
      <c r="E106" s="1171"/>
      <c r="F106" s="1171"/>
      <c r="G106" s="1170"/>
      <c r="H106" s="893"/>
      <c r="I106" s="892"/>
      <c r="J106" s="892"/>
      <c r="K106" s="891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20"/>
      <c r="B107" s="221"/>
      <c r="C107" s="221"/>
      <c r="D107" s="471" t="s">
        <v>47</v>
      </c>
      <c r="F107" s="229"/>
      <c r="G107" s="225"/>
      <c r="H107" s="67"/>
      <c r="I107" s="69"/>
      <c r="J107" s="69"/>
      <c r="K107" s="70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20"/>
      <c r="B108" s="221"/>
      <c r="C108" s="221"/>
      <c r="D108" s="234" t="s">
        <v>48</v>
      </c>
      <c r="E108" s="234"/>
      <c r="F108" s="229"/>
      <c r="G108" s="225"/>
      <c r="H108" s="68" t="s">
        <v>46</v>
      </c>
      <c r="I108" s="237">
        <f ca="1">IFERROR(__xludf.DUMMYFUNCTION("IMPORTRANGE(""https://docs.google.com/spreadsheets/d/1eHaY18a8A9IcSdp1K8H6x8fbOy06t2VsZHhMHf-1x7Y/edit?usp=sharing"",""แผน!N53"")"),30)</f>
        <v>30</v>
      </c>
      <c r="J108" s="794">
        <v>30</v>
      </c>
      <c r="K108" s="86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20"/>
      <c r="B109" s="221"/>
      <c r="C109" s="221"/>
      <c r="D109" s="234" t="s">
        <v>49</v>
      </c>
      <c r="E109" s="234"/>
      <c r="F109" s="229"/>
      <c r="G109" s="225"/>
      <c r="H109" s="68" t="s">
        <v>35</v>
      </c>
      <c r="I109" s="237">
        <f ca="1">IFERROR(__xludf.DUMMYFUNCTION("IMPORTRANGE(""https://docs.google.com/spreadsheets/d/1eHaY18a8A9IcSdp1K8H6x8fbOy06t2VsZHhMHf-1x7Y/edit?usp=sharing"",""แผน!O53"")"),10)</f>
        <v>10</v>
      </c>
      <c r="J109" s="794">
        <v>10</v>
      </c>
      <c r="K109" s="86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9.5" hidden="1" x14ac:dyDescent="0.3">
      <c r="A110" s="1173"/>
      <c r="B110" s="1172"/>
      <c r="C110" s="1172"/>
      <c r="D110" s="1171"/>
      <c r="E110" s="1207"/>
      <c r="F110" s="1171"/>
      <c r="G110" s="1170"/>
      <c r="H110" s="1170"/>
      <c r="I110" s="1206"/>
      <c r="J110" s="1206"/>
      <c r="K110" s="1205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8.75" hidden="1" x14ac:dyDescent="0.25">
      <c r="A111" s="1173"/>
      <c r="B111" s="1172"/>
      <c r="C111" s="1172"/>
      <c r="D111" s="1171"/>
      <c r="E111" s="894"/>
      <c r="F111" s="1171"/>
      <c r="G111" s="1170"/>
      <c r="H111" s="893"/>
      <c r="I111" s="892"/>
      <c r="J111" s="892"/>
      <c r="K111" s="891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8.75" hidden="1" x14ac:dyDescent="0.25">
      <c r="A112" s="1173"/>
      <c r="B112" s="1172"/>
      <c r="C112" s="1172"/>
      <c r="D112" s="1171"/>
      <c r="E112" s="1204"/>
      <c r="F112" s="1171"/>
      <c r="G112" s="1170"/>
      <c r="H112" s="893"/>
      <c r="I112" s="892"/>
      <c r="J112" s="892"/>
      <c r="K112" s="891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540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IFERROR(__xludf.DUMMYFUNCTION("IMPORTRANGE(""https://docs.google.com/spreadsheets/d/1eHaY18a8A9IcSdp1K8H6x8fbOy06t2VsZHhMHf-1x7Y/edit?usp=sharing"",""แผน!N53"")"),30)</f>
        <v>30</v>
      </c>
      <c r="J113" s="672">
        <v>30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IFERROR(__xludf.DUMMYFUNCTION("IMPORTRANGE(""https://docs.google.com/spreadsheets/d/1eHaY18a8A9IcSdp1K8H6x8fbOy06t2VsZHhMHf-1x7Y/edit?usp=sharing"",""แผน!O53"")"),10)</f>
        <v>10</v>
      </c>
      <c r="J114" s="292">
        <v>10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192" t="s">
        <v>51</v>
      </c>
      <c r="B115" s="193"/>
      <c r="C115" s="309"/>
      <c r="D115" s="193"/>
      <c r="E115" s="193"/>
      <c r="F115" s="193"/>
      <c r="G115" s="193"/>
      <c r="H115" s="193"/>
      <c r="I115" s="310"/>
      <c r="J115" s="310"/>
      <c r="K115" s="31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00"/>
      <c r="B116" s="48" t="s">
        <v>52</v>
      </c>
      <c r="C116" s="312"/>
      <c r="D116" s="201"/>
      <c r="E116" s="47"/>
      <c r="F116" s="47"/>
      <c r="G116" s="50"/>
      <c r="H116" s="50"/>
      <c r="I116" s="1203">
        <f ca="1">I127</f>
        <v>20</v>
      </c>
      <c r="J116" s="1202">
        <f>J127</f>
        <v>20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07"/>
      <c r="B117" s="65"/>
      <c r="C117" s="1122" t="s">
        <v>18</v>
      </c>
      <c r="D117" s="941" t="s">
        <v>19</v>
      </c>
      <c r="E117" s="65"/>
      <c r="F117" s="65"/>
      <c r="G117" s="67"/>
      <c r="H117" s="210" t="s">
        <v>14</v>
      </c>
      <c r="I117" s="69"/>
      <c r="J117" s="69"/>
      <c r="K117" s="70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135217</v>
      </c>
      <c r="T117" s="213">
        <f t="shared" ref="T117:T125" ca="1" si="35">IF(Q117&gt;0,S117*100/Q117,0)</f>
        <v>64.585880779518533</v>
      </c>
      <c r="U117" s="213">
        <f t="shared" ref="U117:U125" ca="1" si="36">IF(R117&gt;0,S117*100/R117,0)</f>
        <v>64.585880779518533</v>
      </c>
    </row>
    <row r="118" spans="1:21" ht="18.75" hidden="1" x14ac:dyDescent="0.25">
      <c r="A118" s="936"/>
      <c r="B118" s="935"/>
      <c r="C118" s="935"/>
      <c r="D118" s="935"/>
      <c r="E118" s="263" t="s">
        <v>20</v>
      </c>
      <c r="F118" s="935"/>
      <c r="G118" s="934"/>
      <c r="H118" s="264" t="s">
        <v>14</v>
      </c>
      <c r="I118" s="939"/>
      <c r="J118" s="939"/>
      <c r="K118" s="938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07"/>
      <c r="B119" s="65"/>
      <c r="C119" s="65"/>
      <c r="D119" s="65"/>
      <c r="E119" s="73" t="s">
        <v>21</v>
      </c>
      <c r="F119" s="65"/>
      <c r="G119" s="67"/>
      <c r="H119" s="214" t="s">
        <v>14</v>
      </c>
      <c r="I119" s="69"/>
      <c r="J119" s="69"/>
      <c r="K119" s="70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209360</v>
      </c>
      <c r="R119" s="130">
        <f t="shared" ca="1" si="38"/>
        <v>209360</v>
      </c>
      <c r="S119" s="130">
        <f t="shared" ca="1" si="38"/>
        <v>135217</v>
      </c>
      <c r="T119" s="130">
        <f t="shared" ca="1" si="35"/>
        <v>64.585880779518533</v>
      </c>
      <c r="U119" s="130">
        <f t="shared" ca="1" si="36"/>
        <v>64.585880779518533</v>
      </c>
    </row>
    <row r="120" spans="1:21" ht="18.75" x14ac:dyDescent="0.25">
      <c r="A120" s="207"/>
      <c r="B120" s="65"/>
      <c r="C120" s="65"/>
      <c r="D120" s="937" t="s">
        <v>22</v>
      </c>
      <c r="E120" s="65"/>
      <c r="F120" s="65"/>
      <c r="G120" s="67"/>
      <c r="H120" s="1200" t="s">
        <v>14</v>
      </c>
      <c r="I120" s="69"/>
      <c r="J120" s="69"/>
      <c r="K120" s="70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135217</v>
      </c>
      <c r="T120" s="130">
        <f t="shared" ca="1" si="35"/>
        <v>64.585880779518533</v>
      </c>
      <c r="U120" s="130">
        <f t="shared" ca="1" si="36"/>
        <v>64.585880779518533</v>
      </c>
    </row>
    <row r="121" spans="1:21" ht="18.75" hidden="1" x14ac:dyDescent="0.25">
      <c r="A121" s="936"/>
      <c r="B121" s="935"/>
      <c r="C121" s="935"/>
      <c r="D121" s="935"/>
      <c r="E121" s="263" t="s">
        <v>36</v>
      </c>
      <c r="F121" s="935"/>
      <c r="G121" s="934"/>
      <c r="H121" s="303" t="s">
        <v>14</v>
      </c>
      <c r="I121" s="939"/>
      <c r="J121" s="939"/>
      <c r="K121" s="938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07"/>
      <c r="B122" s="65"/>
      <c r="C122" s="65"/>
      <c r="D122" s="65"/>
      <c r="E122" s="73" t="s">
        <v>37</v>
      </c>
      <c r="F122" s="65"/>
      <c r="G122" s="67"/>
      <c r="H122" s="1200" t="s">
        <v>14</v>
      </c>
      <c r="I122" s="69"/>
      <c r="J122" s="69"/>
      <c r="K122" s="70"/>
      <c r="L122" s="129">
        <f ca="1">IFERROR(__xludf.DUMMYFUNCTION("IMPORTRANGE(""https://docs.google.com/spreadsheets/d/1-uDff_7J0KD5mKrp0Vvzr7lt3OU09vwQwhkpOPPYv2Y/edit?usp=sharing"",""งบพรบ!BG53"")"),0)</f>
        <v>0</v>
      </c>
      <c r="M122" s="130">
        <f ca="1">IFERROR(__xludf.DUMMYFUNCTION("IMPORTRANGE(""https://docs.google.com/spreadsheets/d/1-uDff_7J0KD5mKrp0Vvzr7lt3OU09vwQwhkpOPPYv2Y/edit?usp=sharing"",""งบพรบ!BL53"")"),0)</f>
        <v>0</v>
      </c>
      <c r="N122" s="130">
        <f ca="1">IFERROR(__xludf.DUMMYFUNCTION("IMPORTRANGE(""https://docs.google.com/spreadsheets/d/1-uDff_7J0KD5mKrp0Vvzr7lt3OU09vwQwhkpOPPYv2Y/edit?usp=sharing"",""งบพรบ!BN53"")"),0)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IFERROR(__xludf.DUMMYFUNCTION("IMPORTRANGE(""https://docs.google.com/spreadsheets/d/1ItG2mGa2ceCfYo0BwxsXqNm01IGEUdYcSSLTEv9YCik/edit?usp=sharing"",""เบิกจ่ายกองทุน!U53"")"),209360)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IFERROR(__xludf.DUMMYFUNCTION("IMPORTRANGE(""https://docs.google.com/spreadsheets/d/1ItG2mGa2ceCfYo0BwxsXqNm01IGEUdYcSSLTEv9YCik/edit?usp=sharing"",""เบิกจ่ายกองทุน!V53"")"),209360)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IFERROR(__xludf.DUMMYFUNCTION("IMPORTRANGE(""https://docs.google.com/spreadsheets/d/1ItG2mGa2ceCfYo0BwxsXqNm01IGEUdYcSSLTEv9YCik/edit?usp=sharing"",""เบิกจ่ายกองทุน!W53"")"),135217)</f>
        <v>135217</v>
      </c>
      <c r="T122" s="130">
        <f t="shared" ca="1" si="35"/>
        <v>64.585880779518533</v>
      </c>
      <c r="U122" s="130">
        <f t="shared" ca="1" si="36"/>
        <v>64.585880779518533</v>
      </c>
    </row>
    <row r="123" spans="1:21" ht="18.75" x14ac:dyDescent="0.25">
      <c r="A123" s="207"/>
      <c r="B123" s="65"/>
      <c r="C123" s="65"/>
      <c r="D123" s="937" t="s">
        <v>23</v>
      </c>
      <c r="E123" s="65"/>
      <c r="F123" s="65"/>
      <c r="G123" s="67"/>
      <c r="H123" s="214" t="s">
        <v>14</v>
      </c>
      <c r="I123" s="69"/>
      <c r="J123" s="69"/>
      <c r="K123" s="70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936"/>
      <c r="B124" s="935"/>
      <c r="C124" s="935"/>
      <c r="D124" s="935"/>
      <c r="E124" s="263" t="s">
        <v>20</v>
      </c>
      <c r="F124" s="935"/>
      <c r="G124" s="934"/>
      <c r="H124" s="303" t="s">
        <v>14</v>
      </c>
      <c r="I124" s="939"/>
      <c r="J124" s="939"/>
      <c r="K124" s="938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07"/>
      <c r="B125" s="65"/>
      <c r="C125" s="65"/>
      <c r="D125" s="65"/>
      <c r="E125" s="73" t="s">
        <v>21</v>
      </c>
      <c r="F125" s="65"/>
      <c r="G125" s="67"/>
      <c r="H125" s="214" t="s">
        <v>14</v>
      </c>
      <c r="I125" s="69"/>
      <c r="J125" s="69"/>
      <c r="K125" s="70"/>
      <c r="L125" s="129">
        <f ca="1">IFERROR(__xludf.DUMMYFUNCTION("IMPORTRANGE(""https://docs.google.com/spreadsheets/d/1-uDff_7J0KD5mKrp0Vvzr7lt3OU09vwQwhkpOPPYv2Y/edit?usp=sharing"",""งบพรบ!BJ53"")"),0)</f>
        <v>0</v>
      </c>
      <c r="M125" s="130">
        <f ca="1">IFERROR(__xludf.DUMMYFUNCTION("IMPORTRANGE(""https://docs.google.com/spreadsheets/d/1-uDff_7J0KD5mKrp0Vvzr7lt3OU09vwQwhkpOPPYv2Y/edit?usp=sharing"",""งบพรบ!BM53"")"),0)</f>
        <v>0</v>
      </c>
      <c r="N125" s="130">
        <f ca="1">IFERROR(__xludf.DUMMYFUNCTION("IMPORTRANGE(""https://docs.google.com/spreadsheets/d/1-uDff_7J0KD5mKrp0Vvzr7lt3OU09vwQwhkpOPPYv2Y/edit?usp=sharing"",""งบพรบ!BO53"")"),0)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IFERROR(__xludf.DUMMYFUNCTION("IMPORTRANGE(""https://docs.google.com/spreadsheets/d/1ItG2mGa2ceCfYo0BwxsXqNm01IGEUdYcSSLTEv9YCik/edit?usp=sharing"",""เบิกจ่ายกองทุน!Z53"")"),0)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669"/>
      <c r="B126" s="425"/>
      <c r="C126" s="1122" t="s">
        <v>18</v>
      </c>
      <c r="D126" s="1199" t="s">
        <v>38</v>
      </c>
      <c r="E126" s="427"/>
      <c r="F126" s="427"/>
      <c r="G126" s="428"/>
      <c r="H126" s="599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529"/>
      <c r="B127" s="267"/>
      <c r="C127" s="267"/>
      <c r="D127" s="265" t="s">
        <v>53</v>
      </c>
      <c r="E127" s="256"/>
      <c r="F127" s="256"/>
      <c r="G127" s="259"/>
      <c r="H127" s="266" t="s">
        <v>35</v>
      </c>
      <c r="I127" s="291">
        <f ca="1">IFERROR(__xludf.DUMMYFUNCTION("IMPORTRANGE(""https://docs.google.com/spreadsheets/d/1eHaY18a8A9IcSdp1K8H6x8fbOy06t2VsZHhMHf-1x7Y/edit?usp=sharing"",""แผน!FF53"")"),20)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529"/>
      <c r="B128" s="267"/>
      <c r="C128" s="267"/>
      <c r="D128" s="256"/>
      <c r="E128" s="256"/>
      <c r="F128" s="256"/>
      <c r="G128" s="259"/>
      <c r="H128" s="266" t="s">
        <v>54</v>
      </c>
      <c r="I128" s="291">
        <f ca="1">IFERROR(__xludf.DUMMYFUNCTION("IMPORTRANGE(""https://docs.google.com/spreadsheets/d/1eHaY18a8A9IcSdp1K8H6x8fbOy06t2VsZHhMHf-1x7Y/edit?usp=sharing"",""แผน!FG53"")"),0)</f>
        <v>0</v>
      </c>
      <c r="J128" s="292">
        <v>1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529"/>
      <c r="B129" s="267"/>
      <c r="C129" s="267"/>
      <c r="D129" s="265" t="s">
        <v>55</v>
      </c>
      <c r="E129" s="256"/>
      <c r="F129" s="256"/>
      <c r="G129" s="259"/>
      <c r="H129" s="266" t="s">
        <v>35</v>
      </c>
      <c r="I129" s="291">
        <f ca="1">IFERROR(__xludf.DUMMYFUNCTION("IMPORTRANGE(""https://docs.google.com/spreadsheets/d/1eHaY18a8A9IcSdp1K8H6x8fbOy06t2VsZHhMHf-1x7Y/edit?usp=sharing"",""แผน!FH53"")"),20)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529"/>
      <c r="B130" s="267"/>
      <c r="C130" s="267"/>
      <c r="D130" s="256"/>
      <c r="E130" s="256"/>
      <c r="F130" s="256"/>
      <c r="G130" s="259"/>
      <c r="H130" s="266" t="s">
        <v>54</v>
      </c>
      <c r="I130" s="291">
        <f ca="1">IFERROR(__xludf.DUMMYFUNCTION("IMPORTRANGE(""https://docs.google.com/spreadsheets/d/1eHaY18a8A9IcSdp1K8H6x8fbOy06t2VsZHhMHf-1x7Y/edit?usp=sharing"",""แผน!FI53"")"),0)</f>
        <v>0</v>
      </c>
      <c r="J130" s="292">
        <v>1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529"/>
      <c r="B131" s="267"/>
      <c r="C131" s="267"/>
      <c r="D131" s="263" t="s">
        <v>56</v>
      </c>
      <c r="E131" s="256"/>
      <c r="F131" s="256"/>
      <c r="G131" s="259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529"/>
      <c r="B132" s="267"/>
      <c r="C132" s="267"/>
      <c r="D132" s="263" t="s">
        <v>57</v>
      </c>
      <c r="E132" s="256"/>
      <c r="F132" s="256"/>
      <c r="G132" s="259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192" t="s">
        <v>58</v>
      </c>
      <c r="B134" s="193"/>
      <c r="C134" s="309"/>
      <c r="D134" s="193"/>
      <c r="E134" s="193"/>
      <c r="F134" s="193"/>
      <c r="G134" s="193"/>
      <c r="H134" s="193"/>
      <c r="I134" s="310"/>
      <c r="J134" s="310"/>
      <c r="K134" s="31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00"/>
      <c r="B135" s="48" t="s">
        <v>59</v>
      </c>
      <c r="C135" s="312"/>
      <c r="D135" s="201"/>
      <c r="E135" s="47"/>
      <c r="F135" s="47"/>
      <c r="G135" s="47"/>
      <c r="H135" s="47"/>
      <c r="I135" s="52"/>
      <c r="J135" s="52"/>
      <c r="K135" s="53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00"/>
      <c r="B136" s="47"/>
      <c r="C136" s="313" t="s">
        <v>60</v>
      </c>
      <c r="D136" s="201"/>
      <c r="E136" s="47"/>
      <c r="F136" s="47"/>
      <c r="G136" s="50"/>
      <c r="H136" s="202" t="s">
        <v>61</v>
      </c>
      <c r="I136" s="203">
        <f ca="1">I154</f>
        <v>0</v>
      </c>
      <c r="J136" s="203">
        <f>J154</f>
        <v>0</v>
      </c>
      <c r="K136" s="204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00"/>
      <c r="B137" s="47"/>
      <c r="C137" s="313" t="s">
        <v>62</v>
      </c>
      <c r="D137" s="201"/>
      <c r="E137" s="47"/>
      <c r="F137" s="47"/>
      <c r="G137" s="50"/>
      <c r="H137" s="202" t="s">
        <v>35</v>
      </c>
      <c r="I137" s="203">
        <f ca="1">I152</f>
        <v>20</v>
      </c>
      <c r="J137" s="203">
        <f>J152</f>
        <v>20</v>
      </c>
      <c r="K137" s="204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00"/>
      <c r="B138" s="47"/>
      <c r="C138" s="313"/>
      <c r="D138" s="201"/>
      <c r="E138" s="47"/>
      <c r="F138" s="47"/>
      <c r="G138" s="50"/>
      <c r="H138" s="202" t="s">
        <v>54</v>
      </c>
      <c r="I138" s="203">
        <f ca="1">I153</f>
        <v>2</v>
      </c>
      <c r="J138" s="203">
        <f>J153</f>
        <v>2</v>
      </c>
      <c r="K138" s="204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07"/>
      <c r="B139" s="65"/>
      <c r="C139" s="1122" t="s">
        <v>18</v>
      </c>
      <c r="D139" s="941" t="s">
        <v>19</v>
      </c>
      <c r="E139" s="65"/>
      <c r="F139" s="65"/>
      <c r="G139" s="67"/>
      <c r="H139" s="210" t="s">
        <v>14</v>
      </c>
      <c r="I139" s="69"/>
      <c r="J139" s="69"/>
      <c r="K139" s="70"/>
      <c r="L139" s="212">
        <f ca="1">L140+L141</f>
        <v>119900</v>
      </c>
      <c r="M139" s="213">
        <f ca="1">M140+M141</f>
        <v>114900</v>
      </c>
      <c r="N139" s="213">
        <f ca="1">N140+N141</f>
        <v>113875</v>
      </c>
      <c r="O139" s="213">
        <f t="shared" ref="O139:O147" ca="1" si="39">IF(L139&gt;0,N139*100/L139,0)</f>
        <v>94.974979149291073</v>
      </c>
      <c r="P139" s="213">
        <f t="shared" ref="P139:P147" ca="1" si="40">IF(M139&gt;0,N139*100/M139,0)</f>
        <v>99.107919930374237</v>
      </c>
      <c r="Q139" s="213">
        <f ca="1">Q140+Q141</f>
        <v>39860</v>
      </c>
      <c r="R139" s="213">
        <f ca="1">R140+R141</f>
        <v>39860</v>
      </c>
      <c r="S139" s="213">
        <f ca="1">S140+S141</f>
        <v>6100</v>
      </c>
      <c r="T139" s="213">
        <f t="shared" ref="T139:T147" ca="1" si="41">IF(Q139&gt;0,S139*100/Q139,0)</f>
        <v>15.303562468640241</v>
      </c>
      <c r="U139" s="213">
        <f t="shared" ref="U139:U147" ca="1" si="42">IF(R139&gt;0,S139*100/R139,0)</f>
        <v>15.303562468640241</v>
      </c>
    </row>
    <row r="140" spans="1:21" ht="18.75" hidden="1" x14ac:dyDescent="0.25">
      <c r="A140" s="936"/>
      <c r="B140" s="935"/>
      <c r="C140" s="935"/>
      <c r="D140" s="935"/>
      <c r="E140" s="263" t="s">
        <v>20</v>
      </c>
      <c r="F140" s="935"/>
      <c r="G140" s="934"/>
      <c r="H140" s="264" t="s">
        <v>14</v>
      </c>
      <c r="I140" s="939"/>
      <c r="J140" s="939"/>
      <c r="K140" s="938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07"/>
      <c r="B141" s="65"/>
      <c r="C141" s="65"/>
      <c r="D141" s="65"/>
      <c r="E141" s="73" t="s">
        <v>21</v>
      </c>
      <c r="F141" s="65"/>
      <c r="G141" s="67"/>
      <c r="H141" s="214" t="s">
        <v>14</v>
      </c>
      <c r="I141" s="69"/>
      <c r="J141" s="69"/>
      <c r="K141" s="70"/>
      <c r="L141" s="129">
        <f t="shared" ca="1" si="43"/>
        <v>119900</v>
      </c>
      <c r="M141" s="130">
        <f t="shared" ca="1" si="43"/>
        <v>114900</v>
      </c>
      <c r="N141" s="130">
        <f t="shared" ca="1" si="43"/>
        <v>113875</v>
      </c>
      <c r="O141" s="130">
        <f t="shared" ca="1" si="39"/>
        <v>94.974979149291073</v>
      </c>
      <c r="P141" s="130">
        <f t="shared" ca="1" si="40"/>
        <v>99.107919930374237</v>
      </c>
      <c r="Q141" s="130">
        <f t="shared" ca="1" si="44"/>
        <v>39860</v>
      </c>
      <c r="R141" s="130">
        <f t="shared" ca="1" si="44"/>
        <v>39860</v>
      </c>
      <c r="S141" s="130">
        <f t="shared" ca="1" si="44"/>
        <v>6100</v>
      </c>
      <c r="T141" s="130">
        <f t="shared" ca="1" si="41"/>
        <v>15.303562468640241</v>
      </c>
      <c r="U141" s="130">
        <f t="shared" ca="1" si="42"/>
        <v>15.303562468640241</v>
      </c>
    </row>
    <row r="142" spans="1:21" ht="18.75" x14ac:dyDescent="0.25">
      <c r="A142" s="207"/>
      <c r="B142" s="65"/>
      <c r="C142" s="65"/>
      <c r="D142" s="937" t="s">
        <v>22</v>
      </c>
      <c r="E142" s="65"/>
      <c r="F142" s="65"/>
      <c r="G142" s="67"/>
      <c r="H142" s="216" t="s">
        <v>14</v>
      </c>
      <c r="I142" s="217"/>
      <c r="J142" s="217"/>
      <c r="K142" s="218"/>
      <c r="L142" s="129">
        <f ca="1">L143+L144</f>
        <v>119900</v>
      </c>
      <c r="M142" s="130">
        <f ca="1">M143+M144</f>
        <v>114900</v>
      </c>
      <c r="N142" s="130">
        <f ca="1">N143+N144</f>
        <v>113875</v>
      </c>
      <c r="O142" s="130">
        <f t="shared" ca="1" si="39"/>
        <v>94.974979149291073</v>
      </c>
      <c r="P142" s="130">
        <f t="shared" ca="1" si="40"/>
        <v>99.107919930374237</v>
      </c>
      <c r="Q142" s="130">
        <f ca="1">Q143+Q144</f>
        <v>39860</v>
      </c>
      <c r="R142" s="130">
        <f ca="1">R143+R144</f>
        <v>39860</v>
      </c>
      <c r="S142" s="130">
        <f ca="1">S143+S144</f>
        <v>6100</v>
      </c>
      <c r="T142" s="130">
        <f t="shared" ca="1" si="41"/>
        <v>15.303562468640241</v>
      </c>
      <c r="U142" s="130">
        <f t="shared" ca="1" si="42"/>
        <v>15.303562468640241</v>
      </c>
    </row>
    <row r="143" spans="1:21" ht="18.75" hidden="1" x14ac:dyDescent="0.25">
      <c r="A143" s="936"/>
      <c r="B143" s="935"/>
      <c r="C143" s="935"/>
      <c r="D143" s="935"/>
      <c r="E143" s="263" t="s">
        <v>36</v>
      </c>
      <c r="F143" s="935"/>
      <c r="G143" s="934"/>
      <c r="H143" s="271" t="s">
        <v>14</v>
      </c>
      <c r="I143" s="933"/>
      <c r="J143" s="933"/>
      <c r="K143" s="932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07"/>
      <c r="B144" s="65"/>
      <c r="C144" s="65"/>
      <c r="D144" s="65"/>
      <c r="E144" s="73" t="s">
        <v>37</v>
      </c>
      <c r="F144" s="65"/>
      <c r="G144" s="67"/>
      <c r="H144" s="216" t="s">
        <v>14</v>
      </c>
      <c r="I144" s="217"/>
      <c r="J144" s="217"/>
      <c r="K144" s="218"/>
      <c r="L144" s="129">
        <f ca="1">IFERROR(__xludf.DUMMYFUNCTION("IMPORTRANGE(""https://docs.google.com/spreadsheets/d/1-uDff_7J0KD5mKrp0Vvzr7lt3OU09vwQwhkpOPPYv2Y/edit?usp=sharing"",""งบพรบ!BQ53"")"),119900)</f>
        <v>119900</v>
      </c>
      <c r="M144" s="130">
        <f ca="1">IFERROR(__xludf.DUMMYFUNCTION("IMPORTRANGE(""https://docs.google.com/spreadsheets/d/1-uDff_7J0KD5mKrp0Vvzr7lt3OU09vwQwhkpOPPYv2Y/edit?usp=sharing"",""งบพรบ!BV53"")"),114900)</f>
        <v>114900</v>
      </c>
      <c r="N144" s="130">
        <f ca="1">IFERROR(__xludf.DUMMYFUNCTION("IMPORTRANGE(""https://docs.google.com/spreadsheets/d/1-uDff_7J0KD5mKrp0Vvzr7lt3OU09vwQwhkpOPPYv2Y/edit?usp=sharing"",""งบพรบ!BX53"")"),113875)</f>
        <v>113875</v>
      </c>
      <c r="O144" s="130">
        <f t="shared" ca="1" si="39"/>
        <v>94.974979149291073</v>
      </c>
      <c r="P144" s="130">
        <f t="shared" ca="1" si="40"/>
        <v>99.107919930374237</v>
      </c>
      <c r="Q144" s="130">
        <f ca="1">IFERROR(__xludf.DUMMYFUNCTION("IMPORTRANGE(""https://docs.google.com/spreadsheets/d/1ItG2mGa2ceCfYo0BwxsXqNm01IGEUdYcSSLTEv9YCik/edit?usp=sharing"",""เบิกจ่ายกองทุน!CF53"")"),39860)</f>
        <v>39860</v>
      </c>
      <c r="R144" s="130">
        <f ca="1">IFERROR(__xludf.DUMMYFUNCTION("IMPORTRANGE(""https://docs.google.com/spreadsheets/d/1ItG2mGa2ceCfYo0BwxsXqNm01IGEUdYcSSLTEv9YCik/edit?usp=sharing"",""เบิกจ่ายกองทุน!CG53"")"),39860)</f>
        <v>39860</v>
      </c>
      <c r="S144" s="130">
        <f ca="1">IFERROR(__xludf.DUMMYFUNCTION("IMPORTRANGE(""https://docs.google.com/spreadsheets/d/1ItG2mGa2ceCfYo0BwxsXqNm01IGEUdYcSSLTEv9YCik/edit?usp=sharing"",""เบิกจ่ายกองทุน!CH53"")"),6100)</f>
        <v>6100</v>
      </c>
      <c r="T144" s="130">
        <f t="shared" ca="1" si="41"/>
        <v>15.303562468640241</v>
      </c>
      <c r="U144" s="130">
        <f t="shared" ca="1" si="42"/>
        <v>15.303562468640241</v>
      </c>
    </row>
    <row r="145" spans="1:21" ht="18.75" x14ac:dyDescent="0.25">
      <c r="A145" s="207"/>
      <c r="B145" s="65"/>
      <c r="C145" s="65"/>
      <c r="D145" s="937" t="s">
        <v>23</v>
      </c>
      <c r="E145" s="65"/>
      <c r="F145" s="65"/>
      <c r="G145" s="67"/>
      <c r="H145" s="219" t="s">
        <v>14</v>
      </c>
      <c r="I145" s="217"/>
      <c r="J145" s="217"/>
      <c r="K145" s="218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936"/>
      <c r="B146" s="935"/>
      <c r="C146" s="935"/>
      <c r="D146" s="935"/>
      <c r="E146" s="263" t="s">
        <v>20</v>
      </c>
      <c r="F146" s="935"/>
      <c r="G146" s="934"/>
      <c r="H146" s="271" t="s">
        <v>14</v>
      </c>
      <c r="I146" s="933"/>
      <c r="J146" s="933"/>
      <c r="K146" s="932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07"/>
      <c r="B147" s="65"/>
      <c r="C147" s="65"/>
      <c r="D147" s="65"/>
      <c r="E147" s="73" t="s">
        <v>21</v>
      </c>
      <c r="F147" s="65"/>
      <c r="G147" s="67"/>
      <c r="H147" s="219" t="s">
        <v>14</v>
      </c>
      <c r="I147" s="217"/>
      <c r="J147" s="217"/>
      <c r="K147" s="218"/>
      <c r="L147" s="129">
        <f ca="1">IFERROR(__xludf.DUMMYFUNCTION("IMPORTRANGE(""https://docs.google.com/spreadsheets/d/1-uDff_7J0KD5mKrp0Vvzr7lt3OU09vwQwhkpOPPYv2Y/edit?usp=sharing"",""งบพรบ!BT53"")"),0)</f>
        <v>0</v>
      </c>
      <c r="M147" s="130">
        <f ca="1">IFERROR(__xludf.DUMMYFUNCTION("IMPORTRANGE(""https://docs.google.com/spreadsheets/d/1-uDff_7J0KD5mKrp0Vvzr7lt3OU09vwQwhkpOPPYv2Y/edit?usp=sharing"",""งบพรบ!BW53"")"),0)</f>
        <v>0</v>
      </c>
      <c r="N147" s="130">
        <f ca="1">IFERROR(__xludf.DUMMYFUNCTION("IMPORTRANGE(""https://docs.google.com/spreadsheets/d/1-uDff_7J0KD5mKrp0Vvzr7lt3OU09vwQwhkpOPPYv2Y/edit?usp=sharing"",""งบพรบ!BY53"")"),0)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IFERROR(__xludf.DUMMYFUNCTION("IMPORTRANGE(""https://docs.google.com/spreadsheets/d/1ItG2mGa2ceCfYo0BwxsXqNm01IGEUdYcSSLTEv9YCik/edit?usp=sharing"",""เบิกจ่ายกองทุน!CK53"")"),0)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x14ac:dyDescent="0.3">
      <c r="A148" s="220"/>
      <c r="B148" s="221"/>
      <c r="C148" s="1122" t="s">
        <v>18</v>
      </c>
      <c r="D148" s="931" t="s">
        <v>38</v>
      </c>
      <c r="E148" s="223"/>
      <c r="F148" s="223"/>
      <c r="G148" s="224"/>
      <c r="H148" s="314"/>
      <c r="I148" s="69"/>
      <c r="J148" s="69"/>
      <c r="K148" s="70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07"/>
      <c r="B149" s="65"/>
      <c r="C149" s="65"/>
      <c r="D149" s="73" t="s">
        <v>63</v>
      </c>
      <c r="E149" s="65"/>
      <c r="F149" s="65"/>
      <c r="G149" s="67"/>
      <c r="H149" s="314"/>
      <c r="I149" s="69"/>
      <c r="J149" s="794">
        <v>0</v>
      </c>
      <c r="K149" s="70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315"/>
      <c r="B150" s="77"/>
      <c r="C150" s="77"/>
      <c r="D150" s="316"/>
      <c r="E150" s="317" t="s">
        <v>64</v>
      </c>
      <c r="F150" s="77"/>
      <c r="G150" s="79"/>
      <c r="H150" s="318" t="s">
        <v>35</v>
      </c>
      <c r="I150" s="319">
        <f ca="1">IFERROR(__xludf.DUMMYFUNCTION("IMPORTRANGE(""https://docs.google.com/spreadsheets/d/1eHaY18a8A9IcSdp1K8H6x8fbOy06t2VsZHhMHf-1x7Y/edit?usp=sharing"",""แผน!U53"")"),0)</f>
        <v>0</v>
      </c>
      <c r="J150" s="1117">
        <v>0</v>
      </c>
      <c r="K150" s="83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315"/>
      <c r="B151" s="77"/>
      <c r="C151" s="77"/>
      <c r="D151" s="316"/>
      <c r="E151" s="317"/>
      <c r="F151" s="77"/>
      <c r="G151" s="79"/>
      <c r="H151" s="318" t="s">
        <v>54</v>
      </c>
      <c r="I151" s="319">
        <f ca="1">IFERROR(__xludf.DUMMYFUNCTION("IMPORTRANGE(""https://docs.google.com/spreadsheets/d/1eHaY18a8A9IcSdp1K8H6x8fbOy06t2VsZHhMHf-1x7Y/edit?usp=sharing"",""แผน!V53"")"),0)</f>
        <v>0</v>
      </c>
      <c r="J151" s="1117">
        <v>0</v>
      </c>
      <c r="K151" s="83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315"/>
      <c r="B152" s="77"/>
      <c r="C152" s="77"/>
      <c r="D152" s="316"/>
      <c r="E152" s="317" t="s">
        <v>65</v>
      </c>
      <c r="F152" s="77"/>
      <c r="G152" s="79"/>
      <c r="H152" s="318" t="s">
        <v>35</v>
      </c>
      <c r="I152" s="319">
        <f ca="1">IFERROR(__xludf.DUMMYFUNCTION("IMPORTRANGE(""https://docs.google.com/spreadsheets/d/1eHaY18a8A9IcSdp1K8H6x8fbOy06t2VsZHhMHf-1x7Y/edit?usp=sharing"",""แผน!W53"")"),20)</f>
        <v>20</v>
      </c>
      <c r="J152" s="1117">
        <v>20</v>
      </c>
      <c r="K152" s="83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9.5" x14ac:dyDescent="0.3">
      <c r="A153" s="315"/>
      <c r="B153" s="77"/>
      <c r="C153" s="77"/>
      <c r="D153" s="317"/>
      <c r="E153" s="320"/>
      <c r="F153" s="77"/>
      <c r="G153" s="79"/>
      <c r="H153" s="318" t="s">
        <v>54</v>
      </c>
      <c r="I153" s="319">
        <f ca="1">IFERROR(__xludf.DUMMYFUNCTION("IMPORTRANGE(""https://docs.google.com/spreadsheets/d/1eHaY18a8A9IcSdp1K8H6x8fbOy06t2VsZHhMHf-1x7Y/edit?usp=sharing"",""แผน!X53"")"),2)</f>
        <v>2</v>
      </c>
      <c r="J153" s="1117">
        <v>2</v>
      </c>
      <c r="K153" s="83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321"/>
      <c r="B154" s="322"/>
      <c r="C154" s="322"/>
      <c r="D154" s="323" t="s">
        <v>66</v>
      </c>
      <c r="E154" s="322"/>
      <c r="F154" s="322"/>
      <c r="G154" s="324"/>
      <c r="H154" s="325" t="s">
        <v>61</v>
      </c>
      <c r="I154" s="326">
        <f ca="1">IFERROR(__xludf.DUMMYFUNCTION("IMPORTRANGE(""https://docs.google.com/spreadsheets/d/1eHaY18a8A9IcSdp1K8H6x8fbOy06t2VsZHhMHf-1x7Y/edit?usp=sharing"",""แผน!Y53"")"),0)</f>
        <v>0</v>
      </c>
      <c r="J154" s="1198">
        <v>0</v>
      </c>
      <c r="K154" s="83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328" t="s">
        <v>67</v>
      </c>
      <c r="B155" s="329"/>
      <c r="C155" s="330"/>
      <c r="D155" s="329"/>
      <c r="E155" s="329"/>
      <c r="F155" s="329"/>
      <c r="G155" s="329"/>
      <c r="H155" s="329"/>
      <c r="I155" s="331"/>
      <c r="J155" s="331"/>
      <c r="K155" s="332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00"/>
      <c r="B156" s="48" t="s">
        <v>68</v>
      </c>
      <c r="C156" s="47"/>
      <c r="D156" s="47"/>
      <c r="E156" s="47"/>
      <c r="F156" s="47"/>
      <c r="G156" s="50"/>
      <c r="H156" s="334" t="s">
        <v>35</v>
      </c>
      <c r="I156" s="203">
        <f ca="1">I167</f>
        <v>15</v>
      </c>
      <c r="J156" s="203">
        <f>J167</f>
        <v>15</v>
      </c>
      <c r="K156" s="204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07"/>
      <c r="B157" s="65"/>
      <c r="C157" s="1122" t="s">
        <v>18</v>
      </c>
      <c r="D157" s="941" t="s">
        <v>19</v>
      </c>
      <c r="E157" s="65"/>
      <c r="F157" s="65"/>
      <c r="G157" s="67"/>
      <c r="H157" s="210" t="s">
        <v>14</v>
      </c>
      <c r="I157" s="69"/>
      <c r="J157" s="69"/>
      <c r="K157" s="70"/>
      <c r="L157" s="212">
        <f ca="1">L158+L159</f>
        <v>4500</v>
      </c>
      <c r="M157" s="213">
        <f ca="1">M158+M159</f>
        <v>160250</v>
      </c>
      <c r="N157" s="213">
        <f ca="1">N158+N159</f>
        <v>4582</v>
      </c>
      <c r="O157" s="213">
        <f t="shared" ref="O157:O165" ca="1" si="45">IF(L157&gt;0,N157*100/L157,0)</f>
        <v>101.82222222222222</v>
      </c>
      <c r="P157" s="213">
        <f t="shared" ref="P157:P165" ca="1" si="46">IF(M157&gt;0,N157*100/M157,0)</f>
        <v>2.8592823712948516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936"/>
      <c r="B158" s="935"/>
      <c r="C158" s="935"/>
      <c r="D158" s="935"/>
      <c r="E158" s="263" t="s">
        <v>20</v>
      </c>
      <c r="F158" s="935"/>
      <c r="G158" s="934"/>
      <c r="H158" s="264" t="s">
        <v>14</v>
      </c>
      <c r="I158" s="939"/>
      <c r="J158" s="939"/>
      <c r="K158" s="938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07"/>
      <c r="B159" s="65"/>
      <c r="C159" s="65"/>
      <c r="D159" s="65"/>
      <c r="E159" s="73" t="s">
        <v>21</v>
      </c>
      <c r="F159" s="65"/>
      <c r="G159" s="67"/>
      <c r="H159" s="214" t="s">
        <v>14</v>
      </c>
      <c r="I159" s="69"/>
      <c r="J159" s="69"/>
      <c r="K159" s="70"/>
      <c r="L159" s="129">
        <f t="shared" ca="1" si="49"/>
        <v>4500</v>
      </c>
      <c r="M159" s="130">
        <f t="shared" ca="1" si="49"/>
        <v>160250</v>
      </c>
      <c r="N159" s="130">
        <f t="shared" ca="1" si="49"/>
        <v>4582</v>
      </c>
      <c r="O159" s="130">
        <f t="shared" ca="1" si="45"/>
        <v>101.82222222222222</v>
      </c>
      <c r="P159" s="130">
        <f t="shared" ca="1" si="46"/>
        <v>2.8592823712948516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x14ac:dyDescent="0.25">
      <c r="A160" s="207"/>
      <c r="B160" s="65"/>
      <c r="C160" s="65"/>
      <c r="D160" s="937" t="s">
        <v>22</v>
      </c>
      <c r="E160" s="65"/>
      <c r="F160" s="65"/>
      <c r="G160" s="67"/>
      <c r="H160" s="216" t="s">
        <v>14</v>
      </c>
      <c r="I160" s="217"/>
      <c r="J160" s="217"/>
      <c r="K160" s="218"/>
      <c r="L160" s="129">
        <f ca="1">L161+L162</f>
        <v>4500</v>
      </c>
      <c r="M160" s="130">
        <f ca="1">M161+M162</f>
        <v>160250</v>
      </c>
      <c r="N160" s="130">
        <f ca="1">N161+N162</f>
        <v>4582</v>
      </c>
      <c r="O160" s="130">
        <f t="shared" ca="1" si="45"/>
        <v>101.82222222222222</v>
      </c>
      <c r="P160" s="130">
        <f t="shared" ca="1" si="46"/>
        <v>2.8592823712948516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936"/>
      <c r="B161" s="935"/>
      <c r="C161" s="935"/>
      <c r="D161" s="935"/>
      <c r="E161" s="263" t="s">
        <v>36</v>
      </c>
      <c r="F161" s="935"/>
      <c r="G161" s="934"/>
      <c r="H161" s="271" t="s">
        <v>14</v>
      </c>
      <c r="I161" s="933"/>
      <c r="J161" s="933"/>
      <c r="K161" s="932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07"/>
      <c r="B162" s="65"/>
      <c r="C162" s="65"/>
      <c r="D162" s="65"/>
      <c r="E162" s="73" t="s">
        <v>37</v>
      </c>
      <c r="F162" s="65"/>
      <c r="G162" s="67"/>
      <c r="H162" s="216" t="s">
        <v>14</v>
      </c>
      <c r="I162" s="217"/>
      <c r="J162" s="217"/>
      <c r="K162" s="218"/>
      <c r="L162" s="129">
        <f ca="1">IFERROR(__xludf.DUMMYFUNCTION("IMPORTRANGE(""https://docs.google.com/spreadsheets/d/1-uDff_7J0KD5mKrp0Vvzr7lt3OU09vwQwhkpOPPYv2Y/edit?usp=sharing"",""งบพรบ!CA53"")"),4500)</f>
        <v>4500</v>
      </c>
      <c r="M162" s="130">
        <f ca="1">IFERROR(__xludf.DUMMYFUNCTION("IMPORTRANGE(""https://docs.google.com/spreadsheets/d/1-uDff_7J0KD5mKrp0Vvzr7lt3OU09vwQwhkpOPPYv2Y/edit?usp=sharing"",""งบพรบ!CF53"")"),160250)</f>
        <v>160250</v>
      </c>
      <c r="N162" s="130">
        <f ca="1">IFERROR(__xludf.DUMMYFUNCTION("IMPORTRANGE(""https://docs.google.com/spreadsheets/d/1-uDff_7J0KD5mKrp0Vvzr7lt3OU09vwQwhkpOPPYv2Y/edit?usp=sharing"",""งบพรบ!CH53"")"),4582)</f>
        <v>4582</v>
      </c>
      <c r="O162" s="130">
        <f t="shared" ca="1" si="45"/>
        <v>101.82222222222222</v>
      </c>
      <c r="P162" s="130">
        <f t="shared" ca="1" si="46"/>
        <v>2.8592823712948516</v>
      </c>
      <c r="Q162" s="130">
        <f ca="1">IFERROR(__xludf.DUMMYFUNCTION("IMPORTRANGE(""https://docs.google.com/spreadsheets/d/1ItG2mGa2ceCfYo0BwxsXqNm01IGEUdYcSSLTEv9YCik/edit?usp=sharing"",""เบิกจ่ายกองทุน!AM53"")"),0)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IFERROR(__xludf.DUMMYFUNCTION("IMPORTRANGE(""https://docs.google.com/spreadsheets/d/1ItG2mGa2ceCfYo0BwxsXqNm01IGEUdYcSSLTEv9YCik/edit?usp=sharing"",""เบิกจ่ายกองทุน!AN53"")"),0)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IFERROR(__xludf.DUMMYFUNCTION("IMPORTRANGE(""https://docs.google.com/spreadsheets/d/1ItG2mGa2ceCfYo0BwxsXqNm01IGEUdYcSSLTEv9YCik/edit?usp=sharing"",""เบิกจ่ายกองทุน!AO53"")"),0)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x14ac:dyDescent="0.25">
      <c r="A163" s="207"/>
      <c r="B163" s="65"/>
      <c r="C163" s="65"/>
      <c r="D163" s="937" t="s">
        <v>23</v>
      </c>
      <c r="E163" s="65"/>
      <c r="F163" s="65"/>
      <c r="G163" s="67"/>
      <c r="H163" s="219" t="s">
        <v>14</v>
      </c>
      <c r="I163" s="217"/>
      <c r="J163" s="217"/>
      <c r="K163" s="218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936"/>
      <c r="B164" s="935"/>
      <c r="C164" s="935"/>
      <c r="D164" s="935"/>
      <c r="E164" s="263" t="s">
        <v>20</v>
      </c>
      <c r="F164" s="935"/>
      <c r="G164" s="934"/>
      <c r="H164" s="271" t="s">
        <v>14</v>
      </c>
      <c r="I164" s="933"/>
      <c r="J164" s="933"/>
      <c r="K164" s="932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07"/>
      <c r="B165" s="65"/>
      <c r="C165" s="65"/>
      <c r="D165" s="65"/>
      <c r="E165" s="73" t="s">
        <v>21</v>
      </c>
      <c r="F165" s="65"/>
      <c r="G165" s="67"/>
      <c r="H165" s="219" t="s">
        <v>14</v>
      </c>
      <c r="I165" s="217"/>
      <c r="J165" s="217"/>
      <c r="K165" s="218"/>
      <c r="L165" s="129">
        <f ca="1">IFERROR(__xludf.DUMMYFUNCTION("IMPORTRANGE(""https://docs.google.com/spreadsheets/d/1-uDff_7J0KD5mKrp0Vvzr7lt3OU09vwQwhkpOPPYv2Y/edit?usp=sharing"",""งบพรบ!CD53"")"),0)</f>
        <v>0</v>
      </c>
      <c r="M165" s="130">
        <f ca="1">IFERROR(__xludf.DUMMYFUNCTION("IMPORTRANGE(""https://docs.google.com/spreadsheets/d/1-uDff_7J0KD5mKrp0Vvzr7lt3OU09vwQwhkpOPPYv2Y/edit?usp=sharing"",""งบพรบ!CG53"")"),0)</f>
        <v>0</v>
      </c>
      <c r="N165" s="130">
        <f ca="1">IFERROR(__xludf.DUMMYFUNCTION("IMPORTRANGE(""https://docs.google.com/spreadsheets/d/1-uDff_7J0KD5mKrp0Vvzr7lt3OU09vwQwhkpOPPYv2Y/edit?usp=sharing"",""งบพรบ!CI53"")"),0)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x14ac:dyDescent="0.3">
      <c r="A166" s="220"/>
      <c r="B166" s="221"/>
      <c r="C166" s="1122" t="s">
        <v>18</v>
      </c>
      <c r="D166" s="931" t="s">
        <v>38</v>
      </c>
      <c r="E166" s="223"/>
      <c r="F166" s="223"/>
      <c r="G166" s="224"/>
      <c r="H166" s="314"/>
      <c r="I166" s="69"/>
      <c r="J166" s="69"/>
      <c r="K166" s="70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07"/>
      <c r="B167" s="65"/>
      <c r="C167" s="65"/>
      <c r="D167" s="73" t="s">
        <v>69</v>
      </c>
      <c r="E167" s="65"/>
      <c r="F167" s="65"/>
      <c r="G167" s="67"/>
      <c r="H167" s="219" t="s">
        <v>35</v>
      </c>
      <c r="I167" s="237">
        <f ca="1">IFERROR(__xludf.DUMMYFUNCTION("IMPORTRANGE(""https://docs.google.com/spreadsheets/d/1eHaY18a8A9IcSdp1K8H6x8fbOy06t2VsZHhMHf-1x7Y/edit?usp=sharing"",""แผน!Z53"")"),15)</f>
        <v>15</v>
      </c>
      <c r="J167" s="1197">
        <v>15</v>
      </c>
      <c r="K167" s="86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936"/>
      <c r="B168" s="935"/>
      <c r="C168" s="935"/>
      <c r="D168" s="263" t="s">
        <v>70</v>
      </c>
      <c r="E168" s="935"/>
      <c r="F168" s="935"/>
      <c r="G168" s="934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1196"/>
      <c r="B169" s="1194"/>
      <c r="C169" s="1194"/>
      <c r="D169" s="1195" t="s">
        <v>71</v>
      </c>
      <c r="E169" s="1194"/>
      <c r="F169" s="1194"/>
      <c r="G169" s="1193"/>
      <c r="H169" s="1192" t="s">
        <v>35</v>
      </c>
      <c r="I169" s="1175">
        <f ca="1">I167</f>
        <v>15</v>
      </c>
      <c r="J169" s="1191">
        <v>0</v>
      </c>
      <c r="K169" s="1190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338" t="s">
        <v>72</v>
      </c>
      <c r="B170" s="339"/>
      <c r="C170" s="339"/>
      <c r="D170" s="339"/>
      <c r="E170" s="340"/>
      <c r="F170" s="340"/>
      <c r="G170" s="340"/>
      <c r="H170" s="340"/>
      <c r="I170" s="341"/>
      <c r="J170" s="341"/>
      <c r="K170" s="342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347" t="s">
        <v>73</v>
      </c>
      <c r="B171" s="348"/>
      <c r="C171" s="348"/>
      <c r="D171" s="349"/>
      <c r="E171" s="349"/>
      <c r="F171" s="349"/>
      <c r="G171" s="350"/>
      <c r="H171" s="350"/>
      <c r="I171" s="351"/>
      <c r="J171" s="351"/>
      <c r="K171" s="352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355"/>
      <c r="B172" s="356" t="s">
        <v>74</v>
      </c>
      <c r="C172" s="357"/>
      <c r="D172" s="223"/>
      <c r="E172" s="223"/>
      <c r="F172" s="223"/>
      <c r="G172" s="224"/>
      <c r="H172" s="358" t="s">
        <v>35</v>
      </c>
      <c r="I172" s="359">
        <f ca="1">I183+I184</f>
        <v>7</v>
      </c>
      <c r="J172" s="359">
        <f>J183+J184</f>
        <v>7</v>
      </c>
      <c r="K172" s="360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07"/>
      <c r="B173" s="65"/>
      <c r="C173" s="1122" t="s">
        <v>18</v>
      </c>
      <c r="D173" s="941" t="s">
        <v>19</v>
      </c>
      <c r="E173" s="65"/>
      <c r="F173" s="65"/>
      <c r="G173" s="67"/>
      <c r="H173" s="210" t="s">
        <v>14</v>
      </c>
      <c r="I173" s="69"/>
      <c r="J173" s="69"/>
      <c r="K173" s="70"/>
      <c r="L173" s="212">
        <f ca="1">L174+L175</f>
        <v>19590</v>
      </c>
      <c r="M173" s="213">
        <f ca="1">M174+M175</f>
        <v>39250</v>
      </c>
      <c r="N173" s="213">
        <f ca="1">N174+N175</f>
        <v>32320</v>
      </c>
      <c r="O173" s="213">
        <f t="shared" ref="O173:O181" ca="1" si="51">IF(L173&gt;0,N173*100/L173,0)</f>
        <v>164.98213374170496</v>
      </c>
      <c r="P173" s="213">
        <f t="shared" ref="P173:P181" ca="1" si="52">IF(M173&gt;0,N173*100/M173,0)</f>
        <v>82.343949044585983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t="shared" ref="T173:T181" ca="1" si="53">IF(Q173&gt;0,S173*100/Q173,0)</f>
        <v>0</v>
      </c>
      <c r="U173" s="213">
        <f t="shared" ref="U173:U181" ca="1" si="54">IF(R173&gt;0,S173*100/R173,0)</f>
        <v>0</v>
      </c>
    </row>
    <row r="174" spans="1:21" ht="18.75" hidden="1" x14ac:dyDescent="0.25">
      <c r="A174" s="936"/>
      <c r="B174" s="935"/>
      <c r="C174" s="935"/>
      <c r="D174" s="935"/>
      <c r="E174" s="263" t="s">
        <v>20</v>
      </c>
      <c r="F174" s="935"/>
      <c r="G174" s="934"/>
      <c r="H174" s="264" t="s">
        <v>14</v>
      </c>
      <c r="I174" s="939"/>
      <c r="J174" s="939"/>
      <c r="K174" s="938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07"/>
      <c r="B175" s="65"/>
      <c r="C175" s="65"/>
      <c r="D175" s="65"/>
      <c r="E175" s="73" t="s">
        <v>21</v>
      </c>
      <c r="F175" s="65"/>
      <c r="G175" s="67"/>
      <c r="H175" s="214" t="s">
        <v>14</v>
      </c>
      <c r="I175" s="69"/>
      <c r="J175" s="69"/>
      <c r="K175" s="70"/>
      <c r="L175" s="129">
        <f t="shared" ca="1" si="55"/>
        <v>19590</v>
      </c>
      <c r="M175" s="130">
        <f t="shared" ca="1" si="55"/>
        <v>39250</v>
      </c>
      <c r="N175" s="130">
        <f t="shared" ca="1" si="55"/>
        <v>32320</v>
      </c>
      <c r="O175" s="130">
        <f t="shared" ca="1" si="51"/>
        <v>164.98213374170496</v>
      </c>
      <c r="P175" s="130">
        <f t="shared" ca="1" si="52"/>
        <v>82.343949044585983</v>
      </c>
      <c r="Q175" s="130">
        <f t="shared" ca="1" si="56"/>
        <v>0</v>
      </c>
      <c r="R175" s="130">
        <f t="shared" ca="1" si="56"/>
        <v>0</v>
      </c>
      <c r="S175" s="130">
        <f t="shared" ca="1" si="56"/>
        <v>0</v>
      </c>
      <c r="T175" s="130">
        <f t="shared" ca="1" si="53"/>
        <v>0</v>
      </c>
      <c r="U175" s="130">
        <f t="shared" ca="1" si="54"/>
        <v>0</v>
      </c>
    </row>
    <row r="176" spans="1:21" ht="18.75" x14ac:dyDescent="0.25">
      <c r="A176" s="207"/>
      <c r="B176" s="65"/>
      <c r="C176" s="65"/>
      <c r="D176" s="937" t="s">
        <v>22</v>
      </c>
      <c r="E176" s="65"/>
      <c r="F176" s="65"/>
      <c r="G176" s="67"/>
      <c r="H176" s="216" t="s">
        <v>14</v>
      </c>
      <c r="I176" s="217"/>
      <c r="J176" s="217"/>
      <c r="K176" s="218"/>
      <c r="L176" s="129">
        <f ca="1">L177+L178</f>
        <v>19590</v>
      </c>
      <c r="M176" s="130">
        <f ca="1">M177+M178</f>
        <v>39250</v>
      </c>
      <c r="N176" s="130">
        <f ca="1">N177+N178</f>
        <v>32320</v>
      </c>
      <c r="O176" s="130">
        <f t="shared" ca="1" si="51"/>
        <v>164.98213374170496</v>
      </c>
      <c r="P176" s="130">
        <f t="shared" ca="1" si="52"/>
        <v>82.343949044585983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t="shared" ca="1" si="53"/>
        <v>0</v>
      </c>
      <c r="U176" s="130">
        <f t="shared" ca="1" si="54"/>
        <v>0</v>
      </c>
    </row>
    <row r="177" spans="1:21" ht="18.75" hidden="1" x14ac:dyDescent="0.25">
      <c r="A177" s="936"/>
      <c r="B177" s="935"/>
      <c r="C177" s="935"/>
      <c r="D177" s="935"/>
      <c r="E177" s="263" t="s">
        <v>36</v>
      </c>
      <c r="F177" s="935"/>
      <c r="G177" s="934"/>
      <c r="H177" s="271" t="s">
        <v>14</v>
      </c>
      <c r="I177" s="933"/>
      <c r="J177" s="933"/>
      <c r="K177" s="932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07"/>
      <c r="B178" s="65"/>
      <c r="C178" s="65"/>
      <c r="D178" s="65"/>
      <c r="E178" s="73" t="s">
        <v>37</v>
      </c>
      <c r="F178" s="65"/>
      <c r="G178" s="67"/>
      <c r="H178" s="216" t="s">
        <v>14</v>
      </c>
      <c r="I178" s="217"/>
      <c r="J178" s="217"/>
      <c r="K178" s="218"/>
      <c r="L178" s="129">
        <f ca="1">IFERROR(__xludf.DUMMYFUNCTION("IMPORTRANGE(""https://docs.google.com/spreadsheets/d/1-uDff_7J0KD5mKrp0Vvzr7lt3OU09vwQwhkpOPPYv2Y/edit?usp=sharing"",""งบพรบ!CK53"")"),19590)</f>
        <v>19590</v>
      </c>
      <c r="M178" s="130">
        <f ca="1">IFERROR(__xludf.DUMMYFUNCTION("IMPORTRANGE(""https://docs.google.com/spreadsheets/d/1-uDff_7J0KD5mKrp0Vvzr7lt3OU09vwQwhkpOPPYv2Y/edit?usp=sharing"",""งบพรบ!CP53"")"),39250)</f>
        <v>39250</v>
      </c>
      <c r="N178" s="130">
        <f ca="1">IFERROR(__xludf.DUMMYFUNCTION("IMPORTRANGE(""https://docs.google.com/spreadsheets/d/1-uDff_7J0KD5mKrp0Vvzr7lt3OU09vwQwhkpOPPYv2Y/edit?usp=sharing"",""งบพรบ!CR53"")"),32320)</f>
        <v>32320</v>
      </c>
      <c r="O178" s="130">
        <f t="shared" ca="1" si="51"/>
        <v>164.98213374170496</v>
      </c>
      <c r="P178" s="130">
        <f t="shared" ca="1" si="52"/>
        <v>82.343949044585983</v>
      </c>
      <c r="Q178" s="130">
        <f ca="1">IFERROR(__xludf.DUMMYFUNCTION("IMPORTRANGE(""https://docs.google.com/spreadsheets/d/1ItG2mGa2ceCfYo0BwxsXqNm01IGEUdYcSSLTEv9YCik/edit?usp=sharing"",""เบิกจ่ายกองทุน!DG53"")"),0)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IFERROR(__xludf.DUMMYFUNCTION("IMPORTRANGE(""https://docs.google.com/spreadsheets/d/1ItG2mGa2ceCfYo0BwxsXqNm01IGEUdYcSSLTEv9YCik/edit?usp=sharing"",""เบิกจ่ายกองทุน!DH53"")"),0)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IFERROR(__xludf.DUMMYFUNCTION("IMPORTRANGE(""https://docs.google.com/spreadsheets/d/1ItG2mGa2ceCfYo0BwxsXqNm01IGEUdYcSSLTEv9YCik/edit?usp=sharing"",""เบิกจ่ายกองทุน!DI53"")"),0)</f>
        <v>0</v>
      </c>
      <c r="T178" s="130">
        <f t="shared" ca="1" si="53"/>
        <v>0</v>
      </c>
      <c r="U178" s="130">
        <f t="shared" ca="1" si="54"/>
        <v>0</v>
      </c>
    </row>
    <row r="179" spans="1:21" ht="18.75" x14ac:dyDescent="0.25">
      <c r="A179" s="207"/>
      <c r="B179" s="65"/>
      <c r="C179" s="65"/>
      <c r="D179" s="937" t="s">
        <v>23</v>
      </c>
      <c r="E179" s="65"/>
      <c r="F179" s="65"/>
      <c r="G179" s="67"/>
      <c r="H179" s="219" t="s">
        <v>14</v>
      </c>
      <c r="I179" s="217"/>
      <c r="J179" s="217"/>
      <c r="K179" s="218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936"/>
      <c r="B180" s="935"/>
      <c r="C180" s="935"/>
      <c r="D180" s="935"/>
      <c r="E180" s="263" t="s">
        <v>20</v>
      </c>
      <c r="F180" s="935"/>
      <c r="G180" s="934"/>
      <c r="H180" s="271" t="s">
        <v>14</v>
      </c>
      <c r="I180" s="933"/>
      <c r="J180" s="933"/>
      <c r="K180" s="932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07"/>
      <c r="B181" s="65"/>
      <c r="C181" s="65"/>
      <c r="D181" s="65"/>
      <c r="E181" s="73" t="s">
        <v>21</v>
      </c>
      <c r="F181" s="65"/>
      <c r="G181" s="67"/>
      <c r="H181" s="219" t="s">
        <v>14</v>
      </c>
      <c r="I181" s="217"/>
      <c r="J181" s="217"/>
      <c r="K181" s="218"/>
      <c r="L181" s="129">
        <f ca="1">IFERROR(__xludf.DUMMYFUNCTION("IMPORTRANGE(""https://docs.google.com/spreadsheets/d/1-uDff_7J0KD5mKrp0Vvzr7lt3OU09vwQwhkpOPPYv2Y/edit?usp=sharing"",""งบพรบ!CN53"")"),0)</f>
        <v>0</v>
      </c>
      <c r="M181" s="130">
        <f ca="1">IFERROR(__xludf.DUMMYFUNCTION("IMPORTRANGE(""https://docs.google.com/spreadsheets/d/1-uDff_7J0KD5mKrp0Vvzr7lt3OU09vwQwhkpOPPYv2Y/edit?usp=sharing"",""งบพรบ!CQ53"")"),0)</f>
        <v>0</v>
      </c>
      <c r="N181" s="130">
        <f ca="1">IFERROR(__xludf.DUMMYFUNCTION("IMPORTRANGE(""https://docs.google.com/spreadsheets/d/1-uDff_7J0KD5mKrp0Vvzr7lt3OU09vwQwhkpOPPYv2Y/edit?usp=sharing"",""งบพรบ!CS53"")"),0)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x14ac:dyDescent="0.3">
      <c r="A182" s="220"/>
      <c r="B182" s="221"/>
      <c r="C182" s="1122" t="s">
        <v>18</v>
      </c>
      <c r="D182" s="931" t="s">
        <v>38</v>
      </c>
      <c r="E182" s="223"/>
      <c r="F182" s="223"/>
      <c r="G182" s="224"/>
      <c r="H182" s="314"/>
      <c r="I182" s="69"/>
      <c r="J182" s="69"/>
      <c r="K182" s="70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364"/>
      <c r="B183" s="65"/>
      <c r="C183" s="365"/>
      <c r="D183" s="365" t="s">
        <v>75</v>
      </c>
      <c r="E183" s="65"/>
      <c r="F183" s="65"/>
      <c r="G183" s="67"/>
      <c r="H183" s="366" t="s">
        <v>35</v>
      </c>
      <c r="I183" s="237">
        <f ca="1">IFERROR(__xludf.DUMMYFUNCTION("IMPORTRANGE(""https://docs.google.com/spreadsheets/d/1eHaY18a8A9IcSdp1K8H6x8fbOy06t2VsZHhMHf-1x7Y/edit?usp=sharing"",""แผน!AA53"")"),7)</f>
        <v>7</v>
      </c>
      <c r="J183" s="794">
        <v>7</v>
      </c>
      <c r="K183" s="86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1083"/>
      <c r="B184" s="1082"/>
      <c r="C184" s="569"/>
      <c r="D184" s="569" t="s">
        <v>76</v>
      </c>
      <c r="E184" s="935"/>
      <c r="F184" s="935"/>
      <c r="G184" s="934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355"/>
      <c r="B185" s="356" t="s">
        <v>77</v>
      </c>
      <c r="C185" s="357"/>
      <c r="D185" s="223"/>
      <c r="E185" s="223"/>
      <c r="F185" s="223"/>
      <c r="G185" s="224"/>
      <c r="H185" s="358" t="s">
        <v>35</v>
      </c>
      <c r="I185" s="359">
        <f ca="1">I230+I231</f>
        <v>30</v>
      </c>
      <c r="J185" s="359">
        <f>J230+J231</f>
        <v>30</v>
      </c>
      <c r="K185" s="360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07"/>
      <c r="B186" s="65"/>
      <c r="C186" s="1122" t="s">
        <v>18</v>
      </c>
      <c r="D186" s="941" t="s">
        <v>19</v>
      </c>
      <c r="E186" s="65"/>
      <c r="F186" s="65"/>
      <c r="G186" s="67"/>
      <c r="H186" s="210" t="s">
        <v>14</v>
      </c>
      <c r="I186" s="69"/>
      <c r="J186" s="69"/>
      <c r="K186" s="70"/>
      <c r="L186" s="212">
        <f ca="1">L187+L188</f>
        <v>201100</v>
      </c>
      <c r="M186" s="213">
        <f ca="1">M187+M188</f>
        <v>208420</v>
      </c>
      <c r="N186" s="213">
        <f ca="1">N187+N188</f>
        <v>129915</v>
      </c>
      <c r="O186" s="213">
        <f t="shared" ref="O186:O194" ca="1" si="57">IF(L186&gt;0,N186*100/L186,0)</f>
        <v>64.60218796618598</v>
      </c>
      <c r="P186" s="213">
        <f t="shared" ref="P186:P194" ca="1" si="58">IF(M186&gt;0,N186*100/M186,0)</f>
        <v>62.333269359946264</v>
      </c>
      <c r="Q186" s="213">
        <f ca="1">Q187+Q188</f>
        <v>340200</v>
      </c>
      <c r="R186" s="213">
        <f ca="1">R187+R188</f>
        <v>340200</v>
      </c>
      <c r="S186" s="213">
        <f ca="1">S187+S188</f>
        <v>298220</v>
      </c>
      <c r="T186" s="213">
        <f t="shared" ref="T186:T194" ca="1" si="59">IF(Q186&gt;0,S186*100/Q186,0)</f>
        <v>87.660199882422106</v>
      </c>
      <c r="U186" s="213">
        <f t="shared" ref="U186:U194" ca="1" si="60">IF(R186&gt;0,S186*100/R186,0)</f>
        <v>87.660199882422106</v>
      </c>
    </row>
    <row r="187" spans="1:21" ht="18.75" hidden="1" x14ac:dyDescent="0.25">
      <c r="A187" s="936"/>
      <c r="B187" s="935"/>
      <c r="C187" s="935"/>
      <c r="D187" s="935"/>
      <c r="E187" s="263" t="s">
        <v>20</v>
      </c>
      <c r="F187" s="935"/>
      <c r="G187" s="934"/>
      <c r="H187" s="264" t="s">
        <v>14</v>
      </c>
      <c r="I187" s="939"/>
      <c r="J187" s="939"/>
      <c r="K187" s="938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07"/>
      <c r="B188" s="65"/>
      <c r="C188" s="65"/>
      <c r="D188" s="65"/>
      <c r="E188" s="73" t="s">
        <v>21</v>
      </c>
      <c r="F188" s="65"/>
      <c r="G188" s="67"/>
      <c r="H188" s="214" t="s">
        <v>14</v>
      </c>
      <c r="I188" s="69"/>
      <c r="J188" s="69"/>
      <c r="K188" s="70"/>
      <c r="L188" s="129">
        <f t="shared" ca="1" si="61"/>
        <v>201100</v>
      </c>
      <c r="M188" s="130">
        <f t="shared" ca="1" si="61"/>
        <v>208420</v>
      </c>
      <c r="N188" s="130">
        <f t="shared" ca="1" si="61"/>
        <v>129915</v>
      </c>
      <c r="O188" s="130">
        <f t="shared" ca="1" si="57"/>
        <v>64.60218796618598</v>
      </c>
      <c r="P188" s="130">
        <f t="shared" ca="1" si="58"/>
        <v>62.333269359946264</v>
      </c>
      <c r="Q188" s="130">
        <f t="shared" ca="1" si="62"/>
        <v>340200</v>
      </c>
      <c r="R188" s="130">
        <f t="shared" ca="1" si="62"/>
        <v>340200</v>
      </c>
      <c r="S188" s="130">
        <f t="shared" ca="1" si="62"/>
        <v>298220</v>
      </c>
      <c r="T188" s="130">
        <f t="shared" ca="1" si="59"/>
        <v>87.660199882422106</v>
      </c>
      <c r="U188" s="130">
        <f t="shared" ca="1" si="60"/>
        <v>87.660199882422106</v>
      </c>
    </row>
    <row r="189" spans="1:21" ht="18.75" x14ac:dyDescent="0.25">
      <c r="A189" s="207"/>
      <c r="B189" s="65"/>
      <c r="C189" s="65"/>
      <c r="D189" s="937" t="s">
        <v>22</v>
      </c>
      <c r="E189" s="65"/>
      <c r="F189" s="65"/>
      <c r="G189" s="67"/>
      <c r="H189" s="216" t="s">
        <v>14</v>
      </c>
      <c r="I189" s="217"/>
      <c r="J189" s="217"/>
      <c r="K189" s="218"/>
      <c r="L189" s="129">
        <f ca="1">L190+L191</f>
        <v>201100</v>
      </c>
      <c r="M189" s="130">
        <f ca="1">M190+M191</f>
        <v>208420</v>
      </c>
      <c r="N189" s="130">
        <f ca="1">N190+N191</f>
        <v>129915</v>
      </c>
      <c r="O189" s="130">
        <f t="shared" ca="1" si="57"/>
        <v>64.60218796618598</v>
      </c>
      <c r="P189" s="130">
        <f t="shared" ca="1" si="58"/>
        <v>62.333269359946264</v>
      </c>
      <c r="Q189" s="130">
        <f ca="1">Q190+Q191</f>
        <v>340200</v>
      </c>
      <c r="R189" s="130">
        <f ca="1">R190+R191</f>
        <v>340200</v>
      </c>
      <c r="S189" s="130">
        <f ca="1">S190+S191</f>
        <v>298220</v>
      </c>
      <c r="T189" s="130">
        <f t="shared" ca="1" si="59"/>
        <v>87.660199882422106</v>
      </c>
      <c r="U189" s="130">
        <f t="shared" ca="1" si="60"/>
        <v>87.660199882422106</v>
      </c>
    </row>
    <row r="190" spans="1:21" ht="18.75" hidden="1" x14ac:dyDescent="0.25">
      <c r="A190" s="936"/>
      <c r="B190" s="935"/>
      <c r="C190" s="935"/>
      <c r="D190" s="935"/>
      <c r="E190" s="263" t="s">
        <v>36</v>
      </c>
      <c r="F190" s="935"/>
      <c r="G190" s="934"/>
      <c r="H190" s="271" t="s">
        <v>14</v>
      </c>
      <c r="I190" s="933"/>
      <c r="J190" s="933"/>
      <c r="K190" s="932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07"/>
      <c r="B191" s="65"/>
      <c r="C191" s="65"/>
      <c r="D191" s="65"/>
      <c r="E191" s="73" t="s">
        <v>37</v>
      </c>
      <c r="F191" s="65"/>
      <c r="G191" s="67"/>
      <c r="H191" s="216" t="s">
        <v>14</v>
      </c>
      <c r="I191" s="217"/>
      <c r="J191" s="217"/>
      <c r="K191" s="218"/>
      <c r="L191" s="129">
        <f ca="1">IFERROR(__xludf.DUMMYFUNCTION("IMPORTRANGE(""https://docs.google.com/spreadsheets/d/1-uDff_7J0KD5mKrp0Vvzr7lt3OU09vwQwhkpOPPYv2Y/edit?usp=sharing"",""งบพรบ!CU53"")"),201100)</f>
        <v>201100</v>
      </c>
      <c r="M191" s="130">
        <f ca="1">IFERROR(__xludf.DUMMYFUNCTION("IMPORTRANGE(""https://docs.google.com/spreadsheets/d/1-uDff_7J0KD5mKrp0Vvzr7lt3OU09vwQwhkpOPPYv2Y/edit?usp=sharing"",""งบพรบ!CZ53"")"),208420)</f>
        <v>208420</v>
      </c>
      <c r="N191" s="130">
        <f ca="1">IFERROR(__xludf.DUMMYFUNCTION("IMPORTRANGE(""https://docs.google.com/spreadsheets/d/1-uDff_7J0KD5mKrp0Vvzr7lt3OU09vwQwhkpOPPYv2Y/edit?usp=sharing"",""งบพรบ!DB53"")"),129915)</f>
        <v>129915</v>
      </c>
      <c r="O191" s="130">
        <f t="shared" ca="1" si="57"/>
        <v>64.60218796618598</v>
      </c>
      <c r="P191" s="130">
        <f t="shared" ca="1" si="58"/>
        <v>62.333269359946264</v>
      </c>
      <c r="Q191" s="130">
        <f ca="1">IFERROR(__xludf.DUMMYFUNCTION("IMPORTRANGE(""https://docs.google.com/spreadsheets/d/1ItG2mGa2ceCfYo0BwxsXqNm01IGEUdYcSSLTEv9YCik/edit?usp=sharing"",""เบิกจ่ายกองทุน!BQ53"")"),340200)</f>
        <v>340200</v>
      </c>
      <c r="R191" s="130">
        <f ca="1">IFERROR(__xludf.DUMMYFUNCTION("IMPORTRANGE(""https://docs.google.com/spreadsheets/d/1ItG2mGa2ceCfYo0BwxsXqNm01IGEUdYcSSLTEv9YCik/edit?usp=sharing"",""เบิกจ่ายกองทุน!BR53"")"),340200)</f>
        <v>340200</v>
      </c>
      <c r="S191" s="130">
        <f ca="1">IFERROR(__xludf.DUMMYFUNCTION("IMPORTRANGE(""https://docs.google.com/spreadsheets/d/1ItG2mGa2ceCfYo0BwxsXqNm01IGEUdYcSSLTEv9YCik/edit?usp=sharing"",""เบิกจ่ายกองทุน!BS53"")"),298220)</f>
        <v>298220</v>
      </c>
      <c r="T191" s="130">
        <f t="shared" ca="1" si="59"/>
        <v>87.660199882422106</v>
      </c>
      <c r="U191" s="130">
        <f t="shared" ca="1" si="60"/>
        <v>87.660199882422106</v>
      </c>
    </row>
    <row r="192" spans="1:21" ht="18.75" x14ac:dyDescent="0.25">
      <c r="A192" s="207"/>
      <c r="B192" s="65"/>
      <c r="C192" s="65"/>
      <c r="D192" s="937" t="s">
        <v>23</v>
      </c>
      <c r="E192" s="65"/>
      <c r="F192" s="65"/>
      <c r="G192" s="67"/>
      <c r="H192" s="219" t="s">
        <v>14</v>
      </c>
      <c r="I192" s="217"/>
      <c r="J192" s="217"/>
      <c r="K192" s="218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936"/>
      <c r="B193" s="935"/>
      <c r="C193" s="935"/>
      <c r="D193" s="935"/>
      <c r="E193" s="263" t="s">
        <v>20</v>
      </c>
      <c r="F193" s="935"/>
      <c r="G193" s="934"/>
      <c r="H193" s="271" t="s">
        <v>14</v>
      </c>
      <c r="I193" s="933"/>
      <c r="J193" s="933"/>
      <c r="K193" s="932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07"/>
      <c r="B194" s="65"/>
      <c r="C194" s="65"/>
      <c r="D194" s="65"/>
      <c r="E194" s="73" t="s">
        <v>21</v>
      </c>
      <c r="F194" s="65"/>
      <c r="G194" s="67"/>
      <c r="H194" s="219" t="s">
        <v>14</v>
      </c>
      <c r="I194" s="217"/>
      <c r="J194" s="217"/>
      <c r="K194" s="218"/>
      <c r="L194" s="129">
        <f ca="1">IFERROR(__xludf.DUMMYFUNCTION("IMPORTRANGE(""https://docs.google.com/spreadsheets/d/1-uDff_7J0KD5mKrp0Vvzr7lt3OU09vwQwhkpOPPYv2Y/edit?usp=sharing"",""งบพรบ!CX53"")"),0)</f>
        <v>0</v>
      </c>
      <c r="M194" s="130">
        <f ca="1">IFERROR(__xludf.DUMMYFUNCTION("IMPORTRANGE(""https://docs.google.com/spreadsheets/d/1-uDff_7J0KD5mKrp0Vvzr7lt3OU09vwQwhkpOPPYv2Y/edit?usp=sharing"",""งบพรบ!DA53"")"),0)</f>
        <v>0</v>
      </c>
      <c r="N194" s="130">
        <f ca="1">IFERROR(__xludf.DUMMYFUNCTION("IMPORTRANGE(""https://docs.google.com/spreadsheets/d/1-uDff_7J0KD5mKrp0Vvzr7lt3OU09vwQwhkpOPPYv2Y/edit?usp=sharing"",""งบพรบ!DC53"")"),0)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IFERROR(__xludf.DUMMYFUNCTION("IMPORTRANGE(""https://docs.google.com/spreadsheets/d/1ItG2mGa2ceCfYo0BwxsXqNm01IGEUdYcSSLTEv9YCik/edit?usp=sharing"",""เบิกจ่ายกองทุน!BV53"")"),0)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368"/>
      <c r="B195" s="369"/>
      <c r="C195" s="370" t="s">
        <v>78</v>
      </c>
      <c r="D195" s="371"/>
      <c r="E195" s="371"/>
      <c r="F195" s="371"/>
      <c r="G195" s="372"/>
      <c r="H195" s="373" t="s">
        <v>79</v>
      </c>
      <c r="I195" s="374">
        <f ca="1">I198</f>
        <v>4</v>
      </c>
      <c r="J195" s="374">
        <f>J198</f>
        <v>3</v>
      </c>
      <c r="K195" s="375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07"/>
      <c r="B196" s="65"/>
      <c r="C196" s="1122" t="s">
        <v>18</v>
      </c>
      <c r="D196" s="1101" t="s">
        <v>19</v>
      </c>
      <c r="E196" s="65"/>
      <c r="F196" s="65"/>
      <c r="G196" s="67"/>
      <c r="H196" s="380" t="s">
        <v>14</v>
      </c>
      <c r="I196" s="69"/>
      <c r="J196" s="69"/>
      <c r="K196" s="70"/>
      <c r="L196" s="212">
        <f ca="1">IFERROR(__xludf.DUMMYFUNCTION("IMPORTRANGE(""https://docs.google.com/spreadsheets/d/1eHaY18a8A9IcSdp1K8H6x8fbOy06t2VsZHhMHf-1x7Y/edit?usp=sharing"",""แผน!AB53"")"),6000)</f>
        <v>6000</v>
      </c>
      <c r="M196" s="85"/>
      <c r="N196" s="961">
        <v>3660</v>
      </c>
      <c r="O196" s="213">
        <f ca="1">IF(L196&gt;0,N196*100/L196,0)</f>
        <v>61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20"/>
      <c r="B197" s="221"/>
      <c r="C197" s="1122" t="s">
        <v>18</v>
      </c>
      <c r="D197" s="931" t="s">
        <v>38</v>
      </c>
      <c r="E197" s="223"/>
      <c r="F197" s="223"/>
      <c r="G197" s="224"/>
      <c r="H197" s="225"/>
      <c r="I197" s="69"/>
      <c r="J197" s="69"/>
      <c r="K197" s="70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20"/>
      <c r="B198" s="221"/>
      <c r="C198" s="221"/>
      <c r="D198" s="234" t="s">
        <v>80</v>
      </c>
      <c r="E198" s="229"/>
      <c r="F198" s="229"/>
      <c r="G198" s="225"/>
      <c r="H198" s="235" t="s">
        <v>79</v>
      </c>
      <c r="I198" s="237">
        <f ca="1">IFERROR(__xludf.DUMMYFUNCTION("IMPORTRANGE(""https://docs.google.com/spreadsheets/d/1eHaY18a8A9IcSdp1K8H6x8fbOy06t2VsZHhMHf-1x7Y/edit?usp=sharing"",""แผน!AE53"")"),4)</f>
        <v>4</v>
      </c>
      <c r="J198" s="794">
        <v>3</v>
      </c>
      <c r="K198" s="86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20"/>
      <c r="B199" s="221"/>
      <c r="C199" s="221"/>
      <c r="D199" s="234" t="s">
        <v>81</v>
      </c>
      <c r="E199" s="229"/>
      <c r="F199" s="229"/>
      <c r="G199" s="225"/>
      <c r="H199" s="366" t="s">
        <v>35</v>
      </c>
      <c r="I199" s="69"/>
      <c r="J199" s="237">
        <f>J200+J201</f>
        <v>73</v>
      </c>
      <c r="K199" s="70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20"/>
      <c r="B200" s="221"/>
      <c r="C200" s="221"/>
      <c r="D200" s="221"/>
      <c r="E200" s="234" t="s">
        <v>82</v>
      </c>
      <c r="F200" s="229"/>
      <c r="G200" s="225"/>
      <c r="H200" s="366" t="s">
        <v>35</v>
      </c>
      <c r="I200" s="69"/>
      <c r="J200" s="794">
        <v>73</v>
      </c>
      <c r="K200" s="70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20"/>
      <c r="B201" s="221"/>
      <c r="C201" s="221"/>
      <c r="D201" s="221"/>
      <c r="E201" s="234" t="s">
        <v>83</v>
      </c>
      <c r="F201" s="229"/>
      <c r="G201" s="225"/>
      <c r="H201" s="366" t="s">
        <v>35</v>
      </c>
      <c r="I201" s="69"/>
      <c r="J201" s="794">
        <v>0</v>
      </c>
      <c r="K201" s="70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368"/>
      <c r="B202" s="369"/>
      <c r="C202" s="370" t="s">
        <v>84</v>
      </c>
      <c r="D202" s="371"/>
      <c r="E202" s="371"/>
      <c r="F202" s="371"/>
      <c r="G202" s="372"/>
      <c r="H202" s="382" t="s">
        <v>85</v>
      </c>
      <c r="I202" s="374">
        <f ca="1">I209</f>
        <v>3</v>
      </c>
      <c r="J202" s="374">
        <f>J209</f>
        <v>0</v>
      </c>
      <c r="K202" s="375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07"/>
      <c r="B203" s="65"/>
      <c r="C203" s="1122" t="s">
        <v>18</v>
      </c>
      <c r="D203" s="1101" t="s">
        <v>19</v>
      </c>
      <c r="E203" s="65"/>
      <c r="F203" s="65"/>
      <c r="G203" s="67"/>
      <c r="H203" s="380" t="s">
        <v>14</v>
      </c>
      <c r="I203" s="217"/>
      <c r="J203" s="217"/>
      <c r="K203" s="218"/>
      <c r="L203" s="212">
        <f ca="1">L204+L205+L206+L207</f>
        <v>15000</v>
      </c>
      <c r="M203" s="85"/>
      <c r="N203" s="213">
        <f>N204+N205+N206+N207</f>
        <v>0</v>
      </c>
      <c r="O203" s="213">
        <f ca="1">IF(L203&gt;0,N203*100/L203,0)</f>
        <v>0</v>
      </c>
      <c r="P203" s="213">
        <f>IF(M203&gt;0,N203*100/M203,0)</f>
        <v>0</v>
      </c>
      <c r="Q203" s="383">
        <f ca="1">Q204+Q205+Q206+Q207</f>
        <v>42000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07"/>
      <c r="B204" s="367"/>
      <c r="C204" s="65"/>
      <c r="D204" s="386" t="s">
        <v>320</v>
      </c>
      <c r="E204" s="65"/>
      <c r="F204" s="65"/>
      <c r="G204" s="67"/>
      <c r="H204" s="216" t="s">
        <v>14</v>
      </c>
      <c r="I204" s="217"/>
      <c r="J204" s="217"/>
      <c r="K204" s="218"/>
      <c r="L204" s="129">
        <f ca="1">IFERROR(__xludf.DUMMYFUNCTION("IMPORTRANGE(""https://docs.google.com/spreadsheets/d/1eHaY18a8A9IcSdp1K8H6x8fbOy06t2VsZHhMHf-1x7Y/edit?usp=sharing"",""แผน!AG53"")"),3000)</f>
        <v>3000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364"/>
      <c r="B205" s="367"/>
      <c r="C205" s="65"/>
      <c r="D205" s="265" t="s">
        <v>317</v>
      </c>
      <c r="E205" s="65"/>
      <c r="F205" s="65"/>
      <c r="G205" s="67"/>
      <c r="H205" s="68" t="s">
        <v>14</v>
      </c>
      <c r="I205" s="69"/>
      <c r="J205" s="69"/>
      <c r="K205" s="70"/>
      <c r="L205" s="129">
        <f ca="1">IFERROR(__xludf.DUMMYFUNCTION("IMPORTRANGE(""https://docs.google.com/spreadsheets/d/1eHaY18a8A9IcSdp1K8H6x8fbOy06t2VsZHhMHf-1x7Y/edit?usp=sharing"",""แผน!AH53"")"),0)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364"/>
      <c r="B206" s="367"/>
      <c r="C206" s="65"/>
      <c r="D206" s="265" t="s">
        <v>88</v>
      </c>
      <c r="E206" s="65"/>
      <c r="F206" s="65"/>
      <c r="G206" s="67"/>
      <c r="H206" s="68" t="s">
        <v>14</v>
      </c>
      <c r="I206" s="69"/>
      <c r="J206" s="69"/>
      <c r="K206" s="70"/>
      <c r="L206" s="129">
        <f ca="1">IFERROR(__xludf.DUMMYFUNCTION("IMPORTRANGE(""https://docs.google.com/spreadsheets/d/1eHaY18a8A9IcSdp1K8H6x8fbOy06t2VsZHhMHf-1x7Y/edit?usp=sharing"",""แผน!AI53"")"),0)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IFERROR(__xludf.DUMMYFUNCTION("IMPORTRANGE(""https://docs.google.com/spreadsheets/d/1eHaY18a8A9IcSdp1K8H6x8fbOy06t2VsZHhMHf-1x7Y/edit?usp=sharing"",""แผน!LV53"")"),42000)</f>
        <v>42000</v>
      </c>
      <c r="R206" s="85"/>
      <c r="S206" s="387">
        <v>0</v>
      </c>
      <c r="T206" s="227"/>
      <c r="U206" s="85"/>
    </row>
    <row r="207" spans="1:21" ht="18.75" x14ac:dyDescent="0.25">
      <c r="A207" s="364"/>
      <c r="B207" s="367"/>
      <c r="C207" s="65"/>
      <c r="D207" s="265" t="s">
        <v>89</v>
      </c>
      <c r="E207" s="65"/>
      <c r="F207" s="65"/>
      <c r="G207" s="67"/>
      <c r="H207" s="68" t="s">
        <v>14</v>
      </c>
      <c r="I207" s="69"/>
      <c r="J207" s="69"/>
      <c r="K207" s="70"/>
      <c r="L207" s="129">
        <f ca="1">IFERROR(__xludf.DUMMYFUNCTION("IMPORTRANGE(""https://docs.google.com/spreadsheets/d/1eHaY18a8A9IcSdp1K8H6x8fbOy06t2VsZHhMHf-1x7Y/edit?usp=sharing"",""แผน!AJ53"")"),12000)</f>
        <v>12000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20"/>
      <c r="B208" s="221"/>
      <c r="C208" s="1122" t="s">
        <v>18</v>
      </c>
      <c r="D208" s="931" t="s">
        <v>38</v>
      </c>
      <c r="E208" s="223"/>
      <c r="F208" s="223"/>
      <c r="G208" s="224"/>
      <c r="H208" s="225"/>
      <c r="I208" s="217"/>
      <c r="J208" s="217"/>
      <c r="K208" s="218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20"/>
      <c r="B209" s="221"/>
      <c r="C209" s="221"/>
      <c r="D209" s="228" t="s">
        <v>90</v>
      </c>
      <c r="E209" s="229"/>
      <c r="F209" s="229"/>
      <c r="G209" s="225"/>
      <c r="H209" s="388" t="s">
        <v>85</v>
      </c>
      <c r="I209" s="237">
        <f ca="1">IFERROR(__xludf.DUMMYFUNCTION("IMPORTRANGE(""https://docs.google.com/spreadsheets/d/1eHaY18a8A9IcSdp1K8H6x8fbOy06t2VsZHhMHf-1x7Y/edit?usp=sharing"",""แผน!AK53"")"),3)</f>
        <v>3</v>
      </c>
      <c r="J209" s="794">
        <v>0</v>
      </c>
      <c r="K209" s="238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20"/>
      <c r="B210" s="221"/>
      <c r="C210" s="221"/>
      <c r="D210" s="234" t="s">
        <v>50</v>
      </c>
      <c r="E210" s="229"/>
      <c r="F210" s="229"/>
      <c r="G210" s="225"/>
      <c r="H210" s="225"/>
      <c r="I210" s="69"/>
      <c r="J210" s="69"/>
      <c r="K210" s="218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20"/>
      <c r="B211" s="221"/>
      <c r="C211" s="221"/>
      <c r="D211" s="229"/>
      <c r="E211" s="234" t="s">
        <v>91</v>
      </c>
      <c r="F211" s="229"/>
      <c r="G211" s="225"/>
      <c r="H211" s="388" t="s">
        <v>85</v>
      </c>
      <c r="I211" s="237">
        <f ca="1">IFERROR(__xludf.DUMMYFUNCTION("IMPORTRANGE(""https://docs.google.com/spreadsheets/d/1eHaY18a8A9IcSdp1K8H6x8fbOy06t2VsZHhMHf-1x7Y/edit?usp=sharing"",""แผน!JX53"")"),1)</f>
        <v>1</v>
      </c>
      <c r="J211" s="794">
        <v>0</v>
      </c>
      <c r="K211" s="238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20"/>
      <c r="B212" s="221"/>
      <c r="C212" s="221"/>
      <c r="D212" s="229"/>
      <c r="E212" s="234" t="s">
        <v>92</v>
      </c>
      <c r="F212" s="229"/>
      <c r="G212" s="229"/>
      <c r="H212" s="235" t="s">
        <v>93</v>
      </c>
      <c r="I212" s="237">
        <f ca="1">IFERROR(__xludf.DUMMYFUNCTION("IMPORTRANGE(""https://docs.google.com/spreadsheets/d/1eHaY18a8A9IcSdp1K8H6x8fbOy06t2VsZHhMHf-1x7Y/edit?usp=sharing"",""แผน!JY53"")"),0)</f>
        <v>0</v>
      </c>
      <c r="J212" s="794">
        <v>0</v>
      </c>
      <c r="K212" s="238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368"/>
      <c r="B213" s="369"/>
      <c r="C213" s="370" t="s">
        <v>94</v>
      </c>
      <c r="D213" s="371"/>
      <c r="E213" s="371"/>
      <c r="F213" s="371"/>
      <c r="G213" s="372"/>
      <c r="H213" s="382" t="s">
        <v>85</v>
      </c>
      <c r="I213" s="374">
        <f ca="1">I220</f>
        <v>6</v>
      </c>
      <c r="J213" s="374">
        <f>J220</f>
        <v>6</v>
      </c>
      <c r="K213" s="375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07"/>
      <c r="B214" s="65"/>
      <c r="C214" s="1122" t="s">
        <v>18</v>
      </c>
      <c r="D214" s="1101" t="s">
        <v>19</v>
      </c>
      <c r="E214" s="65"/>
      <c r="F214" s="65"/>
      <c r="G214" s="67"/>
      <c r="H214" s="380" t="s">
        <v>14</v>
      </c>
      <c r="I214" s="217"/>
      <c r="J214" s="217"/>
      <c r="K214" s="218"/>
      <c r="L214" s="212">
        <f ca="1">L215+L216+L217</f>
        <v>36000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298200</v>
      </c>
      <c r="R214" s="85"/>
      <c r="S214" s="262">
        <f>S215+S216+S217</f>
        <v>298220</v>
      </c>
      <c r="T214" s="262">
        <f ca="1">IF(Q214&gt;0,S214*100/Q214,0)</f>
        <v>100.00670690811536</v>
      </c>
      <c r="U214" s="262">
        <f>IF(R214&gt;0,S214*100/R214,0)</f>
        <v>0</v>
      </c>
    </row>
    <row r="215" spans="1:21" ht="18.75" x14ac:dyDescent="0.25">
      <c r="A215" s="207"/>
      <c r="B215" s="367"/>
      <c r="C215" s="65"/>
      <c r="D215" s="73" t="s">
        <v>86</v>
      </c>
      <c r="E215" s="65"/>
      <c r="F215" s="65"/>
      <c r="G215" s="67"/>
      <c r="H215" s="216" t="s">
        <v>14</v>
      </c>
      <c r="I215" s="217"/>
      <c r="J215" s="217"/>
      <c r="K215" s="218"/>
      <c r="L215" s="129">
        <f ca="1">IFERROR(__xludf.DUMMYFUNCTION("IMPORTRANGE(""https://docs.google.com/spreadsheets/d/1eHaY18a8A9IcSdp1K8H6x8fbOy06t2VsZHhMHf-1x7Y/edit?usp=sharing"",""แผน!AM53"")"),6000)</f>
        <v>6000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364"/>
      <c r="B216" s="367"/>
      <c r="C216" s="367"/>
      <c r="D216" s="73" t="s">
        <v>95</v>
      </c>
      <c r="E216" s="65"/>
      <c r="F216" s="65"/>
      <c r="G216" s="67"/>
      <c r="H216" s="216" t="s">
        <v>14</v>
      </c>
      <c r="I216" s="69"/>
      <c r="J216" s="69"/>
      <c r="K216" s="70"/>
      <c r="L216" s="129">
        <f ca="1">IFERROR(__xludf.DUMMYFUNCTION("IMPORTRANGE(""https://docs.google.com/spreadsheets/d/1eHaY18a8A9IcSdp1K8H6x8fbOy06t2VsZHhMHf-1x7Y/edit?usp=sharing"",""แผน!AN53"")"),30000)</f>
        <v>30000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364"/>
      <c r="B217" s="367"/>
      <c r="C217" s="367"/>
      <c r="D217" s="73" t="s">
        <v>88</v>
      </c>
      <c r="E217" s="65"/>
      <c r="F217" s="65"/>
      <c r="G217" s="67"/>
      <c r="H217" s="216" t="s">
        <v>14</v>
      </c>
      <c r="I217" s="69"/>
      <c r="J217" s="69"/>
      <c r="K217" s="70"/>
      <c r="L217" s="129">
        <f ca="1">IFERROR(__xludf.DUMMYFUNCTION("IMPORTRANGE(""https://docs.google.com/spreadsheets/d/1eHaY18a8A9IcSdp1K8H6x8fbOy06t2VsZHhMHf-1x7Y/edit?usp=sharing"",""แผน!AO53"")"),0)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IFERROR(__xludf.DUMMYFUNCTION("IMPORTRANGE(""https://docs.google.com/spreadsheets/d/1eHaY18a8A9IcSdp1K8H6x8fbOy06t2VsZHhMHf-1x7Y/edit?usp=sharing"",""แผน!LY53"")"),298200)</f>
        <v>298200</v>
      </c>
      <c r="R217" s="85"/>
      <c r="S217" s="387">
        <v>298220</v>
      </c>
      <c r="T217" s="227"/>
      <c r="U217" s="85"/>
    </row>
    <row r="218" spans="1:21" ht="19.5" x14ac:dyDescent="0.3">
      <c r="A218" s="220"/>
      <c r="B218" s="221"/>
      <c r="C218" s="1122" t="s">
        <v>18</v>
      </c>
      <c r="D218" s="931" t="s">
        <v>38</v>
      </c>
      <c r="E218" s="223"/>
      <c r="F218" s="223"/>
      <c r="G218" s="224"/>
      <c r="H218" s="225"/>
      <c r="I218" s="217"/>
      <c r="J218" s="69"/>
      <c r="K218" s="70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20"/>
      <c r="B219" s="221"/>
      <c r="C219" s="221"/>
      <c r="D219" s="228" t="s">
        <v>96</v>
      </c>
      <c r="E219" s="229"/>
      <c r="F219" s="229"/>
      <c r="G219" s="225"/>
      <c r="H219" s="388" t="s">
        <v>85</v>
      </c>
      <c r="I219" s="237">
        <f ca="1">IFERROR(__xludf.DUMMYFUNCTION("IMPORTRANGE(""https://docs.google.com/spreadsheets/d/1eHaY18a8A9IcSdp1K8H6x8fbOy06t2VsZHhMHf-1x7Y/edit?usp=sharing"",""แผน!AP53"")"),6)</f>
        <v>6</v>
      </c>
      <c r="J219" s="794">
        <v>0</v>
      </c>
      <c r="K219" s="86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20"/>
      <c r="B220" s="221"/>
      <c r="C220" s="221"/>
      <c r="D220" s="228" t="s">
        <v>97</v>
      </c>
      <c r="E220" s="229"/>
      <c r="F220" s="229"/>
      <c r="G220" s="225"/>
      <c r="H220" s="388" t="s">
        <v>85</v>
      </c>
      <c r="I220" s="237">
        <f ca="1">IFERROR(__xludf.DUMMYFUNCTION("IMPORTRANGE(""https://docs.google.com/spreadsheets/d/1eHaY18a8A9IcSdp1K8H6x8fbOy06t2VsZHhMHf-1x7Y/edit?usp=sharing"",""แผน!AP53"")"),6)</f>
        <v>6</v>
      </c>
      <c r="J220" s="794">
        <v>6</v>
      </c>
      <c r="K220" s="86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368"/>
      <c r="B221" s="369"/>
      <c r="C221" s="370" t="s">
        <v>98</v>
      </c>
      <c r="D221" s="371"/>
      <c r="E221" s="371"/>
      <c r="F221" s="371"/>
      <c r="G221" s="372"/>
      <c r="H221" s="373" t="s">
        <v>99</v>
      </c>
      <c r="I221" s="374">
        <f ca="1">I229</f>
        <v>40000</v>
      </c>
      <c r="J221" s="374">
        <f>J229</f>
        <v>40000</v>
      </c>
      <c r="K221" s="375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07"/>
      <c r="B222" s="65"/>
      <c r="C222" s="1122" t="s">
        <v>18</v>
      </c>
      <c r="D222" s="1101" t="s">
        <v>19</v>
      </c>
      <c r="E222" s="65"/>
      <c r="F222" s="65"/>
      <c r="G222" s="67"/>
      <c r="H222" s="380" t="s">
        <v>14</v>
      </c>
      <c r="I222" s="217"/>
      <c r="J222" s="217"/>
      <c r="K222" s="218"/>
      <c r="L222" s="212">
        <f ca="1">L223+L224+L225</f>
        <v>6500</v>
      </c>
      <c r="M222" s="85"/>
      <c r="N222" s="213">
        <f>N223+N224+N225</f>
        <v>6500</v>
      </c>
      <c r="O222" s="213">
        <f ca="1">IF(L222&gt;0,N222*100/L222,0)</f>
        <v>100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07"/>
      <c r="B223" s="367"/>
      <c r="C223" s="65"/>
      <c r="D223" s="73" t="s">
        <v>316</v>
      </c>
      <c r="E223" s="65"/>
      <c r="F223" s="65"/>
      <c r="G223" s="67"/>
      <c r="H223" s="216" t="s">
        <v>14</v>
      </c>
      <c r="I223" s="217"/>
      <c r="J223" s="217"/>
      <c r="K223" s="218"/>
      <c r="L223" s="129">
        <f ca="1">IFERROR(__xludf.DUMMYFUNCTION("IMPORTRANGE(""https://docs.google.com/spreadsheets/d/1eHaY18a8A9IcSdp1K8H6x8fbOy06t2VsZHhMHf-1x7Y/edit?usp=sharing"",""แผน!AR53"")"),2500)</f>
        <v>2500</v>
      </c>
      <c r="M223" s="85"/>
      <c r="N223" s="387">
        <v>5000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364"/>
      <c r="B224" s="367"/>
      <c r="C224" s="367"/>
      <c r="D224" s="73" t="s">
        <v>315</v>
      </c>
      <c r="E224" s="65"/>
      <c r="F224" s="65"/>
      <c r="G224" s="67"/>
      <c r="H224" s="216" t="s">
        <v>14</v>
      </c>
      <c r="I224" s="69"/>
      <c r="J224" s="69"/>
      <c r="K224" s="70"/>
      <c r="L224" s="129">
        <f ca="1">IFERROR(__xludf.DUMMYFUNCTION("IMPORTRANGE(""https://docs.google.com/spreadsheets/d/1eHaY18a8A9IcSdp1K8H6x8fbOy06t2VsZHhMHf-1x7Y/edit?usp=sharing"",""แผน!AS53"")"),4000)</f>
        <v>4000</v>
      </c>
      <c r="M224" s="85"/>
      <c r="N224" s="387">
        <v>1500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364"/>
      <c r="B225" s="367"/>
      <c r="C225" s="367"/>
      <c r="D225" s="73" t="s">
        <v>88</v>
      </c>
      <c r="E225" s="65"/>
      <c r="F225" s="65"/>
      <c r="G225" s="67"/>
      <c r="H225" s="216" t="s">
        <v>14</v>
      </c>
      <c r="I225" s="69"/>
      <c r="J225" s="69"/>
      <c r="K225" s="70"/>
      <c r="L225" s="129">
        <f ca="1">IFERROR(__xludf.DUMMYFUNCTION("IMPORTRANGE(""https://docs.google.com/spreadsheets/d/1eHaY18a8A9IcSdp1K8H6x8fbOy06t2VsZHhMHf-1x7Y/edit?usp=sharing"",""แผน!AT53"")"),0)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20"/>
      <c r="B226" s="221"/>
      <c r="C226" s="1122" t="s">
        <v>18</v>
      </c>
      <c r="D226" s="931" t="s">
        <v>38</v>
      </c>
      <c r="E226" s="223"/>
      <c r="F226" s="223"/>
      <c r="G226" s="224"/>
      <c r="H226" s="225"/>
      <c r="I226" s="217"/>
      <c r="J226" s="217"/>
      <c r="K226" s="218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20"/>
      <c r="B227" s="221"/>
      <c r="C227" s="221"/>
      <c r="D227" s="73" t="s">
        <v>101</v>
      </c>
      <c r="E227" s="229"/>
      <c r="F227" s="229"/>
      <c r="G227" s="225"/>
      <c r="H227" s="225"/>
      <c r="I227" s="69"/>
      <c r="J227" s="69"/>
      <c r="K227" s="218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20"/>
      <c r="B228" s="221"/>
      <c r="C228" s="221"/>
      <c r="D228" s="221"/>
      <c r="E228" s="228" t="s">
        <v>102</v>
      </c>
      <c r="F228" s="229"/>
      <c r="G228" s="225"/>
      <c r="H228" s="235" t="s">
        <v>99</v>
      </c>
      <c r="I228" s="237">
        <f ca="1">IFERROR(__xludf.DUMMYFUNCTION("IMPORTRANGE(""https://docs.google.com/spreadsheets/d/1eHaY18a8A9IcSdp1K8H6x8fbOy06t2VsZHhMHf-1x7Y/edit?usp=sharing"",""แผน!AV53"")"),40000)</f>
        <v>40000</v>
      </c>
      <c r="J228" s="794">
        <v>40000</v>
      </c>
      <c r="K228" s="238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20"/>
      <c r="B229" s="221"/>
      <c r="C229" s="221"/>
      <c r="D229" s="221"/>
      <c r="E229" s="228" t="s">
        <v>103</v>
      </c>
      <c r="F229" s="229"/>
      <c r="G229" s="225"/>
      <c r="H229" s="235" t="s">
        <v>99</v>
      </c>
      <c r="I229" s="237">
        <f ca="1">IFERROR(__xludf.DUMMYFUNCTION("IMPORTRANGE(""https://docs.google.com/spreadsheets/d/1eHaY18a8A9IcSdp1K8H6x8fbOy06t2VsZHhMHf-1x7Y/edit?usp=sharing"",""แผน!AV53"")"),40000)</f>
        <v>40000</v>
      </c>
      <c r="J229" s="794">
        <v>40000</v>
      </c>
      <c r="K229" s="238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20"/>
      <c r="B230" s="221"/>
      <c r="C230" s="221"/>
      <c r="D230" s="73" t="s">
        <v>104</v>
      </c>
      <c r="E230" s="229"/>
      <c r="F230" s="229"/>
      <c r="G230" s="225"/>
      <c r="H230" s="235" t="s">
        <v>35</v>
      </c>
      <c r="I230" s="237">
        <f ca="1">IFERROR(__xludf.DUMMYFUNCTION("IMPORTRANGE(""https://docs.google.com/spreadsheets/d/1eHaY18a8A9IcSdp1K8H6x8fbOy06t2VsZHhMHf-1x7Y/edit?usp=sharing"",""แผน!AU53"")"),0)</f>
        <v>0</v>
      </c>
      <c r="J230" s="794">
        <v>0</v>
      </c>
      <c r="K230" s="238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953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30</v>
      </c>
      <c r="J231" s="951">
        <f>J242+J253</f>
        <v>30</v>
      </c>
      <c r="K231" s="950">
        <f ca="1">IF(I231&gt;0,J231*100/I231,0)</f>
        <v>100</v>
      </c>
      <c r="L231" s="1189"/>
      <c r="M231" s="1188"/>
      <c r="N231" s="1188"/>
      <c r="O231" s="1188"/>
      <c r="P231" s="1188"/>
      <c r="Q231" s="1188"/>
      <c r="R231" s="1188"/>
      <c r="S231" s="1188"/>
      <c r="T231" s="1188"/>
      <c r="U231" s="1188"/>
    </row>
    <row r="232" spans="1:21" ht="19.5" hidden="1" x14ac:dyDescent="0.3">
      <c r="A232" s="936"/>
      <c r="B232" s="935"/>
      <c r="C232" s="834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1187">
        <f ca="1">L243+L254</f>
        <v>137600</v>
      </c>
      <c r="M232" s="938"/>
      <c r="N232" s="1186">
        <f>N243+N254</f>
        <v>111265</v>
      </c>
      <c r="O232" s="938"/>
      <c r="P232" s="938"/>
      <c r="Q232" s="131">
        <f>Q243+Q254</f>
        <v>0</v>
      </c>
      <c r="R232" s="131"/>
      <c r="S232" s="131">
        <f>S243+S254</f>
        <v>0</v>
      </c>
      <c r="T232" s="131"/>
      <c r="U232" s="131"/>
    </row>
    <row r="233" spans="1:21" ht="18.75" hidden="1" x14ac:dyDescent="0.25">
      <c r="A233" s="936"/>
      <c r="B233" s="1082"/>
      <c r="C233" s="935"/>
      <c r="D233" s="1185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215">
        <f ca="1">L244+L255</f>
        <v>14000</v>
      </c>
      <c r="M233" s="938"/>
      <c r="N233" s="131">
        <f>N244+N255</f>
        <v>9665</v>
      </c>
      <c r="O233" s="938"/>
      <c r="P233" s="938"/>
      <c r="Q233" s="1184">
        <v>0</v>
      </c>
      <c r="R233" s="1183">
        <v>0</v>
      </c>
      <c r="S233" s="1183">
        <v>0</v>
      </c>
      <c r="T233" s="938"/>
      <c r="U233" s="938"/>
    </row>
    <row r="234" spans="1:21" ht="18.75" hidden="1" x14ac:dyDescent="0.25">
      <c r="A234" s="1083"/>
      <c r="B234" s="1082"/>
      <c r="C234" s="1082"/>
      <c r="D234" s="263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215">
        <f ca="1">L245+L256</f>
        <v>2000</v>
      </c>
      <c r="M234" s="938"/>
      <c r="N234" s="131">
        <f>N245+N256</f>
        <v>0</v>
      </c>
      <c r="O234" s="938"/>
      <c r="P234" s="938"/>
      <c r="Q234" s="74">
        <v>0</v>
      </c>
      <c r="R234" s="75">
        <v>0</v>
      </c>
      <c r="S234" s="75">
        <v>0</v>
      </c>
      <c r="T234" s="938"/>
      <c r="U234" s="938"/>
    </row>
    <row r="235" spans="1:21" ht="18.75" hidden="1" x14ac:dyDescent="0.25">
      <c r="A235" s="1083"/>
      <c r="B235" s="1082"/>
      <c r="C235" s="1082"/>
      <c r="D235" s="263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215">
        <f ca="1">L246+L257</f>
        <v>55600</v>
      </c>
      <c r="M235" s="938"/>
      <c r="N235" s="131">
        <f>N246+N257</f>
        <v>55600</v>
      </c>
      <c r="O235" s="938"/>
      <c r="P235" s="938"/>
      <c r="Q235" s="74">
        <v>0</v>
      </c>
      <c r="R235" s="75">
        <v>0</v>
      </c>
      <c r="S235" s="75">
        <v>0</v>
      </c>
      <c r="T235" s="938"/>
      <c r="U235" s="938"/>
    </row>
    <row r="236" spans="1:21" ht="18.75" hidden="1" x14ac:dyDescent="0.25">
      <c r="A236" s="1083"/>
      <c r="B236" s="1082"/>
      <c r="C236" s="1082"/>
      <c r="D236" s="263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215">
        <f ca="1">L247+L258</f>
        <v>66000</v>
      </c>
      <c r="M236" s="938"/>
      <c r="N236" s="131">
        <f>N247+N258</f>
        <v>46000</v>
      </c>
      <c r="O236" s="938"/>
      <c r="P236" s="938"/>
      <c r="Q236" s="74">
        <v>0</v>
      </c>
      <c r="R236" s="75">
        <v>0</v>
      </c>
      <c r="S236" s="75">
        <v>0</v>
      </c>
      <c r="T236" s="938"/>
      <c r="U236" s="938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076"/>
      <c r="I237" s="933"/>
      <c r="J237" s="939"/>
      <c r="K237" s="938"/>
      <c r="L237" s="1182"/>
      <c r="M237" s="938"/>
      <c r="N237" s="938"/>
      <c r="O237" s="932"/>
      <c r="P237" s="932"/>
      <c r="Q237" s="938"/>
      <c r="R237" s="938"/>
      <c r="S237" s="938"/>
      <c r="T237" s="932"/>
      <c r="U237" s="932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945" t="s">
        <v>35</v>
      </c>
      <c r="I238" s="570">
        <f ca="1">I249+I260</f>
        <v>30</v>
      </c>
      <c r="J238" s="570">
        <f>J249+J260</f>
        <v>30</v>
      </c>
      <c r="K238" s="75">
        <f ca="1">IF(I238&gt;0,J238*100/I238,0)</f>
        <v>100</v>
      </c>
      <c r="L238" s="1182"/>
      <c r="M238" s="938"/>
      <c r="N238" s="938"/>
      <c r="O238" s="938"/>
      <c r="P238" s="938"/>
      <c r="Q238" s="938"/>
      <c r="R238" s="938"/>
      <c r="S238" s="938"/>
      <c r="T238" s="938"/>
      <c r="U238" s="938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076"/>
      <c r="I239" s="939"/>
      <c r="J239" s="939"/>
      <c r="K239" s="938"/>
      <c r="L239" s="1182"/>
      <c r="M239" s="938"/>
      <c r="N239" s="938"/>
      <c r="O239" s="932"/>
      <c r="P239" s="932"/>
      <c r="Q239" s="938"/>
      <c r="R239" s="938"/>
      <c r="S239" s="938"/>
      <c r="T239" s="932"/>
      <c r="U239" s="932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945" t="s">
        <v>35</v>
      </c>
      <c r="I240" s="570">
        <f ca="1">I251+I262</f>
        <v>30</v>
      </c>
      <c r="J240" s="570">
        <f>J251+J262</f>
        <v>30</v>
      </c>
      <c r="K240" s="75">
        <f ca="1">IF(I240&gt;0,J240*100/I240,0)</f>
        <v>100</v>
      </c>
      <c r="L240" s="1182"/>
      <c r="M240" s="938"/>
      <c r="N240" s="938"/>
      <c r="O240" s="938"/>
      <c r="P240" s="938"/>
      <c r="Q240" s="938"/>
      <c r="R240" s="938"/>
      <c r="S240" s="938"/>
      <c r="T240" s="938"/>
      <c r="U240" s="938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945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1182"/>
      <c r="M241" s="938"/>
      <c r="N241" s="938"/>
      <c r="O241" s="938"/>
      <c r="P241" s="938"/>
      <c r="Q241" s="938"/>
      <c r="R241" s="938"/>
      <c r="S241" s="938"/>
      <c r="T241" s="938"/>
      <c r="U241" s="938"/>
    </row>
    <row r="242" spans="1:21" ht="19.5" x14ac:dyDescent="0.3">
      <c r="A242" s="368"/>
      <c r="B242" s="369"/>
      <c r="C242" s="370" t="s">
        <v>329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30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65"/>
      <c r="C243" s="1122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137600</v>
      </c>
      <c r="M243" s="85"/>
      <c r="N243" s="213">
        <f>N244+N245+N246+N247</f>
        <v>111265</v>
      </c>
      <c r="O243" s="213">
        <f ca="1">IF(L243&gt;0,N243*100/L243,0)</f>
        <v>80.861191860465112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>
        <f>IF(Q243&gt;0,S243*100/Q243,0)</f>
        <v>0</v>
      </c>
      <c r="U243" s="130">
        <f>IF(R243&gt;0,S243*100/R243,0)</f>
        <v>0</v>
      </c>
    </row>
    <row r="244" spans="1:21" ht="18.75" x14ac:dyDescent="0.25">
      <c r="A244" s="207"/>
      <c r="B244" s="367"/>
      <c r="C244" s="65"/>
      <c r="D244" s="386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IFERROR(__xludf.DUMMYFUNCTION("IMPORTRANGE(""https://docs.google.com/spreadsheets/d/1eHaY18a8A9IcSdp1K8H6x8fbOy06t2VsZHhMHf-1x7Y/edit?usp=sharing"",""แผน!AX53"")"),14000)</f>
        <v>14000</v>
      </c>
      <c r="M244" s="85"/>
      <c r="N244" s="387">
        <v>9665</v>
      </c>
      <c r="O244" s="85"/>
      <c r="P244" s="85"/>
      <c r="Q244" s="130">
        <v>0</v>
      </c>
      <c r="R244" s="130"/>
      <c r="S244" s="130">
        <v>0</v>
      </c>
      <c r="T244" s="130"/>
      <c r="U244" s="130"/>
    </row>
    <row r="245" spans="1:21" ht="18.75" x14ac:dyDescent="0.25">
      <c r="A245" s="364"/>
      <c r="B245" s="367"/>
      <c r="C245" s="367"/>
      <c r="D245" s="265" t="s">
        <v>317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IFERROR(__xludf.DUMMYFUNCTION("IMPORTRANGE(""https://docs.google.com/spreadsheets/d/1eHaY18a8A9IcSdp1K8H6x8fbOy06t2VsZHhMHf-1x7Y/edit?usp=sharing"",""แผน!AY53"")"),2000)</f>
        <v>2000</v>
      </c>
      <c r="M245" s="85"/>
      <c r="N245" s="387">
        <v>0</v>
      </c>
      <c r="O245" s="85"/>
      <c r="P245" s="85"/>
      <c r="Q245" s="130">
        <v>0</v>
      </c>
      <c r="R245" s="130"/>
      <c r="S245" s="130">
        <v>0</v>
      </c>
      <c r="T245" s="130"/>
      <c r="U245" s="130"/>
    </row>
    <row r="246" spans="1:21" ht="18.75" x14ac:dyDescent="0.25">
      <c r="A246" s="364"/>
      <c r="B246" s="367"/>
      <c r="C246" s="367"/>
      <c r="D246" s="265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IFERROR(__xludf.DUMMYFUNCTION("IMPORTRANGE(""https://docs.google.com/spreadsheets/d/1eHaY18a8A9IcSdp1K8H6x8fbOy06t2VsZHhMHf-1x7Y/edit?usp=sharing"",""แผน!AZ53"")"),55600)</f>
        <v>55600</v>
      </c>
      <c r="M246" s="85"/>
      <c r="N246" s="387">
        <v>55600</v>
      </c>
      <c r="O246" s="85"/>
      <c r="P246" s="85"/>
      <c r="Q246" s="130">
        <v>0</v>
      </c>
      <c r="R246" s="130"/>
      <c r="S246" s="130">
        <v>0</v>
      </c>
      <c r="T246" s="130"/>
      <c r="U246" s="130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IFERROR(__xludf.DUMMYFUNCTION("IMPORTRANGE(""https://docs.google.com/spreadsheets/d/1eHaY18a8A9IcSdp1K8H6x8fbOy06t2VsZHhMHf-1x7Y/edit?usp=sharing"",""แผน!BA53"")"),66000)</f>
        <v>66000</v>
      </c>
      <c r="M247" s="85"/>
      <c r="N247" s="387">
        <v>46000</v>
      </c>
      <c r="O247" s="85"/>
      <c r="P247" s="85"/>
      <c r="Q247" s="130">
        <v>0</v>
      </c>
      <c r="R247" s="130"/>
      <c r="S247" s="130">
        <v>0</v>
      </c>
      <c r="T247" s="130"/>
      <c r="U247" s="130"/>
    </row>
    <row r="248" spans="1:21" ht="19.5" x14ac:dyDescent="0.3">
      <c r="A248" s="220"/>
      <c r="B248" s="221"/>
      <c r="C248" s="1122" t="s">
        <v>18</v>
      </c>
      <c r="D248" s="931" t="s">
        <v>38</v>
      </c>
      <c r="E248" s="223"/>
      <c r="F248" s="223"/>
      <c r="G248" s="224"/>
      <c r="H248" s="225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35" t="s">
        <v>35</v>
      </c>
      <c r="I249" s="237">
        <f ca="1">IFERROR(__xludf.DUMMYFUNCTION("IMPORTRANGE(""https://docs.google.com/spreadsheets/d/1eHaY18a8A9IcSdp1K8H6x8fbOy06t2VsZHhMHf-1x7Y/edit?usp=sharing"",""แผน!BG53"")"),30)</f>
        <v>30</v>
      </c>
      <c r="J249" s="794">
        <v>30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225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35" t="s">
        <v>35</v>
      </c>
      <c r="I251" s="237">
        <f ca="1">IFERROR(__xludf.DUMMYFUNCTION("IMPORTRANGE(""https://docs.google.com/spreadsheets/d/1eHaY18a8A9IcSdp1K8H6x8fbOy06t2VsZHhMHf-1x7Y/edit?usp=sharing"",""แผน!JZ53"")"),30)</f>
        <v>30</v>
      </c>
      <c r="J251" s="794">
        <v>30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35" t="s">
        <v>61</v>
      </c>
      <c r="I252" s="237">
        <f ca="1">IFERROR(__xludf.DUMMYFUNCTION("IMPORTRANGE(""https://docs.google.com/spreadsheets/d/1eHaY18a8A9IcSdp1K8H6x8fbOy06t2VsZHhMHf-1x7Y/edit?usp=sharing"",""แผน!KA53"")"),1)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1087"/>
      <c r="B253" s="1086"/>
      <c r="C253" s="953" t="s">
        <v>112</v>
      </c>
      <c r="D253" s="1085"/>
      <c r="E253" s="1085"/>
      <c r="F253" s="1085"/>
      <c r="G253" s="1084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936"/>
      <c r="B254" s="935"/>
      <c r="C254" s="834" t="s">
        <v>18</v>
      </c>
      <c r="D254" s="949" t="s">
        <v>19</v>
      </c>
      <c r="E254" s="935"/>
      <c r="F254" s="935"/>
      <c r="G254" s="934"/>
      <c r="H254" s="753" t="s">
        <v>14</v>
      </c>
      <c r="I254" s="933"/>
      <c r="J254" s="933"/>
      <c r="K254" s="932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>
        <f>IF(Q254&gt;0,S254*100/Q254,0)</f>
        <v>0</v>
      </c>
      <c r="U254" s="130">
        <f>IF(R254&gt;0,S254*100/R254,0)</f>
        <v>0</v>
      </c>
    </row>
    <row r="255" spans="1:21" ht="18.75" hidden="1" x14ac:dyDescent="0.25">
      <c r="A255" s="936"/>
      <c r="B255" s="1082"/>
      <c r="C255" s="935"/>
      <c r="D255" s="386" t="s">
        <v>320</v>
      </c>
      <c r="E255" s="935"/>
      <c r="F255" s="935"/>
      <c r="G255" s="934"/>
      <c r="H255" s="271" t="s">
        <v>14</v>
      </c>
      <c r="I255" s="933"/>
      <c r="J255" s="933"/>
      <c r="K255" s="932"/>
      <c r="L255" s="129">
        <f ca="1">IFERROR(__xludf.DUMMYFUNCTION("IMPORTRANGE(""https://docs.google.com/spreadsheets/d/1eHaY18a8A9IcSdp1K8H6x8fbOy06t2VsZHhMHf-1x7Y/edit?usp=sharing"",""แผน!BB53"")"),0)</f>
        <v>0</v>
      </c>
      <c r="M255" s="85"/>
      <c r="N255" s="387">
        <v>0</v>
      </c>
      <c r="O255" s="85"/>
      <c r="P255" s="85"/>
      <c r="Q255" s="130">
        <v>0</v>
      </c>
      <c r="R255" s="130"/>
      <c r="S255" s="130">
        <v>0</v>
      </c>
      <c r="T255" s="130"/>
      <c r="U255" s="130"/>
    </row>
    <row r="256" spans="1:21" ht="18.75" hidden="1" x14ac:dyDescent="0.25">
      <c r="A256" s="1083"/>
      <c r="B256" s="1082"/>
      <c r="C256" s="1082"/>
      <c r="D256" s="265" t="s">
        <v>87</v>
      </c>
      <c r="E256" s="935"/>
      <c r="F256" s="935"/>
      <c r="G256" s="934"/>
      <c r="H256" s="271" t="s">
        <v>14</v>
      </c>
      <c r="I256" s="939"/>
      <c r="J256" s="939"/>
      <c r="K256" s="938"/>
      <c r="L256" s="129">
        <f ca="1">IFERROR(__xludf.DUMMYFUNCTION("IMPORTRANGE(""https://docs.google.com/spreadsheets/d/1eHaY18a8A9IcSdp1K8H6x8fbOy06t2VsZHhMHf-1x7Y/edit?usp=sharing"",""แผน!BC53"")"),0)</f>
        <v>0</v>
      </c>
      <c r="M256" s="85"/>
      <c r="N256" s="387">
        <v>0</v>
      </c>
      <c r="O256" s="85"/>
      <c r="P256" s="85"/>
      <c r="Q256" s="130">
        <v>0</v>
      </c>
      <c r="R256" s="130"/>
      <c r="S256" s="130">
        <v>0</v>
      </c>
      <c r="T256" s="130"/>
      <c r="U256" s="130"/>
    </row>
    <row r="257" spans="1:21" ht="18.75" hidden="1" x14ac:dyDescent="0.25">
      <c r="A257" s="1083"/>
      <c r="B257" s="1082"/>
      <c r="C257" s="1082"/>
      <c r="D257" s="265" t="s">
        <v>88</v>
      </c>
      <c r="E257" s="935"/>
      <c r="F257" s="935"/>
      <c r="G257" s="934"/>
      <c r="H257" s="271" t="s">
        <v>14</v>
      </c>
      <c r="I257" s="939"/>
      <c r="J257" s="939"/>
      <c r="K257" s="938"/>
      <c r="L257" s="129">
        <f ca="1">IFERROR(__xludf.DUMMYFUNCTION("IMPORTRANGE(""https://docs.google.com/spreadsheets/d/1eHaY18a8A9IcSdp1K8H6x8fbOy06t2VsZHhMHf-1x7Y/edit?usp=sharing"",""แผน!BD53"")"),0)</f>
        <v>0</v>
      </c>
      <c r="M257" s="85"/>
      <c r="N257" s="387">
        <v>0</v>
      </c>
      <c r="O257" s="85"/>
      <c r="P257" s="85"/>
      <c r="Q257" s="130">
        <v>0</v>
      </c>
      <c r="R257" s="130"/>
      <c r="S257" s="130">
        <v>0</v>
      </c>
      <c r="T257" s="130"/>
      <c r="U257" s="130"/>
    </row>
    <row r="258" spans="1:21" ht="18.75" hidden="1" x14ac:dyDescent="0.25">
      <c r="A258" s="1083"/>
      <c r="B258" s="1082"/>
      <c r="C258" s="1082"/>
      <c r="D258" s="265" t="s">
        <v>89</v>
      </c>
      <c r="E258" s="935"/>
      <c r="F258" s="935"/>
      <c r="G258" s="934"/>
      <c r="H258" s="271" t="s">
        <v>14</v>
      </c>
      <c r="I258" s="939"/>
      <c r="J258" s="939"/>
      <c r="K258" s="938"/>
      <c r="L258" s="129">
        <f ca="1">IFERROR(__xludf.DUMMYFUNCTION("IMPORTRANGE(""https://docs.google.com/spreadsheets/d/1eHaY18a8A9IcSdp1K8H6x8fbOy06t2VsZHhMHf-1x7Y/edit?usp=sharing"",""แผน!BE53"")"),0)</f>
        <v>0</v>
      </c>
      <c r="M258" s="85"/>
      <c r="N258" s="387">
        <v>0</v>
      </c>
      <c r="O258" s="85"/>
      <c r="P258" s="85"/>
      <c r="Q258" s="130">
        <v>0</v>
      </c>
      <c r="R258" s="130"/>
      <c r="S258" s="130">
        <v>0</v>
      </c>
      <c r="T258" s="130"/>
      <c r="U258" s="130"/>
    </row>
    <row r="259" spans="1:21" ht="19.5" hidden="1" x14ac:dyDescent="0.3">
      <c r="A259" s="1079"/>
      <c r="B259" s="1078"/>
      <c r="C259" s="948" t="s">
        <v>18</v>
      </c>
      <c r="D259" s="813" t="s">
        <v>38</v>
      </c>
      <c r="E259" s="1081"/>
      <c r="F259" s="1081"/>
      <c r="G259" s="1080"/>
      <c r="H259" s="1076"/>
      <c r="I259" s="933"/>
      <c r="J259" s="939"/>
      <c r="K259" s="938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1079"/>
      <c r="B260" s="1078"/>
      <c r="C260" s="1078"/>
      <c r="D260" s="306" t="s">
        <v>108</v>
      </c>
      <c r="E260" s="1077"/>
      <c r="F260" s="1077"/>
      <c r="G260" s="1076"/>
      <c r="H260" s="945" t="s">
        <v>35</v>
      </c>
      <c r="I260" s="570">
        <f ca="1">IFERROR(__xludf.DUMMYFUNCTION("IMPORTRANGE(""https://docs.google.com/spreadsheets/d/1eHaY18a8A9IcSdp1K8H6x8fbOy06t2VsZHhMHf-1x7Y/edit?usp=sharing"",""แผน!BH53"")"),0)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1079"/>
      <c r="B261" s="1078"/>
      <c r="C261" s="1078"/>
      <c r="D261" s="947" t="s">
        <v>43</v>
      </c>
      <c r="E261" s="1077"/>
      <c r="F261" s="1077"/>
      <c r="G261" s="1076"/>
      <c r="H261" s="1076"/>
      <c r="I261" s="939"/>
      <c r="J261" s="939"/>
      <c r="K261" s="938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1079"/>
      <c r="B262" s="1078"/>
      <c r="C262" s="1078"/>
      <c r="D262" s="1078"/>
      <c r="E262" s="946" t="s">
        <v>109</v>
      </c>
      <c r="F262" s="1077"/>
      <c r="G262" s="1076"/>
      <c r="H262" s="945" t="s">
        <v>35</v>
      </c>
      <c r="I262" s="939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1079"/>
      <c r="B263" s="1078"/>
      <c r="C263" s="1078"/>
      <c r="D263" s="1078"/>
      <c r="E263" s="946" t="s">
        <v>110</v>
      </c>
      <c r="F263" s="1077"/>
      <c r="G263" s="1076"/>
      <c r="H263" s="945" t="s">
        <v>61</v>
      </c>
      <c r="I263" s="939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359">
        <f ca="1">I276</f>
        <v>24</v>
      </c>
      <c r="J265" s="359">
        <f>J276</f>
        <v>24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1122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5000</v>
      </c>
      <c r="N266" s="213">
        <f ca="1">N267+N268</f>
        <v>0</v>
      </c>
      <c r="O266" s="213">
        <f t="shared" ref="O266:O274" ca="1" si="63">IF(L266&gt;0,N266*100/L266,0)</f>
        <v>0</v>
      </c>
      <c r="P266" s="213">
        <f t="shared" ref="P266:P274" ca="1" si="64">IF(M266&gt;0,N266*100/M266,0)</f>
        <v>0</v>
      </c>
      <c r="Q266" s="213">
        <f ca="1">Q267+Q268</f>
        <v>53440</v>
      </c>
      <c r="R266" s="213">
        <f ca="1">R267+R268</f>
        <v>53440</v>
      </c>
      <c r="S266" s="213">
        <f ca="1">S267+S268</f>
        <v>49455</v>
      </c>
      <c r="T266" s="213">
        <f t="shared" ref="T266:T274" ca="1" si="65">IF(Q266&gt;0,S266*100/Q266,0)</f>
        <v>92.543038922155688</v>
      </c>
      <c r="U266" s="213">
        <f t="shared" ref="U266:U274" ca="1" si="66">IF(R266&gt;0,S266*100/R266,0)</f>
        <v>92.543038922155688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t="shared" ca="1" si="67"/>
        <v>5000</v>
      </c>
      <c r="M268" s="130">
        <f t="shared" ca="1" si="67"/>
        <v>5000</v>
      </c>
      <c r="N268" s="130">
        <f t="shared" ca="1" si="67"/>
        <v>0</v>
      </c>
      <c r="O268" s="130">
        <f t="shared" ca="1" si="63"/>
        <v>0</v>
      </c>
      <c r="P268" s="130">
        <f t="shared" ca="1" si="64"/>
        <v>0</v>
      </c>
      <c r="Q268" s="130">
        <f t="shared" ca="1" si="68"/>
        <v>53440</v>
      </c>
      <c r="R268" s="130">
        <f t="shared" ca="1" si="68"/>
        <v>53440</v>
      </c>
      <c r="S268" s="130">
        <f t="shared" ca="1" si="68"/>
        <v>49455</v>
      </c>
      <c r="T268" s="130">
        <f t="shared" ca="1" si="65"/>
        <v>92.543038922155688</v>
      </c>
      <c r="U268" s="130">
        <f t="shared" ca="1" si="66"/>
        <v>92.543038922155688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5000</v>
      </c>
      <c r="N269" s="130">
        <f ca="1">N270+N271</f>
        <v>0</v>
      </c>
      <c r="O269" s="130">
        <f t="shared" ca="1" si="63"/>
        <v>0</v>
      </c>
      <c r="P269" s="130">
        <f t="shared" ca="1" si="64"/>
        <v>0</v>
      </c>
      <c r="Q269" s="130">
        <f ca="1">Q270+Q271</f>
        <v>53440</v>
      </c>
      <c r="R269" s="130">
        <f ca="1">R270+R271</f>
        <v>53440</v>
      </c>
      <c r="S269" s="130">
        <f ca="1">S270+S271</f>
        <v>49455</v>
      </c>
      <c r="T269" s="130">
        <f t="shared" ca="1" si="65"/>
        <v>92.543038922155688</v>
      </c>
      <c r="U269" s="130">
        <f t="shared" ca="1" si="66"/>
        <v>92.543038922155688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IFERROR(__xludf.DUMMYFUNCTION("IMPORTRANGE(""https://docs.google.com/spreadsheets/d/1-uDff_7J0KD5mKrp0Vvzr7lt3OU09vwQwhkpOPPYv2Y/edit?usp=sharing"",""งบพรบ!DE53"")"),5000)</f>
        <v>5000</v>
      </c>
      <c r="M271" s="130">
        <f ca="1">IFERROR(__xludf.DUMMYFUNCTION("IMPORTRANGE(""https://docs.google.com/spreadsheets/d/1-uDff_7J0KD5mKrp0Vvzr7lt3OU09vwQwhkpOPPYv2Y/edit?usp=sharing"",""งบพรบ!DJ53"")"),5000)</f>
        <v>5000</v>
      </c>
      <c r="N271" s="130">
        <f ca="1">IFERROR(__xludf.DUMMYFUNCTION("IMPORTRANGE(""https://docs.google.com/spreadsheets/d/1-uDff_7J0KD5mKrp0Vvzr7lt3OU09vwQwhkpOPPYv2Y/edit?usp=sharing"",""งบพรบ!DL53"")"),0)</f>
        <v>0</v>
      </c>
      <c r="O271" s="130">
        <f t="shared" ca="1" si="63"/>
        <v>0</v>
      </c>
      <c r="P271" s="130">
        <f t="shared" ca="1" si="64"/>
        <v>0</v>
      </c>
      <c r="Q271" s="130">
        <f ca="1">IFERROR(__xludf.DUMMYFUNCTION("IMPORTRANGE(""https://docs.google.com/spreadsheets/d/1ItG2mGa2ceCfYo0BwxsXqNm01IGEUdYcSSLTEv9YCik/edit?usp=sharing"",""เบิกจ่ายกองทุน!AP53"")"),53440)</f>
        <v>53440</v>
      </c>
      <c r="R271" s="130">
        <f ca="1">IFERROR(__xludf.DUMMYFUNCTION("IMPORTRANGE(""https://docs.google.com/spreadsheets/d/1ItG2mGa2ceCfYo0BwxsXqNm01IGEUdYcSSLTEv9YCik/edit?usp=sharing"",""เบิกจ่ายกองทุน!AQ53"")"),53440)</f>
        <v>53440</v>
      </c>
      <c r="S271" s="130">
        <f ca="1">IFERROR(__xludf.DUMMYFUNCTION("IMPORTRANGE(""https://docs.google.com/spreadsheets/d/1ItG2mGa2ceCfYo0BwxsXqNm01IGEUdYcSSLTEv9YCik/edit?usp=sharing"",""เบิกจ่ายกองทุน!AR53"")"),49455)</f>
        <v>49455</v>
      </c>
      <c r="T271" s="130">
        <f t="shared" ca="1" si="65"/>
        <v>92.543038922155688</v>
      </c>
      <c r="U271" s="130">
        <f t="shared" ca="1" si="66"/>
        <v>92.543038922155688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t="shared" ca="1" si="63"/>
        <v>0</v>
      </c>
      <c r="P272" s="130">
        <f t="shared" ca="1" si="64"/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 t="shared" si="65"/>
        <v>0</v>
      </c>
      <c r="U272" s="130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IFERROR(__xludf.DUMMYFUNCTION("IMPORTRANGE(""https://docs.google.com/spreadsheets/d/1-uDff_7J0KD5mKrp0Vvzr7lt3OU09vwQwhkpOPPYv2Y/edit?usp=sharing"",""งบพรบ!DH53"")"),0)</f>
        <v>0</v>
      </c>
      <c r="M274" s="130">
        <f ca="1">IFERROR(__xludf.DUMMYFUNCTION("IMPORTRANGE(""https://docs.google.com/spreadsheets/d/1-uDff_7J0KD5mKrp0Vvzr7lt3OU09vwQwhkpOPPYv2Y/edit?usp=sharing"",""งบพรบ!DK53"")"),0)</f>
        <v>0</v>
      </c>
      <c r="N274" s="130">
        <f ca="1">IFERROR(__xludf.DUMMYFUNCTION("IMPORTRANGE(""https://docs.google.com/spreadsheets/d/1-uDff_7J0KD5mKrp0Vvzr7lt3OU09vwQwhkpOPPYv2Y/edit?usp=sharing"",""งบพรบ!DM53"")"),0)</f>
        <v>0</v>
      </c>
      <c r="O274" s="130">
        <f t="shared" ca="1" si="63"/>
        <v>0</v>
      </c>
      <c r="P274" s="130">
        <f t="shared" ca="1" si="64"/>
        <v>0</v>
      </c>
      <c r="Q274" s="72">
        <v>0</v>
      </c>
      <c r="R274" s="72">
        <v>0</v>
      </c>
      <c r="S274" s="72">
        <v>0</v>
      </c>
      <c r="T274" s="130">
        <f t="shared" si="65"/>
        <v>0</v>
      </c>
      <c r="U274" s="130">
        <f t="shared" si="66"/>
        <v>0</v>
      </c>
    </row>
    <row r="275" spans="1:21" ht="19.5" x14ac:dyDescent="0.3">
      <c r="A275" s="220"/>
      <c r="B275" s="221"/>
      <c r="C275" s="1122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IFERROR(__xludf.DUMMYFUNCTION("IMPORTRANGE(""https://docs.google.com/spreadsheets/d/1eHaY18a8A9IcSdp1K8H6x8fbOy06t2VsZHhMHf-1x7Y/edit?usp=sharing"",""แผน!EC53"")"),24)</f>
        <v>24</v>
      </c>
      <c r="J276" s="1117">
        <v>24</v>
      </c>
      <c r="K276" s="83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1181"/>
      <c r="B277" s="1180"/>
      <c r="C277" s="1180"/>
      <c r="D277" s="1179" t="s">
        <v>116</v>
      </c>
      <c r="E277" s="1178"/>
      <c r="F277" s="1178"/>
      <c r="G277" s="1177"/>
      <c r="H277" s="1176" t="s">
        <v>35</v>
      </c>
      <c r="I277" s="1175">
        <v>0</v>
      </c>
      <c r="J277" s="1175">
        <v>0</v>
      </c>
      <c r="K277" s="1174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x14ac:dyDescent="0.3">
      <c r="A278" s="442" t="s">
        <v>117</v>
      </c>
      <c r="B278" s="443"/>
      <c r="C278" s="443"/>
      <c r="D278" s="443"/>
      <c r="E278" s="444"/>
      <c r="F278" s="444"/>
      <c r="G278" s="444"/>
      <c r="H278" s="444"/>
      <c r="I278" s="445"/>
      <c r="J278" s="445"/>
      <c r="K278" s="446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452" t="s">
        <v>118</v>
      </c>
      <c r="B279" s="453"/>
      <c r="C279" s="454"/>
      <c r="D279" s="453"/>
      <c r="E279" s="453"/>
      <c r="F279" s="453"/>
      <c r="G279" s="453"/>
      <c r="H279" s="453"/>
      <c r="I279" s="455"/>
      <c r="J279" s="456"/>
      <c r="K279" s="457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460"/>
      <c r="B280" s="461" t="s">
        <v>119</v>
      </c>
      <c r="C280" s="462"/>
      <c r="D280" s="463"/>
      <c r="E280" s="462"/>
      <c r="F280" s="462"/>
      <c r="G280" s="464"/>
      <c r="H280" s="465" t="s">
        <v>35</v>
      </c>
      <c r="I280" s="466">
        <f ca="1">I293</f>
        <v>40</v>
      </c>
      <c r="J280" s="466">
        <f>J293</f>
        <v>0</v>
      </c>
      <c r="K280" s="467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460"/>
      <c r="B281" s="462"/>
      <c r="C281" s="462"/>
      <c r="D281" s="463"/>
      <c r="E281" s="462"/>
      <c r="F281" s="462"/>
      <c r="G281" s="464"/>
      <c r="H281" s="465" t="s">
        <v>46</v>
      </c>
      <c r="I281" s="466">
        <f ca="1">I292</f>
        <v>400</v>
      </c>
      <c r="J281" s="466">
        <f>J292</f>
        <v>0</v>
      </c>
      <c r="K281" s="467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07"/>
      <c r="B282" s="65"/>
      <c r="C282" s="1122" t="s">
        <v>18</v>
      </c>
      <c r="D282" s="941" t="s">
        <v>19</v>
      </c>
      <c r="E282" s="65"/>
      <c r="F282" s="65"/>
      <c r="G282" s="67"/>
      <c r="H282" s="210" t="s">
        <v>14</v>
      </c>
      <c r="I282" s="69"/>
      <c r="J282" s="69"/>
      <c r="K282" s="70"/>
      <c r="L282" s="212">
        <f ca="1">L283+L284</f>
        <v>106700</v>
      </c>
      <c r="M282" s="213">
        <f ca="1">M283+M284</f>
        <v>106700</v>
      </c>
      <c r="N282" s="213">
        <f ca="1">N283+N284</f>
        <v>7965</v>
      </c>
      <c r="O282" s="213">
        <f t="shared" ref="O282:O290" ca="1" si="69">IF(L282&gt;0,N282*100/L282,0)</f>
        <v>7.4648547328959696</v>
      </c>
      <c r="P282" s="213">
        <f t="shared" ref="P282:P290" ca="1" si="70">IF(M282&gt;0,N282*100/M282,0)</f>
        <v>7.4648547328959696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936"/>
      <c r="B283" s="935"/>
      <c r="C283" s="935"/>
      <c r="D283" s="935"/>
      <c r="E283" s="263" t="s">
        <v>20</v>
      </c>
      <c r="F283" s="935"/>
      <c r="G283" s="934"/>
      <c r="H283" s="264" t="s">
        <v>14</v>
      </c>
      <c r="I283" s="939"/>
      <c r="J283" s="939"/>
      <c r="K283" s="938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07"/>
      <c r="B284" s="65"/>
      <c r="C284" s="65"/>
      <c r="D284" s="65"/>
      <c r="E284" s="73" t="s">
        <v>21</v>
      </c>
      <c r="F284" s="65"/>
      <c r="G284" s="67"/>
      <c r="H284" s="214" t="s">
        <v>14</v>
      </c>
      <c r="I284" s="69"/>
      <c r="J284" s="69"/>
      <c r="K284" s="70"/>
      <c r="L284" s="129">
        <f t="shared" ca="1" si="73"/>
        <v>106700</v>
      </c>
      <c r="M284" s="130">
        <f t="shared" ca="1" si="73"/>
        <v>106700</v>
      </c>
      <c r="N284" s="130">
        <f t="shared" ca="1" si="73"/>
        <v>7965</v>
      </c>
      <c r="O284" s="130">
        <f t="shared" ca="1" si="69"/>
        <v>7.4648547328959696</v>
      </c>
      <c r="P284" s="130">
        <f t="shared" ca="1" si="70"/>
        <v>7.4648547328959696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x14ac:dyDescent="0.25">
      <c r="A285" s="207"/>
      <c r="B285" s="65"/>
      <c r="C285" s="65"/>
      <c r="D285" s="937" t="s">
        <v>22</v>
      </c>
      <c r="E285" s="65"/>
      <c r="F285" s="65"/>
      <c r="G285" s="67"/>
      <c r="H285" s="216" t="s">
        <v>14</v>
      </c>
      <c r="I285" s="217"/>
      <c r="J285" s="217"/>
      <c r="K285" s="218"/>
      <c r="L285" s="129">
        <f ca="1">L286+L287</f>
        <v>106700</v>
      </c>
      <c r="M285" s="130">
        <f ca="1">M286+M287</f>
        <v>106700</v>
      </c>
      <c r="N285" s="130">
        <f ca="1">N286+N287</f>
        <v>7965</v>
      </c>
      <c r="O285" s="130">
        <f t="shared" ca="1" si="69"/>
        <v>7.4648547328959696</v>
      </c>
      <c r="P285" s="130">
        <f t="shared" ca="1" si="70"/>
        <v>7.4648547328959696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936"/>
      <c r="B286" s="935"/>
      <c r="C286" s="935"/>
      <c r="D286" s="935"/>
      <c r="E286" s="263" t="s">
        <v>36</v>
      </c>
      <c r="F286" s="935"/>
      <c r="G286" s="934"/>
      <c r="H286" s="271" t="s">
        <v>14</v>
      </c>
      <c r="I286" s="933"/>
      <c r="J286" s="933"/>
      <c r="K286" s="932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07"/>
      <c r="B287" s="65"/>
      <c r="C287" s="65"/>
      <c r="D287" s="65"/>
      <c r="E287" s="73" t="s">
        <v>37</v>
      </c>
      <c r="F287" s="65"/>
      <c r="G287" s="67"/>
      <c r="H287" s="216" t="s">
        <v>14</v>
      </c>
      <c r="I287" s="217"/>
      <c r="J287" s="217"/>
      <c r="K287" s="218"/>
      <c r="L287" s="129">
        <f ca="1">IFERROR(__xludf.DUMMYFUNCTION("IMPORTRANGE(""https://docs.google.com/spreadsheets/d/1-uDff_7J0KD5mKrp0Vvzr7lt3OU09vwQwhkpOPPYv2Y/edit?usp=sharing"",""งบพรบ!DO53"")"),106700)</f>
        <v>106700</v>
      </c>
      <c r="M287" s="130">
        <f ca="1">IFERROR(__xludf.DUMMYFUNCTION("IMPORTRANGE(""https://docs.google.com/spreadsheets/d/1-uDff_7J0KD5mKrp0Vvzr7lt3OU09vwQwhkpOPPYv2Y/edit?usp=sharing"",""งบพรบ!DT53"")"),106700)</f>
        <v>106700</v>
      </c>
      <c r="N287" s="130">
        <f ca="1">IFERROR(__xludf.DUMMYFUNCTION("IMPORTRANGE(""https://docs.google.com/spreadsheets/d/1-uDff_7J0KD5mKrp0Vvzr7lt3OU09vwQwhkpOPPYv2Y/edit?usp=sharing"",""งบพรบ!DV53"")"),7965)</f>
        <v>7965</v>
      </c>
      <c r="O287" s="130">
        <f t="shared" ca="1" si="69"/>
        <v>7.4648547328959696</v>
      </c>
      <c r="P287" s="130">
        <f t="shared" ca="1" si="70"/>
        <v>7.4648547328959696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x14ac:dyDescent="0.25">
      <c r="A288" s="207"/>
      <c r="B288" s="65"/>
      <c r="C288" s="65"/>
      <c r="D288" s="937" t="s">
        <v>23</v>
      </c>
      <c r="E288" s="65"/>
      <c r="F288" s="65"/>
      <c r="G288" s="67"/>
      <c r="H288" s="219" t="s">
        <v>14</v>
      </c>
      <c r="I288" s="217"/>
      <c r="J288" s="217"/>
      <c r="K288" s="218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hidden="1" x14ac:dyDescent="0.25">
      <c r="A289" s="936"/>
      <c r="B289" s="935"/>
      <c r="C289" s="935"/>
      <c r="D289" s="935"/>
      <c r="E289" s="263" t="s">
        <v>20</v>
      </c>
      <c r="F289" s="935"/>
      <c r="G289" s="934"/>
      <c r="H289" s="271" t="s">
        <v>14</v>
      </c>
      <c r="I289" s="933"/>
      <c r="J289" s="933"/>
      <c r="K289" s="932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hidden="1" x14ac:dyDescent="0.25">
      <c r="A290" s="207"/>
      <c r="B290" s="65"/>
      <c r="C290" s="65"/>
      <c r="D290" s="65"/>
      <c r="E290" s="73" t="s">
        <v>21</v>
      </c>
      <c r="F290" s="65"/>
      <c r="G290" s="67"/>
      <c r="H290" s="219" t="s">
        <v>14</v>
      </c>
      <c r="I290" s="217"/>
      <c r="J290" s="217"/>
      <c r="K290" s="218"/>
      <c r="L290" s="129">
        <f ca="1">IFERROR(__xludf.DUMMYFUNCTION("IMPORTRANGE(""https://docs.google.com/spreadsheets/d/1-uDff_7J0KD5mKrp0Vvzr7lt3OU09vwQwhkpOPPYv2Y/edit?usp=sharing"",""งบพรบ!DR53"")"),0)</f>
        <v>0</v>
      </c>
      <c r="M290" s="130">
        <f ca="1">IFERROR(__xludf.DUMMYFUNCTION("IMPORTRANGE(""https://docs.google.com/spreadsheets/d/1-uDff_7J0KD5mKrp0Vvzr7lt3OU09vwQwhkpOPPYv2Y/edit?usp=sharing"",""งบพรบ!DU53"")"),0)</f>
        <v>0</v>
      </c>
      <c r="N290" s="130">
        <f ca="1">IFERROR(__xludf.DUMMYFUNCTION("IMPORTRANGE(""https://docs.google.com/spreadsheets/d/1-uDff_7J0KD5mKrp0Vvzr7lt3OU09vwQwhkpOPPYv2Y/edit?usp=sharing"",""งบพรบ!DW53"")"),0)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hidden="1" x14ac:dyDescent="0.3">
      <c r="A291" s="220"/>
      <c r="B291" s="221"/>
      <c r="C291" s="208" t="s">
        <v>18</v>
      </c>
      <c r="D291" s="931" t="s">
        <v>38</v>
      </c>
      <c r="E291" s="223"/>
      <c r="F291" s="223"/>
      <c r="G291" s="224"/>
      <c r="H291" s="225"/>
      <c r="I291" s="217"/>
      <c r="J291" s="217"/>
      <c r="K291" s="218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20"/>
      <c r="B292" s="221"/>
      <c r="C292" s="221"/>
      <c r="D292" s="234" t="s">
        <v>120</v>
      </c>
      <c r="E292" s="221"/>
      <c r="F292" s="229"/>
      <c r="G292" s="225"/>
      <c r="H292" s="240" t="s">
        <v>46</v>
      </c>
      <c r="I292" s="237">
        <f ca="1">IFERROR(__xludf.DUMMYFUNCTION("IMPORTRANGE(""https://docs.google.com/spreadsheets/d/1eHaY18a8A9IcSdp1K8H6x8fbOy06t2VsZHhMHf-1x7Y/edit?usp=sharing"",""แผน!EE53"")"),400)</f>
        <v>400</v>
      </c>
      <c r="J292" s="794">
        <v>0</v>
      </c>
      <c r="K292" s="238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20"/>
      <c r="B293" s="221"/>
      <c r="C293" s="221"/>
      <c r="D293" s="234" t="s">
        <v>121</v>
      </c>
      <c r="E293" s="221"/>
      <c r="F293" s="229"/>
      <c r="G293" s="225"/>
      <c r="H293" s="230" t="s">
        <v>35</v>
      </c>
      <c r="I293" s="231">
        <f ca="1">IFERROR(__xludf.DUMMYFUNCTION("IMPORTRANGE(""https://docs.google.com/spreadsheets/d/1eHaY18a8A9IcSdp1K8H6x8fbOy06t2VsZHhMHf-1x7Y/edit?usp=sharing"",""แผน!ED53"")"),40)</f>
        <v>40</v>
      </c>
      <c r="J293" s="231">
        <f>J296</f>
        <v>0</v>
      </c>
      <c r="K293" s="232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20"/>
      <c r="B294" s="221"/>
      <c r="C294" s="221"/>
      <c r="D294" s="229"/>
      <c r="E294" s="471" t="s">
        <v>122</v>
      </c>
      <c r="F294" s="229"/>
      <c r="G294" s="225"/>
      <c r="H294" s="225"/>
      <c r="I294" s="217"/>
      <c r="J294" s="69"/>
      <c r="K294" s="218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20"/>
      <c r="B295" s="221"/>
      <c r="C295" s="221"/>
      <c r="D295" s="229"/>
      <c r="E295" s="234" t="s">
        <v>123</v>
      </c>
      <c r="F295" s="229"/>
      <c r="G295" s="225"/>
      <c r="H295" s="235" t="s">
        <v>35</v>
      </c>
      <c r="I295" s="239">
        <f ca="1">IFERROR(__xludf.DUMMYFUNCTION("IMPORTRANGE(""https://docs.google.com/spreadsheets/d/1eHaY18a8A9IcSdp1K8H6x8fbOy06t2VsZHhMHf-1x7Y/edit?usp=sharing"",""แผน!ED53"")"),40)</f>
        <v>40</v>
      </c>
      <c r="J295" s="794">
        <v>0</v>
      </c>
      <c r="K295" s="238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20"/>
      <c r="B296" s="221"/>
      <c r="C296" s="221"/>
      <c r="D296" s="229"/>
      <c r="E296" s="234" t="s">
        <v>124</v>
      </c>
      <c r="F296" s="229"/>
      <c r="G296" s="225"/>
      <c r="H296" s="235" t="s">
        <v>35</v>
      </c>
      <c r="I296" s="239">
        <f ca="1">IFERROR(__xludf.DUMMYFUNCTION("IMPORTRANGE(""https://docs.google.com/spreadsheets/d/1eHaY18a8A9IcSdp1K8H6x8fbOy06t2VsZHhMHf-1x7Y/edit?usp=sharing"",""แผน!ED53"")"),40)</f>
        <v>40</v>
      </c>
      <c r="J296" s="794">
        <v>0</v>
      </c>
      <c r="K296" s="238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9.5" hidden="1" x14ac:dyDescent="0.3">
      <c r="A297" s="472"/>
      <c r="B297" s="473"/>
      <c r="C297" s="473"/>
      <c r="D297" s="19"/>
      <c r="E297" s="20"/>
      <c r="F297" s="19"/>
      <c r="G297" s="22"/>
      <c r="H297" s="22"/>
      <c r="I297" s="24"/>
      <c r="J297" s="24"/>
      <c r="K297" s="25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8.75" hidden="1" x14ac:dyDescent="0.25">
      <c r="A298" s="472"/>
      <c r="B298" s="473"/>
      <c r="C298" s="473"/>
      <c r="D298" s="19"/>
      <c r="E298" s="29"/>
      <c r="F298" s="19"/>
      <c r="G298" s="22"/>
      <c r="H298" s="30"/>
      <c r="I298" s="474"/>
      <c r="J298" s="474"/>
      <c r="K298" s="31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8.75" hidden="1" x14ac:dyDescent="0.25">
      <c r="A299" s="475"/>
      <c r="B299" s="476"/>
      <c r="C299" s="476"/>
      <c r="D299" s="477"/>
      <c r="E299" s="478"/>
      <c r="F299" s="477"/>
      <c r="G299" s="479"/>
      <c r="H299" s="480"/>
      <c r="I299" s="481"/>
      <c r="J299" s="481"/>
      <c r="K299" s="482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485"/>
      <c r="C300" s="485"/>
      <c r="D300" s="485"/>
      <c r="E300" s="486"/>
      <c r="F300" s="486"/>
      <c r="G300" s="486"/>
      <c r="H300" s="486"/>
      <c r="I300" s="487"/>
      <c r="J300" s="487"/>
      <c r="K300" s="488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493" t="s">
        <v>126</v>
      </c>
      <c r="B301" s="494"/>
      <c r="C301" s="494"/>
      <c r="D301" s="495"/>
      <c r="E301" s="495"/>
      <c r="F301" s="495"/>
      <c r="G301" s="496"/>
      <c r="H301" s="496"/>
      <c r="I301" s="497"/>
      <c r="J301" s="497"/>
      <c r="K301" s="498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501"/>
      <c r="B302" s="502" t="s">
        <v>127</v>
      </c>
      <c r="C302" s="503"/>
      <c r="D302" s="503"/>
      <c r="E302" s="503"/>
      <c r="F302" s="503"/>
      <c r="G302" s="504"/>
      <c r="H302" s="505" t="s">
        <v>35</v>
      </c>
      <c r="I302" s="506">
        <f ca="1">I314</f>
        <v>30</v>
      </c>
      <c r="J302" s="506">
        <f>J314</f>
        <v>30</v>
      </c>
      <c r="K302" s="507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07"/>
      <c r="B303" s="65"/>
      <c r="C303" s="1122" t="s">
        <v>18</v>
      </c>
      <c r="D303" s="941" t="s">
        <v>19</v>
      </c>
      <c r="E303" s="65"/>
      <c r="F303" s="65"/>
      <c r="G303" s="67"/>
      <c r="H303" s="210" t="s">
        <v>14</v>
      </c>
      <c r="I303" s="69"/>
      <c r="J303" s="69"/>
      <c r="K303" s="70"/>
      <c r="L303" s="212">
        <f ca="1">L304+L305</f>
        <v>0</v>
      </c>
      <c r="M303" s="213">
        <f ca="1">M304+M305</f>
        <v>0</v>
      </c>
      <c r="N303" s="213">
        <f ca="1">N304+N305</f>
        <v>0</v>
      </c>
      <c r="O303" s="213">
        <f t="shared" ref="O303:O311" ca="1" si="75">IF(L303&gt;0,N303*100/L303,0)</f>
        <v>0</v>
      </c>
      <c r="P303" s="213">
        <f t="shared" ref="P303:P311" ca="1" si="76">IF(M303&gt;0,N303*100/M303,0)</f>
        <v>0</v>
      </c>
      <c r="Q303" s="213">
        <f ca="1">Q304+Q305</f>
        <v>260958.39</v>
      </c>
      <c r="R303" s="213">
        <f ca="1">R304+R305</f>
        <v>260958</v>
      </c>
      <c r="S303" s="213">
        <f ca="1">S304+S305</f>
        <v>186198</v>
      </c>
      <c r="T303" s="213">
        <f t="shared" ref="T303:T311" ca="1" si="77">IF(Q303&gt;0,S303*100/Q303,0)</f>
        <v>71.351605135209482</v>
      </c>
      <c r="U303" s="213">
        <f t="shared" ref="U303:U311" ca="1" si="78">IF(R303&gt;0,S303*100/R303,0)</f>
        <v>71.351711769710064</v>
      </c>
    </row>
    <row r="304" spans="1:21" ht="18.75" hidden="1" x14ac:dyDescent="0.25">
      <c r="A304" s="936"/>
      <c r="B304" s="935"/>
      <c r="C304" s="935"/>
      <c r="D304" s="935"/>
      <c r="E304" s="263" t="s">
        <v>20</v>
      </c>
      <c r="F304" s="935"/>
      <c r="G304" s="934"/>
      <c r="H304" s="264" t="s">
        <v>14</v>
      </c>
      <c r="I304" s="939"/>
      <c r="J304" s="939"/>
      <c r="K304" s="938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07"/>
      <c r="B305" s="65"/>
      <c r="C305" s="65"/>
      <c r="D305" s="65"/>
      <c r="E305" s="73" t="s">
        <v>21</v>
      </c>
      <c r="F305" s="65"/>
      <c r="G305" s="67"/>
      <c r="H305" s="214" t="s">
        <v>14</v>
      </c>
      <c r="I305" s="69"/>
      <c r="J305" s="69"/>
      <c r="K305" s="70"/>
      <c r="L305" s="129">
        <f t="shared" ca="1" si="79"/>
        <v>0</v>
      </c>
      <c r="M305" s="130">
        <f t="shared" ca="1" si="79"/>
        <v>0</v>
      </c>
      <c r="N305" s="130">
        <f t="shared" ca="1" si="79"/>
        <v>0</v>
      </c>
      <c r="O305" s="130">
        <f t="shared" ca="1" si="75"/>
        <v>0</v>
      </c>
      <c r="P305" s="130">
        <f t="shared" ca="1" si="76"/>
        <v>0</v>
      </c>
      <c r="Q305" s="130">
        <f t="shared" ca="1" si="80"/>
        <v>260958.39</v>
      </c>
      <c r="R305" s="130">
        <f t="shared" ca="1" si="80"/>
        <v>260958</v>
      </c>
      <c r="S305" s="130">
        <f t="shared" ca="1" si="80"/>
        <v>186198</v>
      </c>
      <c r="T305" s="130">
        <f t="shared" ca="1" si="77"/>
        <v>71.351605135209482</v>
      </c>
      <c r="U305" s="130">
        <f t="shared" ca="1" si="78"/>
        <v>71.351711769710064</v>
      </c>
    </row>
    <row r="306" spans="1:21" ht="18.75" x14ac:dyDescent="0.25">
      <c r="A306" s="207"/>
      <c r="B306" s="65"/>
      <c r="C306" s="65"/>
      <c r="D306" s="937" t="s">
        <v>22</v>
      </c>
      <c r="E306" s="65"/>
      <c r="F306" s="65"/>
      <c r="G306" s="67"/>
      <c r="H306" s="216" t="s">
        <v>14</v>
      </c>
      <c r="I306" s="217"/>
      <c r="J306" s="217"/>
      <c r="K306" s="218"/>
      <c r="L306" s="129">
        <f ca="1">L307+L308</f>
        <v>0</v>
      </c>
      <c r="M306" s="130">
        <f ca="1">M307+M308</f>
        <v>0</v>
      </c>
      <c r="N306" s="130">
        <f ca="1">N307+N308</f>
        <v>0</v>
      </c>
      <c r="O306" s="130">
        <f t="shared" ca="1" si="75"/>
        <v>0</v>
      </c>
      <c r="P306" s="130">
        <f t="shared" ca="1" si="76"/>
        <v>0</v>
      </c>
      <c r="Q306" s="130">
        <f ca="1">Q307+Q308</f>
        <v>260958.39</v>
      </c>
      <c r="R306" s="130">
        <f ca="1">R307+R308</f>
        <v>260958</v>
      </c>
      <c r="S306" s="130">
        <f ca="1">S307+S308</f>
        <v>186198</v>
      </c>
      <c r="T306" s="130">
        <f t="shared" ca="1" si="77"/>
        <v>71.351605135209482</v>
      </c>
      <c r="U306" s="130">
        <f t="shared" ca="1" si="78"/>
        <v>71.351711769710064</v>
      </c>
    </row>
    <row r="307" spans="1:21" ht="18.75" hidden="1" x14ac:dyDescent="0.25">
      <c r="A307" s="936"/>
      <c r="B307" s="935"/>
      <c r="C307" s="935"/>
      <c r="D307" s="935"/>
      <c r="E307" s="263" t="s">
        <v>36</v>
      </c>
      <c r="F307" s="935"/>
      <c r="G307" s="934"/>
      <c r="H307" s="271" t="s">
        <v>14</v>
      </c>
      <c r="I307" s="933"/>
      <c r="J307" s="933"/>
      <c r="K307" s="932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07"/>
      <c r="B308" s="65"/>
      <c r="C308" s="65"/>
      <c r="D308" s="65"/>
      <c r="E308" s="73" t="s">
        <v>37</v>
      </c>
      <c r="F308" s="65"/>
      <c r="G308" s="67"/>
      <c r="H308" s="216" t="s">
        <v>14</v>
      </c>
      <c r="I308" s="217"/>
      <c r="J308" s="217"/>
      <c r="K308" s="218"/>
      <c r="L308" s="129">
        <f ca="1">IFERROR(__xludf.DUMMYFUNCTION("IMPORTRANGE(""https://docs.google.com/spreadsheets/d/1-uDff_7J0KD5mKrp0Vvzr7lt3OU09vwQwhkpOPPYv2Y/edit?usp=sharing"",""งบพรบ!DY53"")"),0)</f>
        <v>0</v>
      </c>
      <c r="M308" s="130">
        <f ca="1">IFERROR(__xludf.DUMMYFUNCTION("IMPORTRANGE(""https://docs.google.com/spreadsheets/d/1-uDff_7J0KD5mKrp0Vvzr7lt3OU09vwQwhkpOPPYv2Y/edit?usp=sharing"",""งบพรบ!ED53"")"),0)</f>
        <v>0</v>
      </c>
      <c r="N308" s="130">
        <f ca="1">IFERROR(__xludf.DUMMYFUNCTION("IMPORTRANGE(""https://docs.google.com/spreadsheets/d/1-uDff_7J0KD5mKrp0Vvzr7lt3OU09vwQwhkpOPPYv2Y/edit?usp=sharing"",""งบพรบ!EF53"")"),0)</f>
        <v>0</v>
      </c>
      <c r="O308" s="130">
        <f t="shared" ca="1" si="75"/>
        <v>0</v>
      </c>
      <c r="P308" s="130">
        <f t="shared" ca="1" si="76"/>
        <v>0</v>
      </c>
      <c r="Q308" s="130">
        <f ca="1">IFERROR(__xludf.DUMMYFUNCTION("IMPORTRANGE(""https://docs.google.com/spreadsheets/d/1ItG2mGa2ceCfYo0BwxsXqNm01IGEUdYcSSLTEv9YCik/edit?usp=sharing"",""เบิกจ่ายกองทุน!BB53"")"),260958.39)</f>
        <v>260958.39</v>
      </c>
      <c r="R308" s="130">
        <f ca="1">IFERROR(__xludf.DUMMYFUNCTION("IMPORTRANGE(""https://docs.google.com/spreadsheets/d/1ItG2mGa2ceCfYo0BwxsXqNm01IGEUdYcSSLTEv9YCik/edit?usp=sharing"",""เบิกจ่ายกองทุน!BC53"")"),260958)</f>
        <v>260958</v>
      </c>
      <c r="S308" s="130">
        <f ca="1">IFERROR(__xludf.DUMMYFUNCTION("IMPORTRANGE(""https://docs.google.com/spreadsheets/d/1ItG2mGa2ceCfYo0BwxsXqNm01IGEUdYcSSLTEv9YCik/edit?usp=sharing"",""เบิกจ่ายกองทุน!BD53"")"),186198)</f>
        <v>186198</v>
      </c>
      <c r="T308" s="130">
        <f t="shared" ca="1" si="77"/>
        <v>71.351605135209482</v>
      </c>
      <c r="U308" s="130">
        <f t="shared" ca="1" si="78"/>
        <v>71.351711769710064</v>
      </c>
    </row>
    <row r="309" spans="1:21" ht="18.75" x14ac:dyDescent="0.25">
      <c r="A309" s="207"/>
      <c r="B309" s="65"/>
      <c r="C309" s="65"/>
      <c r="D309" s="937" t="s">
        <v>23</v>
      </c>
      <c r="E309" s="65"/>
      <c r="F309" s="65"/>
      <c r="G309" s="67"/>
      <c r="H309" s="219" t="s">
        <v>14</v>
      </c>
      <c r="I309" s="217"/>
      <c r="J309" s="217"/>
      <c r="K309" s="218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936"/>
      <c r="B310" s="935"/>
      <c r="C310" s="935"/>
      <c r="D310" s="935"/>
      <c r="E310" s="263" t="s">
        <v>20</v>
      </c>
      <c r="F310" s="935"/>
      <c r="G310" s="934"/>
      <c r="H310" s="271" t="s">
        <v>14</v>
      </c>
      <c r="I310" s="933"/>
      <c r="J310" s="933"/>
      <c r="K310" s="932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07"/>
      <c r="B311" s="65"/>
      <c r="C311" s="65"/>
      <c r="D311" s="65"/>
      <c r="E311" s="73" t="s">
        <v>21</v>
      </c>
      <c r="F311" s="65"/>
      <c r="G311" s="67"/>
      <c r="H311" s="219" t="s">
        <v>14</v>
      </c>
      <c r="I311" s="217"/>
      <c r="J311" s="217"/>
      <c r="K311" s="218"/>
      <c r="L311" s="129">
        <f ca="1">IFERROR(__xludf.DUMMYFUNCTION("IMPORTRANGE(""https://docs.google.com/spreadsheets/d/1-uDff_7J0KD5mKrp0Vvzr7lt3OU09vwQwhkpOPPYv2Y/edit?usp=sharing"",""งบพรบ!EB53"")"),0)</f>
        <v>0</v>
      </c>
      <c r="M311" s="130">
        <f ca="1">IFERROR(__xludf.DUMMYFUNCTION("IMPORTRANGE(""https://docs.google.com/spreadsheets/d/1-uDff_7J0KD5mKrp0Vvzr7lt3OU09vwQwhkpOPPYv2Y/edit?usp=sharing"",""งบพรบ!EE53"")"),0)</f>
        <v>0</v>
      </c>
      <c r="N311" s="130">
        <f ca="1">IFERROR(__xludf.DUMMYFUNCTION("IMPORTRANGE(""https://docs.google.com/spreadsheets/d/1-uDff_7J0KD5mKrp0Vvzr7lt3OU09vwQwhkpOPPYv2Y/edit?usp=sharing"",""งบพรบ!EG53"")"),0)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20"/>
      <c r="B312" s="221"/>
      <c r="C312" s="1122" t="s">
        <v>18</v>
      </c>
      <c r="D312" s="931" t="s">
        <v>38</v>
      </c>
      <c r="E312" s="223"/>
      <c r="F312" s="223"/>
      <c r="G312" s="224"/>
      <c r="H312" s="225"/>
      <c r="I312" s="69"/>
      <c r="J312" s="69"/>
      <c r="K312" s="70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472"/>
      <c r="B313" s="473"/>
      <c r="C313" s="473"/>
      <c r="D313" s="29"/>
      <c r="E313" s="19"/>
      <c r="F313" s="19"/>
      <c r="G313" s="22"/>
      <c r="H313" s="22"/>
      <c r="I313" s="24"/>
      <c r="J313" s="474"/>
      <c r="K313" s="25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20"/>
      <c r="B314" s="221"/>
      <c r="C314" s="221"/>
      <c r="D314" s="234" t="s">
        <v>121</v>
      </c>
      <c r="E314" s="229"/>
      <c r="F314" s="229"/>
      <c r="G314" s="225"/>
      <c r="H314" s="235" t="s">
        <v>35</v>
      </c>
      <c r="I314" s="237">
        <f ca="1">IFERROR(__xludf.DUMMYFUNCTION("IMPORTRANGE(""https://docs.google.com/spreadsheets/d/1eHaY18a8A9IcSdp1K8H6x8fbOy06t2VsZHhMHf-1x7Y/edit?usp=sharing"",""แผน!EF53"")"),30)</f>
        <v>30</v>
      </c>
      <c r="J314" s="794">
        <v>30</v>
      </c>
      <c r="K314" s="86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472"/>
      <c r="B315" s="473"/>
      <c r="C315" s="473"/>
      <c r="D315" s="29"/>
      <c r="E315" s="19"/>
      <c r="F315" s="19"/>
      <c r="G315" s="22"/>
      <c r="H315" s="30"/>
      <c r="I315" s="474"/>
      <c r="J315" s="474"/>
      <c r="K315" s="31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472"/>
      <c r="B316" s="473"/>
      <c r="C316" s="473"/>
      <c r="D316" s="29"/>
      <c r="E316" s="19"/>
      <c r="F316" s="19"/>
      <c r="G316" s="22"/>
      <c r="H316" s="30"/>
      <c r="I316" s="474"/>
      <c r="J316" s="474"/>
      <c r="K316" s="31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1173"/>
      <c r="B317" s="1172"/>
      <c r="C317" s="1172"/>
      <c r="D317" s="894"/>
      <c r="E317" s="1171"/>
      <c r="F317" s="1171"/>
      <c r="G317" s="1170"/>
      <c r="H317" s="893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493" t="s">
        <v>131</v>
      </c>
      <c r="B318" s="494"/>
      <c r="C318" s="494"/>
      <c r="D318" s="495"/>
      <c r="E318" s="494"/>
      <c r="F318" s="494"/>
      <c r="G318" s="494"/>
      <c r="H318" s="495"/>
      <c r="I318" s="497"/>
      <c r="J318" s="497"/>
      <c r="K318" s="498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x14ac:dyDescent="0.3">
      <c r="A319" s="511"/>
      <c r="B319" s="502" t="s">
        <v>132</v>
      </c>
      <c r="C319" s="512"/>
      <c r="D319" s="513"/>
      <c r="E319" s="503"/>
      <c r="F319" s="503"/>
      <c r="G319" s="504"/>
      <c r="H319" s="505" t="s">
        <v>133</v>
      </c>
      <c r="I319" s="506">
        <f ca="1">I330</f>
        <v>1</v>
      </c>
      <c r="J319" s="506">
        <f>J330</f>
        <v>1</v>
      </c>
      <c r="K319" s="507">
        <f ca="1">IF(I319&gt;0,J319*100/I319,0)</f>
        <v>100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x14ac:dyDescent="0.3">
      <c r="A320" s="207"/>
      <c r="B320" s="65"/>
      <c r="C320" s="1122" t="s">
        <v>18</v>
      </c>
      <c r="D320" s="941" t="s">
        <v>19</v>
      </c>
      <c r="E320" s="65"/>
      <c r="F320" s="65"/>
      <c r="G320" s="67"/>
      <c r="H320" s="210" t="s">
        <v>14</v>
      </c>
      <c r="I320" s="69"/>
      <c r="J320" s="69"/>
      <c r="K320" s="70"/>
      <c r="L320" s="212">
        <f ca="1">L321+L322</f>
        <v>509000</v>
      </c>
      <c r="M320" s="213">
        <f ca="1">M321+M322</f>
        <v>509000</v>
      </c>
      <c r="N320" s="213">
        <f ca="1">N321+N322</f>
        <v>42134</v>
      </c>
      <c r="O320" s="213">
        <f t="shared" ref="O320:O328" ca="1" si="81">IF(L320&gt;0,N320*100/L320,0)</f>
        <v>8.2777996070726907</v>
      </c>
      <c r="P320" s="213">
        <f t="shared" ref="P320:P328" ca="1" si="82">IF(M320&gt;0,N320*100/M320,0)</f>
        <v>8.2777996070726907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936"/>
      <c r="B321" s="935"/>
      <c r="C321" s="935"/>
      <c r="D321" s="935"/>
      <c r="E321" s="263" t="s">
        <v>20</v>
      </c>
      <c r="F321" s="935"/>
      <c r="G321" s="934"/>
      <c r="H321" s="264" t="s">
        <v>14</v>
      </c>
      <c r="I321" s="939"/>
      <c r="J321" s="939"/>
      <c r="K321" s="938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07"/>
      <c r="B322" s="65"/>
      <c r="C322" s="65"/>
      <c r="D322" s="65"/>
      <c r="E322" s="73" t="s">
        <v>21</v>
      </c>
      <c r="F322" s="65"/>
      <c r="G322" s="67"/>
      <c r="H322" s="214" t="s">
        <v>14</v>
      </c>
      <c r="I322" s="69"/>
      <c r="J322" s="69"/>
      <c r="K322" s="70"/>
      <c r="L322" s="129">
        <f t="shared" ca="1" si="85"/>
        <v>509000</v>
      </c>
      <c r="M322" s="130">
        <f t="shared" ca="1" si="85"/>
        <v>509000</v>
      </c>
      <c r="N322" s="130">
        <f t="shared" ca="1" si="85"/>
        <v>42134</v>
      </c>
      <c r="O322" s="130">
        <f t="shared" ca="1" si="81"/>
        <v>8.2777996070726907</v>
      </c>
      <c r="P322" s="130">
        <f t="shared" ca="1" si="82"/>
        <v>8.2777996070726907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x14ac:dyDescent="0.25">
      <c r="A323" s="207"/>
      <c r="B323" s="65"/>
      <c r="C323" s="65"/>
      <c r="D323" s="937" t="s">
        <v>22</v>
      </c>
      <c r="E323" s="65"/>
      <c r="F323" s="65"/>
      <c r="G323" s="67"/>
      <c r="H323" s="216" t="s">
        <v>14</v>
      </c>
      <c r="I323" s="217"/>
      <c r="J323" s="217"/>
      <c r="K323" s="218"/>
      <c r="L323" s="129">
        <f ca="1">L324+L325</f>
        <v>125000</v>
      </c>
      <c r="M323" s="130">
        <f ca="1">M324+M325</f>
        <v>125000</v>
      </c>
      <c r="N323" s="130">
        <f ca="1">N324+N325</f>
        <v>42134</v>
      </c>
      <c r="O323" s="130">
        <f t="shared" ca="1" si="81"/>
        <v>33.7072</v>
      </c>
      <c r="P323" s="130">
        <f t="shared" ca="1" si="82"/>
        <v>33.7072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936"/>
      <c r="B324" s="935"/>
      <c r="C324" s="935"/>
      <c r="D324" s="935"/>
      <c r="E324" s="263" t="s">
        <v>36</v>
      </c>
      <c r="F324" s="935"/>
      <c r="G324" s="934"/>
      <c r="H324" s="271" t="s">
        <v>14</v>
      </c>
      <c r="I324" s="933"/>
      <c r="J324" s="933"/>
      <c r="K324" s="932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07"/>
      <c r="B325" s="65"/>
      <c r="C325" s="65"/>
      <c r="D325" s="65"/>
      <c r="E325" s="73" t="s">
        <v>37</v>
      </c>
      <c r="F325" s="65"/>
      <c r="G325" s="67"/>
      <c r="H325" s="216" t="s">
        <v>14</v>
      </c>
      <c r="I325" s="217"/>
      <c r="J325" s="217"/>
      <c r="K325" s="218"/>
      <c r="L325" s="129">
        <f ca="1">IFERROR(__xludf.DUMMYFUNCTION("IMPORTRANGE(""https://docs.google.com/spreadsheets/d/1-uDff_7J0KD5mKrp0Vvzr7lt3OU09vwQwhkpOPPYv2Y/edit?usp=sharing"",""งบพรบ!EI53"")"),125000)</f>
        <v>125000</v>
      </c>
      <c r="M325" s="130">
        <f ca="1">IFERROR(__xludf.DUMMYFUNCTION("IMPORTRANGE(""https://docs.google.com/spreadsheets/d/1-uDff_7J0KD5mKrp0Vvzr7lt3OU09vwQwhkpOPPYv2Y/edit?usp=sharing"",""งบพรบ!EN53"")"),125000)</f>
        <v>125000</v>
      </c>
      <c r="N325" s="130">
        <f ca="1">IFERROR(__xludf.DUMMYFUNCTION("IMPORTRANGE(""https://docs.google.com/spreadsheets/d/1-uDff_7J0KD5mKrp0Vvzr7lt3OU09vwQwhkpOPPYv2Y/edit?usp=sharing"",""งบพรบ!EP53"")"),42134)</f>
        <v>42134</v>
      </c>
      <c r="O325" s="130">
        <f t="shared" ca="1" si="81"/>
        <v>33.7072</v>
      </c>
      <c r="P325" s="130">
        <f t="shared" ca="1" si="82"/>
        <v>33.7072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x14ac:dyDescent="0.25">
      <c r="A326" s="207"/>
      <c r="B326" s="65"/>
      <c r="C326" s="65"/>
      <c r="D326" s="937" t="s">
        <v>23</v>
      </c>
      <c r="E326" s="65"/>
      <c r="F326" s="65"/>
      <c r="G326" s="67"/>
      <c r="H326" s="219" t="s">
        <v>14</v>
      </c>
      <c r="I326" s="217"/>
      <c r="J326" s="217"/>
      <c r="K326" s="218"/>
      <c r="L326" s="129">
        <f ca="1">L327+L328</f>
        <v>384000</v>
      </c>
      <c r="M326" s="130">
        <f ca="1">M327+M328</f>
        <v>384000</v>
      </c>
      <c r="N326" s="130">
        <f ca="1">N327+N328</f>
        <v>0</v>
      </c>
      <c r="O326" s="130">
        <f t="shared" ca="1" si="81"/>
        <v>0</v>
      </c>
      <c r="P326" s="130">
        <f t="shared" ca="1" si="82"/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936"/>
      <c r="B327" s="935"/>
      <c r="C327" s="935"/>
      <c r="D327" s="935"/>
      <c r="E327" s="263" t="s">
        <v>20</v>
      </c>
      <c r="F327" s="935"/>
      <c r="G327" s="934"/>
      <c r="H327" s="271" t="s">
        <v>14</v>
      </c>
      <c r="I327" s="933"/>
      <c r="J327" s="933"/>
      <c r="K327" s="932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07"/>
      <c r="B328" s="65"/>
      <c r="C328" s="65"/>
      <c r="D328" s="65"/>
      <c r="E328" s="73" t="s">
        <v>21</v>
      </c>
      <c r="F328" s="65"/>
      <c r="G328" s="67"/>
      <c r="H328" s="219" t="s">
        <v>14</v>
      </c>
      <c r="I328" s="217"/>
      <c r="J328" s="217"/>
      <c r="K328" s="218"/>
      <c r="L328" s="129">
        <f ca="1">IFERROR(__xludf.DUMMYFUNCTION("IMPORTRANGE(""https://docs.google.com/spreadsheets/d/1-uDff_7J0KD5mKrp0Vvzr7lt3OU09vwQwhkpOPPYv2Y/edit?usp=sharing"",""งบพรบ!EL53"")"),384000)</f>
        <v>384000</v>
      </c>
      <c r="M328" s="130">
        <f ca="1">IFERROR(__xludf.DUMMYFUNCTION("IMPORTRANGE(""https://docs.google.com/spreadsheets/d/1-uDff_7J0KD5mKrp0Vvzr7lt3OU09vwQwhkpOPPYv2Y/edit?usp=sharing"",""งบพรบ!EO53"")"),384000)</f>
        <v>384000</v>
      </c>
      <c r="N328" s="130">
        <f ca="1">IFERROR(__xludf.DUMMYFUNCTION("IMPORTRANGE(""https://docs.google.com/spreadsheets/d/1-uDff_7J0KD5mKrp0Vvzr7lt3OU09vwQwhkpOPPYv2Y/edit?usp=sharing"",""งบพรบ!EQ53"")"),0)</f>
        <v>0</v>
      </c>
      <c r="O328" s="130">
        <f t="shared" ca="1" si="81"/>
        <v>0</v>
      </c>
      <c r="P328" s="130">
        <f t="shared" ca="1" si="82"/>
        <v>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x14ac:dyDescent="0.3">
      <c r="A329" s="220"/>
      <c r="B329" s="221"/>
      <c r="C329" s="1122" t="s">
        <v>18</v>
      </c>
      <c r="D329" s="931" t="s">
        <v>38</v>
      </c>
      <c r="E329" s="223"/>
      <c r="F329" s="223"/>
      <c r="G329" s="224"/>
      <c r="H329" s="225"/>
      <c r="I329" s="217"/>
      <c r="J329" s="69"/>
      <c r="K329" s="70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20"/>
      <c r="B330" s="221"/>
      <c r="C330" s="221"/>
      <c r="D330" s="228" t="s">
        <v>134</v>
      </c>
      <c r="E330" s="229"/>
      <c r="F330" s="229"/>
      <c r="G330" s="225"/>
      <c r="H330" s="68" t="s">
        <v>133</v>
      </c>
      <c r="I330" s="237">
        <f ca="1">IFERROR(__xludf.DUMMYFUNCTION("IMPORTRANGE(""https://docs.google.com/spreadsheets/d/1eHaY18a8A9IcSdp1K8H6x8fbOy06t2VsZHhMHf-1x7Y/edit?usp=sharing"",""แผน!EJ53"")"),1)</f>
        <v>1</v>
      </c>
      <c r="J330" s="794">
        <v>1</v>
      </c>
      <c r="K330" s="86">
        <f ca="1">IF(I330&gt;0,J330*100/I330,0)</f>
        <v>100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493" t="s">
        <v>135</v>
      </c>
      <c r="B331" s="494"/>
      <c r="C331" s="494"/>
      <c r="D331" s="495"/>
      <c r="E331" s="494"/>
      <c r="F331" s="494"/>
      <c r="G331" s="494"/>
      <c r="H331" s="495"/>
      <c r="I331" s="497"/>
      <c r="J331" s="497"/>
      <c r="K331" s="498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501"/>
      <c r="B332" s="502" t="s">
        <v>136</v>
      </c>
      <c r="C332" s="513"/>
      <c r="D332" s="503"/>
      <c r="E332" s="503"/>
      <c r="F332" s="503"/>
      <c r="G332" s="504"/>
      <c r="H332" s="505" t="s">
        <v>35</v>
      </c>
      <c r="I332" s="514">
        <f ca="1">I344</f>
        <v>1060</v>
      </c>
      <c r="J332" s="515">
        <f ca="1">J344+J347+J348+J349+J353+J354</f>
        <v>7391</v>
      </c>
      <c r="K332" s="516">
        <f ca="1">IF(I332&gt;0,J332*100/I332,0)</f>
        <v>697.2641509433962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07"/>
      <c r="B333" s="65"/>
      <c r="C333" s="1122" t="s">
        <v>18</v>
      </c>
      <c r="D333" s="941" t="s">
        <v>19</v>
      </c>
      <c r="E333" s="65"/>
      <c r="F333" s="65"/>
      <c r="G333" s="67"/>
      <c r="H333" s="210" t="s">
        <v>14</v>
      </c>
      <c r="I333" s="69"/>
      <c r="J333" s="69"/>
      <c r="K333" s="70"/>
      <c r="L333" s="212">
        <f ca="1">L334+L335</f>
        <v>183000</v>
      </c>
      <c r="M333" s="213">
        <f ca="1">M334+M335</f>
        <v>183000</v>
      </c>
      <c r="N333" s="213">
        <f ca="1">N334+N335</f>
        <v>131219</v>
      </c>
      <c r="O333" s="213">
        <f t="shared" ref="O333:O341" ca="1" si="87">IF(L333&gt;0,N333*100/L333,0)</f>
        <v>71.704371584699459</v>
      </c>
      <c r="P333" s="213">
        <f t="shared" ref="P333:P341" ca="1" si="88">IF(M333&gt;0,N333*100/M333,0)</f>
        <v>71.704371584699459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936"/>
      <c r="B334" s="935"/>
      <c r="C334" s="935"/>
      <c r="D334" s="935"/>
      <c r="E334" s="263" t="s">
        <v>20</v>
      </c>
      <c r="F334" s="935"/>
      <c r="G334" s="934"/>
      <c r="H334" s="264" t="s">
        <v>14</v>
      </c>
      <c r="I334" s="939"/>
      <c r="J334" s="939"/>
      <c r="K334" s="938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07"/>
      <c r="B335" s="65"/>
      <c r="C335" s="65"/>
      <c r="D335" s="65"/>
      <c r="E335" s="73" t="s">
        <v>21</v>
      </c>
      <c r="F335" s="65"/>
      <c r="G335" s="67"/>
      <c r="H335" s="214" t="s">
        <v>14</v>
      </c>
      <c r="I335" s="69"/>
      <c r="J335" s="69"/>
      <c r="K335" s="70"/>
      <c r="L335" s="129">
        <f t="shared" ca="1" si="91"/>
        <v>183000</v>
      </c>
      <c r="M335" s="130">
        <f t="shared" ca="1" si="91"/>
        <v>183000</v>
      </c>
      <c r="N335" s="130">
        <f t="shared" ca="1" si="91"/>
        <v>131219</v>
      </c>
      <c r="O335" s="130">
        <f t="shared" ca="1" si="87"/>
        <v>71.704371584699459</v>
      </c>
      <c r="P335" s="130">
        <f t="shared" ca="1" si="88"/>
        <v>71.704371584699459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07"/>
      <c r="B336" s="65"/>
      <c r="C336" s="65"/>
      <c r="D336" s="937" t="s">
        <v>22</v>
      </c>
      <c r="E336" s="65"/>
      <c r="F336" s="65"/>
      <c r="G336" s="67"/>
      <c r="H336" s="216" t="s">
        <v>14</v>
      </c>
      <c r="I336" s="217"/>
      <c r="J336" s="217"/>
      <c r="K336" s="218"/>
      <c r="L336" s="129">
        <f ca="1">L337+L338</f>
        <v>183000</v>
      </c>
      <c r="M336" s="130">
        <f ca="1">M337+M338</f>
        <v>183000</v>
      </c>
      <c r="N336" s="130">
        <f ca="1">N337+N338</f>
        <v>131219</v>
      </c>
      <c r="O336" s="130">
        <f t="shared" ca="1" si="87"/>
        <v>71.704371584699459</v>
      </c>
      <c r="P336" s="130">
        <f t="shared" ca="1" si="88"/>
        <v>71.704371584699459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936"/>
      <c r="B337" s="935"/>
      <c r="C337" s="935"/>
      <c r="D337" s="935"/>
      <c r="E337" s="263" t="s">
        <v>36</v>
      </c>
      <c r="F337" s="935"/>
      <c r="G337" s="934"/>
      <c r="H337" s="271" t="s">
        <v>14</v>
      </c>
      <c r="I337" s="933"/>
      <c r="J337" s="933"/>
      <c r="K337" s="932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07"/>
      <c r="B338" s="65"/>
      <c r="C338" s="65"/>
      <c r="D338" s="65"/>
      <c r="E338" s="73" t="s">
        <v>37</v>
      </c>
      <c r="F338" s="65"/>
      <c r="G338" s="67"/>
      <c r="H338" s="216" t="s">
        <v>14</v>
      </c>
      <c r="I338" s="217"/>
      <c r="J338" s="217"/>
      <c r="K338" s="218"/>
      <c r="L338" s="129">
        <f ca="1">IFERROR(__xludf.DUMMYFUNCTION("IMPORTRANGE(""https://docs.google.com/spreadsheets/d/1-uDff_7J0KD5mKrp0Vvzr7lt3OU09vwQwhkpOPPYv2Y/edit?usp=sharing"",""งบพรบ!ES53"")"),183000)</f>
        <v>183000</v>
      </c>
      <c r="M338" s="130">
        <f ca="1">IFERROR(__xludf.DUMMYFUNCTION("IMPORTRANGE(""https://docs.google.com/spreadsheets/d/1-uDff_7J0KD5mKrp0Vvzr7lt3OU09vwQwhkpOPPYv2Y/edit?usp=sharing"",""งบพรบ!EX53"")"),183000)</f>
        <v>183000</v>
      </c>
      <c r="N338" s="130">
        <f ca="1">IFERROR(__xludf.DUMMYFUNCTION("IMPORTRANGE(""https://docs.google.com/spreadsheets/d/1-uDff_7J0KD5mKrp0Vvzr7lt3OU09vwQwhkpOPPYv2Y/edit?usp=sharing"",""งบพรบ!EZ53"")"),131219)</f>
        <v>131219</v>
      </c>
      <c r="O338" s="130">
        <f t="shared" ca="1" si="87"/>
        <v>71.704371584699459</v>
      </c>
      <c r="P338" s="130">
        <f t="shared" ca="1" si="88"/>
        <v>71.704371584699459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07"/>
      <c r="B339" s="65"/>
      <c r="C339" s="65"/>
      <c r="D339" s="937" t="s">
        <v>23</v>
      </c>
      <c r="E339" s="65"/>
      <c r="F339" s="65"/>
      <c r="G339" s="67"/>
      <c r="H339" s="219" t="s">
        <v>14</v>
      </c>
      <c r="I339" s="217"/>
      <c r="J339" s="217"/>
      <c r="K339" s="218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936"/>
      <c r="B340" s="935"/>
      <c r="C340" s="935"/>
      <c r="D340" s="935"/>
      <c r="E340" s="263" t="s">
        <v>20</v>
      </c>
      <c r="F340" s="935"/>
      <c r="G340" s="934"/>
      <c r="H340" s="271" t="s">
        <v>14</v>
      </c>
      <c r="I340" s="933"/>
      <c r="J340" s="933"/>
      <c r="K340" s="932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07"/>
      <c r="B341" s="65"/>
      <c r="C341" s="65"/>
      <c r="D341" s="65"/>
      <c r="E341" s="73" t="s">
        <v>21</v>
      </c>
      <c r="F341" s="65"/>
      <c r="G341" s="67"/>
      <c r="H341" s="219" t="s">
        <v>14</v>
      </c>
      <c r="I341" s="217"/>
      <c r="J341" s="217"/>
      <c r="K341" s="218"/>
      <c r="L341" s="129">
        <f ca="1">IFERROR(__xludf.DUMMYFUNCTION("IMPORTRANGE(""https://docs.google.com/spreadsheets/d/1-uDff_7J0KD5mKrp0Vvzr7lt3OU09vwQwhkpOPPYv2Y/edit?usp=sharing"",""งบพรบ!EV53"")"),0)</f>
        <v>0</v>
      </c>
      <c r="M341" s="130">
        <f ca="1">IFERROR(__xludf.DUMMYFUNCTION("IMPORTRANGE(""https://docs.google.com/spreadsheets/d/1-uDff_7J0KD5mKrp0Vvzr7lt3OU09vwQwhkpOPPYv2Y/edit?usp=sharing"",""งบพรบ!EY53"")"),0)</f>
        <v>0</v>
      </c>
      <c r="N341" s="130">
        <f ca="1">IFERROR(__xludf.DUMMYFUNCTION("IMPORTRANGE(""https://docs.google.com/spreadsheets/d/1-uDff_7J0KD5mKrp0Vvzr7lt3OU09vwQwhkpOPPYv2Y/edit?usp=sharing"",""งบพรบ!FA53"")"),0)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20"/>
      <c r="B342" s="221"/>
      <c r="C342" s="1122" t="s">
        <v>18</v>
      </c>
      <c r="D342" s="356" t="s">
        <v>38</v>
      </c>
      <c r="E342" s="223"/>
      <c r="F342" s="223"/>
      <c r="G342" s="223"/>
      <c r="H342" s="517"/>
      <c r="I342" s="518"/>
      <c r="J342" s="518"/>
      <c r="K342" s="519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2215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IFERROR(__xludf.DUMMYFUNCTION("IMPORTRANGE(""https://docs.google.com/spreadsheets/d/1eHaY18a8A9IcSdp1K8H6x8fbOy06t2VsZHhMHf-1x7Y/edit?usp=sharing"",""แผน!EK53"")"),1060)</f>
        <v>1060</v>
      </c>
      <c r="J344" s="291">
        <f ca="1">IFERROR(__xludf.DUMMYFUNCTION("IMPORTRANGE(""https://docs.google.com/spreadsheets/d/1awYsYK3VOup2i3Pq_Yjnu8DRu_mYwSBnCR2QPthd0rU/edit?usp=sharing"",""ศูนย์ยกเว้นโฉนด!D53"")"),2137)</f>
        <v>2137</v>
      </c>
      <c r="K344" s="72">
        <f ca="1">IF(I344&gt;0,J344*100/I344,0)</f>
        <v>201.60377358490567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IFERROR(__xludf.DUMMYFUNCTION("IMPORTRANGE(""https://docs.google.com/spreadsheets/d/1eHaY18a8A9IcSdp1K8H6x8fbOy06t2VsZHhMHf-1x7Y/edit?usp=sharing"",""แผน!EL53"")"),3)</f>
        <v>3</v>
      </c>
      <c r="J346" s="291">
        <f ca="1">IFERROR(__xludf.DUMMYFUNCTION("IMPORTRANGE(""https://docs.google.com/spreadsheets/d/1awYsYK3VOup2i3Pq_Yjnu8DRu_mYwSBnCR2QPthd0rU/edit?usp=sharing"",""ศูนย์รวม!E53"")"),0)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IFERROR(__xludf.DUMMYFUNCTION("IMPORTRANGE(""https://docs.google.com/spreadsheets/d/1awYsYK3VOup2i3Pq_Yjnu8DRu_mYwSBnCR2QPthd0rU/edit?usp=sharing"",""ศูนย์ยกเว้นโฉนด!F53"")"),0)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IFERROR(__xludf.DUMMYFUNCTION("IMPORTRANGE(""https://docs.google.com/spreadsheets/d/1awYsYK3VOup2i3Pq_Yjnu8DRu_mYwSBnCR2QPthd0rU/edit?usp=sharing"",""ศูนย์ยกเว้นโฉนด!G53"")"),18)</f>
        <v>18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IFERROR(__xludf.DUMMYFUNCTION("IMPORTRANGE(""https://docs.google.com/spreadsheets/d/1awYsYK3VOup2i3Pq_Yjnu8DRu_mYwSBnCR2QPthd0rU/edit?usp=sharing"",""ศูนย์ยกเว้นโฉนด!H53"")"),60)</f>
        <v>60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5347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IFERROR(__xludf.DUMMYFUNCTION("IMPORTRANGE(""https://docs.google.com/spreadsheets/d/1awYsYK3VOup2i3Pq_Yjnu8DRu_mYwSBnCR2QPthd0rU/edit?usp=sharing"",""โฉนดM3!G53"")"),171)</f>
        <v>171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IFERROR(__xludf.DUMMYFUNCTION("IMPORTRANGE(""https://docs.google.com/spreadsheets/d/1awYsYK3VOup2i3Pq_Yjnu8DRu_mYwSBnCR2QPthd0rU/edit?usp=sharing"",""โฉนดM3!H53"")"),4760)</f>
        <v>4760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IFERROR(__xludf.DUMMYFUNCTION("IMPORTRANGE(""https://docs.google.com/spreadsheets/d/1awYsYK3VOup2i3Pq_Yjnu8DRu_mYwSBnCR2QPthd0rU/edit?usp=sharing"",""โฉนดM3!I53"")"),416)</f>
        <v>416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501"/>
      <c r="B355" s="502" t="s">
        <v>149</v>
      </c>
      <c r="C355" s="513"/>
      <c r="D355" s="503"/>
      <c r="E355" s="503"/>
      <c r="F355" s="503"/>
      <c r="G355" s="504"/>
      <c r="H355" s="504"/>
      <c r="I355" s="542"/>
      <c r="J355" s="542"/>
      <c r="K355" s="508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07"/>
      <c r="B356" s="65"/>
      <c r="C356" s="1122" t="s">
        <v>18</v>
      </c>
      <c r="D356" s="941" t="s">
        <v>19</v>
      </c>
      <c r="E356" s="65"/>
      <c r="F356" s="65"/>
      <c r="G356" s="67"/>
      <c r="H356" s="210" t="s">
        <v>14</v>
      </c>
      <c r="I356" s="69"/>
      <c r="J356" s="69"/>
      <c r="K356" s="70"/>
      <c r="L356" s="212">
        <f ca="1">L357+L358</f>
        <v>850040</v>
      </c>
      <c r="M356" s="213">
        <f ca="1">M357+M358</f>
        <v>931295</v>
      </c>
      <c r="N356" s="213">
        <f ca="1">N357+N358</f>
        <v>781501</v>
      </c>
      <c r="O356" s="213">
        <f t="shared" ref="O356:O364" ca="1" si="93">IF(L356&gt;0,N356*100/L356,0)</f>
        <v>91.936967672109546</v>
      </c>
      <c r="P356" s="213">
        <f t="shared" ref="P356:P364" ca="1" si="94">IF(M356&gt;0,N356*100/M356,0)</f>
        <v>83.915515491868845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936"/>
      <c r="B357" s="935"/>
      <c r="C357" s="935"/>
      <c r="D357" s="935"/>
      <c r="E357" s="263" t="s">
        <v>20</v>
      </c>
      <c r="F357" s="935"/>
      <c r="G357" s="934"/>
      <c r="H357" s="264" t="s">
        <v>14</v>
      </c>
      <c r="I357" s="939"/>
      <c r="J357" s="939"/>
      <c r="K357" s="938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07"/>
      <c r="B358" s="65"/>
      <c r="C358" s="65"/>
      <c r="D358" s="65"/>
      <c r="E358" s="73" t="s">
        <v>21</v>
      </c>
      <c r="F358" s="65"/>
      <c r="G358" s="67"/>
      <c r="H358" s="214" t="s">
        <v>14</v>
      </c>
      <c r="I358" s="69"/>
      <c r="J358" s="69"/>
      <c r="K358" s="70"/>
      <c r="L358" s="129">
        <f t="shared" ca="1" si="97"/>
        <v>850040</v>
      </c>
      <c r="M358" s="130">
        <f t="shared" ca="1" si="97"/>
        <v>931295</v>
      </c>
      <c r="N358" s="130">
        <f t="shared" ca="1" si="97"/>
        <v>781501</v>
      </c>
      <c r="O358" s="130">
        <f t="shared" ca="1" si="93"/>
        <v>91.936967672109546</v>
      </c>
      <c r="P358" s="130">
        <f t="shared" ca="1" si="94"/>
        <v>83.915515491868845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07"/>
      <c r="B359" s="65"/>
      <c r="C359" s="65"/>
      <c r="D359" s="937" t="s">
        <v>22</v>
      </c>
      <c r="E359" s="65"/>
      <c r="F359" s="65"/>
      <c r="G359" s="67"/>
      <c r="H359" s="216" t="s">
        <v>14</v>
      </c>
      <c r="I359" s="217"/>
      <c r="J359" s="217"/>
      <c r="K359" s="218"/>
      <c r="L359" s="129">
        <f ca="1">L360+L361</f>
        <v>850040</v>
      </c>
      <c r="M359" s="130">
        <f ca="1">M360+M361</f>
        <v>931295</v>
      </c>
      <c r="N359" s="130">
        <f ca="1">N360+N361</f>
        <v>781501</v>
      </c>
      <c r="O359" s="130">
        <f t="shared" ca="1" si="93"/>
        <v>91.936967672109546</v>
      </c>
      <c r="P359" s="130">
        <f t="shared" ca="1" si="94"/>
        <v>83.915515491868845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936"/>
      <c r="B360" s="935"/>
      <c r="C360" s="935"/>
      <c r="D360" s="935"/>
      <c r="E360" s="263" t="s">
        <v>36</v>
      </c>
      <c r="F360" s="935"/>
      <c r="G360" s="934"/>
      <c r="H360" s="271" t="s">
        <v>14</v>
      </c>
      <c r="I360" s="933"/>
      <c r="J360" s="933"/>
      <c r="K360" s="932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07"/>
      <c r="B361" s="65"/>
      <c r="C361" s="65"/>
      <c r="D361" s="65"/>
      <c r="E361" s="73" t="s">
        <v>37</v>
      </c>
      <c r="F361" s="65"/>
      <c r="G361" s="67"/>
      <c r="H361" s="216" t="s">
        <v>14</v>
      </c>
      <c r="I361" s="217"/>
      <c r="J361" s="217"/>
      <c r="K361" s="218"/>
      <c r="L361" s="129">
        <f ca="1">IFERROR(__xludf.DUMMYFUNCTION("IMPORTRANGE(""https://docs.google.com/spreadsheets/d/1-uDff_7J0KD5mKrp0Vvzr7lt3OU09vwQwhkpOPPYv2Y/edit?usp=sharing"",""งบพรบ!FC53"")"),850040)</f>
        <v>850040</v>
      </c>
      <c r="M361" s="130">
        <f ca="1">IFERROR(__xludf.DUMMYFUNCTION("IMPORTRANGE(""https://docs.google.com/spreadsheets/d/1-uDff_7J0KD5mKrp0Vvzr7lt3OU09vwQwhkpOPPYv2Y/edit?usp=sharing"",""งบพรบ!FH53"")"),931295)</f>
        <v>931295</v>
      </c>
      <c r="N361" s="130">
        <f ca="1">IFERROR(__xludf.DUMMYFUNCTION("IMPORTRANGE(""https://docs.google.com/spreadsheets/d/1-uDff_7J0KD5mKrp0Vvzr7lt3OU09vwQwhkpOPPYv2Y/edit?usp=sharing"",""งบพรบ!FJ53"")"),781501)</f>
        <v>781501</v>
      </c>
      <c r="O361" s="130">
        <f t="shared" ca="1" si="93"/>
        <v>91.936967672109546</v>
      </c>
      <c r="P361" s="130">
        <f t="shared" ca="1" si="94"/>
        <v>83.915515491868845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07"/>
      <c r="B362" s="65"/>
      <c r="C362" s="65"/>
      <c r="D362" s="937" t="s">
        <v>23</v>
      </c>
      <c r="E362" s="65"/>
      <c r="F362" s="65"/>
      <c r="G362" s="67"/>
      <c r="H362" s="219" t="s">
        <v>14</v>
      </c>
      <c r="I362" s="217"/>
      <c r="J362" s="217"/>
      <c r="K362" s="218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936"/>
      <c r="B363" s="935"/>
      <c r="C363" s="935"/>
      <c r="D363" s="935"/>
      <c r="E363" s="263" t="s">
        <v>20</v>
      </c>
      <c r="F363" s="935"/>
      <c r="G363" s="934"/>
      <c r="H363" s="271" t="s">
        <v>14</v>
      </c>
      <c r="I363" s="933"/>
      <c r="J363" s="933"/>
      <c r="K363" s="932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07"/>
      <c r="B364" s="65"/>
      <c r="C364" s="65"/>
      <c r="D364" s="65"/>
      <c r="E364" s="73" t="s">
        <v>21</v>
      </c>
      <c r="F364" s="65"/>
      <c r="G364" s="67"/>
      <c r="H364" s="219" t="s">
        <v>14</v>
      </c>
      <c r="I364" s="217"/>
      <c r="J364" s="217"/>
      <c r="K364" s="218"/>
      <c r="L364" s="129">
        <f ca="1">IFERROR(__xludf.DUMMYFUNCTION("IMPORTRANGE(""https://docs.google.com/spreadsheets/d/1-uDff_7J0KD5mKrp0Vvzr7lt3OU09vwQwhkpOPPYv2Y/edit?usp=sharing"",""งบพรบ!FF53"")"),0)</f>
        <v>0</v>
      </c>
      <c r="M364" s="130">
        <f ca="1">IFERROR(__xludf.DUMMYFUNCTION("IMPORTRANGE(""https://docs.google.com/spreadsheets/d/1-uDff_7J0KD5mKrp0Vvzr7lt3OU09vwQwhkpOPPYv2Y/edit?usp=sharing"",""งบพรบ!FI53"")"),0)</f>
        <v>0</v>
      </c>
      <c r="N364" s="130">
        <f ca="1">IFERROR(__xludf.DUMMYFUNCTION("IMPORTRANGE(""https://docs.google.com/spreadsheets/d/1-uDff_7J0KD5mKrp0Vvzr7lt3OU09vwQwhkpOPPYv2Y/edit?usp=sharing"",""งบพรบ!FK53"")"),0)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368"/>
      <c r="B365" s="369"/>
      <c r="C365" s="371"/>
      <c r="D365" s="1169" t="s">
        <v>150</v>
      </c>
      <c r="E365" s="371"/>
      <c r="F365" s="371"/>
      <c r="G365" s="372"/>
      <c r="H365" s="382" t="s">
        <v>35</v>
      </c>
      <c r="I365" s="544">
        <f ca="1">I371</f>
        <v>270</v>
      </c>
      <c r="J365" s="544">
        <f ca="1">J371</f>
        <v>199</v>
      </c>
      <c r="K365" s="545">
        <f ca="1">IF(I365&gt;0,J365*100/I365,0)</f>
        <v>73.703703703703709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20"/>
      <c r="B366" s="221"/>
      <c r="C366" s="1122" t="s">
        <v>18</v>
      </c>
      <c r="D366" s="931" t="s">
        <v>38</v>
      </c>
      <c r="E366" s="223"/>
      <c r="F366" s="223"/>
      <c r="G366" s="224"/>
      <c r="H366" s="225"/>
      <c r="I366" s="69"/>
      <c r="J366" s="69"/>
      <c r="K366" s="70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20"/>
      <c r="B367" s="229"/>
      <c r="C367" s="221"/>
      <c r="D367" s="229"/>
      <c r="E367" s="228" t="s">
        <v>151</v>
      </c>
      <c r="F367" s="229"/>
      <c r="G367" s="225"/>
      <c r="H367" s="240" t="s">
        <v>35</v>
      </c>
      <c r="I367" s="237">
        <v>0</v>
      </c>
      <c r="J367" s="237">
        <f ca="1">IFERROR(__xludf.DUMMYFUNCTION("IMPORTRANGE(""https://docs.google.com/spreadsheets/d/1tdoBKaGub7dwA3U6UFTqxio9LNnvDCQjHKmttSEBsFQ/edit?usp=sharing"",""จัดที่ดิน!AB53"")"),74)</f>
        <v>74</v>
      </c>
      <c r="K367" s="86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20"/>
      <c r="B368" s="229"/>
      <c r="C368" s="221"/>
      <c r="D368" s="229"/>
      <c r="E368" s="229"/>
      <c r="F368" s="229"/>
      <c r="G368" s="225"/>
      <c r="H368" s="240" t="s">
        <v>46</v>
      </c>
      <c r="I368" s="237">
        <f ca="1">IFERROR(__xludf.DUMMYFUNCTION("IMPORTRANGE(""https://docs.google.com/spreadsheets/d/1eHaY18a8A9IcSdp1K8H6x8fbOy06t2VsZHhMHf-1x7Y/edit?usp=sharing"",""แผน!EW53"")"),1100)</f>
        <v>1100</v>
      </c>
      <c r="J368" s="1168">
        <f ca="1">IFERROR(__xludf.DUMMYFUNCTION("IMPORTRANGE(""https://docs.google.com/spreadsheets/d/1tdoBKaGub7dwA3U6UFTqxio9LNnvDCQjHKmttSEBsFQ/edit?usp=sharing"",""จัดที่ดิน!AC53"")"),721.19)</f>
        <v>721.19</v>
      </c>
      <c r="K368" s="86">
        <f t="shared" ca="1" si="99"/>
        <v>65.562727272727273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20"/>
      <c r="B369" s="229"/>
      <c r="C369" s="221"/>
      <c r="D369" s="229"/>
      <c r="E369" s="228" t="s">
        <v>152</v>
      </c>
      <c r="F369" s="229"/>
      <c r="G369" s="225"/>
      <c r="H369" s="235" t="s">
        <v>35</v>
      </c>
      <c r="I369" s="237">
        <f ca="1">IFERROR(__xludf.DUMMYFUNCTION("IMPORTRANGE(""https://docs.google.com/spreadsheets/d/1eHaY18a8A9IcSdp1K8H6x8fbOy06t2VsZHhMHf-1x7Y/edit?usp=sharing"",""แผน!EX53"")"),270)</f>
        <v>270</v>
      </c>
      <c r="J369" s="237">
        <f ca="1">IFERROR(__xludf.DUMMYFUNCTION("IMPORTRANGE(""https://docs.google.com/spreadsheets/d/1tdoBKaGub7dwA3U6UFTqxio9LNnvDCQjHKmttSEBsFQ/edit?usp=sharing"",""จัดที่ดิน!AD53"")"),201)</f>
        <v>201</v>
      </c>
      <c r="K369" s="86">
        <f t="shared" ca="1" si="99"/>
        <v>74.444444444444443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20"/>
      <c r="B370" s="229"/>
      <c r="C370" s="221"/>
      <c r="D370" s="229"/>
      <c r="E370" s="229"/>
      <c r="F370" s="229"/>
      <c r="G370" s="225"/>
      <c r="H370" s="235" t="s">
        <v>46</v>
      </c>
      <c r="I370" s="237">
        <v>0</v>
      </c>
      <c r="J370" s="1168">
        <f ca="1">IFERROR(__xludf.DUMMYFUNCTION("IMPORTRANGE(""https://docs.google.com/spreadsheets/d/1tdoBKaGub7dwA3U6UFTqxio9LNnvDCQjHKmttSEBsFQ/edit?usp=sharing"",""จัดที่ดิน!AE53"")"),3760.04999999999)</f>
        <v>3760.0499999999902</v>
      </c>
      <c r="K370" s="86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20"/>
      <c r="B371" s="229"/>
      <c r="C371" s="221"/>
      <c r="D371" s="229"/>
      <c r="E371" s="228" t="s">
        <v>153</v>
      </c>
      <c r="F371" s="229"/>
      <c r="G371" s="225"/>
      <c r="H371" s="235" t="s">
        <v>35</v>
      </c>
      <c r="I371" s="237">
        <f ca="1">IFERROR(__xludf.DUMMYFUNCTION("IMPORTRANGE(""https://docs.google.com/spreadsheets/d/1eHaY18a8A9IcSdp1K8H6x8fbOy06t2VsZHhMHf-1x7Y/edit?usp=sharing"",""แผน!EY53"")"),270)</f>
        <v>270</v>
      </c>
      <c r="J371" s="237">
        <f ca="1">IFERROR(__xludf.DUMMYFUNCTION("IMPORTRANGE(""https://docs.google.com/spreadsheets/d/1tdoBKaGub7dwA3U6UFTqxio9LNnvDCQjHKmttSEBsFQ/edit?usp=sharing"",""จัดที่ดิน!AF53"")"),199)</f>
        <v>199</v>
      </c>
      <c r="K371" s="86">
        <f t="shared" ca="1" si="99"/>
        <v>73.703703703703709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546"/>
      <c r="B372" s="436"/>
      <c r="C372" s="434"/>
      <c r="D372" s="436"/>
      <c r="E372" s="436"/>
      <c r="F372" s="436"/>
      <c r="G372" s="437"/>
      <c r="H372" s="547" t="s">
        <v>46</v>
      </c>
      <c r="I372" s="337">
        <v>0</v>
      </c>
      <c r="J372" s="1167">
        <f ca="1">IFERROR(__xludf.DUMMYFUNCTION("IMPORTRANGE(""https://docs.google.com/spreadsheets/d/1tdoBKaGub7dwA3U6UFTqxio9LNnvDCQjHKmttSEBsFQ/edit?usp=sharing"",""จัดที่ดิน!AG53"")"),3825.87)</f>
        <v>3825.87</v>
      </c>
      <c r="K372" s="179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9.5" x14ac:dyDescent="0.3">
      <c r="A373" s="1166"/>
      <c r="B373" s="549"/>
      <c r="C373" s="550"/>
      <c r="D373" s="551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552"/>
      <c r="F373" s="552"/>
      <c r="G373" s="552"/>
      <c r="H373" s="553"/>
      <c r="I373" s="554"/>
      <c r="J373" s="554"/>
      <c r="K373" s="555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328</v>
      </c>
      <c r="C374" s="558"/>
      <c r="D374" s="559"/>
      <c r="E374" s="560"/>
      <c r="F374" s="560"/>
      <c r="G374" s="561"/>
      <c r="H374" s="562" t="s">
        <v>46</v>
      </c>
      <c r="I374" s="1165">
        <f>I385</f>
        <v>0</v>
      </c>
      <c r="J374" s="1165">
        <f>J385</f>
        <v>0</v>
      </c>
      <c r="K374" s="564">
        <f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t="shared" ref="O375:O383" ca="1" si="100">IF(L375&gt;0,N375*100/L375,0)</f>
        <v>0</v>
      </c>
      <c r="P375" s="213">
        <f t="shared" ref="P375:P383" ca="1" si="101">IF(M375&gt;0,N375*100/M375,0)</f>
        <v>0</v>
      </c>
      <c r="Q375" s="213">
        <f ca="1">Q376+Q377</f>
        <v>0</v>
      </c>
      <c r="R375" s="213">
        <f ca="1">R376+R377</f>
        <v>0</v>
      </c>
      <c r="S375" s="213">
        <f ca="1">S376+S377</f>
        <v>0</v>
      </c>
      <c r="T375" s="213">
        <f t="shared" ref="T375:T383" ca="1" si="102">IF(Q375&gt;0,S375*100/Q375,0)</f>
        <v>0</v>
      </c>
      <c r="U375" s="213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0</v>
      </c>
      <c r="M377" s="130">
        <f t="shared" ca="1" si="104"/>
        <v>0</v>
      </c>
      <c r="N377" s="130">
        <f t="shared" ca="1" si="104"/>
        <v>0</v>
      </c>
      <c r="O377" s="130">
        <f t="shared" ca="1" si="100"/>
        <v>0</v>
      </c>
      <c r="P377" s="130">
        <f t="shared" ca="1" si="101"/>
        <v>0</v>
      </c>
      <c r="Q377" s="130">
        <f t="shared" ca="1" si="105"/>
        <v>0</v>
      </c>
      <c r="R377" s="130">
        <f t="shared" ca="1" si="105"/>
        <v>0</v>
      </c>
      <c r="S377" s="130">
        <f t="shared" ca="1" si="105"/>
        <v>0</v>
      </c>
      <c r="T377" s="130">
        <f t="shared" ca="1" si="102"/>
        <v>0</v>
      </c>
      <c r="U377" s="130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t="shared" ca="1" si="100"/>
        <v>0</v>
      </c>
      <c r="P378" s="130">
        <f t="shared" ca="1" si="101"/>
        <v>0</v>
      </c>
      <c r="Q378" s="130">
        <f ca="1">Q379+Q380</f>
        <v>0</v>
      </c>
      <c r="R378" s="130">
        <f ca="1">R379+R380</f>
        <v>0</v>
      </c>
      <c r="S378" s="130">
        <f ca="1">S379+S380</f>
        <v>0</v>
      </c>
      <c r="T378" s="130">
        <f t="shared" ca="1" si="102"/>
        <v>0</v>
      </c>
      <c r="U378" s="130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IFERROR(__xludf.DUMMYFUNCTION("IMPORTRANGE(""https://docs.google.com/spreadsheets/d/1-uDff_7J0KD5mKrp0Vvzr7lt3OU09vwQwhkpOPPYv2Y/edit?usp=sharing"",""งบพรบ!IE53"")"),0)</f>
        <v>0</v>
      </c>
      <c r="M380" s="72">
        <f ca="1">IFERROR(__xludf.DUMMYFUNCTION("IMPORTRANGE(""https://docs.google.com/spreadsheets/d/1-uDff_7J0KD5mKrp0Vvzr7lt3OU09vwQwhkpOPPYv2Y/edit?usp=sharing"",""งบพรบ!IJ53"")"),0)</f>
        <v>0</v>
      </c>
      <c r="N380" s="72">
        <f ca="1">IFERROR(__xludf.DUMMYFUNCTION("IMPORTRANGE(""https://docs.google.com/spreadsheets/d/1-uDff_7J0KD5mKrp0Vvzr7lt3OU09vwQwhkpOPPYv2Y/edit?usp=sharing"",""งบพรบ!IL53"")"),0)</f>
        <v>0</v>
      </c>
      <c r="O380" s="130">
        <f t="shared" ca="1" si="100"/>
        <v>0</v>
      </c>
      <c r="P380" s="130">
        <f t="shared" ca="1" si="101"/>
        <v>0</v>
      </c>
      <c r="Q380" s="130">
        <f ca="1">IFERROR(__xludf.DUMMYFUNCTION("IMPORTRANGE(""https://docs.google.com/spreadsheets/d/1ItG2mGa2ceCfYo0BwxsXqNm01IGEUdYcSSLTEv9YCik/edit?usp=sharing"",""เบิกจ่ายกองทุน!BW53"")"),0)</f>
        <v>0</v>
      </c>
      <c r="R380" s="130">
        <f ca="1">IFERROR(__xludf.DUMMYFUNCTION("IMPORTRANGE(""https://docs.google.com/spreadsheets/d/1ItG2mGa2ceCfYo0BwxsXqNm01IGEUdYcSSLTEv9YCik/edit?usp=sharing"",""เบิกจ่ายกองทุน!BX53"")"),0)</f>
        <v>0</v>
      </c>
      <c r="S380" s="130">
        <f ca="1">IFERROR(__xludf.DUMMYFUNCTION("IMPORTRANGE(""https://docs.google.com/spreadsheets/d/1ItG2mGa2ceCfYo0BwxsXqNm01IGEUdYcSSLTEv9YCik/edit?usp=sharing"",""เบิกจ่ายกองทุน!BY53"")"),0)</f>
        <v>0</v>
      </c>
      <c r="T380" s="130">
        <f t="shared" ca="1" si="102"/>
        <v>0</v>
      </c>
      <c r="U380" s="130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IFERROR(__xludf.DUMMYFUNCTION("IMPORTRANGE(""https://docs.google.com/spreadsheets/d/1-uDff_7J0KD5mKrp0Vvzr7lt3OU09vwQwhkpOPPYv2Y/edit?usp=sharing"",""งบพรบ!IH53"")"),0)</f>
        <v>0</v>
      </c>
      <c r="M383" s="72">
        <f ca="1">IFERROR(__xludf.DUMMYFUNCTION("IMPORTRANGE(""https://docs.google.com/spreadsheets/d/1-uDff_7J0KD5mKrp0Vvzr7lt3OU09vwQwhkpOPPYv2Y/edit?usp=sharing"",""งบพรบ!IK53"")"),0)</f>
        <v>0</v>
      </c>
      <c r="N383" s="72">
        <f ca="1">IFERROR(__xludf.DUMMYFUNCTION("IMPORTRANGE(""https://docs.google.com/spreadsheets/d/1-uDff_7J0KD5mKrp0Vvzr7lt3OU09vwQwhkpOPPYv2Y/edit?usp=sharing"",""งบพรบ!IM53"")"),0)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2.75" hidden="1" x14ac:dyDescent="0.2">
      <c r="A385" s="590"/>
      <c r="B385" s="571"/>
      <c r="C385" s="571"/>
      <c r="D385" s="571"/>
      <c r="E385" s="591"/>
      <c r="F385" s="591"/>
      <c r="G385" s="592"/>
      <c r="H385" s="572"/>
      <c r="I385" s="573">
        <v>0</v>
      </c>
      <c r="J385" s="573">
        <v>0</v>
      </c>
      <c r="K385" s="574"/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2.75" hidden="1" x14ac:dyDescent="0.2">
      <c r="A386" s="590"/>
      <c r="B386" s="571"/>
      <c r="C386" s="571"/>
      <c r="D386" s="571"/>
      <c r="E386" s="571"/>
      <c r="F386" s="571"/>
      <c r="G386" s="572"/>
      <c r="H386" s="572"/>
      <c r="I386" s="573">
        <v>0</v>
      </c>
      <c r="J386" s="573">
        <v>0</v>
      </c>
      <c r="K386" s="574"/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2.75" hidden="1" x14ac:dyDescent="0.2">
      <c r="A387" s="590"/>
      <c r="B387" s="571"/>
      <c r="C387" s="571"/>
      <c r="D387" s="571"/>
      <c r="E387" s="571"/>
      <c r="F387" s="571"/>
      <c r="G387" s="572"/>
      <c r="H387" s="572"/>
      <c r="I387" s="573">
        <v>0</v>
      </c>
      <c r="J387" s="573">
        <v>0</v>
      </c>
      <c r="K387" s="574"/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2.75" hidden="1" x14ac:dyDescent="0.2">
      <c r="A388" s="590"/>
      <c r="B388" s="571"/>
      <c r="C388" s="571"/>
      <c r="D388" s="571"/>
      <c r="E388" s="571"/>
      <c r="F388" s="571"/>
      <c r="G388" s="572"/>
      <c r="H388" s="572"/>
      <c r="I388" s="573">
        <v>0</v>
      </c>
      <c r="J388" s="573">
        <v>0</v>
      </c>
      <c r="K388" s="574"/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>
        <v>0</v>
      </c>
      <c r="J389" s="573">
        <v>0</v>
      </c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>
        <v>0</v>
      </c>
      <c r="J390" s="578">
        <v>0</v>
      </c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327</v>
      </c>
      <c r="C391" s="583"/>
      <c r="D391" s="584"/>
      <c r="E391" s="585"/>
      <c r="F391" s="585"/>
      <c r="G391" s="586"/>
      <c r="H391" s="587" t="s">
        <v>61</v>
      </c>
      <c r="I391" s="588">
        <f>I402</f>
        <v>0</v>
      </c>
      <c r="J391" s="588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IFERROR(__xludf.DUMMYFUNCTION("IMPORTRANGE(""https://docs.google.com/spreadsheets/d/1ItG2mGa2ceCfYo0BwxsXqNm01IGEUdYcSSLTEv9YCik/edit?usp=sharing"",""เบิกจ่ายกองทุน!CN53"")"),0)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326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50467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1122" t="s">
        <v>18</v>
      </c>
      <c r="D413" s="1440" t="s">
        <v>19</v>
      </c>
      <c r="E413" s="1401"/>
      <c r="F413" s="1401"/>
      <c r="G413" s="1402"/>
      <c r="H413" s="597" t="s">
        <v>14</v>
      </c>
      <c r="I413" s="261"/>
      <c r="J413" s="261"/>
      <c r="K413" s="85"/>
      <c r="L413" s="212">
        <f ca="1">L414+L415</f>
        <v>494640</v>
      </c>
      <c r="M413" s="213">
        <f ca="1">M414+M415</f>
        <v>494640</v>
      </c>
      <c r="N413" s="213">
        <f ca="1">N414+N415</f>
        <v>108568</v>
      </c>
      <c r="O413" s="213">
        <f t="shared" ref="O413:O421" ca="1" si="112">IF(L413&gt;0,N413*100/L413,0)</f>
        <v>21.948892123564612</v>
      </c>
      <c r="P413" s="213">
        <f t="shared" ref="P413:P421" ca="1" si="113">IF(M413&gt;0,N413*100/M413,0)</f>
        <v>21.948892123564612</v>
      </c>
      <c r="Q413" s="213">
        <f ca="1">Q414+Q415</f>
        <v>33850</v>
      </c>
      <c r="R413" s="213">
        <f ca="1">R414+R415</f>
        <v>33850</v>
      </c>
      <c r="S413" s="213">
        <f ca="1">S414+S415</f>
        <v>0</v>
      </c>
      <c r="T413" s="213">
        <f t="shared" ref="T413:T421" ca="1" si="114">IF(Q413&gt;0,S413*100/Q413,0)</f>
        <v>0</v>
      </c>
      <c r="U413" s="213">
        <f t="shared" ref="U413:U421" ca="1" si="115">IF(R413&gt;0,S413*100/R413,0)</f>
        <v>0</v>
      </c>
    </row>
    <row r="414" spans="1:21" ht="18.75" hidden="1" x14ac:dyDescent="0.25">
      <c r="A414" s="936"/>
      <c r="B414" s="1082"/>
      <c r="C414" s="1082"/>
      <c r="D414" s="1082"/>
      <c r="E414" s="569" t="s">
        <v>159</v>
      </c>
      <c r="F414" s="1082"/>
      <c r="G414" s="1164"/>
      <c r="H414" s="303" t="s">
        <v>14</v>
      </c>
      <c r="I414" s="939"/>
      <c r="J414" s="939"/>
      <c r="K414" s="938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494640</v>
      </c>
      <c r="M415" s="130">
        <f t="shared" ca="1" si="116"/>
        <v>494640</v>
      </c>
      <c r="N415" s="130">
        <f t="shared" ca="1" si="116"/>
        <v>108568</v>
      </c>
      <c r="O415" s="130">
        <f t="shared" ca="1" si="112"/>
        <v>21.948892123564612</v>
      </c>
      <c r="P415" s="130">
        <f t="shared" ca="1" si="113"/>
        <v>21.948892123564612</v>
      </c>
      <c r="Q415" s="130">
        <f t="shared" ca="1" si="117"/>
        <v>33850</v>
      </c>
      <c r="R415" s="130">
        <f t="shared" ca="1" si="117"/>
        <v>33850</v>
      </c>
      <c r="S415" s="130">
        <f t="shared" ca="1" si="117"/>
        <v>0</v>
      </c>
      <c r="T415" s="130">
        <f t="shared" ca="1" si="114"/>
        <v>0</v>
      </c>
      <c r="U415" s="130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129">
        <f ca="1">L417+L418</f>
        <v>494640</v>
      </c>
      <c r="M416" s="130">
        <f ca="1">M417+M418</f>
        <v>494640</v>
      </c>
      <c r="N416" s="130">
        <f ca="1">N417+N418</f>
        <v>108568</v>
      </c>
      <c r="O416" s="130">
        <f t="shared" ca="1" si="112"/>
        <v>21.948892123564612</v>
      </c>
      <c r="P416" s="130">
        <f t="shared" ca="1" si="113"/>
        <v>21.948892123564612</v>
      </c>
      <c r="Q416" s="130">
        <f ca="1">Q417+Q418</f>
        <v>33850</v>
      </c>
      <c r="R416" s="130">
        <f ca="1">R417+R418</f>
        <v>33850</v>
      </c>
      <c r="S416" s="130">
        <f ca="1">S417+S418</f>
        <v>0</v>
      </c>
      <c r="T416" s="130">
        <f t="shared" ca="1" si="114"/>
        <v>0</v>
      </c>
      <c r="U416" s="130">
        <f t="shared" ca="1" si="115"/>
        <v>0</v>
      </c>
    </row>
    <row r="417" spans="1:21" ht="18.75" hidden="1" x14ac:dyDescent="0.25">
      <c r="A417" s="936"/>
      <c r="B417" s="1082"/>
      <c r="C417" s="1082"/>
      <c r="D417" s="1082"/>
      <c r="E417" s="569" t="s">
        <v>159</v>
      </c>
      <c r="F417" s="1082"/>
      <c r="G417" s="1164"/>
      <c r="H417" s="303" t="s">
        <v>14</v>
      </c>
      <c r="I417" s="939"/>
      <c r="J417" s="939"/>
      <c r="K417" s="938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IFERROR(__xludf.DUMMYFUNCTION("IMPORTRANGE(""https://docs.google.com/spreadsheets/d/1-uDff_7J0KD5mKrp0Vvzr7lt3OU09vwQwhkpOPPYv2Y/edit?usp=sharing"",""งบพรบ!IO53"")"),494640)</f>
        <v>494640</v>
      </c>
      <c r="M418" s="72">
        <f ca="1">IFERROR(__xludf.DUMMYFUNCTION("IMPORTRANGE(""https://docs.google.com/spreadsheets/d/1-uDff_7J0KD5mKrp0Vvzr7lt3OU09vwQwhkpOPPYv2Y/edit?usp=sharing"",""งบพรบ!IT53"")"),494640)</f>
        <v>494640</v>
      </c>
      <c r="N418" s="72">
        <f ca="1">IFERROR(__xludf.DUMMYFUNCTION("IMPORTRANGE(""https://docs.google.com/spreadsheets/d/1-uDff_7J0KD5mKrp0Vvzr7lt3OU09vwQwhkpOPPYv2Y/edit?usp=sharing"",""งบพรบ!IV53"")"),108568)</f>
        <v>108568</v>
      </c>
      <c r="O418" s="130">
        <f t="shared" ca="1" si="112"/>
        <v>21.948892123564612</v>
      </c>
      <c r="P418" s="130">
        <f t="shared" ca="1" si="113"/>
        <v>21.948892123564612</v>
      </c>
      <c r="Q418" s="130">
        <f ca="1">IFERROR(__xludf.DUMMYFUNCTION("IMPORTRANGE(""https://docs.google.com/spreadsheets/d/1ItG2mGa2ceCfYo0BwxsXqNm01IGEUdYcSSLTEv9YCik/edit?usp=sharing"",""เบิกจ่ายกองทุน!BZ53"")"),33850)</f>
        <v>33850</v>
      </c>
      <c r="R418" s="130">
        <f ca="1">IFERROR(__xludf.DUMMYFUNCTION("IMPORTRANGE(""https://docs.google.com/spreadsheets/d/1ItG2mGa2ceCfYo0BwxsXqNm01IGEUdYcSSLTEv9YCik/edit?usp=sharing"",""เบิกจ่ายกองทุน!CA53"")"),33850)</f>
        <v>33850</v>
      </c>
      <c r="S418" s="130">
        <f ca="1">IFERROR(__xludf.DUMMYFUNCTION("IMPORTRANGE(""https://docs.google.com/spreadsheets/d/1ItG2mGa2ceCfYo0BwxsXqNm01IGEUdYcSSLTEv9YCik/edit?usp=sharing"",""เบิกจ่ายกองทุน!CB53"")"),0)</f>
        <v>0</v>
      </c>
      <c r="T418" s="130">
        <f t="shared" ca="1" si="114"/>
        <v>0</v>
      </c>
      <c r="U418" s="130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936"/>
      <c r="B420" s="1082"/>
      <c r="C420" s="1082"/>
      <c r="D420" s="1082"/>
      <c r="E420" s="569" t="s">
        <v>20</v>
      </c>
      <c r="F420" s="1082"/>
      <c r="G420" s="1164"/>
      <c r="H420" s="303" t="s">
        <v>14</v>
      </c>
      <c r="I420" s="939"/>
      <c r="J420" s="939"/>
      <c r="K420" s="938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IFERROR(__xludf.DUMMYFUNCTION("IMPORTRANGE(""https://docs.google.com/spreadsheets/d/1-uDff_7J0KD5mKrp0Vvzr7lt3OU09vwQwhkpOPPYv2Y/edit?usp=sharing"",""งบพรบ!IR53"")"),0)</f>
        <v>0</v>
      </c>
      <c r="M421" s="72">
        <f ca="1">IFERROR(__xludf.DUMMYFUNCTION("IMPORTRANGE(""https://docs.google.com/spreadsheets/d/1-uDff_7J0KD5mKrp0Vvzr7lt3OU09vwQwhkpOPPYv2Y/edit?usp=sharing"",""งบพรบ!IU53"")"),0)</f>
        <v>0</v>
      </c>
      <c r="N421" s="72">
        <f ca="1">IFERROR(__xludf.DUMMYFUNCTION("IMPORTRANGE(""https://docs.google.com/spreadsheets/d/1-uDff_7J0KD5mKrp0Vvzr7lt3OU09vwQwhkpOPPYv2Y/edit?usp=sharing"",""งบพรบ!IW53"")"),0)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29"/>
      <c r="B422" s="267"/>
      <c r="C422" s="1122" t="s">
        <v>18</v>
      </c>
      <c r="D422" s="1163" t="s">
        <v>38</v>
      </c>
      <c r="E422" s="969"/>
      <c r="F422" s="969"/>
      <c r="G422" s="1162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50467</v>
      </c>
      <c r="J423" s="719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IFERROR(__xludf.DUMMYFUNCTION("IMPORTRANGE(""https://docs.google.com/spreadsheets/d/1eHaY18a8A9IcSdp1K8H6x8fbOy06t2VsZHhMHf-1x7Y/edit?usp=sharing"",""แผน!HJ53"")"),50467)</f>
        <v>50467</v>
      </c>
      <c r="J424" s="601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IFERROR(__xludf.DUMMYFUNCTION("IMPORTRANGE(""https://docs.google.com/spreadsheets/d/1eHaY18a8A9IcSdp1K8H6x8fbOy06t2VsZHhMHf-1x7Y/edit?usp=sharing"",""แผน!HK53"")"),3338)</f>
        <v>3338</v>
      </c>
      <c r="J425" s="601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1090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1090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1090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1090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1090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1090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IFERROR(__xludf.DUMMYFUNCTION("IMPORTRANGE(""https://docs.google.com/spreadsheets/d/1eHaY18a8A9IcSdp1K8H6x8fbOy06t2VsZHhMHf-1x7Y/edit?usp=sharing"",""แผน!HJ53"")"),50467)</f>
        <v>50467</v>
      </c>
      <c r="J432" s="601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IFERROR(__xludf.DUMMYFUNCTION("IMPORTRANGE(""https://docs.google.com/spreadsheets/d/1eHaY18a8A9IcSdp1K8H6x8fbOy06t2VsZHhMHf-1x7Y/edit?usp=sharing"",""แผน!HK53"")"),3338)</f>
        <v>3338</v>
      </c>
      <c r="J433" s="601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1090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1090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1090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1090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1090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1090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IFERROR(__xludf.DUMMYFUNCTION("IMPORTRANGE(""https://docs.google.com/spreadsheets/d/1eHaY18a8A9IcSdp1K8H6x8fbOy06t2VsZHhMHf-1x7Y/edit?usp=sharing"",""แผน!HJ53"")"),50467)</f>
        <v>50467</v>
      </c>
      <c r="J440" s="601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IFERROR(__xludf.DUMMYFUNCTION("IMPORTRANGE(""https://docs.google.com/spreadsheets/d/1eHaY18a8A9IcSdp1K8H6x8fbOy06t2VsZHhMHf-1x7Y/edit?usp=sharing"",""แผน!HK53"")"),3338)</f>
        <v>3338</v>
      </c>
      <c r="J441" s="601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1090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1090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1090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1090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601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601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1090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1090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1090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1090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1090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1090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1161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1090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2</v>
      </c>
      <c r="J456" s="719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IFERROR(__xludf.DUMMYFUNCTION("IMPORTRANGE(""https://docs.google.com/spreadsheets/d/1eHaY18a8A9IcSdp1K8H6x8fbOy06t2VsZHhMHf-1x7Y/edit?usp=sharing"",""แผน!HL53"")"),2)</f>
        <v>2</v>
      </c>
      <c r="J457" s="601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IFERROR(__xludf.DUMMYFUNCTION("IMPORTRANGE(""https://docs.google.com/spreadsheets/d/1eHaY18a8A9IcSdp1K8H6x8fbOy06t2VsZHhMHf-1x7Y/edit?usp=sharing"",""แผน!HM53"")"),0)</f>
        <v>0</v>
      </c>
      <c r="J458" s="601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291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291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1090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1090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1090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1090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1090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1090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291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291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1090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1090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1090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1090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1090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1090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719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67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67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602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602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602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602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291">
        <v>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291">
        <v>0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1160">
        <f ca="1">IFERROR(__xludf.DUMMYFUNCTION("IMPORTRANGE(""https://docs.google.com/spreadsheets/d/1eHaY18a8A9IcSdp1K8H6x8fbOy06t2VsZHhMHf-1x7Y/edit?usp=sharing"",""แผน!HO53"")"),2409)</f>
        <v>2409</v>
      </c>
      <c r="J484" s="867">
        <f>J486+J488+J490</f>
        <v>0</v>
      </c>
      <c r="K484" s="857">
        <f ca="1"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1160">
        <f ca="1">IFERROR(__xludf.DUMMYFUNCTION("IMPORTRANGE(""https://docs.google.com/spreadsheets/d/1eHaY18a8A9IcSdp1K8H6x8fbOy06t2VsZHhMHf-1x7Y/edit?usp=sharing"",""แผน!HN53"")"),100)</f>
        <v>100</v>
      </c>
      <c r="J485" s="867">
        <f>J487+J489+J491</f>
        <v>0</v>
      </c>
      <c r="K485" s="857">
        <f ca="1"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1090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1090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1090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1090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1090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1159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30</v>
      </c>
      <c r="J492" s="595">
        <f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x14ac:dyDescent="0.3">
      <c r="A493" s="255"/>
      <c r="B493" s="267"/>
      <c r="C493" s="1122" t="s">
        <v>18</v>
      </c>
      <c r="D493" s="1440" t="s">
        <v>19</v>
      </c>
      <c r="E493" s="1401"/>
      <c r="F493" s="1401"/>
      <c r="G493" s="1402"/>
      <c r="H493" s="612" t="s">
        <v>14</v>
      </c>
      <c r="I493" s="261"/>
      <c r="J493" s="261"/>
      <c r="K493" s="85"/>
      <c r="L493" s="212">
        <f ca="1">L494+L495</f>
        <v>24100</v>
      </c>
      <c r="M493" s="213">
        <f ca="1">M494+M495</f>
        <v>24100</v>
      </c>
      <c r="N493" s="213">
        <f ca="1">N494+N495</f>
        <v>0</v>
      </c>
      <c r="O493" s="213">
        <f t="shared" ref="O493:O501" ca="1" si="118">IF(L493&gt;0,N493*100/L493,0)</f>
        <v>0</v>
      </c>
      <c r="P493" s="213">
        <f t="shared" ref="P493:P501" ca="1" si="119">IF(M493&gt;0,N493*100/M493,0)</f>
        <v>0</v>
      </c>
      <c r="Q493" s="213">
        <f ca="1">Q494+Q495</f>
        <v>460185</v>
      </c>
      <c r="R493" s="213">
        <f ca="1">R494+R495</f>
        <v>467885</v>
      </c>
      <c r="S493" s="213">
        <f ca="1">S494+S495</f>
        <v>138156</v>
      </c>
      <c r="T493" s="213">
        <f t="shared" ref="T493:T501" ca="1" si="120">IF(Q493&gt;0,S493*100/Q493,0)</f>
        <v>30.02183904299358</v>
      </c>
      <c r="U493" s="213">
        <f t="shared" ref="U493:U501" ca="1" si="121">IF(R493&gt;0,S493*100/R493,0)</f>
        <v>29.527768575611528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24100</v>
      </c>
      <c r="M495" s="130">
        <f t="shared" ca="1" si="122"/>
        <v>24100</v>
      </c>
      <c r="N495" s="130">
        <f t="shared" ca="1" si="122"/>
        <v>0</v>
      </c>
      <c r="O495" s="130">
        <f t="shared" ca="1" si="118"/>
        <v>0</v>
      </c>
      <c r="P495" s="130">
        <f t="shared" ca="1" si="119"/>
        <v>0</v>
      </c>
      <c r="Q495" s="130">
        <f t="shared" ca="1" si="123"/>
        <v>460185</v>
      </c>
      <c r="R495" s="130">
        <f t="shared" ca="1" si="123"/>
        <v>467885</v>
      </c>
      <c r="S495" s="130">
        <f t="shared" ca="1" si="123"/>
        <v>138156</v>
      </c>
      <c r="T495" s="130">
        <f t="shared" ca="1" si="120"/>
        <v>30.02183904299358</v>
      </c>
      <c r="U495" s="130">
        <f t="shared" ca="1" si="121"/>
        <v>29.527768575611528</v>
      </c>
    </row>
    <row r="496" spans="1:21" ht="18.75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24100</v>
      </c>
      <c r="M496" s="130">
        <f ca="1">M497+M498</f>
        <v>24100</v>
      </c>
      <c r="N496" s="130">
        <f ca="1">N497+N498</f>
        <v>0</v>
      </c>
      <c r="O496" s="130">
        <f t="shared" ca="1" si="118"/>
        <v>0</v>
      </c>
      <c r="P496" s="130">
        <f t="shared" ca="1" si="119"/>
        <v>0</v>
      </c>
      <c r="Q496" s="130">
        <f ca="1">Q497+Q498</f>
        <v>460185</v>
      </c>
      <c r="R496" s="130">
        <f ca="1">R497+R498</f>
        <v>467885</v>
      </c>
      <c r="S496" s="130">
        <f ca="1">S497+S498</f>
        <v>138156</v>
      </c>
      <c r="T496" s="130">
        <f t="shared" ca="1" si="120"/>
        <v>30.02183904299358</v>
      </c>
      <c r="U496" s="130">
        <f t="shared" ca="1" si="121"/>
        <v>29.527768575611528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IFERROR(__xludf.DUMMYFUNCTION("IMPORTRANGE(""https://docs.google.com/spreadsheets/d/1-uDff_7J0KD5mKrp0Vvzr7lt3OU09vwQwhkpOPPYv2Y/edit?usp=sharing"",""งบพรบ!HU53"")"),24100)</f>
        <v>24100</v>
      </c>
      <c r="M498" s="72">
        <f ca="1">IFERROR(__xludf.DUMMYFUNCTION("IMPORTRANGE(""https://docs.google.com/spreadsheets/d/1-uDff_7J0KD5mKrp0Vvzr7lt3OU09vwQwhkpOPPYv2Y/edit?usp=sharing"",""งบพรบ!HZ53"")"),24100)</f>
        <v>24100</v>
      </c>
      <c r="N498" s="72">
        <f ca="1">IFERROR(__xludf.DUMMYFUNCTION("IMPORTRANGE(""https://docs.google.com/spreadsheets/d/1-uDff_7J0KD5mKrp0Vvzr7lt3OU09vwQwhkpOPPYv2Y/edit?usp=sharing"",""งบพรบ!IB53"")"),0)</f>
        <v>0</v>
      </c>
      <c r="O498" s="130">
        <f t="shared" ca="1" si="118"/>
        <v>0</v>
      </c>
      <c r="P498" s="130">
        <f t="shared" ca="1" si="119"/>
        <v>0</v>
      </c>
      <c r="Q498" s="130">
        <f ca="1">IFERROR(__xludf.DUMMYFUNCTION("IMPORTRANGE(""https://docs.google.com/spreadsheets/d/1ItG2mGa2ceCfYo0BwxsXqNm01IGEUdYcSSLTEv9YCik/edit?usp=sharing"",""เบิกจ่ายกองทุน!AD53"")"),460185)</f>
        <v>460185</v>
      </c>
      <c r="R498" s="130">
        <f ca="1">IFERROR(__xludf.DUMMYFUNCTION("IMPORTRANGE(""https://docs.google.com/spreadsheets/d/1ItG2mGa2ceCfYo0BwxsXqNm01IGEUdYcSSLTEv9YCik/edit?usp=sharing"",""เบิกจ่ายกองทุน!AE53"")"),467885)</f>
        <v>467885</v>
      </c>
      <c r="S498" s="130">
        <f ca="1">IFERROR(__xludf.DUMMYFUNCTION("IMPORTRANGE(""https://docs.google.com/spreadsheets/d/1ItG2mGa2ceCfYo0BwxsXqNm01IGEUdYcSSLTEv9YCik/edit?usp=sharing"",""เบิกจ่ายกองทุน!AF53"")"),138156)</f>
        <v>138156</v>
      </c>
      <c r="T498" s="130">
        <f t="shared" ca="1" si="120"/>
        <v>30.02183904299358</v>
      </c>
      <c r="U498" s="130">
        <f t="shared" ca="1" si="121"/>
        <v>29.527768575611528</v>
      </c>
    </row>
    <row r="499" spans="1:21" ht="18.75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IFERROR(__xludf.DUMMYFUNCTION("IMPORTRANGE(""https://docs.google.com/spreadsheets/d/1-uDff_7J0KD5mKrp0Vvzr7lt3OU09vwQwhkpOPPYv2Y/edit?usp=sharing"",""งบพรบ!HX53"")"),0)</f>
        <v>0</v>
      </c>
      <c r="M501" s="72">
        <f ca="1">IFERROR(__xludf.DUMMYFUNCTION("IMPORTRANGE(""https://docs.google.com/spreadsheets/d/1-uDff_7J0KD5mKrp0Vvzr7lt3OU09vwQwhkpOPPYv2Y/edit?usp=sharing"",""งบพรบ!IA53"")"),0)</f>
        <v>0</v>
      </c>
      <c r="N501" s="72">
        <f ca="1">IFERROR(__xludf.DUMMYFUNCTION("IMPORTRANGE(""https://docs.google.com/spreadsheets/d/1-uDff_7J0KD5mKrp0Vvzr7lt3OU09vwQwhkpOPPYv2Y/edit?usp=sharing"",""งบพรบ!IC53"")"),0)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x14ac:dyDescent="0.3">
      <c r="A502" s="274"/>
      <c r="B502" s="275"/>
      <c r="C502" s="1122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IFERROR(__xludf.DUMMYFUNCTION("IMPORTRANGE(""https://docs.google.com/spreadsheets/d/1eHaY18a8A9IcSdp1K8H6x8fbOy06t2VsZHhMHf-1x7Y/edit?usp=sharing"",""แผน!GX53"")"),30)</f>
        <v>30</v>
      </c>
      <c r="J503" s="601">
        <f>J505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IFERROR(__xludf.DUMMYFUNCTION("IMPORTRANGE(""https://docs.google.com/spreadsheets/d/1eHaY18a8A9IcSdp1K8H6x8fbOy06t2VsZHhMHf-1x7Y/edit?usp=sharing"",""แผน!GY53"")"),30)</f>
        <v>30</v>
      </c>
      <c r="J504" s="292">
        <v>30</v>
      </c>
      <c r="K504" s="72">
        <f t="shared" ca="1" si="124"/>
        <v>100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IFERROR(__xludf.DUMMYFUNCTION("IMPORTRANGE(""https://docs.google.com/spreadsheets/d/1eHaY18a8A9IcSdp1K8H6x8fbOy06t2VsZHhMHf-1x7Y/edit?usp=sharing"",""แผน!GZ53"")"),30)</f>
        <v>30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IFERROR(__xludf.DUMMYFUNCTION("IMPORTRANGE(""https://docs.google.com/spreadsheets/d/1eHaY18a8A9IcSdp1K8H6x8fbOy06t2VsZHhMHf-1x7Y/edit?usp=sharing"",""แผน!HA53"")"),30)</f>
        <v>30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IFERROR(__xludf.DUMMYFUNCTION("IMPORTRANGE(""https://docs.google.com/spreadsheets/d/1eHaY18a8A9IcSdp1K8H6x8fbOy06t2VsZHhMHf-1x7Y/edit?usp=sharing"",""แผน!HB53"")"),10)</f>
        <v>10</v>
      </c>
      <c r="J507" s="292">
        <v>30</v>
      </c>
      <c r="K507" s="72">
        <f t="shared" ca="1" si="124"/>
        <v>300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IFERROR(__xludf.DUMMYFUNCTION("IMPORTRANGE(""https://docs.google.com/spreadsheets/d/1eHaY18a8A9IcSdp1K8H6x8fbOy06t2VsZHhMHf-1x7Y/edit?usp=sharing"",""แผน!HC53"")"),0)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617" t="s">
        <v>206</v>
      </c>
      <c r="B510" s="618"/>
      <c r="C510" s="618"/>
      <c r="D510" s="618"/>
      <c r="E510" s="619"/>
      <c r="F510" s="619"/>
      <c r="G510" s="619"/>
      <c r="H510" s="619"/>
      <c r="I510" s="620"/>
      <c r="J510" s="620"/>
      <c r="K510" s="621"/>
      <c r="L510" s="1093"/>
      <c r="M510" s="1092"/>
      <c r="N510" s="1092"/>
      <c r="O510" s="1092"/>
      <c r="P510" s="1092"/>
      <c r="Q510" s="1092"/>
      <c r="R510" s="1092"/>
      <c r="S510" s="1092"/>
      <c r="T510" s="1092"/>
      <c r="U510" s="1092"/>
    </row>
    <row r="511" spans="1:21" ht="19.5" hidden="1" x14ac:dyDescent="0.3">
      <c r="A511" s="625" t="s">
        <v>207</v>
      </c>
      <c r="B511" s="626"/>
      <c r="C511" s="626"/>
      <c r="D511" s="627"/>
      <c r="E511" s="626"/>
      <c r="F511" s="626"/>
      <c r="G511" s="626"/>
      <c r="H511" s="628"/>
      <c r="I511" s="629"/>
      <c r="J511" s="629"/>
      <c r="K511" s="630"/>
      <c r="L511" s="1158"/>
      <c r="M511" s="1157"/>
      <c r="N511" s="1157"/>
      <c r="O511" s="1157"/>
      <c r="P511" s="1157"/>
      <c r="Q511" s="1157"/>
      <c r="R511" s="1157"/>
      <c r="S511" s="1157"/>
      <c r="T511" s="1157"/>
      <c r="U511" s="1157"/>
    </row>
    <row r="512" spans="1:21" ht="19.5" hidden="1" x14ac:dyDescent="0.3">
      <c r="A512" s="633"/>
      <c r="B512" s="634" t="s">
        <v>208</v>
      </c>
      <c r="C512" s="635"/>
      <c r="D512" s="636"/>
      <c r="E512" s="636"/>
      <c r="F512" s="636"/>
      <c r="G512" s="637"/>
      <c r="H512" s="638" t="s">
        <v>61</v>
      </c>
      <c r="I512" s="639">
        <f>I524</f>
        <v>0</v>
      </c>
      <c r="J512" s="639">
        <f>J524</f>
        <v>0</v>
      </c>
      <c r="K512" s="640">
        <f>IF(I512&gt;0,J512*100/I512,0)</f>
        <v>0</v>
      </c>
      <c r="L512" s="1145"/>
      <c r="M512" s="641"/>
      <c r="N512" s="641"/>
      <c r="O512" s="641"/>
      <c r="P512" s="641"/>
      <c r="Q512" s="641"/>
      <c r="R512" s="641"/>
      <c r="S512" s="641"/>
      <c r="T512" s="641"/>
      <c r="U512" s="641"/>
    </row>
    <row r="513" spans="1:21" ht="19.5" hidden="1" x14ac:dyDescent="0.3">
      <c r="A513" s="207"/>
      <c r="B513" s="65"/>
      <c r="C513" s="208" t="s">
        <v>18</v>
      </c>
      <c r="D513" s="941" t="s">
        <v>19</v>
      </c>
      <c r="E513" s="65"/>
      <c r="F513" s="65"/>
      <c r="G513" s="67"/>
      <c r="H513" s="210" t="s">
        <v>14</v>
      </c>
      <c r="I513" s="69"/>
      <c r="J513" s="69"/>
      <c r="K513" s="70"/>
      <c r="L513" s="681">
        <f ca="1">L514+L515</f>
        <v>0</v>
      </c>
      <c r="M513" s="682">
        <f ca="1">M514+M515</f>
        <v>0</v>
      </c>
      <c r="N513" s="682">
        <f ca="1">N514+N515</f>
        <v>0</v>
      </c>
      <c r="O513" s="682">
        <f t="shared" ref="O513:O521" ca="1" si="125">IF(L513&gt;0,N513*100/L513,0)</f>
        <v>0</v>
      </c>
      <c r="P513" s="682">
        <f t="shared" ref="P513:P521" ca="1" si="126">IF(M513&gt;0,N513*100/M513,0)</f>
        <v>0</v>
      </c>
      <c r="Q513" s="682">
        <f>Q514+Q515</f>
        <v>0</v>
      </c>
      <c r="R513" s="682">
        <f>R514+R515</f>
        <v>0</v>
      </c>
      <c r="S513" s="682">
        <f>S514+S515</f>
        <v>0</v>
      </c>
      <c r="T513" s="682">
        <f t="shared" ref="T513:T521" si="127">IF(Q513&gt;0,S513*100/Q513,0)</f>
        <v>0</v>
      </c>
      <c r="U513" s="682">
        <f t="shared" ref="U513:U521" si="128">IF(R513&gt;0,S513*100/R513,0)</f>
        <v>0</v>
      </c>
    </row>
    <row r="514" spans="1:21" ht="18.75" hidden="1" x14ac:dyDescent="0.25">
      <c r="A514" s="207"/>
      <c r="B514" s="65"/>
      <c r="C514" s="65"/>
      <c r="D514" s="65"/>
      <c r="E514" s="73" t="s">
        <v>20</v>
      </c>
      <c r="F514" s="65"/>
      <c r="G514" s="67"/>
      <c r="H514" s="214" t="s">
        <v>14</v>
      </c>
      <c r="I514" s="69"/>
      <c r="J514" s="69"/>
      <c r="K514" s="70"/>
      <c r="L514" s="683">
        <f t="shared" ref="L514:N515" si="129">L517+L520</f>
        <v>0</v>
      </c>
      <c r="M514" s="684">
        <f t="shared" si="129"/>
        <v>0</v>
      </c>
      <c r="N514" s="684">
        <f t="shared" si="129"/>
        <v>0</v>
      </c>
      <c r="O514" s="684">
        <f t="shared" si="125"/>
        <v>0</v>
      </c>
      <c r="P514" s="684">
        <f t="shared" si="126"/>
        <v>0</v>
      </c>
      <c r="Q514" s="684">
        <f t="shared" ref="Q514:S515" si="130">Q517+Q520</f>
        <v>0</v>
      </c>
      <c r="R514" s="684">
        <f t="shared" si="130"/>
        <v>0</v>
      </c>
      <c r="S514" s="684">
        <f t="shared" si="130"/>
        <v>0</v>
      </c>
      <c r="T514" s="684">
        <f t="shared" si="127"/>
        <v>0</v>
      </c>
      <c r="U514" s="684">
        <f t="shared" si="128"/>
        <v>0</v>
      </c>
    </row>
    <row r="515" spans="1:21" ht="18.75" hidden="1" x14ac:dyDescent="0.25">
      <c r="A515" s="207"/>
      <c r="B515" s="65"/>
      <c r="C515" s="65"/>
      <c r="D515" s="65"/>
      <c r="E515" s="73" t="s">
        <v>21</v>
      </c>
      <c r="F515" s="65"/>
      <c r="G515" s="67"/>
      <c r="H515" s="214" t="s">
        <v>14</v>
      </c>
      <c r="I515" s="69"/>
      <c r="J515" s="69"/>
      <c r="K515" s="70"/>
      <c r="L515" s="683">
        <f t="shared" ca="1" si="129"/>
        <v>0</v>
      </c>
      <c r="M515" s="684">
        <f t="shared" ca="1" si="129"/>
        <v>0</v>
      </c>
      <c r="N515" s="684">
        <f t="shared" ca="1" si="129"/>
        <v>0</v>
      </c>
      <c r="O515" s="684">
        <f t="shared" ca="1" si="125"/>
        <v>0</v>
      </c>
      <c r="P515" s="684">
        <f t="shared" ca="1" si="126"/>
        <v>0</v>
      </c>
      <c r="Q515" s="684">
        <f t="shared" si="130"/>
        <v>0</v>
      </c>
      <c r="R515" s="684">
        <f t="shared" si="130"/>
        <v>0</v>
      </c>
      <c r="S515" s="684">
        <f t="shared" si="130"/>
        <v>0</v>
      </c>
      <c r="T515" s="684">
        <f t="shared" si="127"/>
        <v>0</v>
      </c>
      <c r="U515" s="684">
        <f t="shared" si="128"/>
        <v>0</v>
      </c>
    </row>
    <row r="516" spans="1:21" ht="18.75" hidden="1" x14ac:dyDescent="0.25">
      <c r="A516" s="207"/>
      <c r="B516" s="65"/>
      <c r="C516" s="65"/>
      <c r="D516" s="937" t="s">
        <v>22</v>
      </c>
      <c r="E516" s="65"/>
      <c r="F516" s="65"/>
      <c r="G516" s="67"/>
      <c r="H516" s="216" t="s">
        <v>14</v>
      </c>
      <c r="I516" s="217"/>
      <c r="J516" s="217"/>
      <c r="K516" s="218"/>
      <c r="L516" s="683">
        <f ca="1">L517+L518</f>
        <v>0</v>
      </c>
      <c r="M516" s="684">
        <f ca="1">M517+M518</f>
        <v>0</v>
      </c>
      <c r="N516" s="684">
        <f ca="1">N517+N518</f>
        <v>0</v>
      </c>
      <c r="O516" s="684">
        <f t="shared" ca="1" si="125"/>
        <v>0</v>
      </c>
      <c r="P516" s="684">
        <f t="shared" ca="1" si="126"/>
        <v>0</v>
      </c>
      <c r="Q516" s="684">
        <f>Q517+Q518</f>
        <v>0</v>
      </c>
      <c r="R516" s="684">
        <f>R517+R518</f>
        <v>0</v>
      </c>
      <c r="S516" s="684">
        <f>S517+S518</f>
        <v>0</v>
      </c>
      <c r="T516" s="684">
        <f t="shared" si="127"/>
        <v>0</v>
      </c>
      <c r="U516" s="684">
        <f t="shared" si="128"/>
        <v>0</v>
      </c>
    </row>
    <row r="517" spans="1:21" ht="18.75" hidden="1" x14ac:dyDescent="0.25">
      <c r="A517" s="207"/>
      <c r="B517" s="65"/>
      <c r="C517" s="65"/>
      <c r="D517" s="65"/>
      <c r="E517" s="73" t="s">
        <v>36</v>
      </c>
      <c r="F517" s="65"/>
      <c r="G517" s="67"/>
      <c r="H517" s="216" t="s">
        <v>14</v>
      </c>
      <c r="I517" s="217"/>
      <c r="J517" s="217"/>
      <c r="K517" s="218"/>
      <c r="L517" s="685">
        <v>0</v>
      </c>
      <c r="M517" s="86">
        <v>0</v>
      </c>
      <c r="N517" s="86">
        <v>0</v>
      </c>
      <c r="O517" s="684">
        <f t="shared" si="125"/>
        <v>0</v>
      </c>
      <c r="P517" s="684">
        <f t="shared" si="126"/>
        <v>0</v>
      </c>
      <c r="Q517" s="86">
        <v>0</v>
      </c>
      <c r="R517" s="86">
        <v>0</v>
      </c>
      <c r="S517" s="86">
        <v>0</v>
      </c>
      <c r="T517" s="684">
        <f t="shared" si="127"/>
        <v>0</v>
      </c>
      <c r="U517" s="684">
        <f t="shared" si="128"/>
        <v>0</v>
      </c>
    </row>
    <row r="518" spans="1:21" ht="18.75" hidden="1" x14ac:dyDescent="0.25">
      <c r="A518" s="207"/>
      <c r="B518" s="65"/>
      <c r="C518" s="65"/>
      <c r="D518" s="65"/>
      <c r="E518" s="73" t="s">
        <v>37</v>
      </c>
      <c r="F518" s="65"/>
      <c r="G518" s="67"/>
      <c r="H518" s="216" t="s">
        <v>14</v>
      </c>
      <c r="I518" s="217"/>
      <c r="J518" s="217"/>
      <c r="K518" s="218"/>
      <c r="L518" s="683">
        <f ca="1">IFERROR(__xludf.DUMMYFUNCTION("IMPORTRANGE(""https://docs.google.com/spreadsheets/d/1-uDff_7J0KD5mKrp0Vvzr7lt3OU09vwQwhkpOPPYv2Y/edit?usp=sharing"",""งบพรบ!FM53"")"),0)</f>
        <v>0</v>
      </c>
      <c r="M518" s="684">
        <f ca="1">IFERROR(__xludf.DUMMYFUNCTION("IMPORTRANGE(""https://docs.google.com/spreadsheets/d/1-uDff_7J0KD5mKrp0Vvzr7lt3OU09vwQwhkpOPPYv2Y/edit?usp=sharing"",""งบพรบ!FR53"")"),0)</f>
        <v>0</v>
      </c>
      <c r="N518" s="684">
        <f ca="1">IFERROR(__xludf.DUMMYFUNCTION("IMPORTRANGE(""https://docs.google.com/spreadsheets/d/1-uDff_7J0KD5mKrp0Vvzr7lt3OU09vwQwhkpOPPYv2Y/edit?usp=sharing"",""งบพรบ!FT53"")"),0)</f>
        <v>0</v>
      </c>
      <c r="O518" s="684">
        <f t="shared" ca="1" si="125"/>
        <v>0</v>
      </c>
      <c r="P518" s="684">
        <f t="shared" ca="1" si="126"/>
        <v>0</v>
      </c>
      <c r="Q518" s="86">
        <v>0</v>
      </c>
      <c r="R518" s="86">
        <v>0</v>
      </c>
      <c r="S518" s="86">
        <v>0</v>
      </c>
      <c r="T518" s="684">
        <f t="shared" si="127"/>
        <v>0</v>
      </c>
      <c r="U518" s="684">
        <f t="shared" si="128"/>
        <v>0</v>
      </c>
    </row>
    <row r="519" spans="1:21" ht="18.75" hidden="1" x14ac:dyDescent="0.25">
      <c r="A519" s="207"/>
      <c r="B519" s="65"/>
      <c r="C519" s="65"/>
      <c r="D519" s="937" t="s">
        <v>23</v>
      </c>
      <c r="E519" s="65"/>
      <c r="F519" s="65"/>
      <c r="G519" s="67"/>
      <c r="H519" s="219" t="s">
        <v>14</v>
      </c>
      <c r="I519" s="217"/>
      <c r="J519" s="217"/>
      <c r="K519" s="218"/>
      <c r="L519" s="683">
        <f ca="1">L520+L521</f>
        <v>0</v>
      </c>
      <c r="M519" s="684">
        <f ca="1">M520+M521</f>
        <v>0</v>
      </c>
      <c r="N519" s="684">
        <f ca="1">N520+N521</f>
        <v>0</v>
      </c>
      <c r="O519" s="684">
        <f t="shared" ca="1" si="125"/>
        <v>0</v>
      </c>
      <c r="P519" s="684">
        <f t="shared" ca="1" si="126"/>
        <v>0</v>
      </c>
      <c r="Q519" s="684">
        <f>Q520+Q521</f>
        <v>0</v>
      </c>
      <c r="R519" s="684">
        <f>R520+R521</f>
        <v>0</v>
      </c>
      <c r="S519" s="684">
        <f>S520+S521</f>
        <v>0</v>
      </c>
      <c r="T519" s="684">
        <f t="shared" si="127"/>
        <v>0</v>
      </c>
      <c r="U519" s="684">
        <f t="shared" si="128"/>
        <v>0</v>
      </c>
    </row>
    <row r="520" spans="1:21" ht="18.75" hidden="1" x14ac:dyDescent="0.25">
      <c r="A520" s="207"/>
      <c r="B520" s="65"/>
      <c r="C520" s="65"/>
      <c r="D520" s="65"/>
      <c r="E520" s="73" t="s">
        <v>20</v>
      </c>
      <c r="F520" s="65"/>
      <c r="G520" s="67"/>
      <c r="H520" s="216" t="s">
        <v>14</v>
      </c>
      <c r="I520" s="217"/>
      <c r="J520" s="217"/>
      <c r="K520" s="218"/>
      <c r="L520" s="685">
        <v>0</v>
      </c>
      <c r="M520" s="86">
        <v>0</v>
      </c>
      <c r="N520" s="86">
        <v>0</v>
      </c>
      <c r="O520" s="684">
        <f t="shared" si="125"/>
        <v>0</v>
      </c>
      <c r="P520" s="684">
        <f t="shared" si="126"/>
        <v>0</v>
      </c>
      <c r="Q520" s="86">
        <v>0</v>
      </c>
      <c r="R520" s="86">
        <v>0</v>
      </c>
      <c r="S520" s="86">
        <v>0</v>
      </c>
      <c r="T520" s="684">
        <f t="shared" si="127"/>
        <v>0</v>
      </c>
      <c r="U520" s="684">
        <f t="shared" si="128"/>
        <v>0</v>
      </c>
    </row>
    <row r="521" spans="1:21" ht="18.75" hidden="1" x14ac:dyDescent="0.25">
      <c r="A521" s="207"/>
      <c r="B521" s="65"/>
      <c r="C521" s="65"/>
      <c r="D521" s="65"/>
      <c r="E521" s="73" t="s">
        <v>21</v>
      </c>
      <c r="F521" s="65"/>
      <c r="G521" s="67"/>
      <c r="H521" s="219" t="s">
        <v>14</v>
      </c>
      <c r="I521" s="217"/>
      <c r="J521" s="217"/>
      <c r="K521" s="218"/>
      <c r="L521" s="683">
        <f ca="1">IFERROR(__xludf.DUMMYFUNCTION("IMPORTRANGE(""https://docs.google.com/spreadsheets/d/1-uDff_7J0KD5mKrp0Vvzr7lt3OU09vwQwhkpOPPYv2Y/edit?usp=sharing"",""งบพรบ!FP53"")"),0)</f>
        <v>0</v>
      </c>
      <c r="M521" s="684">
        <f ca="1">IFERROR(__xludf.DUMMYFUNCTION("IMPORTRANGE(""https://docs.google.com/spreadsheets/d/1-uDff_7J0KD5mKrp0Vvzr7lt3OU09vwQwhkpOPPYv2Y/edit?usp=sharing"",""งบพรบ!FS53"")"),0)</f>
        <v>0</v>
      </c>
      <c r="N521" s="684">
        <f ca="1">IFERROR(__xludf.DUMMYFUNCTION("IMPORTRANGE(""https://docs.google.com/spreadsheets/d/1-uDff_7J0KD5mKrp0Vvzr7lt3OU09vwQwhkpOPPYv2Y/edit?usp=sharing"",""งบพรบ!FU53"")"),0)</f>
        <v>0</v>
      </c>
      <c r="O521" s="684">
        <f t="shared" ca="1" si="125"/>
        <v>0</v>
      </c>
      <c r="P521" s="684">
        <f t="shared" ca="1" si="126"/>
        <v>0</v>
      </c>
      <c r="Q521" s="86">
        <v>0</v>
      </c>
      <c r="R521" s="86">
        <v>0</v>
      </c>
      <c r="S521" s="86">
        <v>0</v>
      </c>
      <c r="T521" s="684">
        <f t="shared" si="127"/>
        <v>0</v>
      </c>
      <c r="U521" s="684">
        <f t="shared" si="128"/>
        <v>0</v>
      </c>
    </row>
    <row r="522" spans="1:21" ht="19.5" hidden="1" x14ac:dyDescent="0.3">
      <c r="A522" s="220"/>
      <c r="B522" s="221"/>
      <c r="C522" s="208" t="s">
        <v>18</v>
      </c>
      <c r="D522" s="931" t="s">
        <v>38</v>
      </c>
      <c r="E522" s="223"/>
      <c r="F522" s="223"/>
      <c r="G522" s="224"/>
      <c r="H522" s="225"/>
      <c r="I522" s="217"/>
      <c r="J522" s="69"/>
      <c r="K522" s="70"/>
      <c r="L522" s="519"/>
      <c r="M522" s="70"/>
      <c r="N522" s="70"/>
      <c r="O522" s="218"/>
      <c r="P522" s="218"/>
      <c r="Q522" s="70"/>
      <c r="R522" s="70"/>
      <c r="S522" s="70"/>
      <c r="T522" s="218"/>
      <c r="U522" s="218"/>
    </row>
    <row r="523" spans="1:21" ht="18.75" hidden="1" x14ac:dyDescent="0.25">
      <c r="A523" s="364"/>
      <c r="B523" s="65"/>
      <c r="C523" s="367"/>
      <c r="D523" s="234" t="s">
        <v>209</v>
      </c>
      <c r="E523" s="221"/>
      <c r="F523" s="65"/>
      <c r="G523" s="67"/>
      <c r="H523" s="366" t="s">
        <v>11</v>
      </c>
      <c r="I523" s="237">
        <v>0</v>
      </c>
      <c r="J523" s="794">
        <v>0</v>
      </c>
      <c r="K523" s="86">
        <f>IF(I523&gt;0,J523*100/I523,0)</f>
        <v>0</v>
      </c>
      <c r="L523" s="519"/>
      <c r="M523" s="70"/>
      <c r="N523" s="70"/>
      <c r="O523" s="70"/>
      <c r="P523" s="70"/>
      <c r="Q523" s="70"/>
      <c r="R523" s="70"/>
      <c r="S523" s="70"/>
      <c r="T523" s="70"/>
      <c r="U523" s="70"/>
    </row>
    <row r="524" spans="1:21" ht="18.75" hidden="1" x14ac:dyDescent="0.25">
      <c r="A524" s="644"/>
      <c r="B524" s="88"/>
      <c r="C524" s="645"/>
      <c r="D524" s="646" t="s">
        <v>210</v>
      </c>
      <c r="E524" s="647"/>
      <c r="F524" s="88"/>
      <c r="G524" s="90"/>
      <c r="H524" s="648" t="s">
        <v>61</v>
      </c>
      <c r="I524" s="649">
        <v>0</v>
      </c>
      <c r="J524" s="1156">
        <v>0</v>
      </c>
      <c r="K524" s="94">
        <f>IF(I524&gt;0,J524*100/I524,0)</f>
        <v>0</v>
      </c>
      <c r="L524" s="519"/>
      <c r="M524" s="70"/>
      <c r="N524" s="70"/>
      <c r="O524" s="70"/>
      <c r="P524" s="70"/>
      <c r="Q524" s="70"/>
      <c r="R524" s="70"/>
      <c r="S524" s="70"/>
      <c r="T524" s="70"/>
      <c r="U524" s="70"/>
    </row>
    <row r="525" spans="1:21" ht="12.75" hidden="1" x14ac:dyDescent="0.2">
      <c r="A525" s="1155"/>
      <c r="B525" s="1154"/>
      <c r="C525" s="1154"/>
      <c r="D525" s="1153"/>
      <c r="E525" s="1153"/>
      <c r="F525" s="1153"/>
      <c r="G525" s="1152"/>
      <c r="H525" s="1151"/>
      <c r="I525" s="1150"/>
      <c r="J525" s="1150"/>
      <c r="K525" s="1149"/>
      <c r="L525" s="1143"/>
      <c r="M525" s="398"/>
      <c r="N525" s="398"/>
      <c r="O525" s="398"/>
      <c r="P525" s="398"/>
      <c r="Q525" s="398"/>
      <c r="R525" s="398"/>
      <c r="S525" s="398"/>
      <c r="T525" s="398"/>
      <c r="U525" s="398"/>
    </row>
    <row r="526" spans="1:21" ht="12.75" hidden="1" x14ac:dyDescent="0.2">
      <c r="A526" s="391"/>
      <c r="B526" s="392"/>
      <c r="C526" s="392"/>
      <c r="D526" s="394"/>
      <c r="E526" s="394"/>
      <c r="F526" s="394"/>
      <c r="G526" s="395"/>
      <c r="H526" s="1108"/>
      <c r="I526" s="397"/>
      <c r="J526" s="397"/>
      <c r="K526" s="398"/>
      <c r="L526" s="1143"/>
      <c r="M526" s="398"/>
      <c r="N526" s="398"/>
      <c r="O526" s="398"/>
      <c r="P526" s="398"/>
      <c r="Q526" s="398"/>
      <c r="R526" s="398"/>
      <c r="S526" s="398"/>
      <c r="T526" s="398"/>
      <c r="U526" s="398"/>
    </row>
    <row r="527" spans="1:21" ht="12.75" hidden="1" x14ac:dyDescent="0.2">
      <c r="A527" s="391"/>
      <c r="B527" s="392"/>
      <c r="C527" s="392"/>
      <c r="D527" s="394"/>
      <c r="E527" s="394"/>
      <c r="F527" s="394"/>
      <c r="G527" s="395"/>
      <c r="H527" s="1108"/>
      <c r="I527" s="397"/>
      <c r="J527" s="397"/>
      <c r="K527" s="398"/>
      <c r="L527" s="1143"/>
      <c r="M527" s="398"/>
      <c r="N527" s="398"/>
      <c r="O527" s="398"/>
      <c r="P527" s="398"/>
      <c r="Q527" s="398"/>
      <c r="R527" s="398"/>
      <c r="S527" s="398"/>
      <c r="T527" s="398"/>
      <c r="U527" s="398"/>
    </row>
    <row r="528" spans="1:21" ht="12.75" hidden="1" x14ac:dyDescent="0.2">
      <c r="A528" s="391"/>
      <c r="B528" s="392"/>
      <c r="C528" s="392"/>
      <c r="D528" s="394"/>
      <c r="E528" s="394"/>
      <c r="F528" s="394"/>
      <c r="G528" s="395"/>
      <c r="H528" s="1108"/>
      <c r="I528" s="397"/>
      <c r="J528" s="397"/>
      <c r="K528" s="398"/>
      <c r="L528" s="1143"/>
      <c r="M528" s="398"/>
      <c r="N528" s="398"/>
      <c r="O528" s="398"/>
      <c r="P528" s="398"/>
      <c r="Q528" s="398"/>
      <c r="R528" s="398"/>
      <c r="S528" s="398"/>
      <c r="T528" s="398"/>
      <c r="U528" s="398"/>
    </row>
    <row r="529" spans="1:21" ht="12.75" hidden="1" x14ac:dyDescent="0.2">
      <c r="A529" s="391"/>
      <c r="B529" s="392"/>
      <c r="C529" s="392"/>
      <c r="D529" s="394"/>
      <c r="E529" s="394"/>
      <c r="F529" s="394"/>
      <c r="G529" s="395"/>
      <c r="H529" s="1108"/>
      <c r="I529" s="397"/>
      <c r="J529" s="397"/>
      <c r="K529" s="398"/>
      <c r="L529" s="1143"/>
      <c r="M529" s="398"/>
      <c r="N529" s="398"/>
      <c r="O529" s="398"/>
      <c r="P529" s="398"/>
      <c r="Q529" s="398"/>
      <c r="R529" s="398"/>
      <c r="S529" s="398"/>
      <c r="T529" s="398"/>
      <c r="U529" s="398"/>
    </row>
    <row r="530" spans="1:21" ht="12.75" hidden="1" x14ac:dyDescent="0.2">
      <c r="A530" s="391"/>
      <c r="B530" s="392"/>
      <c r="C530" s="392"/>
      <c r="D530" s="394"/>
      <c r="E530" s="394"/>
      <c r="F530" s="394"/>
      <c r="G530" s="395"/>
      <c r="H530" s="1108"/>
      <c r="I530" s="397"/>
      <c r="J530" s="397"/>
      <c r="K530" s="398"/>
      <c r="L530" s="1143"/>
      <c r="M530" s="398"/>
      <c r="N530" s="398"/>
      <c r="O530" s="398"/>
      <c r="P530" s="398"/>
      <c r="Q530" s="398"/>
      <c r="R530" s="398"/>
      <c r="S530" s="398"/>
      <c r="T530" s="398"/>
      <c r="U530" s="398"/>
    </row>
    <row r="531" spans="1:21" ht="12.75" hidden="1" x14ac:dyDescent="0.2">
      <c r="A531" s="391"/>
      <c r="B531" s="392"/>
      <c r="C531" s="392"/>
      <c r="D531" s="394"/>
      <c r="E531" s="394"/>
      <c r="F531" s="394"/>
      <c r="G531" s="395"/>
      <c r="H531" s="1108"/>
      <c r="I531" s="397"/>
      <c r="J531" s="397"/>
      <c r="K531" s="398"/>
      <c r="L531" s="1143"/>
      <c r="M531" s="398"/>
      <c r="N531" s="398"/>
      <c r="O531" s="398"/>
      <c r="P531" s="398"/>
      <c r="Q531" s="398"/>
      <c r="R531" s="398"/>
      <c r="S531" s="398"/>
      <c r="T531" s="398"/>
      <c r="U531" s="398"/>
    </row>
    <row r="532" spans="1:21" ht="12.75" hidden="1" x14ac:dyDescent="0.2">
      <c r="A532" s="1107"/>
      <c r="B532" s="1106"/>
      <c r="C532" s="1106"/>
      <c r="D532" s="1142"/>
      <c r="E532" s="1142"/>
      <c r="F532" s="1142"/>
      <c r="G532" s="1141"/>
      <c r="H532" s="1105"/>
      <c r="I532" s="1104"/>
      <c r="J532" s="1104"/>
      <c r="K532" s="1103"/>
      <c r="L532" s="1140"/>
      <c r="M532" s="1103"/>
      <c r="N532" s="1103"/>
      <c r="O532" s="1103"/>
      <c r="P532" s="1103"/>
      <c r="Q532" s="1103"/>
      <c r="R532" s="1103"/>
      <c r="S532" s="1103"/>
      <c r="T532" s="1103"/>
      <c r="U532" s="1103"/>
    </row>
    <row r="533" spans="1:21" ht="19.5" hidden="1" x14ac:dyDescent="0.3">
      <c r="A533" s="633"/>
      <c r="B533" s="634" t="s">
        <v>325</v>
      </c>
      <c r="C533" s="635"/>
      <c r="D533" s="636"/>
      <c r="E533" s="636"/>
      <c r="F533" s="636"/>
      <c r="G533" s="637"/>
      <c r="H533" s="1147" t="s">
        <v>61</v>
      </c>
      <c r="I533" s="1148">
        <f>I545</f>
        <v>0</v>
      </c>
      <c r="J533" s="1148">
        <f>J545</f>
        <v>0</v>
      </c>
      <c r="K533" s="640">
        <f>IF(I533&gt;0,J533*100/I533,0)</f>
        <v>0</v>
      </c>
      <c r="L533" s="1145"/>
      <c r="M533" s="641"/>
      <c r="N533" s="641"/>
      <c r="O533" s="641"/>
      <c r="P533" s="641"/>
      <c r="Q533" s="641"/>
      <c r="R533" s="641"/>
      <c r="S533" s="641"/>
      <c r="T533" s="641"/>
      <c r="U533" s="641"/>
    </row>
    <row r="534" spans="1:21" ht="19.5" hidden="1" x14ac:dyDescent="0.3">
      <c r="A534" s="207"/>
      <c r="B534" s="65"/>
      <c r="C534" s="208" t="s">
        <v>18</v>
      </c>
      <c r="D534" s="941" t="s">
        <v>19</v>
      </c>
      <c r="E534" s="65"/>
      <c r="F534" s="65"/>
      <c r="G534" s="67"/>
      <c r="H534" s="210" t="s">
        <v>14</v>
      </c>
      <c r="I534" s="69"/>
      <c r="J534" s="69"/>
      <c r="K534" s="70"/>
      <c r="L534" s="681">
        <f ca="1">L535+L536</f>
        <v>0</v>
      </c>
      <c r="M534" s="682">
        <f ca="1">M535+M536</f>
        <v>0</v>
      </c>
      <c r="N534" s="682">
        <f ca="1">N535+N536</f>
        <v>0</v>
      </c>
      <c r="O534" s="682">
        <f t="shared" ref="O534:O542" ca="1" si="131">IF(L534&gt;0,N534*100/L534,0)</f>
        <v>0</v>
      </c>
      <c r="P534" s="682">
        <f t="shared" ref="P534:P542" ca="1" si="132">IF(M534&gt;0,N534*100/M534,0)</f>
        <v>0</v>
      </c>
      <c r="Q534" s="682">
        <f>Q535+Q536</f>
        <v>0</v>
      </c>
      <c r="R534" s="682">
        <f>R535+R536</f>
        <v>0</v>
      </c>
      <c r="S534" s="682">
        <f>S535+S536</f>
        <v>0</v>
      </c>
      <c r="T534" s="682">
        <f t="shared" ref="T534:T542" si="133">IF(Q534&gt;0,S534*100/Q534,0)</f>
        <v>0</v>
      </c>
      <c r="U534" s="682">
        <f t="shared" ref="U534:U542" si="134">IF(R534&gt;0,S534*100/R534,0)</f>
        <v>0</v>
      </c>
    </row>
    <row r="535" spans="1:21" ht="18.75" hidden="1" x14ac:dyDescent="0.25">
      <c r="A535" s="207"/>
      <c r="B535" s="367"/>
      <c r="C535" s="65"/>
      <c r="D535" s="65"/>
      <c r="E535" s="73" t="s">
        <v>20</v>
      </c>
      <c r="F535" s="65"/>
      <c r="G535" s="67"/>
      <c r="H535" s="214" t="s">
        <v>14</v>
      </c>
      <c r="I535" s="69"/>
      <c r="J535" s="69"/>
      <c r="K535" s="70"/>
      <c r="L535" s="683">
        <f t="shared" ref="L535:N536" si="135">L538+L541</f>
        <v>0</v>
      </c>
      <c r="M535" s="684">
        <f t="shared" si="135"/>
        <v>0</v>
      </c>
      <c r="N535" s="684">
        <f t="shared" si="135"/>
        <v>0</v>
      </c>
      <c r="O535" s="684">
        <f t="shared" si="131"/>
        <v>0</v>
      </c>
      <c r="P535" s="684">
        <f t="shared" si="132"/>
        <v>0</v>
      </c>
      <c r="Q535" s="684">
        <f t="shared" ref="Q535:S536" si="136">Q538+Q541</f>
        <v>0</v>
      </c>
      <c r="R535" s="684">
        <f t="shared" si="136"/>
        <v>0</v>
      </c>
      <c r="S535" s="684">
        <f t="shared" si="136"/>
        <v>0</v>
      </c>
      <c r="T535" s="684">
        <f t="shared" si="133"/>
        <v>0</v>
      </c>
      <c r="U535" s="684">
        <f t="shared" si="134"/>
        <v>0</v>
      </c>
    </row>
    <row r="536" spans="1:21" ht="18.75" hidden="1" x14ac:dyDescent="0.25">
      <c r="A536" s="207"/>
      <c r="B536" s="65"/>
      <c r="C536" s="367"/>
      <c r="D536" s="65"/>
      <c r="E536" s="365" t="s">
        <v>21</v>
      </c>
      <c r="F536" s="65"/>
      <c r="G536" s="67"/>
      <c r="H536" s="214" t="s">
        <v>14</v>
      </c>
      <c r="I536" s="69"/>
      <c r="J536" s="69"/>
      <c r="K536" s="70"/>
      <c r="L536" s="683">
        <f t="shared" ca="1" si="135"/>
        <v>0</v>
      </c>
      <c r="M536" s="684">
        <f t="shared" ca="1" si="135"/>
        <v>0</v>
      </c>
      <c r="N536" s="684">
        <f t="shared" ca="1" si="135"/>
        <v>0</v>
      </c>
      <c r="O536" s="684">
        <f t="shared" ca="1" si="131"/>
        <v>0</v>
      </c>
      <c r="P536" s="684">
        <f t="shared" ca="1" si="132"/>
        <v>0</v>
      </c>
      <c r="Q536" s="684">
        <f t="shared" si="136"/>
        <v>0</v>
      </c>
      <c r="R536" s="684">
        <f t="shared" si="136"/>
        <v>0</v>
      </c>
      <c r="S536" s="684">
        <f t="shared" si="136"/>
        <v>0</v>
      </c>
      <c r="T536" s="684">
        <f t="shared" si="133"/>
        <v>0</v>
      </c>
      <c r="U536" s="684">
        <f t="shared" si="134"/>
        <v>0</v>
      </c>
    </row>
    <row r="537" spans="1:21" ht="18.75" hidden="1" x14ac:dyDescent="0.25">
      <c r="A537" s="207"/>
      <c r="B537" s="65"/>
      <c r="C537" s="367"/>
      <c r="D537" s="937" t="s">
        <v>22</v>
      </c>
      <c r="E537" s="367"/>
      <c r="F537" s="65"/>
      <c r="G537" s="67"/>
      <c r="H537" s="216" t="s">
        <v>14</v>
      </c>
      <c r="I537" s="217"/>
      <c r="J537" s="217"/>
      <c r="K537" s="218"/>
      <c r="L537" s="683">
        <f ca="1">L538+L539</f>
        <v>0</v>
      </c>
      <c r="M537" s="684">
        <f ca="1">M538+M539</f>
        <v>0</v>
      </c>
      <c r="N537" s="684">
        <f ca="1">N538+N539</f>
        <v>0</v>
      </c>
      <c r="O537" s="684">
        <f t="shared" ca="1" si="131"/>
        <v>0</v>
      </c>
      <c r="P537" s="684">
        <f t="shared" ca="1" si="132"/>
        <v>0</v>
      </c>
      <c r="Q537" s="684">
        <f>Q538+Q539</f>
        <v>0</v>
      </c>
      <c r="R537" s="684">
        <f>R538+R539</f>
        <v>0</v>
      </c>
      <c r="S537" s="684">
        <f>S538+S539</f>
        <v>0</v>
      </c>
      <c r="T537" s="684">
        <f t="shared" si="133"/>
        <v>0</v>
      </c>
      <c r="U537" s="684">
        <f t="shared" si="134"/>
        <v>0</v>
      </c>
    </row>
    <row r="538" spans="1:21" ht="18.75" hidden="1" x14ac:dyDescent="0.25">
      <c r="A538" s="207"/>
      <c r="B538" s="65"/>
      <c r="C538" s="65"/>
      <c r="D538" s="65"/>
      <c r="E538" s="73" t="s">
        <v>36</v>
      </c>
      <c r="F538" s="65"/>
      <c r="G538" s="67"/>
      <c r="H538" s="216" t="s">
        <v>14</v>
      </c>
      <c r="I538" s="217"/>
      <c r="J538" s="217"/>
      <c r="K538" s="218"/>
      <c r="L538" s="685">
        <v>0</v>
      </c>
      <c r="M538" s="86">
        <v>0</v>
      </c>
      <c r="N538" s="86">
        <v>0</v>
      </c>
      <c r="O538" s="684">
        <f t="shared" si="131"/>
        <v>0</v>
      </c>
      <c r="P538" s="684">
        <f t="shared" si="132"/>
        <v>0</v>
      </c>
      <c r="Q538" s="86">
        <v>0</v>
      </c>
      <c r="R538" s="86">
        <v>0</v>
      </c>
      <c r="S538" s="86">
        <v>0</v>
      </c>
      <c r="T538" s="684">
        <f t="shared" si="133"/>
        <v>0</v>
      </c>
      <c r="U538" s="684">
        <f t="shared" si="134"/>
        <v>0</v>
      </c>
    </row>
    <row r="539" spans="1:21" ht="18.75" hidden="1" x14ac:dyDescent="0.25">
      <c r="A539" s="207"/>
      <c r="B539" s="65"/>
      <c r="C539" s="65"/>
      <c r="D539" s="65"/>
      <c r="E539" s="73" t="s">
        <v>37</v>
      </c>
      <c r="F539" s="65"/>
      <c r="G539" s="67"/>
      <c r="H539" s="216" t="s">
        <v>14</v>
      </c>
      <c r="I539" s="217"/>
      <c r="J539" s="217"/>
      <c r="K539" s="218"/>
      <c r="L539" s="685">
        <f ca="1">IFERROR(__xludf.DUMMYFUNCTION("IMPORTRANGE(""https://docs.google.com/spreadsheets/d/1-uDff_7J0KD5mKrp0Vvzr7lt3OU09vwQwhkpOPPYv2Y/edit?usp=sharing"",""งบพรบ!FW53"")"),0)</f>
        <v>0</v>
      </c>
      <c r="M539" s="86">
        <f ca="1">IFERROR(__xludf.DUMMYFUNCTION("IMPORTRANGE(""https://docs.google.com/spreadsheets/d/1-uDff_7J0KD5mKrp0Vvzr7lt3OU09vwQwhkpOPPYv2Y/edit?usp=sharing"",""งบพรบ!GB53"")"),0)</f>
        <v>0</v>
      </c>
      <c r="N539" s="86">
        <f ca="1">IFERROR(__xludf.DUMMYFUNCTION("IMPORTRANGE(""https://docs.google.com/spreadsheets/d/1-uDff_7J0KD5mKrp0Vvzr7lt3OU09vwQwhkpOPPYv2Y/edit?usp=sharing"",""งบพรบ!GD53"")"),0)</f>
        <v>0</v>
      </c>
      <c r="O539" s="684">
        <f t="shared" ca="1" si="131"/>
        <v>0</v>
      </c>
      <c r="P539" s="684">
        <f t="shared" ca="1" si="132"/>
        <v>0</v>
      </c>
      <c r="Q539" s="86">
        <v>0</v>
      </c>
      <c r="R539" s="86">
        <v>0</v>
      </c>
      <c r="S539" s="86">
        <v>0</v>
      </c>
      <c r="T539" s="684">
        <f t="shared" si="133"/>
        <v>0</v>
      </c>
      <c r="U539" s="684">
        <f t="shared" si="134"/>
        <v>0</v>
      </c>
    </row>
    <row r="540" spans="1:21" ht="18.75" hidden="1" x14ac:dyDescent="0.25">
      <c r="A540" s="207"/>
      <c r="B540" s="65"/>
      <c r="C540" s="65"/>
      <c r="D540" s="937" t="s">
        <v>23</v>
      </c>
      <c r="E540" s="65"/>
      <c r="F540" s="65"/>
      <c r="G540" s="67"/>
      <c r="H540" s="219" t="s">
        <v>14</v>
      </c>
      <c r="I540" s="217"/>
      <c r="J540" s="217"/>
      <c r="K540" s="218"/>
      <c r="L540" s="683">
        <f ca="1">L541+L542</f>
        <v>0</v>
      </c>
      <c r="M540" s="684">
        <f ca="1">M541+M542</f>
        <v>0</v>
      </c>
      <c r="N540" s="684">
        <f ca="1">N541+N542</f>
        <v>0</v>
      </c>
      <c r="O540" s="684">
        <f t="shared" ca="1" si="131"/>
        <v>0</v>
      </c>
      <c r="P540" s="684">
        <f t="shared" ca="1" si="132"/>
        <v>0</v>
      </c>
      <c r="Q540" s="684">
        <f>Q541+Q542</f>
        <v>0</v>
      </c>
      <c r="R540" s="684">
        <f>R541+R542</f>
        <v>0</v>
      </c>
      <c r="S540" s="684">
        <f>S541+S542</f>
        <v>0</v>
      </c>
      <c r="T540" s="684">
        <f t="shared" si="133"/>
        <v>0</v>
      </c>
      <c r="U540" s="684">
        <f t="shared" si="134"/>
        <v>0</v>
      </c>
    </row>
    <row r="541" spans="1:21" ht="18.75" hidden="1" x14ac:dyDescent="0.25">
      <c r="A541" s="207"/>
      <c r="B541" s="65"/>
      <c r="C541" s="65"/>
      <c r="D541" s="65"/>
      <c r="E541" s="73" t="s">
        <v>20</v>
      </c>
      <c r="F541" s="65"/>
      <c r="G541" s="67"/>
      <c r="H541" s="216" t="s">
        <v>14</v>
      </c>
      <c r="I541" s="217"/>
      <c r="J541" s="217"/>
      <c r="K541" s="218"/>
      <c r="L541" s="685">
        <v>0</v>
      </c>
      <c r="M541" s="86">
        <v>0</v>
      </c>
      <c r="N541" s="86">
        <v>0</v>
      </c>
      <c r="O541" s="684">
        <f t="shared" si="131"/>
        <v>0</v>
      </c>
      <c r="P541" s="684">
        <f t="shared" si="132"/>
        <v>0</v>
      </c>
      <c r="Q541" s="86">
        <v>0</v>
      </c>
      <c r="R541" s="86">
        <v>0</v>
      </c>
      <c r="S541" s="86">
        <v>0</v>
      </c>
      <c r="T541" s="684">
        <f t="shared" si="133"/>
        <v>0</v>
      </c>
      <c r="U541" s="684">
        <f t="shared" si="134"/>
        <v>0</v>
      </c>
    </row>
    <row r="542" spans="1:21" ht="18.75" hidden="1" x14ac:dyDescent="0.25">
      <c r="A542" s="207"/>
      <c r="B542" s="65"/>
      <c r="C542" s="65"/>
      <c r="D542" s="65"/>
      <c r="E542" s="73" t="s">
        <v>21</v>
      </c>
      <c r="F542" s="65"/>
      <c r="G542" s="67"/>
      <c r="H542" s="219" t="s">
        <v>14</v>
      </c>
      <c r="I542" s="217"/>
      <c r="J542" s="217"/>
      <c r="K542" s="218"/>
      <c r="L542" s="685">
        <f ca="1">IFERROR(__xludf.DUMMYFUNCTION("IMPORTRANGE(""https://docs.google.com/spreadsheets/d/1-uDff_7J0KD5mKrp0Vvzr7lt3OU09vwQwhkpOPPYv2Y/edit?usp=sharing"",""งบพรบ!FZ53"")"),0)</f>
        <v>0</v>
      </c>
      <c r="M542" s="86">
        <f ca="1">IFERROR(__xludf.DUMMYFUNCTION("IMPORTRANGE(""https://docs.google.com/spreadsheets/d/1-uDff_7J0KD5mKrp0Vvzr7lt3OU09vwQwhkpOPPYv2Y/edit?usp=sharing"",""งบพรบ!GC53"")"),0)</f>
        <v>0</v>
      </c>
      <c r="N542" s="86">
        <f ca="1">IFERROR(__xludf.DUMMYFUNCTION("IMPORTRANGE(""https://docs.google.com/spreadsheets/d/1-uDff_7J0KD5mKrp0Vvzr7lt3OU09vwQwhkpOPPYv2Y/edit?usp=sharing"",""งบพรบ!GE53"")"),0)</f>
        <v>0</v>
      </c>
      <c r="O542" s="684">
        <f t="shared" ca="1" si="131"/>
        <v>0</v>
      </c>
      <c r="P542" s="684">
        <f t="shared" ca="1" si="132"/>
        <v>0</v>
      </c>
      <c r="Q542" s="86">
        <v>0</v>
      </c>
      <c r="R542" s="86">
        <v>0</v>
      </c>
      <c r="S542" s="86">
        <v>0</v>
      </c>
      <c r="T542" s="684">
        <f t="shared" si="133"/>
        <v>0</v>
      </c>
      <c r="U542" s="684">
        <f t="shared" si="134"/>
        <v>0</v>
      </c>
    </row>
    <row r="543" spans="1:21" ht="19.5" hidden="1" x14ac:dyDescent="0.3">
      <c r="A543" s="220"/>
      <c r="B543" s="221"/>
      <c r="C543" s="1122" t="s">
        <v>18</v>
      </c>
      <c r="D543" s="931" t="s">
        <v>38</v>
      </c>
      <c r="E543" s="223"/>
      <c r="F543" s="223"/>
      <c r="G543" s="224"/>
      <c r="H543" s="225"/>
      <c r="I543" s="217"/>
      <c r="J543" s="69"/>
      <c r="K543" s="70"/>
      <c r="L543" s="519"/>
      <c r="M543" s="70"/>
      <c r="N543" s="70"/>
      <c r="O543" s="218"/>
      <c r="P543" s="218"/>
      <c r="Q543" s="70"/>
      <c r="R543" s="70"/>
      <c r="S543" s="70"/>
      <c r="T543" s="218"/>
      <c r="U543" s="218"/>
    </row>
    <row r="544" spans="1:21" ht="12.75" hidden="1" x14ac:dyDescent="0.2">
      <c r="A544" s="391"/>
      <c r="B544" s="394"/>
      <c r="C544" s="392"/>
      <c r="D544" s="394"/>
      <c r="E544" s="392"/>
      <c r="F544" s="394"/>
      <c r="G544" s="395"/>
      <c r="H544" s="395"/>
      <c r="I544" s="397"/>
      <c r="J544" s="397"/>
      <c r="K544" s="398"/>
      <c r="L544" s="1143"/>
      <c r="M544" s="398"/>
      <c r="N544" s="398"/>
      <c r="O544" s="398"/>
      <c r="P544" s="398"/>
      <c r="Q544" s="398"/>
      <c r="R544" s="398"/>
      <c r="S544" s="398"/>
      <c r="T544" s="398"/>
      <c r="U544" s="398"/>
    </row>
    <row r="545" spans="1:21" ht="12.75" hidden="1" x14ac:dyDescent="0.2">
      <c r="A545" s="391"/>
      <c r="B545" s="394"/>
      <c r="C545" s="392"/>
      <c r="D545" s="394"/>
      <c r="E545" s="392"/>
      <c r="F545" s="394"/>
      <c r="G545" s="395"/>
      <c r="H545" s="395"/>
      <c r="I545" s="397"/>
      <c r="J545" s="397"/>
      <c r="K545" s="398"/>
      <c r="L545" s="1143"/>
      <c r="M545" s="398"/>
      <c r="N545" s="398"/>
      <c r="O545" s="398"/>
      <c r="P545" s="398"/>
      <c r="Q545" s="398"/>
      <c r="R545" s="398"/>
      <c r="S545" s="398"/>
      <c r="T545" s="398"/>
      <c r="U545" s="398"/>
    </row>
    <row r="546" spans="1:21" ht="12.75" hidden="1" x14ac:dyDescent="0.2">
      <c r="A546" s="391"/>
      <c r="B546" s="392"/>
      <c r="C546" s="392"/>
      <c r="D546" s="394"/>
      <c r="E546" s="394"/>
      <c r="F546" s="394"/>
      <c r="G546" s="395"/>
      <c r="H546" s="1108"/>
      <c r="I546" s="397"/>
      <c r="J546" s="397"/>
      <c r="K546" s="398"/>
      <c r="L546" s="1143"/>
      <c r="M546" s="398"/>
      <c r="N546" s="398"/>
      <c r="O546" s="398"/>
      <c r="P546" s="398"/>
      <c r="Q546" s="398"/>
      <c r="R546" s="398"/>
      <c r="S546" s="398"/>
      <c r="T546" s="398"/>
      <c r="U546" s="398"/>
    </row>
    <row r="547" spans="1:21" ht="12.75" hidden="1" x14ac:dyDescent="0.2">
      <c r="A547" s="391"/>
      <c r="B547" s="392"/>
      <c r="C547" s="392"/>
      <c r="D547" s="394"/>
      <c r="E547" s="394"/>
      <c r="F547" s="394"/>
      <c r="G547" s="395"/>
      <c r="H547" s="1108"/>
      <c r="I547" s="397"/>
      <c r="J547" s="397"/>
      <c r="K547" s="398"/>
      <c r="L547" s="1143"/>
      <c r="M547" s="398"/>
      <c r="N547" s="398"/>
      <c r="O547" s="398"/>
      <c r="P547" s="398"/>
      <c r="Q547" s="398"/>
      <c r="R547" s="398"/>
      <c r="S547" s="398"/>
      <c r="T547" s="398"/>
      <c r="U547" s="398"/>
    </row>
    <row r="548" spans="1:21" ht="12.75" hidden="1" x14ac:dyDescent="0.2">
      <c r="A548" s="391"/>
      <c r="B548" s="392"/>
      <c r="C548" s="392"/>
      <c r="D548" s="394"/>
      <c r="E548" s="394"/>
      <c r="F548" s="394"/>
      <c r="G548" s="395"/>
      <c r="H548" s="1108"/>
      <c r="I548" s="397"/>
      <c r="J548" s="397"/>
      <c r="K548" s="398"/>
      <c r="L548" s="1143"/>
      <c r="M548" s="398"/>
      <c r="N548" s="398"/>
      <c r="O548" s="398"/>
      <c r="P548" s="398"/>
      <c r="Q548" s="398"/>
      <c r="R548" s="398"/>
      <c r="S548" s="398"/>
      <c r="T548" s="398"/>
      <c r="U548" s="398"/>
    </row>
    <row r="549" spans="1:21" ht="12.75" hidden="1" x14ac:dyDescent="0.2">
      <c r="A549" s="391"/>
      <c r="B549" s="392"/>
      <c r="C549" s="392"/>
      <c r="D549" s="394"/>
      <c r="E549" s="394"/>
      <c r="F549" s="394"/>
      <c r="G549" s="395"/>
      <c r="H549" s="1108"/>
      <c r="I549" s="397"/>
      <c r="J549" s="397"/>
      <c r="K549" s="398"/>
      <c r="L549" s="1143"/>
      <c r="M549" s="398"/>
      <c r="N549" s="398"/>
      <c r="O549" s="398"/>
      <c r="P549" s="398"/>
      <c r="Q549" s="398"/>
      <c r="R549" s="398"/>
      <c r="S549" s="398"/>
      <c r="T549" s="398"/>
      <c r="U549" s="398"/>
    </row>
    <row r="550" spans="1:21" ht="12.75" hidden="1" x14ac:dyDescent="0.2">
      <c r="A550" s="391"/>
      <c r="B550" s="392"/>
      <c r="C550" s="392"/>
      <c r="D550" s="394"/>
      <c r="E550" s="394"/>
      <c r="F550" s="394"/>
      <c r="G550" s="395"/>
      <c r="H550" s="1108"/>
      <c r="I550" s="397"/>
      <c r="J550" s="397"/>
      <c r="K550" s="398"/>
      <c r="L550" s="1143"/>
      <c r="M550" s="398"/>
      <c r="N550" s="398"/>
      <c r="O550" s="398"/>
      <c r="P550" s="398"/>
      <c r="Q550" s="398"/>
      <c r="R550" s="398"/>
      <c r="S550" s="398"/>
      <c r="T550" s="398"/>
      <c r="U550" s="398"/>
    </row>
    <row r="551" spans="1:21" ht="12.75" hidden="1" x14ac:dyDescent="0.2">
      <c r="A551" s="391"/>
      <c r="B551" s="392"/>
      <c r="C551" s="392"/>
      <c r="D551" s="394"/>
      <c r="E551" s="394"/>
      <c r="F551" s="394"/>
      <c r="G551" s="395"/>
      <c r="H551" s="1108"/>
      <c r="I551" s="397"/>
      <c r="J551" s="397"/>
      <c r="K551" s="398"/>
      <c r="L551" s="1143"/>
      <c r="M551" s="398"/>
      <c r="N551" s="398"/>
      <c r="O551" s="398"/>
      <c r="P551" s="398"/>
      <c r="Q551" s="398"/>
      <c r="R551" s="398"/>
      <c r="S551" s="398"/>
      <c r="T551" s="398"/>
      <c r="U551" s="398"/>
    </row>
    <row r="552" spans="1:21" ht="12.75" hidden="1" x14ac:dyDescent="0.2">
      <c r="A552" s="391"/>
      <c r="B552" s="392"/>
      <c r="C552" s="392"/>
      <c r="D552" s="394"/>
      <c r="E552" s="394"/>
      <c r="F552" s="394"/>
      <c r="G552" s="395"/>
      <c r="H552" s="1108"/>
      <c r="I552" s="397"/>
      <c r="J552" s="397"/>
      <c r="K552" s="398"/>
      <c r="L552" s="1143"/>
      <c r="M552" s="398"/>
      <c r="N552" s="398"/>
      <c r="O552" s="398"/>
      <c r="P552" s="398"/>
      <c r="Q552" s="398"/>
      <c r="R552" s="398"/>
      <c r="S552" s="398"/>
      <c r="T552" s="398"/>
      <c r="U552" s="398"/>
    </row>
    <row r="553" spans="1:21" ht="12.75" hidden="1" x14ac:dyDescent="0.2">
      <c r="A553" s="1107"/>
      <c r="B553" s="1106"/>
      <c r="C553" s="1106"/>
      <c r="D553" s="1142"/>
      <c r="E553" s="1142"/>
      <c r="F553" s="1142"/>
      <c r="G553" s="1141"/>
      <c r="H553" s="1105"/>
      <c r="I553" s="1104"/>
      <c r="J553" s="1104"/>
      <c r="K553" s="1103"/>
      <c r="L553" s="1140"/>
      <c r="M553" s="1103"/>
      <c r="N553" s="1103"/>
      <c r="O553" s="1103"/>
      <c r="P553" s="1103"/>
      <c r="Q553" s="1103"/>
      <c r="R553" s="1103"/>
      <c r="S553" s="1103"/>
      <c r="T553" s="1103"/>
      <c r="U553" s="1103"/>
    </row>
    <row r="554" spans="1:21" ht="19.5" x14ac:dyDescent="0.3">
      <c r="A554" s="633"/>
      <c r="B554" s="634" t="s">
        <v>324</v>
      </c>
      <c r="C554" s="635"/>
      <c r="D554" s="636"/>
      <c r="E554" s="636"/>
      <c r="F554" s="636"/>
      <c r="G554" s="637"/>
      <c r="H554" s="1147" t="s">
        <v>61</v>
      </c>
      <c r="I554" s="1146">
        <f>I565</f>
        <v>3</v>
      </c>
      <c r="J554" s="1146">
        <f>J565</f>
        <v>0</v>
      </c>
      <c r="K554" s="640">
        <f>IF(I554&gt;0,J554*100/I554,0)</f>
        <v>0</v>
      </c>
      <c r="L554" s="1145"/>
      <c r="M554" s="641"/>
      <c r="N554" s="641"/>
      <c r="O554" s="641"/>
      <c r="P554" s="641"/>
      <c r="Q554" s="641"/>
      <c r="R554" s="641"/>
      <c r="S554" s="641"/>
      <c r="T554" s="641"/>
      <c r="U554" s="641"/>
    </row>
    <row r="555" spans="1:21" ht="19.5" x14ac:dyDescent="0.3">
      <c r="A555" s="207"/>
      <c r="B555" s="65"/>
      <c r="C555" s="1122" t="s">
        <v>18</v>
      </c>
      <c r="D555" s="941" t="s">
        <v>19</v>
      </c>
      <c r="E555" s="65"/>
      <c r="F555" s="65"/>
      <c r="G555" s="67"/>
      <c r="H555" s="210" t="s">
        <v>14</v>
      </c>
      <c r="I555" s="69"/>
      <c r="J555" s="69"/>
      <c r="K555" s="70"/>
      <c r="L555" s="681">
        <f ca="1">L556+L557</f>
        <v>2586500</v>
      </c>
      <c r="M555" s="682">
        <f ca="1">M556+M557</f>
        <v>2586500</v>
      </c>
      <c r="N555" s="682">
        <f ca="1">N556+N557</f>
        <v>1409000</v>
      </c>
      <c r="O555" s="682">
        <f t="shared" ref="O555:O563" ca="1" si="137">IF(L555&gt;0,N555*100/L555,0)</f>
        <v>54.475159481925381</v>
      </c>
      <c r="P555" s="682">
        <f t="shared" ref="P555:P563" ca="1" si="138">IF(M555&gt;0,N555*100/M555,0)</f>
        <v>54.475159481925381</v>
      </c>
      <c r="Q555" s="682">
        <f>Q556+Q557</f>
        <v>0</v>
      </c>
      <c r="R555" s="682">
        <f>R556+R557</f>
        <v>0</v>
      </c>
      <c r="S555" s="682">
        <f>S556+S557</f>
        <v>0</v>
      </c>
      <c r="T555" s="682">
        <f t="shared" ref="T555:T563" si="139">IF(Q555&gt;0,S555*100/Q555,0)</f>
        <v>0</v>
      </c>
      <c r="U555" s="682">
        <f t="shared" ref="U555:U563" si="140">IF(R555&gt;0,S555*100/R555,0)</f>
        <v>0</v>
      </c>
    </row>
    <row r="556" spans="1:21" ht="18.75" hidden="1" x14ac:dyDescent="0.25">
      <c r="A556" s="936"/>
      <c r="B556" s="1082"/>
      <c r="C556" s="935"/>
      <c r="D556" s="935"/>
      <c r="E556" s="263" t="s">
        <v>20</v>
      </c>
      <c r="F556" s="935"/>
      <c r="G556" s="934"/>
      <c r="H556" s="264" t="s">
        <v>14</v>
      </c>
      <c r="I556" s="939"/>
      <c r="J556" s="939"/>
      <c r="K556" s="938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07"/>
      <c r="B557" s="65"/>
      <c r="C557" s="367"/>
      <c r="D557" s="65"/>
      <c r="E557" s="365" t="s">
        <v>21</v>
      </c>
      <c r="F557" s="65"/>
      <c r="G557" s="67"/>
      <c r="H557" s="214" t="s">
        <v>14</v>
      </c>
      <c r="I557" s="69"/>
      <c r="J557" s="69"/>
      <c r="K557" s="70"/>
      <c r="L557" s="683">
        <f t="shared" ca="1" si="141"/>
        <v>2586500</v>
      </c>
      <c r="M557" s="684">
        <f t="shared" ca="1" si="141"/>
        <v>2586500</v>
      </c>
      <c r="N557" s="684">
        <f t="shared" ca="1" si="141"/>
        <v>1409000</v>
      </c>
      <c r="O557" s="684">
        <f t="shared" ca="1" si="137"/>
        <v>54.475159481925381</v>
      </c>
      <c r="P557" s="684">
        <f t="shared" ca="1" si="138"/>
        <v>54.475159481925381</v>
      </c>
      <c r="Q557" s="684">
        <f t="shared" si="142"/>
        <v>0</v>
      </c>
      <c r="R557" s="684">
        <f t="shared" si="142"/>
        <v>0</v>
      </c>
      <c r="S557" s="684">
        <f t="shared" si="142"/>
        <v>0</v>
      </c>
      <c r="T557" s="684">
        <f t="shared" si="139"/>
        <v>0</v>
      </c>
      <c r="U557" s="684">
        <f t="shared" si="140"/>
        <v>0</v>
      </c>
    </row>
    <row r="558" spans="1:21" ht="18.75" x14ac:dyDescent="0.25">
      <c r="A558" s="207"/>
      <c r="B558" s="65"/>
      <c r="C558" s="367"/>
      <c r="D558" s="937" t="s">
        <v>22</v>
      </c>
      <c r="E558" s="367"/>
      <c r="F558" s="65"/>
      <c r="G558" s="67"/>
      <c r="H558" s="216" t="s">
        <v>14</v>
      </c>
      <c r="I558" s="217"/>
      <c r="J558" s="217"/>
      <c r="K558" s="218"/>
      <c r="L558" s="683">
        <f ca="1">L559+L560</f>
        <v>0</v>
      </c>
      <c r="M558" s="684">
        <f ca="1">M559+M560</f>
        <v>0</v>
      </c>
      <c r="N558" s="684">
        <f ca="1">N559+N560</f>
        <v>0</v>
      </c>
      <c r="O558" s="684">
        <f t="shared" ca="1" si="137"/>
        <v>0</v>
      </c>
      <c r="P558" s="684">
        <f t="shared" ca="1" si="138"/>
        <v>0</v>
      </c>
      <c r="Q558" s="684">
        <f>Q559+Q560</f>
        <v>0</v>
      </c>
      <c r="R558" s="684">
        <f>R559+R560</f>
        <v>0</v>
      </c>
      <c r="S558" s="684">
        <f>S559+S560</f>
        <v>0</v>
      </c>
      <c r="T558" s="684">
        <f t="shared" si="139"/>
        <v>0</v>
      </c>
      <c r="U558" s="684">
        <f t="shared" si="140"/>
        <v>0</v>
      </c>
    </row>
    <row r="559" spans="1:21" ht="18.75" hidden="1" x14ac:dyDescent="0.25">
      <c r="A559" s="936"/>
      <c r="B559" s="935"/>
      <c r="C559" s="935"/>
      <c r="D559" s="935"/>
      <c r="E559" s="263" t="s">
        <v>36</v>
      </c>
      <c r="F559" s="935"/>
      <c r="G559" s="934"/>
      <c r="H559" s="271" t="s">
        <v>14</v>
      </c>
      <c r="I559" s="933"/>
      <c r="J559" s="933"/>
      <c r="K559" s="932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07"/>
      <c r="B560" s="65"/>
      <c r="C560" s="65"/>
      <c r="D560" s="65"/>
      <c r="E560" s="73" t="s">
        <v>37</v>
      </c>
      <c r="F560" s="65"/>
      <c r="G560" s="67"/>
      <c r="H560" s="216" t="s">
        <v>14</v>
      </c>
      <c r="I560" s="217"/>
      <c r="J560" s="217"/>
      <c r="K560" s="218"/>
      <c r="L560" s="685">
        <f ca="1">IFERROR(__xludf.DUMMYFUNCTION("IMPORTRANGE(""https://docs.google.com/spreadsheets/d/1-uDff_7J0KD5mKrp0Vvzr7lt3OU09vwQwhkpOPPYv2Y/edit?usp=sharing"",""งบพรบ!GG53"")"),0)</f>
        <v>0</v>
      </c>
      <c r="M560" s="86">
        <f ca="1">IFERROR(__xludf.DUMMYFUNCTION("IMPORTRANGE(""https://docs.google.com/spreadsheets/d/1-uDff_7J0KD5mKrp0Vvzr7lt3OU09vwQwhkpOPPYv2Y/edit?usp=sharing"",""งบพรบ!GL53"")"),0)</f>
        <v>0</v>
      </c>
      <c r="N560" s="86">
        <f ca="1">IFERROR(__xludf.DUMMYFUNCTION("IMPORTRANGE(""https://docs.google.com/spreadsheets/d/1-uDff_7J0KD5mKrp0Vvzr7lt3OU09vwQwhkpOPPYv2Y/edit?usp=sharing"",""งบพรบ!GN53"")"),0)</f>
        <v>0</v>
      </c>
      <c r="O560" s="684">
        <f t="shared" ca="1" si="137"/>
        <v>0</v>
      </c>
      <c r="P560" s="684">
        <f t="shared" ca="1" si="138"/>
        <v>0</v>
      </c>
      <c r="Q560" s="86">
        <v>0</v>
      </c>
      <c r="R560" s="86">
        <v>0</v>
      </c>
      <c r="S560" s="86">
        <v>0</v>
      </c>
      <c r="T560" s="684">
        <f t="shared" si="139"/>
        <v>0</v>
      </c>
      <c r="U560" s="684">
        <f t="shared" si="140"/>
        <v>0</v>
      </c>
    </row>
    <row r="561" spans="1:21" ht="18.75" x14ac:dyDescent="0.25">
      <c r="A561" s="207"/>
      <c r="B561" s="65"/>
      <c r="C561" s="65"/>
      <c r="D561" s="937" t="s">
        <v>23</v>
      </c>
      <c r="E561" s="65"/>
      <c r="F561" s="65"/>
      <c r="G561" s="67"/>
      <c r="H561" s="219" t="s">
        <v>14</v>
      </c>
      <c r="I561" s="217"/>
      <c r="J561" s="217"/>
      <c r="K561" s="218"/>
      <c r="L561" s="683">
        <f ca="1">L562+L563</f>
        <v>2586500</v>
      </c>
      <c r="M561" s="684">
        <f ca="1">M562+M563</f>
        <v>2586500</v>
      </c>
      <c r="N561" s="684">
        <f ca="1">N562+N563</f>
        <v>1409000</v>
      </c>
      <c r="O561" s="684">
        <f t="shared" ca="1" si="137"/>
        <v>54.475159481925381</v>
      </c>
      <c r="P561" s="684">
        <f t="shared" ca="1" si="138"/>
        <v>54.475159481925381</v>
      </c>
      <c r="Q561" s="684">
        <f>Q562+Q563</f>
        <v>0</v>
      </c>
      <c r="R561" s="684">
        <f>R562+R563</f>
        <v>0</v>
      </c>
      <c r="S561" s="684">
        <f>S562+S563</f>
        <v>0</v>
      </c>
      <c r="T561" s="684">
        <f t="shared" si="139"/>
        <v>0</v>
      </c>
      <c r="U561" s="684">
        <f t="shared" si="140"/>
        <v>0</v>
      </c>
    </row>
    <row r="562" spans="1:21" ht="18.75" hidden="1" x14ac:dyDescent="0.25">
      <c r="A562" s="936"/>
      <c r="B562" s="935"/>
      <c r="C562" s="935"/>
      <c r="D562" s="935"/>
      <c r="E562" s="263" t="s">
        <v>20</v>
      </c>
      <c r="F562" s="935"/>
      <c r="G562" s="934"/>
      <c r="H562" s="271" t="s">
        <v>14</v>
      </c>
      <c r="I562" s="933"/>
      <c r="J562" s="933"/>
      <c r="K562" s="932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07"/>
      <c r="B563" s="65"/>
      <c r="C563" s="65"/>
      <c r="D563" s="65"/>
      <c r="E563" s="73" t="s">
        <v>21</v>
      </c>
      <c r="F563" s="65"/>
      <c r="G563" s="67"/>
      <c r="H563" s="219" t="s">
        <v>14</v>
      </c>
      <c r="I563" s="217"/>
      <c r="J563" s="217"/>
      <c r="K563" s="218"/>
      <c r="L563" s="685">
        <f ca="1">IFERROR(__xludf.DUMMYFUNCTION("IMPORTRANGE(""https://docs.google.com/spreadsheets/d/1-uDff_7J0KD5mKrp0Vvzr7lt3OU09vwQwhkpOPPYv2Y/edit?usp=sharing"",""งบพรบ!GJ53"")"),2586500)</f>
        <v>2586500</v>
      </c>
      <c r="M563" s="86">
        <f ca="1">IFERROR(__xludf.DUMMYFUNCTION("IMPORTRANGE(""https://docs.google.com/spreadsheets/d/1-uDff_7J0KD5mKrp0Vvzr7lt3OU09vwQwhkpOPPYv2Y/edit?usp=sharing"",""งบพรบ!GM53"")"),2586500)</f>
        <v>2586500</v>
      </c>
      <c r="N563" s="86">
        <f ca="1">IFERROR(__xludf.DUMMYFUNCTION("IMPORTRANGE(""https://docs.google.com/spreadsheets/d/1-uDff_7J0KD5mKrp0Vvzr7lt3OU09vwQwhkpOPPYv2Y/edit?usp=sharing"",""งบพรบ!GO53"")"),1409000)</f>
        <v>1409000</v>
      </c>
      <c r="O563" s="684">
        <f t="shared" ca="1" si="137"/>
        <v>54.475159481925381</v>
      </c>
      <c r="P563" s="684">
        <f t="shared" ca="1" si="138"/>
        <v>54.475159481925381</v>
      </c>
      <c r="Q563" s="86">
        <v>0</v>
      </c>
      <c r="R563" s="86">
        <v>0</v>
      </c>
      <c r="S563" s="86">
        <v>0</v>
      </c>
      <c r="T563" s="684">
        <f t="shared" si="139"/>
        <v>0</v>
      </c>
      <c r="U563" s="684">
        <f t="shared" si="140"/>
        <v>0</v>
      </c>
    </row>
    <row r="564" spans="1:21" ht="19.5" x14ac:dyDescent="0.3">
      <c r="A564" s="220"/>
      <c r="B564" s="221"/>
      <c r="C564" s="1122" t="s">
        <v>18</v>
      </c>
      <c r="D564" s="931" t="s">
        <v>38</v>
      </c>
      <c r="E564" s="223"/>
      <c r="F564" s="223"/>
      <c r="G564" s="224"/>
      <c r="H564" s="225"/>
      <c r="I564" s="217"/>
      <c r="J564" s="69"/>
      <c r="K564" s="70"/>
      <c r="L564" s="519"/>
      <c r="M564" s="70"/>
      <c r="N564" s="70"/>
      <c r="O564" s="218"/>
      <c r="P564" s="218"/>
      <c r="Q564" s="70"/>
      <c r="R564" s="70"/>
      <c r="S564" s="70"/>
      <c r="T564" s="218"/>
      <c r="U564" s="218"/>
    </row>
    <row r="565" spans="1:21" ht="18.75" x14ac:dyDescent="0.25">
      <c r="A565" s="1144"/>
      <c r="B565" s="77"/>
      <c r="C565" s="1120"/>
      <c r="D565" s="1102" t="s">
        <v>213</v>
      </c>
      <c r="E565" s="1120"/>
      <c r="F565" s="77"/>
      <c r="G565" s="79"/>
      <c r="H565" s="1118" t="s">
        <v>14</v>
      </c>
      <c r="I565" s="319">
        <v>3</v>
      </c>
      <c r="J565" s="1117">
        <v>0</v>
      </c>
      <c r="K565" s="83">
        <f>IF(I565&gt;0,J565*100/I565,0)</f>
        <v>0</v>
      </c>
      <c r="L565" s="82"/>
      <c r="M565" s="82"/>
      <c r="N565" s="82"/>
      <c r="O565" s="82"/>
      <c r="P565" s="82"/>
      <c r="Q565" s="82"/>
      <c r="R565" s="82"/>
      <c r="S565" s="82"/>
      <c r="T565" s="82"/>
      <c r="U565" s="82"/>
    </row>
    <row r="566" spans="1:21" ht="12.75" hidden="1" x14ac:dyDescent="0.2">
      <c r="A566" s="391"/>
      <c r="B566" s="394"/>
      <c r="C566" s="392"/>
      <c r="D566" s="394"/>
      <c r="E566" s="392"/>
      <c r="F566" s="394"/>
      <c r="G566" s="395"/>
      <c r="H566" s="395"/>
      <c r="I566" s="397"/>
      <c r="J566" s="397"/>
      <c r="K566" s="398"/>
      <c r="L566" s="1143"/>
      <c r="M566" s="398"/>
      <c r="N566" s="398"/>
      <c r="O566" s="398"/>
      <c r="P566" s="398"/>
      <c r="Q566" s="398"/>
      <c r="R566" s="398"/>
      <c r="S566" s="398"/>
      <c r="T566" s="398"/>
      <c r="U566" s="398"/>
    </row>
    <row r="567" spans="1:21" ht="12.75" hidden="1" x14ac:dyDescent="0.2">
      <c r="A567" s="391"/>
      <c r="B567" s="392"/>
      <c r="C567" s="392"/>
      <c r="D567" s="394"/>
      <c r="E567" s="394"/>
      <c r="F567" s="394"/>
      <c r="G567" s="395"/>
      <c r="H567" s="1108"/>
      <c r="I567" s="397"/>
      <c r="J567" s="397"/>
      <c r="K567" s="398"/>
      <c r="L567" s="1143"/>
      <c r="M567" s="398"/>
      <c r="N567" s="398"/>
      <c r="O567" s="398"/>
      <c r="P567" s="398"/>
      <c r="Q567" s="398"/>
      <c r="R567" s="398"/>
      <c r="S567" s="398"/>
      <c r="T567" s="398"/>
      <c r="U567" s="398"/>
    </row>
    <row r="568" spans="1:21" ht="12.75" hidden="1" x14ac:dyDescent="0.2">
      <c r="A568" s="391"/>
      <c r="B568" s="392"/>
      <c r="C568" s="392"/>
      <c r="D568" s="394"/>
      <c r="E568" s="394"/>
      <c r="F568" s="394"/>
      <c r="G568" s="395"/>
      <c r="H568" s="1108"/>
      <c r="I568" s="397"/>
      <c r="J568" s="397"/>
      <c r="K568" s="398"/>
      <c r="L568" s="1143"/>
      <c r="M568" s="398"/>
      <c r="N568" s="398"/>
      <c r="O568" s="398"/>
      <c r="P568" s="398"/>
      <c r="Q568" s="398"/>
      <c r="R568" s="398"/>
      <c r="S568" s="398"/>
      <c r="T568" s="398"/>
      <c r="U568" s="398"/>
    </row>
    <row r="569" spans="1:21" ht="12.75" hidden="1" x14ac:dyDescent="0.2">
      <c r="A569" s="391"/>
      <c r="B569" s="392"/>
      <c r="C569" s="392"/>
      <c r="D569" s="394"/>
      <c r="E569" s="394"/>
      <c r="F569" s="394"/>
      <c r="G569" s="395"/>
      <c r="H569" s="1108"/>
      <c r="I569" s="397"/>
      <c r="J569" s="397"/>
      <c r="K569" s="398"/>
      <c r="L569" s="1143"/>
      <c r="M569" s="398"/>
      <c r="N569" s="398"/>
      <c r="O569" s="398"/>
      <c r="P569" s="398"/>
      <c r="Q569" s="398"/>
      <c r="R569" s="398"/>
      <c r="S569" s="398"/>
      <c r="T569" s="398"/>
      <c r="U569" s="398"/>
    </row>
    <row r="570" spans="1:21" ht="12.75" hidden="1" x14ac:dyDescent="0.2">
      <c r="A570" s="391"/>
      <c r="B570" s="392"/>
      <c r="C570" s="392"/>
      <c r="D570" s="394"/>
      <c r="E570" s="394"/>
      <c r="F570" s="394"/>
      <c r="G570" s="395"/>
      <c r="H570" s="1108"/>
      <c r="I570" s="397"/>
      <c r="J570" s="397"/>
      <c r="K570" s="398"/>
      <c r="L570" s="1143"/>
      <c r="M570" s="398"/>
      <c r="N570" s="398"/>
      <c r="O570" s="398"/>
      <c r="P570" s="398"/>
      <c r="Q570" s="398"/>
      <c r="R570" s="398"/>
      <c r="S570" s="398"/>
      <c r="T570" s="398"/>
      <c r="U570" s="398"/>
    </row>
    <row r="571" spans="1:21" ht="12.75" hidden="1" x14ac:dyDescent="0.2">
      <c r="A571" s="391"/>
      <c r="B571" s="392"/>
      <c r="C571" s="392"/>
      <c r="D571" s="394"/>
      <c r="E571" s="394"/>
      <c r="F571" s="394"/>
      <c r="G571" s="395"/>
      <c r="H571" s="1108"/>
      <c r="I571" s="397"/>
      <c r="J571" s="397"/>
      <c r="K571" s="398"/>
      <c r="L571" s="1143"/>
      <c r="M571" s="398"/>
      <c r="N571" s="398"/>
      <c r="O571" s="398"/>
      <c r="P571" s="398"/>
      <c r="Q571" s="398"/>
      <c r="R571" s="398"/>
      <c r="S571" s="398"/>
      <c r="T571" s="398"/>
      <c r="U571" s="398"/>
    </row>
    <row r="572" spans="1:21" ht="12.75" hidden="1" x14ac:dyDescent="0.2">
      <c r="A572" s="391"/>
      <c r="B572" s="392"/>
      <c r="C572" s="392"/>
      <c r="D572" s="394"/>
      <c r="E572" s="394"/>
      <c r="F572" s="394"/>
      <c r="G572" s="395"/>
      <c r="H572" s="1108"/>
      <c r="I572" s="397"/>
      <c r="J572" s="397"/>
      <c r="K572" s="398"/>
      <c r="L572" s="1143"/>
      <c r="M572" s="398"/>
      <c r="N572" s="398"/>
      <c r="O572" s="398"/>
      <c r="P572" s="398"/>
      <c r="Q572" s="398"/>
      <c r="R572" s="398"/>
      <c r="S572" s="398"/>
      <c r="T572" s="398"/>
      <c r="U572" s="398"/>
    </row>
    <row r="573" spans="1:21" ht="12.75" hidden="1" x14ac:dyDescent="0.2">
      <c r="A573" s="391"/>
      <c r="B573" s="392"/>
      <c r="C573" s="392"/>
      <c r="D573" s="394"/>
      <c r="E573" s="394"/>
      <c r="F573" s="394"/>
      <c r="G573" s="395"/>
      <c r="H573" s="1108"/>
      <c r="I573" s="397"/>
      <c r="J573" s="397"/>
      <c r="K573" s="398"/>
      <c r="L573" s="1143"/>
      <c r="M573" s="398"/>
      <c r="N573" s="398"/>
      <c r="O573" s="398"/>
      <c r="P573" s="398"/>
      <c r="Q573" s="398"/>
      <c r="R573" s="398"/>
      <c r="S573" s="398"/>
      <c r="T573" s="398"/>
      <c r="U573" s="398"/>
    </row>
    <row r="574" spans="1:21" ht="12.75" hidden="1" x14ac:dyDescent="0.2">
      <c r="A574" s="1107"/>
      <c r="B574" s="1106"/>
      <c r="C574" s="1106"/>
      <c r="D574" s="1142"/>
      <c r="E574" s="1142"/>
      <c r="F574" s="1142"/>
      <c r="G574" s="1141"/>
      <c r="H574" s="1105"/>
      <c r="I574" s="1104"/>
      <c r="J574" s="1104"/>
      <c r="K574" s="1103"/>
      <c r="L574" s="1140"/>
      <c r="M574" s="1103"/>
      <c r="N574" s="1103"/>
      <c r="O574" s="1103"/>
      <c r="P574" s="1103"/>
      <c r="Q574" s="1103"/>
      <c r="R574" s="1103"/>
      <c r="S574" s="1103"/>
      <c r="T574" s="1103"/>
      <c r="U574" s="1103"/>
    </row>
    <row r="575" spans="1:21" ht="19.5" hidden="1" x14ac:dyDescent="0.3">
      <c r="A575" s="660"/>
      <c r="B575" s="840" t="s">
        <v>323</v>
      </c>
      <c r="C575" s="662"/>
      <c r="D575" s="663"/>
      <c r="E575" s="663"/>
      <c r="F575" s="663"/>
      <c r="G575" s="664"/>
      <c r="H575" s="1139" t="s">
        <v>61</v>
      </c>
      <c r="I575" s="827">
        <f>I587</f>
        <v>0</v>
      </c>
      <c r="J575" s="827">
        <f>J587</f>
        <v>0</v>
      </c>
      <c r="K575" s="83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834" t="s">
        <v>18</v>
      </c>
      <c r="D576" s="799" t="s">
        <v>19</v>
      </c>
      <c r="E576" s="256"/>
      <c r="F576" s="256"/>
      <c r="G576" s="259"/>
      <c r="H576" s="836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9" t="s">
        <v>21</v>
      </c>
      <c r="F578" s="256"/>
      <c r="G578" s="259"/>
      <c r="H578" s="264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56"/>
      <c r="C579" s="267"/>
      <c r="D579" s="835" t="s">
        <v>22</v>
      </c>
      <c r="E579" s="267"/>
      <c r="F579" s="256"/>
      <c r="G579" s="259"/>
      <c r="H579" s="271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3" t="s">
        <v>37</v>
      </c>
      <c r="F581" s="256"/>
      <c r="G581" s="259"/>
      <c r="H581" s="271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IFERROR(__xludf.DUMMYFUNCTION("IMPORTRANGE(""https://docs.google.com/spreadsheets/d/1-uDff_7J0KD5mKrp0Vvzr7lt3OU09vwQwhkpOPPYv2Y/edit?usp=sharing"",""งบพรบ!GQ53"")"),0)</f>
        <v>0</v>
      </c>
      <c r="M581" s="72">
        <f ca="1">IFERROR(__xludf.DUMMYFUNCTION("IMPORTRANGE(""https://docs.google.com/spreadsheets/d/1-uDff_7J0KD5mKrp0Vvzr7lt3OU09vwQwhkpOPPYv2Y/edit?usp=sharing"",""งบพรบ!GV53"")"),0)</f>
        <v>0</v>
      </c>
      <c r="N581" s="72">
        <f ca="1">IFERROR(__xludf.DUMMYFUNCTION("IMPORTRANGE(""https://docs.google.com/spreadsheets/d/1-uDff_7J0KD5mKrp0Vvzr7lt3OU09vwQwhkpOPPYv2Y/edit?usp=sharing"",""งบพรบ!GX53"")"),0)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56"/>
      <c r="C582" s="256"/>
      <c r="D582" s="835" t="s">
        <v>23</v>
      </c>
      <c r="E582" s="256"/>
      <c r="F582" s="256"/>
      <c r="G582" s="259"/>
      <c r="H582" s="756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3" t="s">
        <v>21</v>
      </c>
      <c r="F584" s="256"/>
      <c r="G584" s="259"/>
      <c r="H584" s="756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IFERROR(__xludf.DUMMYFUNCTION("IMPORTRANGE(""https://docs.google.com/spreadsheets/d/1-uDff_7J0KD5mKrp0Vvzr7lt3OU09vwQwhkpOPPYv2Y/edit?usp=sharing"",""งบพรบ!GT53"")"),0)</f>
        <v>0</v>
      </c>
      <c r="M584" s="72">
        <f ca="1">IFERROR(__xludf.DUMMYFUNCTION("IMPORTRANGE(""https://docs.google.com/spreadsheets/d/1-uDff_7J0KD5mKrp0Vvzr7lt3OU09vwQwhkpOPPYv2Y/edit?usp=sharing"",""งบพรบ!GW53"")"),0)</f>
        <v>0</v>
      </c>
      <c r="N584" s="72">
        <f ca="1">IFERROR(__xludf.DUMMYFUNCTION("IMPORTRANGE(""https://docs.google.com/spreadsheets/d/1-uDff_7J0KD5mKrp0Vvzr7lt3OU09vwQwhkpOPPYv2Y/edit?usp=sharing"",""งบพรบ!GY53"")"),0)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1138" t="s">
        <v>18</v>
      </c>
      <c r="D585" s="813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322</v>
      </c>
      <c r="C597" s="312"/>
      <c r="D597" s="201"/>
      <c r="E597" s="47"/>
      <c r="F597" s="47"/>
      <c r="G597" s="47"/>
      <c r="H597" s="675" t="s">
        <v>99</v>
      </c>
      <c r="I597" s="1137"/>
      <c r="J597" s="203"/>
      <c r="K597" s="204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203"/>
      <c r="J598" s="203"/>
      <c r="K598" s="204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1122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681">
        <f ca="1">L600+L601</f>
        <v>6830</v>
      </c>
      <c r="M599" s="682">
        <f ca="1">M600+M601</f>
        <v>6830</v>
      </c>
      <c r="N599" s="682">
        <f ca="1">N600+N601</f>
        <v>2880</v>
      </c>
      <c r="O599" s="682">
        <f t="shared" ref="O599:O607" ca="1" si="149">IF(L599&gt;0,N599*100/L599,0)</f>
        <v>42.166910688140554</v>
      </c>
      <c r="P599" s="682">
        <f t="shared" ref="P599:P607" ca="1" si="150">IF(M599&gt;0,N599*100/M599,0)</f>
        <v>42.166910688140554</v>
      </c>
      <c r="Q599" s="682">
        <f ca="1">Q600+Q601</f>
        <v>0</v>
      </c>
      <c r="R599" s="682">
        <f ca="1">R600+R601</f>
        <v>0</v>
      </c>
      <c r="S599" s="682">
        <f ca="1">S600+S601</f>
        <v>0</v>
      </c>
      <c r="T599" s="682">
        <f t="shared" ref="T599:T607" ca="1" si="151">IF(Q599&gt;0,S599*100/Q599,0)</f>
        <v>0</v>
      </c>
      <c r="U599" s="682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3">
        <f t="shared" ref="L600:N601" si="153">L603+L606</f>
        <v>0</v>
      </c>
      <c r="M600" s="684">
        <f t="shared" si="153"/>
        <v>0</v>
      </c>
      <c r="N600" s="684">
        <f t="shared" si="153"/>
        <v>0</v>
      </c>
      <c r="O600" s="684">
        <f t="shared" si="149"/>
        <v>0</v>
      </c>
      <c r="P600" s="684">
        <f t="shared" si="150"/>
        <v>0</v>
      </c>
      <c r="Q600" s="684">
        <f t="shared" ref="Q600:S601" si="154">Q603+Q606</f>
        <v>0</v>
      </c>
      <c r="R600" s="684">
        <f t="shared" si="154"/>
        <v>0</v>
      </c>
      <c r="S600" s="684">
        <f t="shared" si="154"/>
        <v>0</v>
      </c>
      <c r="T600" s="684">
        <f t="shared" si="151"/>
        <v>0</v>
      </c>
      <c r="U600" s="684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3">
        <f t="shared" ca="1" si="153"/>
        <v>6830</v>
      </c>
      <c r="M601" s="684">
        <f t="shared" ca="1" si="153"/>
        <v>6830</v>
      </c>
      <c r="N601" s="684">
        <f t="shared" ca="1" si="153"/>
        <v>2880</v>
      </c>
      <c r="O601" s="684">
        <f t="shared" ca="1" si="149"/>
        <v>42.166910688140554</v>
      </c>
      <c r="P601" s="684">
        <f t="shared" ca="1" si="150"/>
        <v>42.166910688140554</v>
      </c>
      <c r="Q601" s="684">
        <f t="shared" ca="1" si="154"/>
        <v>0</v>
      </c>
      <c r="R601" s="684">
        <f t="shared" ca="1" si="154"/>
        <v>0</v>
      </c>
      <c r="S601" s="684">
        <f t="shared" ca="1" si="154"/>
        <v>0</v>
      </c>
      <c r="T601" s="684">
        <f t="shared" ca="1" si="151"/>
        <v>0</v>
      </c>
      <c r="U601" s="684">
        <f t="shared" ca="1" si="152"/>
        <v>0</v>
      </c>
    </row>
    <row r="602" spans="1:21" ht="19.5" x14ac:dyDescent="0.3">
      <c r="A602" s="207"/>
      <c r="B602" s="367"/>
      <c r="C602" s="367"/>
      <c r="D602" s="941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3">
        <f ca="1">L603+L604</f>
        <v>6830</v>
      </c>
      <c r="M602" s="684">
        <f ca="1">M603+M604</f>
        <v>6830</v>
      </c>
      <c r="N602" s="684">
        <f ca="1">N603+N604</f>
        <v>2880</v>
      </c>
      <c r="O602" s="684">
        <f t="shared" ca="1" si="149"/>
        <v>42.166910688140554</v>
      </c>
      <c r="P602" s="684">
        <f t="shared" ca="1" si="150"/>
        <v>42.166910688140554</v>
      </c>
      <c r="Q602" s="684">
        <f ca="1">Q603+Q604</f>
        <v>0</v>
      </c>
      <c r="R602" s="684">
        <f ca="1">R603+R604</f>
        <v>0</v>
      </c>
      <c r="S602" s="684">
        <f ca="1">S603+S604</f>
        <v>0</v>
      </c>
      <c r="T602" s="684">
        <f t="shared" ca="1" si="151"/>
        <v>0</v>
      </c>
      <c r="U602" s="684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684">
        <f t="shared" si="149"/>
        <v>0</v>
      </c>
      <c r="P603" s="684">
        <f t="shared" si="150"/>
        <v>0</v>
      </c>
      <c r="Q603" s="86">
        <v>0</v>
      </c>
      <c r="R603" s="86">
        <v>0</v>
      </c>
      <c r="S603" s="86">
        <v>0</v>
      </c>
      <c r="T603" s="684">
        <f t="shared" si="151"/>
        <v>0</v>
      </c>
      <c r="U603" s="684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IFERROR(__xludf.DUMMYFUNCTION("IMPORTRANGE(""https://docs.google.com/spreadsheets/d/1-uDff_7J0KD5mKrp0Vvzr7lt3OU09vwQwhkpOPPYv2Y/edit?usp=sharing"",""งบพรบ!HK53"")"),6830)</f>
        <v>6830</v>
      </c>
      <c r="M604" s="86">
        <f ca="1">IFERROR(__xludf.DUMMYFUNCTION("IMPORTRANGE(""https://docs.google.com/spreadsheets/d/1-uDff_7J0KD5mKrp0Vvzr7lt3OU09vwQwhkpOPPYv2Y/edit?usp=sharing"",""งบพรบ!HP53"")"),6830)</f>
        <v>6830</v>
      </c>
      <c r="N604" s="86">
        <f ca="1">IFERROR(__xludf.DUMMYFUNCTION("IMPORTRANGE(""https://docs.google.com/spreadsheets/d/1-uDff_7J0KD5mKrp0Vvzr7lt3OU09vwQwhkpOPPYv2Y/edit?usp=sharing"",""งบพรบ!HR53"")"),2880)</f>
        <v>2880</v>
      </c>
      <c r="O604" s="684">
        <f t="shared" ca="1" si="149"/>
        <v>42.166910688140554</v>
      </c>
      <c r="P604" s="684">
        <f t="shared" ca="1" si="150"/>
        <v>42.166910688140554</v>
      </c>
      <c r="Q604" s="86">
        <f ca="1">IFERROR(__xludf.DUMMYFUNCTION("IMPORTRANGE(""https://docs.google.com/spreadsheets/d/1ItG2mGa2ceCfYo0BwxsXqNm01IGEUdYcSSLTEv9YCik/edit?usp=sharing"",""เบิกจ่ายกองทุน!AV53"")"),0)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IFERROR(__xludf.DUMMYFUNCTION("IMPORTRANGE(""https://docs.google.com/spreadsheets/d/1ItG2mGa2ceCfYo0BwxsXqNm01IGEUdYcSSLTEv9YCik/edit?usp=sharing"",""เบิกจ่ายกองทุน!AX53"")"),0)</f>
        <v>0</v>
      </c>
      <c r="T604" s="684">
        <f t="shared" ca="1" si="151"/>
        <v>0</v>
      </c>
      <c r="U604" s="684">
        <f t="shared" ca="1" si="152"/>
        <v>0</v>
      </c>
    </row>
    <row r="605" spans="1:21" ht="19.5" x14ac:dyDescent="0.3">
      <c r="A605" s="207"/>
      <c r="B605" s="367"/>
      <c r="C605" s="367"/>
      <c r="D605" s="941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3">
        <f ca="1">L606+L607</f>
        <v>0</v>
      </c>
      <c r="M605" s="684">
        <f ca="1">M606+M607</f>
        <v>0</v>
      </c>
      <c r="N605" s="684">
        <f ca="1">N606+N607</f>
        <v>0</v>
      </c>
      <c r="O605" s="684">
        <f t="shared" ca="1" si="149"/>
        <v>0</v>
      </c>
      <c r="P605" s="684">
        <f t="shared" ca="1" si="150"/>
        <v>0</v>
      </c>
      <c r="Q605" s="684">
        <f ca="1">Q606+Q607</f>
        <v>0</v>
      </c>
      <c r="R605" s="684">
        <f ca="1">R606+R607</f>
        <v>0</v>
      </c>
      <c r="S605" s="684">
        <f ca="1">S606+S607</f>
        <v>0</v>
      </c>
      <c r="T605" s="684">
        <f t="shared" ca="1" si="151"/>
        <v>0</v>
      </c>
      <c r="U605" s="684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684">
        <f t="shared" si="149"/>
        <v>0</v>
      </c>
      <c r="P606" s="684">
        <f t="shared" si="150"/>
        <v>0</v>
      </c>
      <c r="Q606" s="86">
        <v>0</v>
      </c>
      <c r="R606" s="86">
        <v>0</v>
      </c>
      <c r="S606" s="86">
        <v>0</v>
      </c>
      <c r="T606" s="684">
        <f t="shared" si="151"/>
        <v>0</v>
      </c>
      <c r="U606" s="684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IFERROR(__xludf.DUMMYFUNCTION("IMPORTRANGE(""https://docs.google.com/spreadsheets/d/1-uDff_7J0KD5mKrp0Vvzr7lt3OU09vwQwhkpOPPYv2Y/edit?usp=sharing"",""งบพรบ!HN53"")"),0)</f>
        <v>0</v>
      </c>
      <c r="M607" s="86">
        <f ca="1">IFERROR(__xludf.DUMMYFUNCTION("IMPORTRANGE(""https://docs.google.com/spreadsheets/d/1-uDff_7J0KD5mKrp0Vvzr7lt3OU09vwQwhkpOPPYv2Y/edit?usp=sharing"",""งบพรบ!HQ53"")"),0)</f>
        <v>0</v>
      </c>
      <c r="N607" s="86">
        <f ca="1">IFERROR(__xludf.DUMMYFUNCTION("IMPORTRANGE(""https://docs.google.com/spreadsheets/d/1-uDff_7J0KD5mKrp0Vvzr7lt3OU09vwQwhkpOPPYv2Y/edit?usp=sharing"",""งบพรบ!HS53"")"),0)</f>
        <v>0</v>
      </c>
      <c r="O607" s="684">
        <f t="shared" ca="1" si="149"/>
        <v>0</v>
      </c>
      <c r="P607" s="684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IFERROR(__xludf.DUMMYFUNCTION("IMPORTRANGE(""https://docs.google.com/spreadsheets/d/1ItG2mGa2ceCfYo0BwxsXqNm01IGEUdYcSSLTEv9YCik/edit?usp=sharing"",""เบิกจ่ายกองทุน!BA53"")"),0)</f>
        <v>0</v>
      </c>
      <c r="T607" s="684">
        <f t="shared" ca="1" si="151"/>
        <v>0</v>
      </c>
      <c r="U607" s="684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237"/>
      <c r="J609" s="237"/>
      <c r="K609" s="23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231"/>
      <c r="J610" s="231"/>
      <c r="K610" s="232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237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1136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100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1122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11825</v>
      </c>
      <c r="R616" s="213">
        <f ca="1">R617+R618</f>
        <v>11825</v>
      </c>
      <c r="S616" s="213">
        <f ca="1">S617+S618</f>
        <v>1825</v>
      </c>
      <c r="T616" s="213">
        <f t="shared" ref="T616:T624" ca="1" si="157">IF(Q616&gt;0,S616*100/Q616,0)</f>
        <v>15.433403805496829</v>
      </c>
      <c r="U616" s="213">
        <f t="shared" ref="U616:U624" ca="1" si="158">IF(R616&gt;0,S616*100/R616,0)</f>
        <v>15.433403805496829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11825</v>
      </c>
      <c r="R618" s="130">
        <f t="shared" ca="1" si="160"/>
        <v>11825</v>
      </c>
      <c r="S618" s="130">
        <f t="shared" ca="1" si="160"/>
        <v>1825</v>
      </c>
      <c r="T618" s="130">
        <f t="shared" ca="1" si="157"/>
        <v>15.433403805496829</v>
      </c>
      <c r="U618" s="130">
        <f t="shared" ca="1" si="158"/>
        <v>15.433403805496829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11825</v>
      </c>
      <c r="R619" s="130">
        <f ca="1">R620+R621</f>
        <v>11825</v>
      </c>
      <c r="S619" s="130">
        <f ca="1">S620+S621</f>
        <v>1825</v>
      </c>
      <c r="T619" s="130">
        <f t="shared" ca="1" si="157"/>
        <v>15.433403805496829</v>
      </c>
      <c r="U619" s="130">
        <f t="shared" ca="1" si="158"/>
        <v>15.433403805496829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IFERROR(__xludf.DUMMYFUNCTION("IMPORTRANGE(""https://docs.google.com/spreadsheets/d/1ItG2mGa2ceCfYo0BwxsXqNm01IGEUdYcSSLTEv9YCik/edit?usp=sharing"",""เบิกจ่ายกองทุน!F53"")"),11825)</f>
        <v>11825</v>
      </c>
      <c r="R621" s="130">
        <f ca="1">IFERROR(__xludf.DUMMYFUNCTION("IMPORTRANGE(""https://docs.google.com/spreadsheets/d/1ItG2mGa2ceCfYo0BwxsXqNm01IGEUdYcSSLTEv9YCik/edit?usp=sharing"",""เบิกจ่ายกองทุน!G53"")"),11825)</f>
        <v>11825</v>
      </c>
      <c r="S621" s="130">
        <f ca="1">IFERROR(__xludf.DUMMYFUNCTION("IMPORTRANGE(""https://docs.google.com/spreadsheets/d/1ItG2mGa2ceCfYo0BwxsXqNm01IGEUdYcSSLTEv9YCik/edit?usp=sharing"",""เบิกจ่ายกองทุน!H53"")"),1825)</f>
        <v>1825</v>
      </c>
      <c r="T621" s="130">
        <f t="shared" ca="1" si="157"/>
        <v>15.433403805496829</v>
      </c>
      <c r="U621" s="130">
        <f t="shared" ca="1" si="158"/>
        <v>15.433403805496829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x14ac:dyDescent="0.3">
      <c r="A625" s="274"/>
      <c r="B625" s="275"/>
      <c r="C625" s="1122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1135">
        <f ca="1">IFERROR(__xludf.DUMMYFUNCTION("IMPORTRANGE(""https://docs.google.com/spreadsheets/d/1eHaY18a8A9IcSdp1K8H6x8fbOy06t2VsZHhMHf-1x7Y/edit?usp=sharing"",""แผน!ID53"")"),100)</f>
        <v>100</v>
      </c>
      <c r="J626" s="1134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66">
        <f ca="1">IFERROR(__xludf.DUMMYFUNCTION("IMPORTRANGE(""https://docs.google.com/spreadsheets/d/1eHaY18a8A9IcSdp1K8H6x8fbOy06t2VsZHhMHf-1x7Y/edit?usp=sharing"",""แผน!IC53"")"),0)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66">
        <f ca="1">IFERROR(__xludf.DUMMYFUNCTION("IMPORTRANGE(""https://docs.google.com/spreadsheets/d/1eHaY18a8A9IcSdp1K8H6x8fbOy06t2VsZHhMHf-1x7Y/edit?usp=sharing"",""แผน!IC53"")"),0)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1074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1074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1074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1074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1074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1074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70">
        <f ca="1">IFERROR(__xludf.DUMMYFUNCTION("IMPORTRANGE(""https://docs.google.com/spreadsheets/d/1eHaY18a8A9IcSdp1K8H6x8fbOy06t2VsZHhMHf-1x7Y/edit?usp=sharing"",""แผน!IE53"")"),0)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1074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1074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1074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1074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1074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1122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7720</v>
      </c>
      <c r="R642" s="213">
        <f ca="1">R643+R644</f>
        <v>7720</v>
      </c>
      <c r="S642" s="213">
        <f ca="1">S643+S644</f>
        <v>0</v>
      </c>
      <c r="T642" s="213">
        <f t="shared" ref="T642:T650" ca="1" si="163">IF(Q642&gt;0,S642*100/Q642,0)</f>
        <v>0</v>
      </c>
      <c r="U642" s="213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7720</v>
      </c>
      <c r="R644" s="130">
        <f t="shared" ca="1" si="166"/>
        <v>7720</v>
      </c>
      <c r="S644" s="130">
        <f t="shared" ca="1" si="166"/>
        <v>0</v>
      </c>
      <c r="T644" s="130">
        <f t="shared" ca="1" si="163"/>
        <v>0</v>
      </c>
      <c r="U644" s="130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7720</v>
      </c>
      <c r="R645" s="130">
        <f ca="1">R646+R647</f>
        <v>7720</v>
      </c>
      <c r="S645" s="130">
        <f ca="1">S646+S647</f>
        <v>0</v>
      </c>
      <c r="T645" s="130">
        <f t="shared" ca="1" si="163"/>
        <v>0</v>
      </c>
      <c r="U645" s="130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IFERROR(__xludf.DUMMYFUNCTION("IMPORTRANGE(""https://docs.google.com/spreadsheets/d/1ItG2mGa2ceCfYo0BwxsXqNm01IGEUdYcSSLTEv9YCik/edit?usp=sharing"",""เบิกจ่ายกองทุน!I53"")"),7720)</f>
        <v>7720</v>
      </c>
      <c r="R647" s="130">
        <f ca="1">IFERROR(__xludf.DUMMYFUNCTION("IMPORTRANGE(""https://docs.google.com/spreadsheets/d/1ItG2mGa2ceCfYo0BwxsXqNm01IGEUdYcSSLTEv9YCik/edit?usp=sharing"",""เบิกจ่ายกองทุน!J53"")"),7720)</f>
        <v>7720</v>
      </c>
      <c r="S647" s="130">
        <f ca="1">IFERROR(__xludf.DUMMYFUNCTION("IMPORTRANGE(""https://docs.google.com/spreadsheets/d/1ItG2mGa2ceCfYo0BwxsXqNm01IGEUdYcSSLTEv9YCik/edit?usp=sharing"",""เบิกจ่ายกองทุน!K53"")"),0)</f>
        <v>0</v>
      </c>
      <c r="T647" s="130">
        <f t="shared" ca="1" si="163"/>
        <v>0</v>
      </c>
      <c r="U647" s="130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x14ac:dyDescent="0.3">
      <c r="A651" s="274"/>
      <c r="B651" s="275"/>
      <c r="C651" s="1122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IFERROR(__xludf.DUMMYFUNCTION("IMPORTRANGE(""https://docs.google.com/spreadsheets/d/1eHaY18a8A9IcSdp1K8H6x8fbOy06t2VsZHhMHf-1x7Y/edit?usp=sharing"",""แผน!IF53"")"),0)</f>
        <v>0</v>
      </c>
      <c r="J652" s="291">
        <f ca="1">IFERROR(__xludf.DUMMYFUNCTION("IMPORTRANGE(""https://docs.google.com/spreadsheets/d/1tdoBKaGub7dwA3U6UFTqxio9LNnvDCQjHKmttSEBsFQ/edit?usp=sharing"",""จัดที่ดิน!AU53"")"),0)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IFERROR(__xludf.DUMMYFUNCTION("IMPORTRANGE(""https://docs.google.com/spreadsheets/d/1eHaY18a8A9IcSdp1K8H6x8fbOy06t2VsZHhMHf-1x7Y/edit?usp=sharing"",""แผน!IG53"")"),0)</f>
        <v>0</v>
      </c>
      <c r="J653" s="291">
        <f ca="1">IFERROR(__xludf.DUMMYFUNCTION("IMPORTRANGE(""https://docs.google.com/spreadsheets/d/1tdoBKaGub7dwA3U6UFTqxio9LNnvDCQjHKmttSEBsFQ/edit?usp=sharing"",""จัดที่ดิน!AW53"")"),0)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IFERROR(__xludf.DUMMYFUNCTION("IMPORTRANGE(""https://docs.google.com/spreadsheets/d/1eHaY18a8A9IcSdp1K8H6x8fbOy06t2VsZHhMHf-1x7Y/edit?usp=sharing"",""แผน!IH53"")"),0)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IFERROR(__xludf.DUMMYFUNCTION("IMPORTRANGE(""https://docs.google.com/spreadsheets/d/1eHaY18a8A9IcSdp1K8H6x8fbOy06t2VsZHhMHf-1x7Y/edit?usp=sharing"",""แผน!II53"")"),0)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IFERROR(__xludf.DUMMYFUNCTION("IMPORTRANGE(""https://docs.google.com/spreadsheets/d/1eHaY18a8A9IcSdp1K8H6x8fbOy06t2VsZHhMHf-1x7Y/edit?usp=sharing"",""แผน!IJ53"")"),0)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IFERROR(__xludf.DUMMYFUNCTION("IMPORTRANGE(""https://docs.google.com/spreadsheets/d/1eHaY18a8A9IcSdp1K8H6x8fbOy06t2VsZHhMHf-1x7Y/edit?usp=sharing"",""แผน!IK53"")"),0)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IFERROR(__xludf.DUMMYFUNCTION("IMPORTRANGE(""https://docs.google.com/spreadsheets/d/1tdoBKaGub7dwA3U6UFTqxio9LNnvDCQjHKmttSEBsFQ/edit?usp=sharing"",""จัดที่ดิน!AY53"")"),0)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IFERROR(__xludf.DUMMYFUNCTION("IMPORTRANGE(""https://docs.google.com/spreadsheets/d/1tdoBKaGub7dwA3U6UFTqxio9LNnvDCQjHKmttSEBsFQ/edit?usp=sharing"",""จัดที่ดิน!AZ53"")"),0)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IFERROR(__xludf.DUMMYFUNCTION("IMPORTRANGE(""https://docs.google.com/spreadsheets/d/1eHaY18a8A9IcSdp1K8H6x8fbOy06t2VsZHhMHf-1x7Y/edit?usp=sharing"",""แผน!IL53"")"),0)</f>
        <v>0</v>
      </c>
      <c r="J673" s="291">
        <f ca="1">IFERROR(__xludf.DUMMYFUNCTION("IMPORTRANGE(""https://docs.google.com/spreadsheets/d/1tdoBKaGub7dwA3U6UFTqxio9LNnvDCQjHKmttSEBsFQ/edit?usp=sharing"",""จัดที่ดิน!BA53"")"),0)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IFERROR(__xludf.DUMMYFUNCTION("IMPORTRANGE(""https://docs.google.com/spreadsheets/d/1eHaY18a8A9IcSdp1K8H6x8fbOy06t2VsZHhMHf-1x7Y/edit?usp=sharing"",""แผน!IM53"")"),6)</f>
        <v>6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IFERROR(__xludf.DUMMYFUNCTION("IMPORTRANGE(""https://docs.google.com/spreadsheets/d/1eHaY18a8A9IcSdp1K8H6x8fbOy06t2VsZHhMHf-1x7Y/edit?usp=sharing"",""แผน!IN53"")"),60)</f>
        <v>60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IFERROR(__xludf.DUMMYFUNCTION("IMPORTRANGE(""https://docs.google.com/spreadsheets/d/1eHaY18a8A9IcSdp1K8H6x8fbOy06t2VsZHhMHf-1x7Y/edit?usp=sharing"",""แผน!IO53"")"),3)</f>
        <v>3</v>
      </c>
      <c r="J676" s="291">
        <f ca="1">IFERROR(__xludf.DUMMYFUNCTION("IMPORTRANGE(""https://docs.google.com/spreadsheets/d/1tdoBKaGub7dwA3U6UFTqxio9LNnvDCQjHKmttSEBsFQ/edit?usp=sharing"",""จัดที่ดิน!BF53"")"),0)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IFERROR(__xludf.DUMMYFUNCTION("IMPORTRANGE(""https://docs.google.com/spreadsheets/d/1tdoBKaGub7dwA3U6UFTqxio9LNnvDCQjHKmttSEBsFQ/edit?usp=sharing"",""จัดที่ดิน!BG53"")"),0)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IFERROR(__xludf.DUMMYFUNCTION("IMPORTRANGE(""https://docs.google.com/spreadsheets/d/1eHaY18a8A9IcSdp1K8H6x8fbOy06t2VsZHhMHf-1x7Y/edit?usp=sharing"",""แผน!IP53"")"),30)</f>
        <v>30</v>
      </c>
      <c r="J678" s="291">
        <f ca="1">IFERROR(__xludf.DUMMYFUNCTION("IMPORTRANGE(""https://docs.google.com/spreadsheets/d/1tdoBKaGub7dwA3U6UFTqxio9LNnvDCQjHKmttSEBsFQ/edit?usp=sharing"",""จัดที่ดิน!BH53"")"),0)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IFERROR(__xludf.DUMMYFUNCTION("IMPORTRANGE(""https://docs.google.com/spreadsheets/d/1eHaY18a8A9IcSdp1K8H6x8fbOy06t2VsZHhMHf-1x7Y/edit?usp=sharing"",""แผน!IQ53"")"),3)</f>
        <v>3</v>
      </c>
      <c r="J679" s="291">
        <f ca="1">IFERROR(__xludf.DUMMYFUNCTION("IMPORTRANGE(""https://docs.google.com/spreadsheets/d/1tdoBKaGub7dwA3U6UFTqxio9LNnvDCQjHKmttSEBsFQ/edit?usp=sharing"",""จัดที่ดิน!BK53"")"),0)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IFERROR(__xludf.DUMMYFUNCTION("IMPORTRANGE(""https://docs.google.com/spreadsheets/d/1tdoBKaGub7dwA3U6UFTqxio9LNnvDCQjHKmttSEBsFQ/edit?usp=sharing"",""จัดที่ดิน!BL53"")"),0)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IFERROR(__xludf.DUMMYFUNCTION("IMPORTRANGE(""https://docs.google.com/spreadsheets/d/1eHaY18a8A9IcSdp1K8H6x8fbOy06t2VsZHhMHf-1x7Y/edit?usp=sharing"",""แผน!IR53"")"),30)</f>
        <v>30</v>
      </c>
      <c r="J681" s="291">
        <f ca="1">IFERROR(__xludf.DUMMYFUNCTION("IMPORTRANGE(""https://docs.google.com/spreadsheets/d/1tdoBKaGub7dwA3U6UFTqxio9LNnvDCQjHKmttSEBsFQ/edit?usp=sharing"",""จัดที่ดิน!BM53"")"),0)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IFERROR(__xludf.DUMMYFUNCTION("IMPORTRANGE(""https://docs.google.com/spreadsheets/d/1eHaY18a8A9IcSdp1K8H6x8fbOy06t2VsZHhMHf-1x7Y/edit?usp=sharing"",""แผน!IS53"")"),30)</f>
        <v>30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50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1122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173940</v>
      </c>
      <c r="R690" s="213">
        <f ca="1">R691+R692</f>
        <v>173940</v>
      </c>
      <c r="S690" s="213">
        <f ca="1">S691+S692</f>
        <v>69430</v>
      </c>
      <c r="T690" s="213">
        <f t="shared" ref="T690:T698" ca="1" si="169">IF(Q690&gt;0,S690*100/Q690,0)</f>
        <v>39.916063010233415</v>
      </c>
      <c r="U690" s="213">
        <f t="shared" ref="U690:U698" ca="1" si="170">IF(R690&gt;0,S690*100/R690,0)</f>
        <v>39.916063010233415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173940</v>
      </c>
      <c r="R692" s="130">
        <f t="shared" ca="1" si="172"/>
        <v>173940</v>
      </c>
      <c r="S692" s="130">
        <f t="shared" ca="1" si="172"/>
        <v>69430</v>
      </c>
      <c r="T692" s="130">
        <f t="shared" ca="1" si="169"/>
        <v>39.916063010233415</v>
      </c>
      <c r="U692" s="130">
        <f t="shared" ca="1" si="170"/>
        <v>39.916063010233415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173940</v>
      </c>
      <c r="R693" s="130">
        <f ca="1">R694+R695</f>
        <v>173940</v>
      </c>
      <c r="S693" s="130">
        <f ca="1">S694+S695</f>
        <v>69430</v>
      </c>
      <c r="T693" s="130">
        <f t="shared" ca="1" si="169"/>
        <v>39.916063010233415</v>
      </c>
      <c r="U693" s="130">
        <f t="shared" ca="1" si="170"/>
        <v>39.916063010233415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IFERROR(__xludf.DUMMYFUNCTION("IMPORTRANGE(""https://docs.google.com/spreadsheets/d/1ItG2mGa2ceCfYo0BwxsXqNm01IGEUdYcSSLTEv9YCik/edit?usp=sharing"",""เบิกจ่ายกองทุน!L53"")"),173940)</f>
        <v>173940</v>
      </c>
      <c r="R695" s="130">
        <f ca="1">IFERROR(__xludf.DUMMYFUNCTION("IMPORTRANGE(""https://docs.google.com/spreadsheets/d/1ItG2mGa2ceCfYo0BwxsXqNm01IGEUdYcSSLTEv9YCik/edit?usp=sharing"",""เบิกจ่ายกองทุน!M53"")"),173940)</f>
        <v>173940</v>
      </c>
      <c r="S695" s="130">
        <f ca="1">IFERROR(__xludf.DUMMYFUNCTION("IMPORTRANGE(""https://docs.google.com/spreadsheets/d/1ItG2mGa2ceCfYo0BwxsXqNm01IGEUdYcSSLTEv9YCik/edit?usp=sharing"",""เบิกจ่ายกองทุน!N53"")"),69430)</f>
        <v>69430</v>
      </c>
      <c r="T695" s="130">
        <f t="shared" ca="1" si="169"/>
        <v>39.916063010233415</v>
      </c>
      <c r="U695" s="130">
        <f t="shared" ca="1" si="170"/>
        <v>39.916063010233415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1122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1133">
        <f ca="1">IFERROR(__xludf.DUMMYFUNCTION("IMPORTRANGE(""https://docs.google.com/spreadsheets/d/1eHaY18a8A9IcSdp1K8H6x8fbOy06t2VsZHhMHf-1x7Y/edit?usp=sharing"",""แผน!LC53"")"),0)</f>
        <v>0</v>
      </c>
      <c r="J700" s="672">
        <v>0</v>
      </c>
      <c r="K700" s="1132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1129"/>
      <c r="B701" s="1128"/>
      <c r="C701" s="1128"/>
      <c r="D701" s="1127"/>
      <c r="E701" s="747" t="s">
        <v>262</v>
      </c>
      <c r="F701" s="1127"/>
      <c r="G701" s="1126"/>
      <c r="H701" s="260" t="s">
        <v>35</v>
      </c>
      <c r="I701" s="1131">
        <f ca="1">I703+I705</f>
        <v>56</v>
      </c>
      <c r="J701" s="1130">
        <f ca="1">J703+J705</f>
        <v>22</v>
      </c>
      <c r="K701" s="213">
        <f t="shared" ca="1" si="173"/>
        <v>39.285714285714285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1129"/>
      <c r="B702" s="1128"/>
      <c r="C702" s="1128"/>
      <c r="D702" s="1127"/>
      <c r="E702" s="1127"/>
      <c r="F702" s="1127"/>
      <c r="G702" s="1126"/>
      <c r="H702" s="260" t="s">
        <v>46</v>
      </c>
      <c r="I702" s="870">
        <v>0</v>
      </c>
      <c r="J702" s="1125">
        <f ca="1">J704+J706</f>
        <v>19.559999999999999</v>
      </c>
      <c r="K702" s="213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1124">
        <f ca="1">IFERROR(__xludf.DUMMYFUNCTION("IMPORTRANGE(""https://docs.google.com/spreadsheets/d/1eHaY18a8A9IcSdp1K8H6x8fbOy06t2VsZHhMHf-1x7Y/edit?usp=sharing"",""แผน!LJ53"")"),50)</f>
        <v>50</v>
      </c>
      <c r="J703" s="602">
        <f ca="1">IFERROR(__xludf.DUMMYFUNCTION("IMPORTRANGE(""https://docs.google.com/spreadsheets/d/1tdoBKaGub7dwA3U6UFTqxio9LNnvDCQjHKmttSEBsFQ/edit?usp=sharing"",""จัดที่ดิน!AP53"")"),22)</f>
        <v>22</v>
      </c>
      <c r="K703" s="130">
        <f t="shared" ca="1" si="173"/>
        <v>44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866">
        <v>0</v>
      </c>
      <c r="J704" s="603">
        <f ca="1">IFERROR(__xludf.DUMMYFUNCTION("IMPORTRANGE(""https://docs.google.com/spreadsheets/d/1tdoBKaGub7dwA3U6UFTqxio9LNnvDCQjHKmttSEBsFQ/edit?usp=sharing"",""จัดที่ดิน!AQ53"")"),19.56)</f>
        <v>19.559999999999999</v>
      </c>
      <c r="K704" s="130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1124">
        <f ca="1">IFERROR(__xludf.DUMMYFUNCTION("IMPORTRANGE(""https://docs.google.com/spreadsheets/d/1eHaY18a8A9IcSdp1K8H6x8fbOy06t2VsZHhMHf-1x7Y/edit?usp=sharing"",""แผน!LK53"")"),6)</f>
        <v>6</v>
      </c>
      <c r="J705" s="602">
        <f ca="1">IFERROR(__xludf.DUMMYFUNCTION("IMPORTRANGE(""https://docs.google.com/spreadsheets/d/1tdoBKaGub7dwA3U6UFTqxio9LNnvDCQjHKmttSEBsFQ/edit?usp=sharing"",""จัดที่ดิน!AR53"")"),0)</f>
        <v>0</v>
      </c>
      <c r="K705" s="1075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866">
        <v>0</v>
      </c>
      <c r="J706" s="602">
        <f ca="1">IFERROR(__xludf.DUMMYFUNCTION("IMPORTRANGE(""https://docs.google.com/spreadsheets/d/1tdoBKaGub7dwA3U6UFTqxio9LNnvDCQjHKmttSEBsFQ/edit?usp=sharing"",""จัดที่ดิน!AS53"")"),0)</f>
        <v>0</v>
      </c>
      <c r="K706" s="130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1124">
        <f ca="1">IFERROR(__xludf.DUMMYFUNCTION("IMPORTRANGE(""https://docs.google.com/spreadsheets/d/1eHaY18a8A9IcSdp1K8H6x8fbOy06t2VsZHhMHf-1x7Y/edit?usp=sharing"",""แผน!LJ53"")"),50)</f>
        <v>50</v>
      </c>
      <c r="J707" s="602">
        <f ca="1">IFERROR(__xludf.DUMMYFUNCTION("IMPORTRANGE(""https://docs.google.com/spreadsheets/d/1tdoBKaGub7dwA3U6UFTqxio9LNnvDCQjHKmttSEBsFQ/edit?usp=sharing"",""จัดที่ดิน!BN53"")"),0)</f>
        <v>0</v>
      </c>
      <c r="K707" s="130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866">
        <v>0</v>
      </c>
      <c r="J708" s="602">
        <f ca="1">IFERROR(__xludf.DUMMYFUNCTION("IMPORTRANGE(""https://docs.google.com/spreadsheets/d/1tdoBKaGub7dwA3U6UFTqxio9LNnvDCQjHKmttSEBsFQ/edit?usp=sharing"",""จัดที่ดิน!BO53"")"),0)</f>
        <v>0</v>
      </c>
      <c r="K708" s="130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1124">
        <f ca="1">IFERROR(__xludf.DUMMYFUNCTION("IMPORTRANGE(""https://docs.google.com/spreadsheets/d/1eHaY18a8A9IcSdp1K8H6x8fbOy06t2VsZHhMHf-1x7Y/edit?usp=sharing"",""แผน!LK53"")"),6)</f>
        <v>6</v>
      </c>
      <c r="J709" s="602">
        <f ca="1">IFERROR(__xludf.DUMMYFUNCTION("IMPORTRANGE(""https://docs.google.com/spreadsheets/d/1tdoBKaGub7dwA3U6UFTqxio9LNnvDCQjHKmttSEBsFQ/edit?usp=sharing"",""จัดที่ดิน!BP53"")"),2)</f>
        <v>2</v>
      </c>
      <c r="K709" s="130">
        <f t="shared" ca="1" si="173"/>
        <v>33.333333333333336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866">
        <v>0</v>
      </c>
      <c r="J710" s="602">
        <f ca="1">IFERROR(__xludf.DUMMYFUNCTION("IMPORTRANGE(""https://docs.google.com/spreadsheets/d/1tdoBKaGub7dwA3U6UFTqxio9LNnvDCQjHKmttSEBsFQ/edit?usp=sharing"",""จัดที่ดิน!BQ53"")"),0)</f>
        <v>0</v>
      </c>
      <c r="K710" s="130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321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IFERROR(__xludf.DUMMYFUNCTION("IMPORTRANGE(""https://docs.google.com/spreadsheets/d/1eHaY18a8A9IcSdp1K8H6x8fbOy06t2VsZHhMHf-1x7Y/edit?usp=sharing"",""แผน!GA53"")"),128)</f>
        <v>128</v>
      </c>
      <c r="J726" s="743">
        <f>J742+J746+J749</f>
        <v>128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IFERROR(__xludf.DUMMYFUNCTION("IMPORTRANGE(""https://docs.google.com/spreadsheets/d/1eHaY18a8A9IcSdp1K8H6x8fbOy06t2VsZHhMHf-1x7Y/edit?usp=sharing"",""แผน!FZ53"")"),1250)</f>
        <v>1250</v>
      </c>
      <c r="J727" s="743">
        <f>J752+J755</f>
        <v>1250</v>
      </c>
      <c r="K727" s="744">
        <f ca="1">IF(I727&gt;0,J727*100/I727,0)</f>
        <v>100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1122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1008470</v>
      </c>
      <c r="R728" s="213">
        <f ca="1">R729+R730</f>
        <v>1008470</v>
      </c>
      <c r="S728" s="213">
        <f ca="1">S729+S730</f>
        <v>251890</v>
      </c>
      <c r="T728" s="213">
        <f t="shared" ref="T728:T736" ca="1" si="182">IF(Q728&gt;0,S728*100/Q728,0)</f>
        <v>24.977441074102352</v>
      </c>
      <c r="U728" s="213">
        <f t="shared" ref="U728:U736" ca="1" si="183">IF(R728&gt;0,S728*100/R728,0)</f>
        <v>24.977441074102352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1008470</v>
      </c>
      <c r="R730" s="130">
        <f t="shared" ca="1" si="185"/>
        <v>1008470</v>
      </c>
      <c r="S730" s="130">
        <f t="shared" ca="1" si="185"/>
        <v>251890</v>
      </c>
      <c r="T730" s="130">
        <f t="shared" ca="1" si="182"/>
        <v>24.977441074102352</v>
      </c>
      <c r="U730" s="130">
        <f t="shared" ca="1" si="183"/>
        <v>24.977441074102352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1008470</v>
      </c>
      <c r="R731" s="130">
        <f ca="1">R732+R733</f>
        <v>1008470</v>
      </c>
      <c r="S731" s="130">
        <f ca="1">S732+S733</f>
        <v>251890</v>
      </c>
      <c r="T731" s="130">
        <f t="shared" ca="1" si="182"/>
        <v>24.977441074102352</v>
      </c>
      <c r="U731" s="130">
        <f t="shared" ca="1" si="183"/>
        <v>24.977441074102352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IFERROR(__xludf.DUMMYFUNCTION("IMPORTRANGE(""https://docs.google.com/spreadsheets/d/1ItG2mGa2ceCfYo0BwxsXqNm01IGEUdYcSSLTEv9YCik/edit?usp=sharing"",""เบิกจ่ายกองทุน!O53"")"),1008470)</f>
        <v>1008470</v>
      </c>
      <c r="R733" s="130">
        <f ca="1">IFERROR(__xludf.DUMMYFUNCTION("IMPORTRANGE(""https://docs.google.com/spreadsheets/d/1ItG2mGa2ceCfYo0BwxsXqNm01IGEUdYcSSLTEv9YCik/edit?usp=sharing"",""เบิกจ่ายกองทุน!P53"")"),1008470)</f>
        <v>1008470</v>
      </c>
      <c r="S733" s="130">
        <f ca="1">IFERROR(__xludf.DUMMYFUNCTION("IMPORTRANGE(""https://docs.google.com/spreadsheets/d/1ItG2mGa2ceCfYo0BwxsXqNm01IGEUdYcSSLTEv9YCik/edit?usp=sharing"",""เบิกจ่ายกองทุน!Q53"")"),251890)</f>
        <v>251890</v>
      </c>
      <c r="T733" s="130">
        <f t="shared" ca="1" si="182"/>
        <v>24.977441074102352</v>
      </c>
      <c r="U733" s="130">
        <f t="shared" ca="1" si="183"/>
        <v>24.977441074102352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1122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IFERROR(__xludf.DUMMYFUNCTION("IMPORTRANGE(""https://docs.google.com/spreadsheets/d/1eHaY18a8A9IcSdp1K8H6x8fbOy06t2VsZHhMHf-1x7Y/edit?usp=sharing"",""แผน!GB53"")"),1000)</f>
        <v>1000</v>
      </c>
      <c r="J740" s="794">
        <v>1000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IFERROR(__xludf.DUMMYFUNCTION("IMPORTRANGE(""https://docs.google.com/spreadsheets/d/1eHaY18a8A9IcSdp1K8H6x8fbOy06t2VsZHhMHf-1x7Y/edit?usp=sharing"",""แผน!GC53"")"),100)</f>
        <v>100</v>
      </c>
      <c r="J742" s="794">
        <v>100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IFERROR(__xludf.DUMMYFUNCTION("IMPORTRANGE(""https://docs.google.com/spreadsheets/d/1eHaY18a8A9IcSdp1K8H6x8fbOy06t2VsZHhMHf-1x7Y/edit?usp=sharing"",""แผน!GD53"")"),250)</f>
        <v>250</v>
      </c>
      <c r="J744" s="794">
        <v>250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IFERROR(__xludf.DUMMYFUNCTION("IMPORTRANGE(""https://docs.google.com/spreadsheets/d/1eHaY18a8A9IcSdp1K8H6x8fbOy06t2VsZHhMHf-1x7Y/edit?usp=sharing"",""แผน!GE53"")"),25)</f>
        <v>25</v>
      </c>
      <c r="J746" s="794">
        <v>25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IFERROR(__xludf.DUMMYFUNCTION("IMPORTRANGE(""https://docs.google.com/spreadsheets/d/1eHaY18a8A9IcSdp1K8H6x8fbOy06t2VsZHhMHf-1x7Y/edit?usp=sharing"",""แผน!GF53"")"),3)</f>
        <v>3</v>
      </c>
      <c r="J749" s="794">
        <v>3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IFERROR(__xludf.DUMMYFUNCTION("IMPORTRANGE(""https://docs.google.com/spreadsheets/d/1eHaY18a8A9IcSdp1K8H6x8fbOy06t2VsZHhMHf-1x7Y/edit?usp=sharing"",""แผน!GB53"")"),1000)</f>
        <v>1000</v>
      </c>
      <c r="J752" s="794">
        <v>1000</v>
      </c>
      <c r="K752" s="86">
        <f ca="1">IF(I752&gt;0,J752*100/I752,0)</f>
        <v>100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100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IFERROR(__xludf.DUMMYFUNCTION("IMPORTRANGE(""https://docs.google.com/spreadsheets/d/1eHaY18a8A9IcSdp1K8H6x8fbOy06t2VsZHhMHf-1x7Y/edit?usp=sharing"",""แผน!GD53"")"),250)</f>
        <v>250</v>
      </c>
      <c r="J755" s="794">
        <v>250</v>
      </c>
      <c r="K755" s="86">
        <f ca="1">IF(I755&gt;0,J755*100/I755,0)</f>
        <v>100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250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1123">
        <v>3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85</v>
      </c>
      <c r="J758" s="743">
        <f>J772</f>
        <v>85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220</v>
      </c>
      <c r="J759" s="743">
        <f>J774</f>
        <v>220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1122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574850</v>
      </c>
      <c r="R760" s="213">
        <f ca="1">R761+R762</f>
        <v>574850</v>
      </c>
      <c r="S760" s="213">
        <f ca="1">S761+S762</f>
        <v>208780</v>
      </c>
      <c r="T760" s="213">
        <f t="shared" ref="T760:T768" ca="1" si="188">IF(Q760&gt;0,S760*100/Q760,0)</f>
        <v>36.319039749499872</v>
      </c>
      <c r="U760" s="213">
        <f t="shared" ref="U760:U768" ca="1" si="189">IF(R760&gt;0,S760*100/R760,0)</f>
        <v>36.319039749499872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574850</v>
      </c>
      <c r="R762" s="130">
        <f t="shared" ca="1" si="191"/>
        <v>574850</v>
      </c>
      <c r="S762" s="130">
        <f t="shared" ca="1" si="191"/>
        <v>208780</v>
      </c>
      <c r="T762" s="130">
        <f t="shared" ca="1" si="188"/>
        <v>36.319039749499872</v>
      </c>
      <c r="U762" s="130">
        <f t="shared" ca="1" si="189"/>
        <v>36.319039749499872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574850</v>
      </c>
      <c r="R763" s="130">
        <f ca="1">R764+R765</f>
        <v>574850</v>
      </c>
      <c r="S763" s="130">
        <f ca="1">S764+S765</f>
        <v>208780</v>
      </c>
      <c r="T763" s="130">
        <f t="shared" ca="1" si="188"/>
        <v>36.319039749499872</v>
      </c>
      <c r="U763" s="130">
        <f t="shared" ca="1" si="189"/>
        <v>36.319039749499872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IFERROR(__xludf.DUMMYFUNCTION("IMPORTRANGE(""https://docs.google.com/spreadsheets/d/1ItG2mGa2ceCfYo0BwxsXqNm01IGEUdYcSSLTEv9YCik/edit?usp=sharing"",""เบิกจ่ายกองทุน!AA53"")"),574850)</f>
        <v>574850</v>
      </c>
      <c r="R765" s="130">
        <f ca="1">IFERROR(__xludf.DUMMYFUNCTION("IMPORTRANGE(""https://docs.google.com/spreadsheets/d/1ItG2mGa2ceCfYo0BwxsXqNm01IGEUdYcSSLTEv9YCik/edit?usp=sharing"",""เบิกจ่ายกองทุน!AB53"")"),574850)</f>
        <v>574850</v>
      </c>
      <c r="S765" s="130">
        <f ca="1">IFERROR(__xludf.DUMMYFUNCTION("IMPORTRANGE(""https://docs.google.com/spreadsheets/d/1ItG2mGa2ceCfYo0BwxsXqNm01IGEUdYcSSLTEv9YCik/edit?usp=sharing"",""เบิกจ่ายกองทุน!AC53"")"),208780)</f>
        <v>208780</v>
      </c>
      <c r="T765" s="130">
        <f t="shared" ca="1" si="188"/>
        <v>36.319039749499872</v>
      </c>
      <c r="U765" s="130">
        <f t="shared" ca="1" si="189"/>
        <v>36.319039749499872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x14ac:dyDescent="0.3">
      <c r="A769" s="274"/>
      <c r="B769" s="275"/>
      <c r="C769" s="1122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IFERROR(__xludf.DUMMYFUNCTION("IMPORTRANGE(""https://docs.google.com/spreadsheets/d/1eHaY18a8A9IcSdp1K8H6x8fbOy06t2VsZHhMHf-1x7Y/edit?usp=sharing"",""แผน!FI53"")"),0)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IFERROR(__xludf.DUMMYFUNCTION("IMPORTRANGE(""https://docs.google.com/spreadsheets/d/1eHaY18a8A9IcSdp1K8H6x8fbOy06t2VsZHhMHf-1x7Y/edit?usp=sharing"",""แผน!FQ53"")"),85)</f>
        <v>85</v>
      </c>
      <c r="J772" s="292">
        <v>85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IFERROR(__xludf.DUMMYFUNCTION("IMPORTRANGE(""https://docs.google.com/spreadsheets/d/1eHaY18a8A9IcSdp1K8H6x8fbOy06t2VsZHhMHf-1x7Y/edit?usp=sharing"",""แผน!FR53"")"),220)</f>
        <v>220</v>
      </c>
      <c r="J774" s="292">
        <v>220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IFERROR(__xludf.DUMMYFUNCTION("IMPORTRANGE(""https://docs.google.com/spreadsheets/d/1eHaY18a8A9IcSdp1K8H6x8fbOy06t2VsZHhMHf-1x7Y/edit?usp=sharing"",""แผน!FS53"")"),220)</f>
        <v>220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IFERROR(__xludf.DUMMYFUNCTION("IMPORTRANGE(""https://docs.google.com/spreadsheets/d/1eHaY18a8A9IcSdp1K8H6x8fbOy06t2VsZHhMHf-1x7Y/edit?usp=sharing"",""แผน!FT53"")"),85)</f>
        <v>85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74" t="s">
        <v>295</v>
      </c>
      <c r="B777" s="775"/>
      <c r="C777" s="775"/>
      <c r="D777" s="775"/>
      <c r="E777" s="776"/>
      <c r="F777" s="776"/>
      <c r="G777" s="777"/>
      <c r="H777" s="778" t="str">
        <f ca="1">IFERROR(__xludf.DUMMYFUNCTION("IMPORTRANGE(""https://docs.google.com/spreadsheets/d/1gNPQPjxUj63ZZXIIIm2aX4x3w7PhAZpC9JuXdbpWwUQ/edit?usp=sharing"",""Sheet1!b2"")")," (ข้อมูล ณ 31 พ.ค. 67)")</f>
        <v xml:space="preserve"> 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529"/>
      <c r="B778" s="567" t="s">
        <v>296</v>
      </c>
      <c r="C778" s="267"/>
      <c r="D778" s="267"/>
      <c r="E778" s="256"/>
      <c r="F778" s="256"/>
      <c r="G778" s="259"/>
      <c r="H778" s="266" t="s">
        <v>14</v>
      </c>
      <c r="I778" s="291">
        <f ca="1">IFERROR(__xludf.DUMMYFUNCTION("IMPORTRANGE(""https://docs.google.com/spreadsheets/d/10OvvATaaLtwErnr3qtWFcTmtbfpFEt5Bsqel9sXx0uE/edit?usp=sharing"",""งานกองทุน!D53"")"),1336500)</f>
        <v>1336500</v>
      </c>
      <c r="J778" s="291">
        <f ca="1">IFERROR(__xludf.DUMMYFUNCTION("IMPORTRANGE(""https://docs.google.com/spreadsheets/d/10OvvATaaLtwErnr3qtWFcTmtbfpFEt5Bsqel9sXx0uE/edit?usp=sharing"",""งานกองทุน!F53"")"),478500)</f>
        <v>478500</v>
      </c>
      <c r="K778" s="72">
        <f t="shared" ref="K778:K785" ca="1" si="192">IF(I778&gt;0,J778*100/I778,0)</f>
        <v>35.802469135802468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529"/>
      <c r="B779" s="267"/>
      <c r="C779" s="267"/>
      <c r="D779" s="267"/>
      <c r="E779" s="256"/>
      <c r="F779" s="256"/>
      <c r="G779" s="259"/>
      <c r="H779" s="266" t="s">
        <v>35</v>
      </c>
      <c r="I779" s="291">
        <f ca="1">IFERROR(__xludf.DUMMYFUNCTION("IMPORTRANGE(""https://docs.google.com/spreadsheets/d/10OvvATaaLtwErnr3qtWFcTmtbfpFEt5Bsqel9sXx0uE/edit?usp=sharing"",""งานกองทุน!C53"")"),81)</f>
        <v>81</v>
      </c>
      <c r="J779" s="291">
        <f ca="1">IFERROR(__xludf.DUMMYFUNCTION("IMPORTRANGE(""https://docs.google.com/spreadsheets/d/10OvvATaaLtwErnr3qtWFcTmtbfpFEt5Bsqel9sXx0uE/edit?usp=sharing"",""งานกองทุน!E53"")"),29)</f>
        <v>29</v>
      </c>
      <c r="K779" s="72">
        <f t="shared" ca="1" si="192"/>
        <v>35.802469135802468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529"/>
      <c r="B780" s="567" t="s">
        <v>297</v>
      </c>
      <c r="C780" s="267"/>
      <c r="D780" s="267"/>
      <c r="E780" s="256"/>
      <c r="F780" s="256"/>
      <c r="G780" s="259"/>
      <c r="H780" s="266" t="s">
        <v>14</v>
      </c>
      <c r="I780" s="291">
        <f ca="1">IFERROR(__xludf.DUMMYFUNCTION("IMPORTRANGE(""https://docs.google.com/spreadsheets/d/10OvvATaaLtwErnr3qtWFcTmtbfpFEt5Bsqel9sXx0uE/edit?usp=sharing"",""งานกองทุน!I53"")"),19129709.33)</f>
        <v>19129709.329999998</v>
      </c>
      <c r="J780" s="291">
        <f ca="1">IFERROR(__xludf.DUMMYFUNCTION("IMPORTRANGE(""https://docs.google.com/spreadsheets/d/10OvvATaaLtwErnr3qtWFcTmtbfpFEt5Bsqel9sXx0uE/edit?usp=sharing"",""งานกองทุน!K53"")"),1029237.45)</f>
        <v>1029237.45</v>
      </c>
      <c r="K780" s="72">
        <f t="shared" ca="1" si="192"/>
        <v>5.3803088810445612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529"/>
      <c r="B781" s="267"/>
      <c r="C781" s="267"/>
      <c r="D781" s="267"/>
      <c r="E781" s="256"/>
      <c r="F781" s="256"/>
      <c r="G781" s="259"/>
      <c r="H781" s="266" t="s">
        <v>35</v>
      </c>
      <c r="I781" s="291">
        <f ca="1">IFERROR(__xludf.DUMMYFUNCTION("IMPORTRANGE(""https://docs.google.com/spreadsheets/d/10OvvATaaLtwErnr3qtWFcTmtbfpFEt5Bsqel9sXx0uE/edit?usp=sharing"",""งานกองทุน!H53"")"),654)</f>
        <v>654</v>
      </c>
      <c r="J781" s="291">
        <f ca="1">IFERROR(__xludf.DUMMYFUNCTION("IMPORTRANGE(""https://docs.google.com/spreadsheets/d/10OvvATaaLtwErnr3qtWFcTmtbfpFEt5Bsqel9sXx0uE/edit?usp=sharing"",""งานกองทุน!J53"")"),99)</f>
        <v>99</v>
      </c>
      <c r="K781" s="72">
        <f t="shared" ca="1" si="192"/>
        <v>15.137614678899082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529"/>
      <c r="B782" s="567" t="s">
        <v>298</v>
      </c>
      <c r="C782" s="267"/>
      <c r="D782" s="267"/>
      <c r="E782" s="256"/>
      <c r="F782" s="256"/>
      <c r="G782" s="259"/>
      <c r="H782" s="266" t="s">
        <v>14</v>
      </c>
      <c r="I782" s="291">
        <f ca="1">IFERROR(__xludf.DUMMYFUNCTION("IMPORTRANGE(""https://docs.google.com/spreadsheets/d/10OvvATaaLtwErnr3qtWFcTmtbfpFEt5Bsqel9sXx0uE/edit?usp=sharing"",""งานกองทุน!N53"")"),894930.13)</f>
        <v>894930.13</v>
      </c>
      <c r="J782" s="291">
        <f ca="1">IFERROR(__xludf.DUMMYFUNCTION("IMPORTRANGE(""https://docs.google.com/spreadsheets/d/10OvvATaaLtwErnr3qtWFcTmtbfpFEt5Bsqel9sXx0uE/edit?usp=sharing"",""งานกองทุน!P53"")"),124968.95)</f>
        <v>124968.95</v>
      </c>
      <c r="K782" s="72">
        <f t="shared" ca="1" si="192"/>
        <v>13.964101309227347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529"/>
      <c r="B783" s="267"/>
      <c r="C783" s="267"/>
      <c r="D783" s="267"/>
      <c r="E783" s="256"/>
      <c r="F783" s="256"/>
      <c r="G783" s="259"/>
      <c r="H783" s="266" t="s">
        <v>35</v>
      </c>
      <c r="I783" s="291">
        <f ca="1">IFERROR(__xludf.DUMMYFUNCTION("IMPORTRANGE(""https://docs.google.com/spreadsheets/d/10OvvATaaLtwErnr3qtWFcTmtbfpFEt5Bsqel9sXx0uE/edit?usp=sharing"",""งานกองทุน!M53"")"),262)</f>
        <v>262</v>
      </c>
      <c r="J783" s="291">
        <f ca="1">IFERROR(__xludf.DUMMYFUNCTION("IMPORTRANGE(""https://docs.google.com/spreadsheets/d/10OvvATaaLtwErnr3qtWFcTmtbfpFEt5Bsqel9sXx0uE/edit?usp=sharing"",""งานกองทุน!O53"")"),16)</f>
        <v>16</v>
      </c>
      <c r="K783" s="72">
        <f t="shared" ca="1" si="192"/>
        <v>6.106870229007634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529"/>
      <c r="B784" s="567" t="s">
        <v>299</v>
      </c>
      <c r="C784" s="267"/>
      <c r="D784" s="267"/>
      <c r="E784" s="256"/>
      <c r="F784" s="256"/>
      <c r="G784" s="259"/>
      <c r="H784" s="266" t="s">
        <v>14</v>
      </c>
      <c r="I784" s="291">
        <f ca="1">IFERROR(__xludf.DUMMYFUNCTION("IMPORTRANGE(""https://docs.google.com/spreadsheets/d/10OvvATaaLtwErnr3qtWFcTmtbfpFEt5Bsqel9sXx0uE/edit?usp=sharing"",""งานกองทุน!S53"")"),2436000)</f>
        <v>2436000</v>
      </c>
      <c r="J784" s="291">
        <f ca="1">IFERROR(__xludf.DUMMYFUNCTION("IMPORTRANGE(""https://docs.google.com/spreadsheets/d/10OvvATaaLtwErnr3qtWFcTmtbfpFEt5Bsqel9sXx0uE/edit?usp=sharing"",""งานกองทุน!U53"")"),2550000)</f>
        <v>2550000</v>
      </c>
      <c r="K784" s="72">
        <f t="shared" ca="1" si="192"/>
        <v>104.67980295566502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606"/>
      <c r="B785" s="607"/>
      <c r="C785" s="607"/>
      <c r="D785" s="607"/>
      <c r="E785" s="615"/>
      <c r="F785" s="615"/>
      <c r="G785" s="616"/>
      <c r="H785" s="609" t="s">
        <v>35</v>
      </c>
      <c r="I785" s="773">
        <f ca="1">IFERROR(__xludf.DUMMYFUNCTION("IMPORTRANGE(""https://docs.google.com/spreadsheets/d/10OvvATaaLtwErnr3qtWFcTmtbfpFEt5Bsqel9sXx0uE/edit?usp=sharing"",""งานกองทุน!R53"")"),87)</f>
        <v>87</v>
      </c>
      <c r="J785" s="773">
        <f ca="1">IFERROR(__xludf.DUMMYFUNCTION("IMPORTRANGE(""https://docs.google.com/spreadsheets/d/10OvvATaaLtwErnr3qtWFcTmtbfpFEt5Bsqel9sXx0uE/edit?usp=sharing"",""งานกองทุน!T53"")"),51)</f>
        <v>51</v>
      </c>
      <c r="K785" s="181">
        <f t="shared" ca="1" si="192"/>
        <v>58.620689655172413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782"/>
      <c r="B786" s="782"/>
      <c r="C786" s="782"/>
      <c r="D786" s="782"/>
      <c r="E786" s="287"/>
      <c r="F786" s="287"/>
      <c r="G786" s="287"/>
      <c r="H786" s="782"/>
      <c r="I786" s="783"/>
      <c r="J786" s="783"/>
      <c r="K786" s="784"/>
      <c r="L786" s="784"/>
      <c r="M786" s="784"/>
      <c r="N786" s="784"/>
      <c r="O786" s="784"/>
      <c r="P786" s="784"/>
      <c r="Q786" s="784"/>
      <c r="R786" s="784"/>
      <c r="S786" s="784"/>
      <c r="T786" s="784"/>
      <c r="U786" s="784"/>
    </row>
    <row r="787" spans="1:21" ht="16.5" x14ac:dyDescent="0.25">
      <c r="A787" s="785" t="s">
        <v>300</v>
      </c>
      <c r="B787" s="782"/>
      <c r="C787" s="782"/>
      <c r="D787" s="782"/>
      <c r="E787" s="287"/>
      <c r="F787" s="287"/>
      <c r="G787" s="287"/>
      <c r="H787" s="782"/>
      <c r="I787" s="783"/>
      <c r="J787" s="783"/>
      <c r="K787" s="784"/>
      <c r="L787" s="784"/>
      <c r="M787" s="784"/>
      <c r="N787" s="784"/>
      <c r="O787" s="784"/>
      <c r="P787" s="784"/>
      <c r="Q787" s="784"/>
      <c r="R787" s="784"/>
      <c r="S787" s="784"/>
      <c r="T787" s="784"/>
      <c r="U787" s="784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782"/>
      <c r="C788" s="782"/>
      <c r="D788" s="782"/>
      <c r="E788" s="287"/>
      <c r="F788" s="287"/>
      <c r="G788" s="287"/>
      <c r="H788" s="782"/>
      <c r="I788" s="783"/>
      <c r="J788" s="783"/>
      <c r="K788" s="784"/>
      <c r="L788" s="784"/>
      <c r="M788" s="784"/>
      <c r="N788" s="784"/>
      <c r="O788" s="784"/>
      <c r="P788" s="784"/>
      <c r="Q788" s="784"/>
      <c r="R788" s="784"/>
      <c r="S788" s="784"/>
      <c r="T788" s="784"/>
      <c r="U788" s="784"/>
    </row>
    <row r="789" spans="1:21" ht="16.5" x14ac:dyDescent="0.25">
      <c r="A789" s="78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782"/>
      <c r="C789" s="782"/>
      <c r="D789" s="782"/>
      <c r="E789" s="287"/>
      <c r="F789" s="287"/>
      <c r="G789" s="287"/>
      <c r="H789" s="782"/>
      <c r="I789" s="783"/>
      <c r="J789" s="783"/>
      <c r="K789" s="784"/>
      <c r="L789" s="784"/>
      <c r="M789" s="784"/>
      <c r="N789" s="784"/>
      <c r="O789" s="784"/>
      <c r="P789" s="784"/>
      <c r="Q789" s="784"/>
      <c r="R789" s="784"/>
      <c r="S789" s="784"/>
      <c r="T789" s="784"/>
      <c r="U789" s="784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G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48B9C-39AB-4A19-981F-726F8229DC2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365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1880560</v>
      </c>
      <c r="M18" s="57">
        <f ca="1">M19+M20</f>
        <v>1888169</v>
      </c>
      <c r="N18" s="57">
        <f ca="1">N19+N20</f>
        <v>1506481.83</v>
      </c>
      <c r="O18" s="57">
        <f t="shared" ref="O18:O26" ca="1" si="0">IF(L18&gt;0,N18*100/L18,0)</f>
        <v>80.108150231845826</v>
      </c>
      <c r="P18" s="57">
        <f t="shared" ref="P18:P26" ca="1" si="1">IF(M18&gt;0,N18*100/M18,0)</f>
        <v>79.785328008245031</v>
      </c>
      <c r="Q18" s="57">
        <f ca="1">Q19+Q20</f>
        <v>222630</v>
      </c>
      <c r="R18" s="57">
        <f ca="1">R19+R20</f>
        <v>222630</v>
      </c>
      <c r="S18" s="57">
        <f ca="1">S19+S20</f>
        <v>133197.5</v>
      </c>
      <c r="T18" s="57">
        <f t="shared" ref="T18:T26" ca="1" si="2">IF(Q18&gt;0,S18*100/Q18,0)</f>
        <v>59.829088622377938</v>
      </c>
      <c r="U18" s="57">
        <f t="shared" ref="U18:U26" ca="1" si="3">IF(R18&gt;0,S18*100/R18,0)</f>
        <v>59.829088622377938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1880560</v>
      </c>
      <c r="M20" s="63">
        <f t="shared" ca="1" si="4"/>
        <v>1888169</v>
      </c>
      <c r="N20" s="63">
        <f t="shared" ca="1" si="4"/>
        <v>1506481.83</v>
      </c>
      <c r="O20" s="63">
        <f t="shared" ca="1" si="0"/>
        <v>80.108150231845826</v>
      </c>
      <c r="P20" s="63">
        <f t="shared" ca="1" si="1"/>
        <v>79.785328008245031</v>
      </c>
      <c r="Q20" s="63">
        <f t="shared" ca="1" si="5"/>
        <v>222630</v>
      </c>
      <c r="R20" s="63">
        <f t="shared" ca="1" si="5"/>
        <v>222630</v>
      </c>
      <c r="S20" s="63">
        <f t="shared" ca="1" si="5"/>
        <v>133197.5</v>
      </c>
      <c r="T20" s="63">
        <f t="shared" ca="1" si="2"/>
        <v>59.829088622377938</v>
      </c>
      <c r="U20" s="63">
        <f t="shared" ca="1" si="3"/>
        <v>59.829088622377938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1880560</v>
      </c>
      <c r="M21" s="72">
        <f ca="1">M22+M23</f>
        <v>1888169</v>
      </c>
      <c r="N21" s="72">
        <f ca="1">N22+N23</f>
        <v>1506481.83</v>
      </c>
      <c r="O21" s="72">
        <f t="shared" ca="1" si="0"/>
        <v>80.108150231845826</v>
      </c>
      <c r="P21" s="72">
        <f t="shared" ca="1" si="1"/>
        <v>79.785328008245031</v>
      </c>
      <c r="Q21" s="72">
        <f ca="1">Q22+Q23</f>
        <v>222630</v>
      </c>
      <c r="R21" s="72">
        <f ca="1">R22+R23</f>
        <v>222630</v>
      </c>
      <c r="S21" s="72">
        <f ca="1">S22+S23</f>
        <v>133197.5</v>
      </c>
      <c r="T21" s="72">
        <f t="shared" ca="1" si="2"/>
        <v>59.829088622377938</v>
      </c>
      <c r="U21" s="72">
        <f t="shared" ca="1" si="3"/>
        <v>59.829088622377938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 t="shared" ref="L22:N23" si="6">L48+L63+L76+L98+L129+L143+L161+L190+L177+L270+L286+L307+L324+L337+L360+L517</f>
        <v>0</v>
      </c>
      <c r="M22" s="75">
        <f t="shared" si="6"/>
        <v>0</v>
      </c>
      <c r="N22" s="75">
        <f t="shared" si="6"/>
        <v>0</v>
      </c>
      <c r="O22" s="75">
        <f t="shared" si="0"/>
        <v>0</v>
      </c>
      <c r="P22" s="75">
        <f t="shared" si="1"/>
        <v>0</v>
      </c>
      <c r="Q22" s="75">
        <f t="shared" ref="Q22:S23" si="7">Q76+Q98+Q121+Q143+Q161+Q177+Q190+Q270+Q286+Q307+Q337+Q379+Q396+Q417+Q497+Q603+Q620+Q646+Q694+Q718+Q732+Q764</f>
        <v>0</v>
      </c>
      <c r="R22" s="75">
        <f t="shared" si="7"/>
        <v>0</v>
      </c>
      <c r="S22" s="75">
        <f t="shared" si="7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t="shared" ca="1" si="6"/>
        <v>1880560</v>
      </c>
      <c r="M23" s="72">
        <f t="shared" ca="1" si="6"/>
        <v>1888169</v>
      </c>
      <c r="N23" s="72">
        <f t="shared" ca="1" si="6"/>
        <v>1506481.83</v>
      </c>
      <c r="O23" s="72">
        <f t="shared" ca="1" si="0"/>
        <v>80.108150231845826</v>
      </c>
      <c r="P23" s="72">
        <f t="shared" ca="1" si="1"/>
        <v>79.785328008245031</v>
      </c>
      <c r="Q23" s="72">
        <f t="shared" ca="1" si="7"/>
        <v>222630</v>
      </c>
      <c r="R23" s="72">
        <f t="shared" ca="1" si="7"/>
        <v>222630</v>
      </c>
      <c r="S23" s="72">
        <f t="shared" ca="1" si="7"/>
        <v>133197.5</v>
      </c>
      <c r="T23" s="72">
        <f t="shared" ca="1" si="2"/>
        <v>59.829088622377938</v>
      </c>
      <c r="U23" s="72">
        <f t="shared" ca="1" si="3"/>
        <v>59.829088622377938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 t="shared" ref="L25:N26" si="8">L51+L66+L79+L101+L132+L146+L164+L193+L180+L273+L289+L310+L327+L340+L363+L520</f>
        <v>0</v>
      </c>
      <c r="M25" s="75">
        <f t="shared" si="8"/>
        <v>0</v>
      </c>
      <c r="N25" s="75">
        <f t="shared" si="8"/>
        <v>0</v>
      </c>
      <c r="O25" s="75">
        <f t="shared" si="0"/>
        <v>0</v>
      </c>
      <c r="P25" s="75">
        <f t="shared" si="1"/>
        <v>0</v>
      </c>
      <c r="Q25" s="75">
        <f t="shared" ref="Q25:S26" si="9">Q79+Q101+Q124+Q146+Q164+Q180+Q193+Q273+Q289+Q310+Q340+Q382+Q399+Q420+Q500+Q606+Q623+Q649+Q697+Q721+Q735+Q767</f>
        <v>0</v>
      </c>
      <c r="R25" s="75">
        <f t="shared" si="9"/>
        <v>0</v>
      </c>
      <c r="S25" s="75">
        <f t="shared" si="9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t="shared" ca="1" si="8"/>
        <v>0</v>
      </c>
      <c r="M26" s="72">
        <f t="shared" ca="1" si="8"/>
        <v>0</v>
      </c>
      <c r="N26" s="72">
        <f t="shared" ca="1" si="8"/>
        <v>0</v>
      </c>
      <c r="O26" s="72">
        <f t="shared" ca="1" si="0"/>
        <v>0</v>
      </c>
      <c r="P26" s="72">
        <f t="shared" ca="1" si="1"/>
        <v>0</v>
      </c>
      <c r="Q26" s="75">
        <f t="shared" ca="1" si="9"/>
        <v>0</v>
      </c>
      <c r="R26" s="75">
        <f t="shared" ca="1" si="9"/>
        <v>0</v>
      </c>
      <c r="S26" s="75">
        <f t="shared" ca="1" si="9"/>
        <v>0</v>
      </c>
      <c r="T26" s="72">
        <f t="shared" ca="1" si="2"/>
        <v>0</v>
      </c>
      <c r="U26" s="72">
        <f t="shared" ca="1" si="3"/>
        <v>0</v>
      </c>
    </row>
    <row r="27" spans="1:21" ht="18.75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4.25" hidden="1" x14ac:dyDescent="0.2">
      <c r="A30" s="1467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1880560</v>
      </c>
      <c r="M40" s="1050">
        <f ca="1">M44+M59+M72+M94+M125+M139+M157+M173+M186+M266+M282+M303+M320+M333+M356</f>
        <v>1888169</v>
      </c>
      <c r="N40" s="1050">
        <f ca="1">N44+N59+N72+N94+N125+N139+N157+N173+N186+N266+N282+N303+N320+N333+N356</f>
        <v>1506481.83</v>
      </c>
      <c r="O40" s="1050">
        <f ca="1">IF(L40&gt;0,N40*100/L40,0)</f>
        <v>80.108150231845826</v>
      </c>
      <c r="P40" s="1050">
        <f ca="1">IF(M40&gt;0,N40*100/M40,0)</f>
        <v>79.785328008245031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312000</v>
      </c>
      <c r="M44" s="1031">
        <f ca="1">M45+M46</f>
        <v>318324</v>
      </c>
      <c r="N44" s="1031">
        <f ca="1">N45+N46</f>
        <v>213274.5</v>
      </c>
      <c r="O44" s="1031">
        <f t="shared" ref="O44:O52" ca="1" si="10">IF(L44&gt;0,N44*100/L44,0)</f>
        <v>68.357211538461542</v>
      </c>
      <c r="P44" s="1031">
        <f t="shared" ref="P44:P52" ca="1" si="11">IF(M44&gt;0,N44*100/M44,0)</f>
        <v>66.999189505032604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2">IF(Q44&gt;0,S44*100/Q44,0)</f>
        <v>0</v>
      </c>
      <c r="U44" s="1031">
        <f t="shared" ref="U44:U52" si="13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4">L48+L51</f>
        <v>0</v>
      </c>
      <c r="M45" s="1027">
        <f t="shared" si="14"/>
        <v>0</v>
      </c>
      <c r="N45" s="1027">
        <f t="shared" si="14"/>
        <v>0</v>
      </c>
      <c r="O45" s="1027">
        <f t="shared" si="10"/>
        <v>0</v>
      </c>
      <c r="P45" s="1027">
        <f t="shared" si="11"/>
        <v>0</v>
      </c>
      <c r="Q45" s="1027">
        <f t="shared" ref="Q45:S46" si="15">Q48+Q51</f>
        <v>0</v>
      </c>
      <c r="R45" s="1027">
        <f t="shared" si="15"/>
        <v>0</v>
      </c>
      <c r="S45" s="1027">
        <f t="shared" si="15"/>
        <v>0</v>
      </c>
      <c r="T45" s="1027">
        <f t="shared" si="12"/>
        <v>0</v>
      </c>
      <c r="U45" s="1027">
        <f t="shared" si="13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4"/>
        <v>312000</v>
      </c>
      <c r="M46" s="1018">
        <f t="shared" ca="1" si="14"/>
        <v>318324</v>
      </c>
      <c r="N46" s="1018">
        <f t="shared" ca="1" si="14"/>
        <v>213274.5</v>
      </c>
      <c r="O46" s="1018">
        <f t="shared" ca="1" si="10"/>
        <v>68.357211538461542</v>
      </c>
      <c r="P46" s="1018">
        <f t="shared" ca="1" si="11"/>
        <v>66.999189505032604</v>
      </c>
      <c r="Q46" s="1018">
        <f t="shared" si="15"/>
        <v>0</v>
      </c>
      <c r="R46" s="1018">
        <f t="shared" si="15"/>
        <v>0</v>
      </c>
      <c r="S46" s="1018">
        <f t="shared" si="15"/>
        <v>0</v>
      </c>
      <c r="T46" s="1018">
        <f t="shared" si="12"/>
        <v>0</v>
      </c>
      <c r="U46" s="1018">
        <f t="shared" si="13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312000</v>
      </c>
      <c r="M47" s="72">
        <f ca="1">M48+M49</f>
        <v>318324</v>
      </c>
      <c r="N47" s="72">
        <f ca="1">N48+N49</f>
        <v>213274.5</v>
      </c>
      <c r="O47" s="72">
        <f t="shared" ca="1" si="10"/>
        <v>68.357211538461542</v>
      </c>
      <c r="P47" s="72">
        <f t="shared" ca="1" si="11"/>
        <v>66.999189505032604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2"/>
        <v>0</v>
      </c>
      <c r="U47" s="72">
        <f t="shared" si="13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10"/>
        <v>0</v>
      </c>
      <c r="P48" s="75">
        <f t="shared" si="11"/>
        <v>0</v>
      </c>
      <c r="Q48" s="75">
        <v>0</v>
      </c>
      <c r="R48" s="75">
        <v>0</v>
      </c>
      <c r="S48" s="75">
        <v>0</v>
      </c>
      <c r="T48" s="75">
        <f t="shared" si="12"/>
        <v>0</v>
      </c>
      <c r="U48" s="75">
        <f t="shared" si="13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IFERROR(__xludf.DUMMYFUNCTION("IMPORTRANGE(""https://docs.google.com/spreadsheets/d/1-uDff_7J0KD5mKrp0Vvzr7lt3OU09vwQwhkpOPPYv2Y/edit?usp=sharing"",""งบพรบ!P71"")"),312000)</f>
        <v>312000</v>
      </c>
      <c r="M49" s="72">
        <f ca="1">IFERROR(__xludf.DUMMYFUNCTION("IMPORTRANGE(""https://docs.google.com/spreadsheets/d/1-uDff_7J0KD5mKrp0Vvzr7lt3OU09vwQwhkpOPPYv2Y/edit?usp=sharing"",""งบพรบ!V71"")"),318324)</f>
        <v>318324</v>
      </c>
      <c r="N49" s="72">
        <f ca="1">IFERROR(__xludf.DUMMYFUNCTION("IMPORTRANGE(""https://docs.google.com/spreadsheets/d/1-uDff_7J0KD5mKrp0Vvzr7lt3OU09vwQwhkpOPPYv2Y/edit?usp=sharing"",""งบพรบ!Y71"")"),213274.5)</f>
        <v>213274.5</v>
      </c>
      <c r="O49" s="72">
        <f t="shared" ca="1" si="10"/>
        <v>68.357211538461542</v>
      </c>
      <c r="P49" s="72">
        <f t="shared" ca="1" si="11"/>
        <v>66.999189505032604</v>
      </c>
      <c r="Q49" s="72">
        <v>0</v>
      </c>
      <c r="R49" s="72">
        <v>0</v>
      </c>
      <c r="S49" s="72">
        <v>0</v>
      </c>
      <c r="T49" s="72">
        <f t="shared" si="12"/>
        <v>0</v>
      </c>
      <c r="U49" s="72">
        <f t="shared" si="13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10"/>
        <v>0</v>
      </c>
      <c r="P50" s="72">
        <f t="shared" ca="1" si="11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2"/>
        <v>0</v>
      </c>
      <c r="U50" s="72">
        <f t="shared" si="13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10"/>
        <v>0</v>
      </c>
      <c r="P51" s="75">
        <f t="shared" si="11"/>
        <v>0</v>
      </c>
      <c r="Q51" s="75">
        <v>0</v>
      </c>
      <c r="R51" s="75">
        <v>0</v>
      </c>
      <c r="S51" s="75">
        <v>0</v>
      </c>
      <c r="T51" s="75">
        <f t="shared" si="12"/>
        <v>0</v>
      </c>
      <c r="U51" s="75">
        <f t="shared" si="13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IFERROR(__xludf.DUMMYFUNCTION("IMPORTRANGE(""https://docs.google.com/spreadsheets/d/1-uDff_7J0KD5mKrp0Vvzr7lt3OU09vwQwhkpOPPYv2Y/edit?usp=sharing"",""งบพรบ!S71"")"),0)</f>
        <v>0</v>
      </c>
      <c r="M52" s="72">
        <f ca="1">IFERROR(__xludf.DUMMYFUNCTION("IMPORTRANGE(""https://docs.google.com/spreadsheets/d/1-uDff_7J0KD5mKrp0Vvzr7lt3OU09vwQwhkpOPPYv2Y/edit?usp=sharing"",""งบพรบ!W71"")"),0)</f>
        <v>0</v>
      </c>
      <c r="N52" s="72">
        <f ca="1">IFERROR(__xludf.DUMMYFUNCTION("IMPORTRANGE(""https://docs.google.com/spreadsheets/d/1-uDff_7J0KD5mKrp0Vvzr7lt3OU09vwQwhkpOPPYv2Y/edit?usp=sharing"",""งบพรบ!Z71"")"),0)</f>
        <v>0</v>
      </c>
      <c r="O52" s="72">
        <f t="shared" ca="1" si="10"/>
        <v>0</v>
      </c>
      <c r="P52" s="72">
        <f t="shared" ca="1" si="11"/>
        <v>0</v>
      </c>
      <c r="Q52" s="72">
        <v>0</v>
      </c>
      <c r="R52" s="72">
        <v>0</v>
      </c>
      <c r="S52" s="72">
        <v>0</v>
      </c>
      <c r="T52" s="72">
        <f t="shared" si="12"/>
        <v>0</v>
      </c>
      <c r="U52" s="72">
        <f t="shared" si="13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895400</v>
      </c>
      <c r="M59" s="1001">
        <f ca="1">M60+M61</f>
        <v>906400</v>
      </c>
      <c r="N59" s="1001">
        <f ca="1">N60+N61</f>
        <v>827612.12</v>
      </c>
      <c r="O59" s="1001">
        <f t="shared" ref="O59:O67" ca="1" si="16">IF(L59&gt;0,N59*100/L59,0)</f>
        <v>92.429318740227828</v>
      </c>
      <c r="P59" s="1001">
        <f t="shared" ref="P59:P67" ca="1" si="17">IF(M59&gt;0,N59*100/M59,0)</f>
        <v>91.307603706972642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8">IF(Q59&gt;0,S59*100/Q59,0)</f>
        <v>0</v>
      </c>
      <c r="U59" s="1001">
        <f t="shared" ref="U59:U67" si="19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20">L63+L66</f>
        <v>0</v>
      </c>
      <c r="M60" s="997">
        <f t="shared" si="20"/>
        <v>0</v>
      </c>
      <c r="N60" s="997">
        <f t="shared" si="20"/>
        <v>0</v>
      </c>
      <c r="O60" s="997">
        <f t="shared" si="16"/>
        <v>0</v>
      </c>
      <c r="P60" s="997">
        <f t="shared" si="17"/>
        <v>0</v>
      </c>
      <c r="Q60" s="997">
        <f t="shared" ref="Q60:S61" si="21">Q63+Q66</f>
        <v>0</v>
      </c>
      <c r="R60" s="997">
        <f t="shared" si="21"/>
        <v>0</v>
      </c>
      <c r="S60" s="997">
        <f t="shared" si="21"/>
        <v>0</v>
      </c>
      <c r="T60" s="997">
        <f t="shared" si="18"/>
        <v>0</v>
      </c>
      <c r="U60" s="997">
        <f t="shared" si="19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20"/>
        <v>895400</v>
      </c>
      <c r="M61" s="988">
        <f t="shared" ca="1" si="20"/>
        <v>906400</v>
      </c>
      <c r="N61" s="988">
        <f t="shared" ca="1" si="20"/>
        <v>827612.12</v>
      </c>
      <c r="O61" s="988">
        <f t="shared" ca="1" si="16"/>
        <v>92.429318740227828</v>
      </c>
      <c r="P61" s="988">
        <f t="shared" ca="1" si="17"/>
        <v>91.307603706972642</v>
      </c>
      <c r="Q61" s="988">
        <f t="shared" si="21"/>
        <v>0</v>
      </c>
      <c r="R61" s="988">
        <f t="shared" si="21"/>
        <v>0</v>
      </c>
      <c r="S61" s="988">
        <f t="shared" si="21"/>
        <v>0</v>
      </c>
      <c r="T61" s="988">
        <f t="shared" si="18"/>
        <v>0</v>
      </c>
      <c r="U61" s="988">
        <f t="shared" si="19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895400</v>
      </c>
      <c r="M62" s="72">
        <f ca="1">M63+M64</f>
        <v>906400</v>
      </c>
      <c r="N62" s="72">
        <f ca="1">N63+N64</f>
        <v>827612.12</v>
      </c>
      <c r="O62" s="72">
        <f t="shared" ca="1" si="16"/>
        <v>92.429318740227828</v>
      </c>
      <c r="P62" s="72">
        <f t="shared" ca="1" si="17"/>
        <v>91.307603706972642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8"/>
        <v>0</v>
      </c>
      <c r="U62" s="72">
        <f t="shared" si="19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6"/>
        <v>0</v>
      </c>
      <c r="P63" s="75">
        <f t="shared" si="17"/>
        <v>0</v>
      </c>
      <c r="Q63" s="75">
        <v>0</v>
      </c>
      <c r="R63" s="75">
        <v>0</v>
      </c>
      <c r="S63" s="75">
        <v>0</v>
      </c>
      <c r="T63" s="75">
        <f t="shared" si="18"/>
        <v>0</v>
      </c>
      <c r="U63" s="75">
        <f t="shared" si="19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IFERROR(__xludf.DUMMYFUNCTION("IMPORTRANGE(""https://docs.google.com/spreadsheets/d/1-uDff_7J0KD5mKrp0Vvzr7lt3OU09vwQwhkpOPPYv2Y/edit?usp=sharing"",""งบพรบ!AC71"")"),895400)</f>
        <v>895400</v>
      </c>
      <c r="M64" s="72">
        <f ca="1">IFERROR(__xludf.DUMMYFUNCTION("IMPORTRANGE(""https://docs.google.com/spreadsheets/d/1-uDff_7J0KD5mKrp0Vvzr7lt3OU09vwQwhkpOPPYv2Y/edit?usp=sharing"",""งบพรบ!AH71"")"),906400)</f>
        <v>906400</v>
      </c>
      <c r="N64" s="72">
        <f ca="1">IFERROR(__xludf.DUMMYFUNCTION("IMPORTRANGE(""https://docs.google.com/spreadsheets/d/1-uDff_7J0KD5mKrp0Vvzr7lt3OU09vwQwhkpOPPYv2Y/edit?usp=sharing"",""งบพรบ!AJ71"")"),827612.12)</f>
        <v>827612.12</v>
      </c>
      <c r="O64" s="72">
        <f t="shared" ca="1" si="16"/>
        <v>92.429318740227828</v>
      </c>
      <c r="P64" s="72">
        <f t="shared" ca="1" si="17"/>
        <v>91.307603706972642</v>
      </c>
      <c r="Q64" s="72">
        <v>0</v>
      </c>
      <c r="R64" s="72">
        <v>0</v>
      </c>
      <c r="S64" s="72">
        <v>0</v>
      </c>
      <c r="T64" s="72">
        <f t="shared" si="18"/>
        <v>0</v>
      </c>
      <c r="U64" s="72">
        <f t="shared" si="19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6"/>
        <v>0</v>
      </c>
      <c r="P65" s="72">
        <f t="shared" ca="1" si="17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8"/>
        <v>0</v>
      </c>
      <c r="U65" s="72">
        <f t="shared" si="19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6"/>
        <v>0</v>
      </c>
      <c r="P66" s="75">
        <f t="shared" si="17"/>
        <v>0</v>
      </c>
      <c r="Q66" s="75">
        <v>0</v>
      </c>
      <c r="R66" s="75">
        <v>0</v>
      </c>
      <c r="S66" s="75">
        <v>0</v>
      </c>
      <c r="T66" s="75">
        <f t="shared" si="18"/>
        <v>0</v>
      </c>
      <c r="U66" s="75">
        <f t="shared" si="19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IFERROR(__xludf.DUMMYFUNCTION("IMPORTRANGE(""https://docs.google.com/spreadsheets/d/1-uDff_7J0KD5mKrp0Vvzr7lt3OU09vwQwhkpOPPYv2Y/edit?usp=sharing"",""งบพรบ!AF71"")"),0)</f>
        <v>0</v>
      </c>
      <c r="M67" s="181">
        <f ca="1">IFERROR(__xludf.DUMMYFUNCTION("IMPORTRANGE(""https://docs.google.com/spreadsheets/d/1-uDff_7J0KD5mKrp0Vvzr7lt3OU09vwQwhkpOPPYv2Y/edit?usp=sharing"",""งบพรบ!AI71"")"),0)</f>
        <v>0</v>
      </c>
      <c r="N67" s="181">
        <f ca="1">IFERROR(__xludf.DUMMYFUNCTION("IMPORTRANGE(""https://docs.google.com/spreadsheets/d/1-uDff_7J0KD5mKrp0Vvzr7lt3OU09vwQwhkpOPPYv2Y/edit?usp=sharing"",""งบพรบ!AK71"")"),0)</f>
        <v>0</v>
      </c>
      <c r="O67" s="181">
        <f t="shared" ca="1" si="16"/>
        <v>0</v>
      </c>
      <c r="P67" s="181">
        <f t="shared" ca="1" si="17"/>
        <v>0</v>
      </c>
      <c r="Q67" s="181">
        <v>0</v>
      </c>
      <c r="R67" s="181">
        <v>0</v>
      </c>
      <c r="S67" s="181">
        <v>0</v>
      </c>
      <c r="T67" s="181">
        <f t="shared" si="18"/>
        <v>0</v>
      </c>
      <c r="U67" s="181">
        <f t="shared" si="19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2">IF(L72&gt;0,N72*100/L72,0)</f>
        <v>0</v>
      </c>
      <c r="P72" s="262">
        <f t="shared" ref="P72:P80" ca="1" si="23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4">IF(Q72&gt;0,S72*100/Q72,0)</f>
        <v>0</v>
      </c>
      <c r="U72" s="262">
        <f t="shared" ref="U72:U80" ca="1" si="25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6">L76+L79</f>
        <v>0</v>
      </c>
      <c r="M73" s="75">
        <f t="shared" si="26"/>
        <v>0</v>
      </c>
      <c r="N73" s="75">
        <f t="shared" si="26"/>
        <v>0</v>
      </c>
      <c r="O73" s="75">
        <f t="shared" si="22"/>
        <v>0</v>
      </c>
      <c r="P73" s="75">
        <f t="shared" si="23"/>
        <v>0</v>
      </c>
      <c r="Q73" s="75">
        <f t="shared" ref="Q73:S74" si="27">Q76+Q79</f>
        <v>0</v>
      </c>
      <c r="R73" s="75">
        <f t="shared" si="27"/>
        <v>0</v>
      </c>
      <c r="S73" s="75">
        <f t="shared" si="27"/>
        <v>0</v>
      </c>
      <c r="T73" s="75">
        <f t="shared" si="24"/>
        <v>0</v>
      </c>
      <c r="U73" s="75">
        <f t="shared" si="25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6"/>
        <v>0</v>
      </c>
      <c r="M74" s="72">
        <f t="shared" ca="1" si="26"/>
        <v>0</v>
      </c>
      <c r="N74" s="72">
        <f t="shared" ca="1" si="26"/>
        <v>0</v>
      </c>
      <c r="O74" s="72">
        <f t="shared" ca="1" si="22"/>
        <v>0</v>
      </c>
      <c r="P74" s="72">
        <f t="shared" ca="1" si="23"/>
        <v>0</v>
      </c>
      <c r="Q74" s="72">
        <f t="shared" ca="1" si="27"/>
        <v>0</v>
      </c>
      <c r="R74" s="72">
        <f t="shared" ca="1" si="27"/>
        <v>0</v>
      </c>
      <c r="S74" s="72">
        <f t="shared" ca="1" si="27"/>
        <v>0</v>
      </c>
      <c r="T74" s="72">
        <f t="shared" ca="1" si="24"/>
        <v>0</v>
      </c>
      <c r="U74" s="72">
        <f t="shared" ca="1" si="25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2"/>
        <v>0</v>
      </c>
      <c r="P75" s="72">
        <f t="shared" ca="1" si="23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4"/>
        <v>0</v>
      </c>
      <c r="U75" s="72">
        <f t="shared" ca="1" si="25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2"/>
        <v>0</v>
      </c>
      <c r="P76" s="75">
        <f t="shared" si="23"/>
        <v>0</v>
      </c>
      <c r="Q76" s="75">
        <v>0</v>
      </c>
      <c r="R76" s="75">
        <v>0</v>
      </c>
      <c r="S76" s="75">
        <v>0</v>
      </c>
      <c r="T76" s="75">
        <f t="shared" si="24"/>
        <v>0</v>
      </c>
      <c r="U76" s="75">
        <f t="shared" si="25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IFERROR(__xludf.DUMMYFUNCTION("IMPORTRANGE(""https://docs.google.com/spreadsheets/d/1-uDff_7J0KD5mKrp0Vvzr7lt3OU09vwQwhkpOPPYv2Y/edit?usp=sharing"",""งบพรบ!AM71"")"),0)</f>
        <v>0</v>
      </c>
      <c r="M77" s="72">
        <f ca="1">IFERROR(__xludf.DUMMYFUNCTION("IMPORTRANGE(""https://docs.google.com/spreadsheets/d/1-uDff_7J0KD5mKrp0Vvzr7lt3OU09vwQwhkpOPPYv2Y/edit?usp=sharing"",""งบพรบ!AR71"")"),0)</f>
        <v>0</v>
      </c>
      <c r="N77" s="72">
        <f ca="1">IFERROR(__xludf.DUMMYFUNCTION("IMPORTRANGE(""https://docs.google.com/spreadsheets/d/1-uDff_7J0KD5mKrp0Vvzr7lt3OU09vwQwhkpOPPYv2Y/edit?usp=sharing"",""งบพรบ!AT71"")"),0)</f>
        <v>0</v>
      </c>
      <c r="O77" s="72">
        <f t="shared" ca="1" si="22"/>
        <v>0</v>
      </c>
      <c r="P77" s="72">
        <f t="shared" ca="1" si="23"/>
        <v>0</v>
      </c>
      <c r="Q77" s="72">
        <f ca="1">IFERROR(__xludf.DUMMYFUNCTION("IMPORTRANGE(""https://docs.google.com/spreadsheets/d/1ItG2mGa2ceCfYo0BwxsXqNm01IGEUdYcSSLTEv9YCik/edit?usp=sharing"",""เบิกจ่ายกองทุน!BH71"")"),0)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IFERROR(__xludf.DUMMYFUNCTION("IMPORTRANGE(""https://docs.google.com/spreadsheets/d/1ItG2mGa2ceCfYo0BwxsXqNm01IGEUdYcSSLTEv9YCik/edit?usp=sharing"",""เบิกจ่ายกองทุน!BI71"")"),0)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IFERROR(__xludf.DUMMYFUNCTION("IMPORTRANGE(""https://docs.google.com/spreadsheets/d/1ItG2mGa2ceCfYo0BwxsXqNm01IGEUdYcSSLTEv9YCik/edit?usp=sharing"",""เบิกจ่ายกองทุน!BJ71"")"),0)</f>
        <v>0</v>
      </c>
      <c r="T77" s="72">
        <f t="shared" ca="1" si="24"/>
        <v>0</v>
      </c>
      <c r="U77" s="72">
        <f t="shared" ca="1" si="25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2"/>
        <v>0</v>
      </c>
      <c r="P78" s="72">
        <f t="shared" ca="1" si="23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4"/>
        <v>0</v>
      </c>
      <c r="U78" s="72">
        <f t="shared" ca="1" si="25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2"/>
        <v>0</v>
      </c>
      <c r="P79" s="75">
        <f t="shared" si="23"/>
        <v>0</v>
      </c>
      <c r="Q79" s="75">
        <v>0</v>
      </c>
      <c r="R79" s="72">
        <v>0</v>
      </c>
      <c r="S79" s="72">
        <v>0</v>
      </c>
      <c r="T79" s="75">
        <f t="shared" si="24"/>
        <v>0</v>
      </c>
      <c r="U79" s="75">
        <f t="shared" si="25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IFERROR(__xludf.DUMMYFUNCTION("IMPORTRANGE(""https://docs.google.com/spreadsheets/d/1-uDff_7J0KD5mKrp0Vvzr7lt3OU09vwQwhkpOPPYv2Y/edit?usp=sharing"",""งบพรบ!AP71"")"),0)</f>
        <v>0</v>
      </c>
      <c r="M80" s="72">
        <f ca="1">IFERROR(__xludf.DUMMYFUNCTION("IMPORTRANGE(""https://docs.google.com/spreadsheets/d/1-uDff_7J0KD5mKrp0Vvzr7lt3OU09vwQwhkpOPPYv2Y/edit?usp=sharing"",""งบพรบ!AS71"")"),0)</f>
        <v>0</v>
      </c>
      <c r="N80" s="72">
        <f ca="1">IFERROR(__xludf.DUMMYFUNCTION("IMPORTRANGE(""https://docs.google.com/spreadsheets/d/1-uDff_7J0KD5mKrp0Vvzr7lt3OU09vwQwhkpOPPYv2Y/edit?usp=sharing"",""งบพรบ!AU71"")"),0)</f>
        <v>0</v>
      </c>
      <c r="O80" s="72">
        <f t="shared" ca="1" si="22"/>
        <v>0</v>
      </c>
      <c r="P80" s="72">
        <f t="shared" ca="1" si="23"/>
        <v>0</v>
      </c>
      <c r="Q80" s="72">
        <f ca="1">IFERROR(__xludf.DUMMYFUNCTION("IMPORTRANGE(""https://docs.google.com/spreadsheets/d/1ItG2mGa2ceCfYo0BwxsXqNm01IGEUdYcSSLTEv9YCik/edit?usp=sharing"",""เบิกจ่ายกองทุน!BK71"")"),0)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IFERROR(__xludf.DUMMYFUNCTION("IMPORTRANGE(""https://docs.google.com/spreadsheets/d/1ItG2mGa2ceCfYo0BwxsXqNm01IGEUdYcSSLTEv9YCik/edit?usp=sharing"",""เบิกจ่ายกองทุน!BL71"")"),0)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IFERROR(__xludf.DUMMYFUNCTION("IMPORTRANGE(""https://docs.google.com/spreadsheets/d/1ItG2mGa2ceCfYo0BwxsXqNm01IGEUdYcSSLTEv9YCik/edit?usp=sharing"",""เบิกจ่ายกองทุน!BM71"")"),0)</f>
        <v>0</v>
      </c>
      <c r="T80" s="72">
        <f t="shared" ca="1" si="24"/>
        <v>0</v>
      </c>
      <c r="U80" s="72">
        <f t="shared" ca="1" si="25"/>
        <v>0</v>
      </c>
    </row>
    <row r="81" spans="1:21" ht="19.5" hidden="1" x14ac:dyDescent="0.3">
      <c r="A81" s="274"/>
      <c r="B81" s="275"/>
      <c r="C81" s="257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8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8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IFERROR(__xludf.DUMMYFUNCTION("IMPORTRANGE(""https://docs.google.com/spreadsheets/d/1eHaY18a8A9IcSdp1K8H6x8fbOy06t2VsZHhMHf-1x7Y/edit?usp=sharing"",""แผน!H71"")"),0)</f>
        <v>0</v>
      </c>
      <c r="J84" s="292">
        <v>0</v>
      </c>
      <c r="K84" s="746">
        <f t="shared" ca="1" si="28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IFERROR(__xludf.DUMMYFUNCTION("IMPORTRANGE(""https://docs.google.com/spreadsheets/d/1eHaY18a8A9IcSdp1K8H6x8fbOy06t2VsZHhMHf-1x7Y/edit?usp=sharing"",""แผน!I71"")"),0)</f>
        <v>0</v>
      </c>
      <c r="J85" s="292">
        <v>0</v>
      </c>
      <c r="K85" s="746">
        <f t="shared" ca="1" si="28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IFERROR(__xludf.DUMMYFUNCTION("IMPORTRANGE(""https://docs.google.com/spreadsheets/d/1eHaY18a8A9IcSdp1K8H6x8fbOy06t2VsZHhMHf-1x7Y/edit?usp=sharing"",""แผน!F71"")"),0)</f>
        <v>0</v>
      </c>
      <c r="J86" s="292">
        <v>0</v>
      </c>
      <c r="K86" s="746">
        <f t="shared" ca="1" si="28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IFERROR(__xludf.DUMMYFUNCTION("IMPORTRANGE(""https://docs.google.com/spreadsheets/d/1eHaY18a8A9IcSdp1K8H6x8fbOy06t2VsZHhMHf-1x7Y/edit?usp=sharing"",""แผน!G71"")"),0)</f>
        <v>0</v>
      </c>
      <c r="J87" s="292">
        <v>0</v>
      </c>
      <c r="K87" s="746">
        <f t="shared" ca="1" si="28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IFERROR(__xludf.DUMMYFUNCTION("IMPORTRANGE(""https://docs.google.com/spreadsheets/d/1eHaY18a8A9IcSdp1K8H6x8fbOy06t2VsZHhMHf-1x7Y/edit?usp=sharing"",""แผน!D71"")"),0)</f>
        <v>0</v>
      </c>
      <c r="J88" s="292">
        <v>0</v>
      </c>
      <c r="K88" s="746">
        <f t="shared" ca="1" si="28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IFERROR(__xludf.DUMMYFUNCTION("IMPORTRANGE(""https://docs.google.com/spreadsheets/d/1eHaY18a8A9IcSdp1K8H6x8fbOy06t2VsZHhMHf-1x7Y/edit?usp=sharing"",""แผน!E71"")"),0)</f>
        <v>0</v>
      </c>
      <c r="J89" s="292">
        <v>0</v>
      </c>
      <c r="K89" s="746">
        <f t="shared" ca="1" si="28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IFERROR(__xludf.DUMMYFUNCTION("IMPORTRANGE(""https://docs.google.com/spreadsheets/d/1eHaY18a8A9IcSdp1K8H6x8fbOy06t2VsZHhMHf-1x7Y/edit?usp=sharing"",""แผน!J71"")"),0)</f>
        <v>0</v>
      </c>
      <c r="J90" s="292">
        <v>0</v>
      </c>
      <c r="K90" s="746">
        <f t="shared" ca="1" si="28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9">IF(L94&gt;0,N94*100/L94,0)</f>
        <v>0</v>
      </c>
      <c r="P94" s="262">
        <f t="shared" ref="P94:P102" ca="1" si="30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31">IF(Q94&gt;0,S94*100/Q94,0)</f>
        <v>0</v>
      </c>
      <c r="U94" s="262">
        <f t="shared" ref="U94:U102" ca="1" si="32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3">L98+L101</f>
        <v>0</v>
      </c>
      <c r="M95" s="75">
        <f t="shared" si="33"/>
        <v>0</v>
      </c>
      <c r="N95" s="75">
        <f t="shared" si="33"/>
        <v>0</v>
      </c>
      <c r="O95" s="75">
        <f t="shared" si="29"/>
        <v>0</v>
      </c>
      <c r="P95" s="75">
        <f t="shared" si="30"/>
        <v>0</v>
      </c>
      <c r="Q95" s="75">
        <f t="shared" ref="Q95:S96" si="34">Q98+Q101</f>
        <v>0</v>
      </c>
      <c r="R95" s="75">
        <f t="shared" si="34"/>
        <v>0</v>
      </c>
      <c r="S95" s="75">
        <f t="shared" si="34"/>
        <v>0</v>
      </c>
      <c r="T95" s="75">
        <f t="shared" si="31"/>
        <v>0</v>
      </c>
      <c r="U95" s="75">
        <f t="shared" si="32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3"/>
        <v>0</v>
      </c>
      <c r="M96" s="72">
        <f t="shared" ca="1" si="33"/>
        <v>0</v>
      </c>
      <c r="N96" s="72">
        <f t="shared" ca="1" si="33"/>
        <v>0</v>
      </c>
      <c r="O96" s="72">
        <f t="shared" ca="1" si="29"/>
        <v>0</v>
      </c>
      <c r="P96" s="72">
        <f t="shared" ca="1" si="30"/>
        <v>0</v>
      </c>
      <c r="Q96" s="72">
        <f t="shared" ca="1" si="34"/>
        <v>0</v>
      </c>
      <c r="R96" s="72">
        <f t="shared" ca="1" si="34"/>
        <v>0</v>
      </c>
      <c r="S96" s="72">
        <f t="shared" ca="1" si="34"/>
        <v>0</v>
      </c>
      <c r="T96" s="72">
        <f t="shared" ca="1" si="31"/>
        <v>0</v>
      </c>
      <c r="U96" s="72">
        <f t="shared" ca="1" si="32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9"/>
        <v>0</v>
      </c>
      <c r="P97" s="72">
        <f t="shared" ca="1" si="30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31"/>
        <v>0</v>
      </c>
      <c r="U97" s="72">
        <f t="shared" ca="1" si="32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9"/>
        <v>0</v>
      </c>
      <c r="P98" s="75">
        <f t="shared" si="30"/>
        <v>0</v>
      </c>
      <c r="Q98" s="75">
        <v>0</v>
      </c>
      <c r="R98" s="75">
        <v>0</v>
      </c>
      <c r="S98" s="75">
        <v>0</v>
      </c>
      <c r="T98" s="75">
        <f t="shared" si="31"/>
        <v>0</v>
      </c>
      <c r="U98" s="75">
        <f t="shared" si="32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IFERROR(__xludf.DUMMYFUNCTION("IMPORTRANGE(""https://docs.google.com/spreadsheets/d/1-uDff_7J0KD5mKrp0Vvzr7lt3OU09vwQwhkpOPPYv2Y/edit?usp=sharing"",""งบพรบ!AW71"")"),0)</f>
        <v>0</v>
      </c>
      <c r="M99" s="72">
        <f ca="1">IFERROR(__xludf.DUMMYFUNCTION("IMPORTRANGE(""https://docs.google.com/spreadsheets/d/1-uDff_7J0KD5mKrp0Vvzr7lt3OU09vwQwhkpOPPYv2Y/edit?usp=sharing"",""งบพรบ!BB71"")"),0)</f>
        <v>0</v>
      </c>
      <c r="N99" s="72">
        <f ca="1">IFERROR(__xludf.DUMMYFUNCTION("IMPORTRANGE(""https://docs.google.com/spreadsheets/d/1-uDff_7J0KD5mKrp0Vvzr7lt3OU09vwQwhkpOPPYv2Y/edit?usp=sharing"",""งบพรบ!BD71"")"),0)</f>
        <v>0</v>
      </c>
      <c r="O99" s="72">
        <f t="shared" ca="1" si="29"/>
        <v>0</v>
      </c>
      <c r="P99" s="72">
        <f t="shared" ca="1" si="30"/>
        <v>0</v>
      </c>
      <c r="Q99" s="72">
        <f ca="1">IFERROR(__xludf.DUMMYFUNCTION("IMPORTRANGE(""https://docs.google.com/spreadsheets/d/1ItG2mGa2ceCfYo0BwxsXqNm01IGEUdYcSSLTEv9YCik/edit?usp=sharing"",""เบิกจ่ายกองทุน!AJ71"")"),0)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IFERROR(__xludf.DUMMYFUNCTION("IMPORTRANGE(""https://docs.google.com/spreadsheets/d/1ItG2mGa2ceCfYo0BwxsXqNm01IGEUdYcSSLTEv9YCik/edit?usp=sharing"",""เบิกจ่ายกองทุน!AK71"")"),0)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IFERROR(__xludf.DUMMYFUNCTION("IMPORTRANGE(""https://docs.google.com/spreadsheets/d/1ItG2mGa2ceCfYo0BwxsXqNm01IGEUdYcSSLTEv9YCik/edit?usp=sharing"",""เบิกจ่ายกองทุน!AL71"")"),0)</f>
        <v>0</v>
      </c>
      <c r="T99" s="72">
        <f t="shared" ca="1" si="31"/>
        <v>0</v>
      </c>
      <c r="U99" s="72">
        <f t="shared" ca="1" si="32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9"/>
        <v>0</v>
      </c>
      <c r="P100" s="72">
        <f t="shared" ca="1" si="30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31"/>
        <v>0</v>
      </c>
      <c r="U100" s="72">
        <f t="shared" si="32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9"/>
        <v>0</v>
      </c>
      <c r="P101" s="75">
        <f t="shared" si="30"/>
        <v>0</v>
      </c>
      <c r="Q101" s="75">
        <v>0</v>
      </c>
      <c r="R101" s="75">
        <v>0</v>
      </c>
      <c r="S101" s="75">
        <v>0</v>
      </c>
      <c r="T101" s="75">
        <f t="shared" si="31"/>
        <v>0</v>
      </c>
      <c r="U101" s="75">
        <f t="shared" si="32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IFERROR(__xludf.DUMMYFUNCTION("IMPORTRANGE(""https://docs.google.com/spreadsheets/d/1-uDff_7J0KD5mKrp0Vvzr7lt3OU09vwQwhkpOPPYv2Y/edit?usp=sharing"",""งบพรบ!AZ71"")"),0)</f>
        <v>0</v>
      </c>
      <c r="M102" s="72">
        <f ca="1">IFERROR(__xludf.DUMMYFUNCTION("IMPORTRANGE(""https://docs.google.com/spreadsheets/d/1-uDff_7J0KD5mKrp0Vvzr7lt3OU09vwQwhkpOPPYv2Y/edit?usp=sharing"",""งบพรบ!BC71"")"),0)</f>
        <v>0</v>
      </c>
      <c r="N102" s="72">
        <f ca="1">IFERROR(__xludf.DUMMYFUNCTION("IMPORTRANGE(""https://docs.google.com/spreadsheets/d/1-uDff_7J0KD5mKrp0Vvzr7lt3OU09vwQwhkpOPPYv2Y/edit?usp=sharing"",""งบพรบ!BE71"")"),0)</f>
        <v>0</v>
      </c>
      <c r="O102" s="72">
        <f t="shared" ca="1" si="29"/>
        <v>0</v>
      </c>
      <c r="P102" s="72">
        <f t="shared" ca="1" si="30"/>
        <v>0</v>
      </c>
      <c r="Q102" s="72">
        <v>0</v>
      </c>
      <c r="R102" s="72">
        <v>0</v>
      </c>
      <c r="S102" s="72">
        <v>0</v>
      </c>
      <c r="T102" s="72">
        <f t="shared" si="31"/>
        <v>0</v>
      </c>
      <c r="U102" s="72">
        <f t="shared" si="32"/>
        <v>0</v>
      </c>
    </row>
    <row r="103" spans="1:21" ht="19.5" hidden="1" x14ac:dyDescent="0.3">
      <c r="A103" s="274"/>
      <c r="B103" s="275"/>
      <c r="C103" s="257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IFERROR(__xludf.DUMMYFUNCTION("IMPORTRANGE(""https://docs.google.com/spreadsheets/d/1eHaY18a8A9IcSdp1K8H6x8fbOy06t2VsZHhMHf-1x7Y/edit?usp=sharing"",""แผน!N71"")"),0)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IFERROR(__xludf.DUMMYFUNCTION("IMPORTRANGE(""https://docs.google.com/spreadsheets/d/1eHaY18a8A9IcSdp1K8H6x8fbOy06t2VsZHhMHf-1x7Y/edit?usp=sharing"",""แผน!O71"")"),0)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IFERROR(__xludf.DUMMYFUNCTION("IMPORTRANGE(""https://docs.google.com/spreadsheets/d/1eHaY18a8A9IcSdp1K8H6x8fbOy06t2VsZHhMHf-1x7Y/edit?usp=sharing"",""แผน!R71"")"),0)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10</v>
      </c>
      <c r="J116" s="254">
        <f>J127</f>
        <v>10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5">IF(L117&gt;0,N117*100/L117,0)</f>
        <v>0</v>
      </c>
      <c r="P117" s="262">
        <f t="shared" ref="P117:P125" ca="1" si="36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105654.5</v>
      </c>
      <c r="T117" s="262">
        <f t="shared" ref="T117:T125" ca="1" si="37">IF(Q117&gt;0,S117*100/Q117,0)</f>
        <v>60.839859495566046</v>
      </c>
      <c r="U117" s="262">
        <f t="shared" ref="U117:U125" ca="1" si="38">IF(R117&gt;0,S117*100/R117,0)</f>
        <v>60.839859495566046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9">L121+L124</f>
        <v>0</v>
      </c>
      <c r="M118" s="75">
        <f t="shared" si="39"/>
        <v>0</v>
      </c>
      <c r="N118" s="75">
        <f t="shared" si="39"/>
        <v>0</v>
      </c>
      <c r="O118" s="75">
        <f t="shared" si="35"/>
        <v>0</v>
      </c>
      <c r="P118" s="75">
        <f t="shared" si="36"/>
        <v>0</v>
      </c>
      <c r="Q118" s="75">
        <f t="shared" ref="Q118:S119" si="40">Q121+Q124</f>
        <v>0</v>
      </c>
      <c r="R118" s="75">
        <f t="shared" si="40"/>
        <v>0</v>
      </c>
      <c r="S118" s="75">
        <f t="shared" si="40"/>
        <v>0</v>
      </c>
      <c r="T118" s="75">
        <f t="shared" si="37"/>
        <v>0</v>
      </c>
      <c r="U118" s="75">
        <f t="shared" si="38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9"/>
        <v>0</v>
      </c>
      <c r="M119" s="72">
        <f t="shared" ca="1" si="39"/>
        <v>0</v>
      </c>
      <c r="N119" s="72">
        <f t="shared" ca="1" si="39"/>
        <v>0</v>
      </c>
      <c r="O119" s="72">
        <f t="shared" ca="1" si="35"/>
        <v>0</v>
      </c>
      <c r="P119" s="72">
        <f t="shared" ca="1" si="36"/>
        <v>0</v>
      </c>
      <c r="Q119" s="72">
        <f t="shared" ca="1" si="40"/>
        <v>173660</v>
      </c>
      <c r="R119" s="72">
        <f t="shared" ca="1" si="40"/>
        <v>173660</v>
      </c>
      <c r="S119" s="72">
        <f t="shared" ca="1" si="40"/>
        <v>105654.5</v>
      </c>
      <c r="T119" s="72">
        <f t="shared" ca="1" si="37"/>
        <v>60.839859495566046</v>
      </c>
      <c r="U119" s="72">
        <f t="shared" ca="1" si="38"/>
        <v>60.839859495566046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5"/>
        <v>0</v>
      </c>
      <c r="P120" s="72">
        <f t="shared" ca="1" si="36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105654.5</v>
      </c>
      <c r="T120" s="72">
        <f t="shared" ca="1" si="37"/>
        <v>60.839859495566046</v>
      </c>
      <c r="U120" s="72">
        <f t="shared" ca="1" si="38"/>
        <v>60.839859495566046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5"/>
        <v>0</v>
      </c>
      <c r="P121" s="75">
        <f t="shared" si="36"/>
        <v>0</v>
      </c>
      <c r="Q121" s="75">
        <v>0</v>
      </c>
      <c r="R121" s="75">
        <v>0</v>
      </c>
      <c r="S121" s="75">
        <v>0</v>
      </c>
      <c r="T121" s="75">
        <f t="shared" si="37"/>
        <v>0</v>
      </c>
      <c r="U121" s="75">
        <f t="shared" si="38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IFERROR(__xludf.DUMMYFUNCTION("IMPORTRANGE(""https://docs.google.com/spreadsheets/d/1-uDff_7J0KD5mKrp0Vvzr7lt3OU09vwQwhkpOPPYv2Y/edit?usp=sharing"",""งบพรบ!BG71"")"),0)</f>
        <v>0</v>
      </c>
      <c r="M122" s="72">
        <f ca="1">IFERROR(__xludf.DUMMYFUNCTION("IMPORTRANGE(""https://docs.google.com/spreadsheets/d/1-uDff_7J0KD5mKrp0Vvzr7lt3OU09vwQwhkpOPPYv2Y/edit?usp=sharing"",""งบพรบ!BL71"")"),0)</f>
        <v>0</v>
      </c>
      <c r="N122" s="72">
        <f ca="1">IFERROR(__xludf.DUMMYFUNCTION("IMPORTRANGE(""https://docs.google.com/spreadsheets/d/1-uDff_7J0KD5mKrp0Vvzr7lt3OU09vwQwhkpOPPYv2Y/edit?usp=sharing"",""งบพรบ!BN71"")"),0)</f>
        <v>0</v>
      </c>
      <c r="O122" s="72">
        <f t="shared" ca="1" si="35"/>
        <v>0</v>
      </c>
      <c r="P122" s="72">
        <f t="shared" ca="1" si="36"/>
        <v>0</v>
      </c>
      <c r="Q122" s="72">
        <f ca="1">IFERROR(__xludf.DUMMYFUNCTION("IMPORTRANGE(""https://docs.google.com/spreadsheets/d/1ItG2mGa2ceCfYo0BwxsXqNm01IGEUdYcSSLTEv9YCik/edit?usp=sharing"",""เบิกจ่ายกองทุน!U71"")"),173660)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IFERROR(__xludf.DUMMYFUNCTION("IMPORTRANGE(""https://docs.google.com/spreadsheets/d/1ItG2mGa2ceCfYo0BwxsXqNm01IGEUdYcSSLTEv9YCik/edit?usp=sharing"",""เบิกจ่ายกองทุน!V71"")"),173660)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IFERROR(__xludf.DUMMYFUNCTION("IMPORTRANGE(""https://docs.google.com/spreadsheets/d/1ItG2mGa2ceCfYo0BwxsXqNm01IGEUdYcSSLTEv9YCik/edit?usp=sharing"",""เบิกจ่ายกองทุน!W71"")"),105654.5)</f>
        <v>105654.5</v>
      </c>
      <c r="T122" s="72">
        <f t="shared" ca="1" si="37"/>
        <v>60.839859495566046</v>
      </c>
      <c r="U122" s="72">
        <f t="shared" ca="1" si="38"/>
        <v>60.839859495566046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5"/>
        <v>0</v>
      </c>
      <c r="P123" s="72">
        <f t="shared" ca="1" si="36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7"/>
        <v>0</v>
      </c>
      <c r="U123" s="72">
        <f t="shared" ca="1" si="38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5"/>
        <v>0</v>
      </c>
      <c r="P124" s="75">
        <f t="shared" si="36"/>
        <v>0</v>
      </c>
      <c r="Q124" s="75">
        <v>0</v>
      </c>
      <c r="R124" s="75">
        <v>0</v>
      </c>
      <c r="S124" s="75">
        <v>0</v>
      </c>
      <c r="T124" s="75">
        <f t="shared" si="37"/>
        <v>0</v>
      </c>
      <c r="U124" s="75">
        <f t="shared" si="38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IFERROR(__xludf.DUMMYFUNCTION("IMPORTRANGE(""https://docs.google.com/spreadsheets/d/1-uDff_7J0KD5mKrp0Vvzr7lt3OU09vwQwhkpOPPYv2Y/edit?usp=sharing"",""งบพรบ!BJ71"")"),0)</f>
        <v>0</v>
      </c>
      <c r="M125" s="72">
        <f ca="1">IFERROR(__xludf.DUMMYFUNCTION("IMPORTRANGE(""https://docs.google.com/spreadsheets/d/1-uDff_7J0KD5mKrp0Vvzr7lt3OU09vwQwhkpOPPYv2Y/edit?usp=sharing"",""งบพรบ!BM71"")"),0)</f>
        <v>0</v>
      </c>
      <c r="N125" s="72">
        <f ca="1">IFERROR(__xludf.DUMMYFUNCTION("IMPORTRANGE(""https://docs.google.com/spreadsheets/d/1-uDff_7J0KD5mKrp0Vvzr7lt3OU09vwQwhkpOPPYv2Y/edit?usp=sharing"",""งบพรบ!BO71"")"),0)</f>
        <v>0</v>
      </c>
      <c r="O125" s="72">
        <f t="shared" ca="1" si="35"/>
        <v>0</v>
      </c>
      <c r="P125" s="72">
        <f t="shared" ca="1" si="36"/>
        <v>0</v>
      </c>
      <c r="Q125" s="72">
        <f ca="1">IFERROR(__xludf.DUMMYFUNCTION("IMPORTRANGE(""https://docs.google.com/spreadsheets/d/1ItG2mGa2ceCfYo0BwxsXqNm01IGEUdYcSSLTEv9YCik/edit?usp=sharing"",""เบิกจ่ายกองทุน!X71"")"),0)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IFERROR(__xludf.DUMMYFUNCTION("IMPORTRANGE(""https://docs.google.com/spreadsheets/d/1ItG2mGa2ceCfYo0BwxsXqNm01IGEUdYcSSLTEv9YCik/edit?usp=sharing"",""เบิกจ่ายกองทุน!Y71"")"),0)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IFERROR(__xludf.DUMMYFUNCTION("IMPORTRANGE(""https://docs.google.com/spreadsheets/d/1ItG2mGa2ceCfYo0BwxsXqNm01IGEUdYcSSLTEv9YCik/edit?usp=sharing"",""เบิกจ่ายกองทุน!Z71"")"),0)</f>
        <v>0</v>
      </c>
      <c r="T125" s="72">
        <f t="shared" ca="1" si="37"/>
        <v>0</v>
      </c>
      <c r="U125" s="72">
        <f t="shared" ca="1" si="38"/>
        <v>0</v>
      </c>
    </row>
    <row r="126" spans="1:21" ht="19.5" x14ac:dyDescent="0.3">
      <c r="A126" s="274"/>
      <c r="B126" s="275"/>
      <c r="C126" s="668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IFERROR(__xludf.DUMMYFUNCTION("IMPORTRANGE(""https://docs.google.com/spreadsheets/d/1eHaY18a8A9IcSdp1K8H6x8fbOy06t2VsZHhMHf-1x7Y/edit?usp=sharing"",""แผน!FF71"")"),10)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IFERROR(__xludf.DUMMYFUNCTION("IMPORTRANGE(""https://docs.google.com/spreadsheets/d/1eHaY18a8A9IcSdp1K8H6x8fbOy06t2VsZHhMHf-1x7Y/edit?usp=sharing"",""แผน!FG71"")"),0)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IFERROR(__xludf.DUMMYFUNCTION("IMPORTRANGE(""https://docs.google.com/spreadsheets/d/1eHaY18a8A9IcSdp1K8H6x8fbOy06t2VsZHhMHf-1x7Y/edit?usp=sharing"",""แผน!FH71"")"),10)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IFERROR(__xludf.DUMMYFUNCTION("IMPORTRANGE(""https://docs.google.com/spreadsheets/d/1eHaY18a8A9IcSdp1K8H6x8fbOy06t2VsZHhMHf-1x7Y/edit?usp=sharing"",""แผน!FI71"")"),0)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41">IF(L139&gt;0,N139*100/L139,0)</f>
        <v>0</v>
      </c>
      <c r="P139" s="262">
        <f t="shared" ref="P139:P147" ca="1" si="42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3">IF(Q139&gt;0,S139*100/Q139,0)</f>
        <v>0</v>
      </c>
      <c r="U139" s="262">
        <f t="shared" ref="U139:U147" ca="1" si="44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5">L143+L146</f>
        <v>0</v>
      </c>
      <c r="M140" s="75">
        <f t="shared" si="45"/>
        <v>0</v>
      </c>
      <c r="N140" s="75">
        <f t="shared" si="45"/>
        <v>0</v>
      </c>
      <c r="O140" s="75">
        <f t="shared" si="41"/>
        <v>0</v>
      </c>
      <c r="P140" s="75">
        <f t="shared" si="42"/>
        <v>0</v>
      </c>
      <c r="Q140" s="75">
        <f t="shared" ref="Q140:S141" si="46">Q143+Q146</f>
        <v>0</v>
      </c>
      <c r="R140" s="75">
        <f t="shared" si="46"/>
        <v>0</v>
      </c>
      <c r="S140" s="75">
        <f t="shared" si="46"/>
        <v>0</v>
      </c>
      <c r="T140" s="75">
        <f t="shared" si="43"/>
        <v>0</v>
      </c>
      <c r="U140" s="75">
        <f t="shared" si="44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5"/>
        <v>0</v>
      </c>
      <c r="M141" s="72">
        <f t="shared" ca="1" si="45"/>
        <v>0</v>
      </c>
      <c r="N141" s="72">
        <f t="shared" ca="1" si="45"/>
        <v>0</v>
      </c>
      <c r="O141" s="72">
        <f t="shared" ca="1" si="41"/>
        <v>0</v>
      </c>
      <c r="P141" s="72">
        <f t="shared" ca="1" si="42"/>
        <v>0</v>
      </c>
      <c r="Q141" s="72">
        <f t="shared" ca="1" si="46"/>
        <v>0</v>
      </c>
      <c r="R141" s="72">
        <f t="shared" ca="1" si="46"/>
        <v>0</v>
      </c>
      <c r="S141" s="72">
        <f t="shared" ca="1" si="46"/>
        <v>0</v>
      </c>
      <c r="T141" s="72">
        <f t="shared" ca="1" si="43"/>
        <v>0</v>
      </c>
      <c r="U141" s="72">
        <f t="shared" ca="1" si="44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41"/>
        <v>0</v>
      </c>
      <c r="P142" s="72">
        <f t="shared" ca="1" si="42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3"/>
        <v>0</v>
      </c>
      <c r="U142" s="72">
        <f t="shared" ca="1" si="44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41"/>
        <v>0</v>
      </c>
      <c r="P143" s="75">
        <f t="shared" si="42"/>
        <v>0</v>
      </c>
      <c r="Q143" s="75">
        <v>0</v>
      </c>
      <c r="R143" s="75">
        <v>0</v>
      </c>
      <c r="S143" s="75">
        <v>0</v>
      </c>
      <c r="T143" s="75">
        <f t="shared" si="43"/>
        <v>0</v>
      </c>
      <c r="U143" s="75">
        <f t="shared" si="44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IFERROR(__xludf.DUMMYFUNCTION("IMPORTRANGE(""https://docs.google.com/spreadsheets/d/1-uDff_7J0KD5mKrp0Vvzr7lt3OU09vwQwhkpOPPYv2Y/edit?usp=sharing"",""งบพรบ!BQ71"")"),0)</f>
        <v>0</v>
      </c>
      <c r="M144" s="72">
        <f ca="1">IFERROR(__xludf.DUMMYFUNCTION("IMPORTRANGE(""https://docs.google.com/spreadsheets/d/1-uDff_7J0KD5mKrp0Vvzr7lt3OU09vwQwhkpOPPYv2Y/edit?usp=sharing"",""งบพรบ!BV71"")"),0)</f>
        <v>0</v>
      </c>
      <c r="N144" s="72">
        <f ca="1">IFERROR(__xludf.DUMMYFUNCTION("IMPORTRANGE(""https://docs.google.com/spreadsheets/d/1-uDff_7J0KD5mKrp0Vvzr7lt3OU09vwQwhkpOPPYv2Y/edit?usp=sharing"",""งบพรบ!BX71"")"),0)</f>
        <v>0</v>
      </c>
      <c r="O144" s="72">
        <f t="shared" ca="1" si="41"/>
        <v>0</v>
      </c>
      <c r="P144" s="72">
        <f t="shared" ca="1" si="42"/>
        <v>0</v>
      </c>
      <c r="Q144" s="72">
        <f ca="1">IFERROR(__xludf.DUMMYFUNCTION("IMPORTRANGE(""https://docs.google.com/spreadsheets/d/1ItG2mGa2ceCfYo0BwxsXqNm01IGEUdYcSSLTEv9YCik/edit?usp=sharing"",""เบิกจ่ายกองทุน!CF71"")"),0)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IFERROR(__xludf.DUMMYFUNCTION("IMPORTRANGE(""https://docs.google.com/spreadsheets/d/1ItG2mGa2ceCfYo0BwxsXqNm01IGEUdYcSSLTEv9YCik/edit?usp=sharing"",""เบิกจ่ายกองทุน!CG71"")"),0)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IFERROR(__xludf.DUMMYFUNCTION("IMPORTRANGE(""https://docs.google.com/spreadsheets/d/1ItG2mGa2ceCfYo0BwxsXqNm01IGEUdYcSSLTEv9YCik/edit?usp=sharing"",""เบิกจ่ายกองทุน!CH71"")"),0)</f>
        <v>0</v>
      </c>
      <c r="T144" s="72">
        <f t="shared" ca="1" si="43"/>
        <v>0</v>
      </c>
      <c r="U144" s="72">
        <f t="shared" ca="1" si="44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41"/>
        <v>0</v>
      </c>
      <c r="P145" s="72">
        <f t="shared" ca="1" si="42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3"/>
        <v>0</v>
      </c>
      <c r="U145" s="72">
        <f t="shared" ca="1" si="44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41"/>
        <v>0</v>
      </c>
      <c r="P146" s="75">
        <f t="shared" si="42"/>
        <v>0</v>
      </c>
      <c r="Q146" s="75">
        <v>0</v>
      </c>
      <c r="R146" s="75">
        <v>0</v>
      </c>
      <c r="S146" s="75">
        <v>0</v>
      </c>
      <c r="T146" s="75">
        <f t="shared" si="43"/>
        <v>0</v>
      </c>
      <c r="U146" s="75">
        <f t="shared" si="44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IFERROR(__xludf.DUMMYFUNCTION("IMPORTRANGE(""https://docs.google.com/spreadsheets/d/1-uDff_7J0KD5mKrp0Vvzr7lt3OU09vwQwhkpOPPYv2Y/edit?usp=sharing"",""งบพรบ!BT71"")"),0)</f>
        <v>0</v>
      </c>
      <c r="M147" s="72">
        <f ca="1">IFERROR(__xludf.DUMMYFUNCTION("IMPORTRANGE(""https://docs.google.com/spreadsheets/d/1-uDff_7J0KD5mKrp0Vvzr7lt3OU09vwQwhkpOPPYv2Y/edit?usp=sharing"",""งบพรบ!BW71"")"),0)</f>
        <v>0</v>
      </c>
      <c r="N147" s="72">
        <f ca="1">IFERROR(__xludf.DUMMYFUNCTION("IMPORTRANGE(""https://docs.google.com/spreadsheets/d/1-uDff_7J0KD5mKrp0Vvzr7lt3OU09vwQwhkpOPPYv2Y/edit?usp=sharing"",""งบพรบ!BY71"")"),0)</f>
        <v>0</v>
      </c>
      <c r="O147" s="72">
        <f t="shared" ca="1" si="41"/>
        <v>0</v>
      </c>
      <c r="P147" s="72">
        <f t="shared" ca="1" si="42"/>
        <v>0</v>
      </c>
      <c r="Q147" s="72">
        <f ca="1">IFERROR(__xludf.DUMMYFUNCTION("IMPORTRANGE(""https://docs.google.com/spreadsheets/d/1ItG2mGa2ceCfYo0BwxsXqNm01IGEUdYcSSLTEv9YCik/edit?usp=sharing"",""เบิกจ่ายกองทุน!CI71"")"),0)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IFERROR(__xludf.DUMMYFUNCTION("IMPORTRANGE(""https://docs.google.com/spreadsheets/d/1ItG2mGa2ceCfYo0BwxsXqNm01IGEUdYcSSLTEv9YCik/edit?usp=sharing"",""เบิกจ่ายกองทุน!CJ71"")"),0)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IFERROR(__xludf.DUMMYFUNCTION("IMPORTRANGE(""https://docs.google.com/spreadsheets/d/1ItG2mGa2ceCfYo0BwxsXqNm01IGEUdYcSSLTEv9YCik/edit?usp=sharing"",""เบิกจ่ายกองทุน!CK71"")"),0)</f>
        <v>0</v>
      </c>
      <c r="T147" s="72">
        <f t="shared" ca="1" si="43"/>
        <v>0</v>
      </c>
      <c r="U147" s="72">
        <f t="shared" ca="1" si="44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IFERROR(__xludf.DUMMYFUNCTION("IMPORTRANGE(""https://docs.google.com/spreadsheets/d/1eHaY18a8A9IcSdp1K8H6x8fbOy06t2VsZHhMHf-1x7Y/edit?usp=sharing"",""แผน!U71"")"),0)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IFERROR(__xludf.DUMMYFUNCTION("IMPORTRANGE(""https://docs.google.com/spreadsheets/d/1eHaY18a8A9IcSdp1K8H6x8fbOy06t2VsZHhMHf-1x7Y/edit?usp=sharing"",""แผน!V71"")"),0)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IFERROR(__xludf.DUMMYFUNCTION("IMPORTRANGE(""https://docs.google.com/spreadsheets/d/1eHaY18a8A9IcSdp1K8H6x8fbOy06t2VsZHhMHf-1x7Y/edit?usp=sharing"",""แผน!W71"")"),0)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IFERROR(__xludf.DUMMYFUNCTION("IMPORTRANGE(""https://docs.google.com/spreadsheets/d/1eHaY18a8A9IcSdp1K8H6x8fbOy06t2VsZHhMHf-1x7Y/edit?usp=sharing"",""แผน!X71"")"),0)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IFERROR(__xludf.DUMMYFUNCTION("IMPORTRANGE(""https://docs.google.com/spreadsheets/d/1eHaY18a8A9IcSdp1K8H6x8fbOy06t2VsZHhMHf-1x7Y/edit?usp=sharing"",""แผน!Y71"")"),0)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7">IF(L157&gt;0,N157*100/L157,0)</f>
        <v>0</v>
      </c>
      <c r="P157" s="262">
        <f t="shared" ref="P157:P165" ca="1" si="48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9">IF(Q157&gt;0,S157*100/Q157,0)</f>
        <v>0</v>
      </c>
      <c r="U157" s="262">
        <f t="shared" ref="U157:U165" ca="1" si="50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51">L161+L164</f>
        <v>0</v>
      </c>
      <c r="M158" s="75">
        <f t="shared" si="51"/>
        <v>0</v>
      </c>
      <c r="N158" s="75">
        <f t="shared" si="51"/>
        <v>0</v>
      </c>
      <c r="O158" s="75">
        <f t="shared" si="47"/>
        <v>0</v>
      </c>
      <c r="P158" s="75">
        <f t="shared" si="48"/>
        <v>0</v>
      </c>
      <c r="Q158" s="75">
        <f t="shared" ref="Q158:S159" si="52">Q161+Q164</f>
        <v>0</v>
      </c>
      <c r="R158" s="75">
        <f t="shared" si="52"/>
        <v>0</v>
      </c>
      <c r="S158" s="75">
        <f t="shared" si="52"/>
        <v>0</v>
      </c>
      <c r="T158" s="75">
        <f t="shared" si="49"/>
        <v>0</v>
      </c>
      <c r="U158" s="75">
        <f t="shared" si="50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51"/>
        <v>0</v>
      </c>
      <c r="M159" s="72">
        <f t="shared" ca="1" si="51"/>
        <v>0</v>
      </c>
      <c r="N159" s="72">
        <f t="shared" ca="1" si="51"/>
        <v>0</v>
      </c>
      <c r="O159" s="72">
        <f t="shared" ca="1" si="47"/>
        <v>0</v>
      </c>
      <c r="P159" s="72">
        <f t="shared" ca="1" si="48"/>
        <v>0</v>
      </c>
      <c r="Q159" s="72">
        <f t="shared" ca="1" si="52"/>
        <v>0</v>
      </c>
      <c r="R159" s="72">
        <f t="shared" ca="1" si="52"/>
        <v>0</v>
      </c>
      <c r="S159" s="72">
        <f t="shared" ca="1" si="52"/>
        <v>0</v>
      </c>
      <c r="T159" s="72">
        <f t="shared" ca="1" si="49"/>
        <v>0</v>
      </c>
      <c r="U159" s="72">
        <f t="shared" ca="1" si="50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7"/>
        <v>0</v>
      </c>
      <c r="P160" s="72">
        <f t="shared" ca="1" si="48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9"/>
        <v>0</v>
      </c>
      <c r="U160" s="72">
        <f t="shared" ca="1" si="50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7"/>
        <v>0</v>
      </c>
      <c r="P161" s="75">
        <f t="shared" si="48"/>
        <v>0</v>
      </c>
      <c r="Q161" s="75">
        <v>0</v>
      </c>
      <c r="R161" s="75">
        <v>0</v>
      </c>
      <c r="S161" s="75">
        <v>0</v>
      </c>
      <c r="T161" s="75">
        <f t="shared" si="49"/>
        <v>0</v>
      </c>
      <c r="U161" s="75">
        <f t="shared" si="50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IFERROR(__xludf.DUMMYFUNCTION("IMPORTRANGE(""https://docs.google.com/spreadsheets/d/1-uDff_7J0KD5mKrp0Vvzr7lt3OU09vwQwhkpOPPYv2Y/edit?usp=sharing"",""งบพรบ!CA71"")"),0)</f>
        <v>0</v>
      </c>
      <c r="M162" s="72">
        <f ca="1">IFERROR(__xludf.DUMMYFUNCTION("IMPORTRANGE(""https://docs.google.com/spreadsheets/d/1-uDff_7J0KD5mKrp0Vvzr7lt3OU09vwQwhkpOPPYv2Y/edit?usp=sharing"",""งบพรบ!CF71"")"),0)</f>
        <v>0</v>
      </c>
      <c r="N162" s="72">
        <f ca="1">IFERROR(__xludf.DUMMYFUNCTION("IMPORTRANGE(""https://docs.google.com/spreadsheets/d/1-uDff_7J0KD5mKrp0Vvzr7lt3OU09vwQwhkpOPPYv2Y/edit?usp=sharing"",""งบพรบ!CH71"")"),0)</f>
        <v>0</v>
      </c>
      <c r="O162" s="72">
        <f t="shared" ca="1" si="47"/>
        <v>0</v>
      </c>
      <c r="P162" s="72">
        <f t="shared" ca="1" si="48"/>
        <v>0</v>
      </c>
      <c r="Q162" s="72">
        <f ca="1">IFERROR(__xludf.DUMMYFUNCTION("IMPORTRANGE(""https://docs.google.com/spreadsheets/d/1ItG2mGa2ceCfYo0BwxsXqNm01IGEUdYcSSLTEv9YCik/edit?usp=sharing"",""เบิกจ่ายกองทุน!AM71"")"),0)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IFERROR(__xludf.DUMMYFUNCTION("IMPORTRANGE(""https://docs.google.com/spreadsheets/d/1ItG2mGa2ceCfYo0BwxsXqNm01IGEUdYcSSLTEv9YCik/edit?usp=sharing"",""เบิกจ่ายกองทุน!AN71"")"),0)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IFERROR(__xludf.DUMMYFUNCTION("IMPORTRANGE(""https://docs.google.com/spreadsheets/d/1ItG2mGa2ceCfYo0BwxsXqNm01IGEUdYcSSLTEv9YCik/edit?usp=sharing"",""เบิกจ่ายกองทุน!AO71"")"),0)</f>
        <v>0</v>
      </c>
      <c r="T162" s="72">
        <f t="shared" ca="1" si="49"/>
        <v>0</v>
      </c>
      <c r="U162" s="72">
        <f t="shared" ca="1" si="50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7"/>
        <v>0</v>
      </c>
      <c r="P163" s="72">
        <f t="shared" ca="1" si="48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9"/>
        <v>0</v>
      </c>
      <c r="U163" s="72">
        <f t="shared" si="50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7"/>
        <v>0</v>
      </c>
      <c r="P164" s="75">
        <f t="shared" si="48"/>
        <v>0</v>
      </c>
      <c r="Q164" s="75">
        <v>0</v>
      </c>
      <c r="R164" s="75">
        <v>0</v>
      </c>
      <c r="S164" s="75">
        <v>0</v>
      </c>
      <c r="T164" s="75">
        <f t="shared" si="49"/>
        <v>0</v>
      </c>
      <c r="U164" s="75">
        <f t="shared" si="50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IFERROR(__xludf.DUMMYFUNCTION("IMPORTRANGE(""https://docs.google.com/spreadsheets/d/1-uDff_7J0KD5mKrp0Vvzr7lt3OU09vwQwhkpOPPYv2Y/edit?usp=sharing"",""งบพรบ!CD71"")"),0)</f>
        <v>0</v>
      </c>
      <c r="M165" s="72">
        <f ca="1">IFERROR(__xludf.DUMMYFUNCTION("IMPORTRANGE(""https://docs.google.com/spreadsheets/d/1-uDff_7J0KD5mKrp0Vvzr7lt3OU09vwQwhkpOPPYv2Y/edit?usp=sharing"",""งบพรบ!CG71"")"),0)</f>
        <v>0</v>
      </c>
      <c r="N165" s="72">
        <f ca="1">IFERROR(__xludf.DUMMYFUNCTION("IMPORTRANGE(""https://docs.google.com/spreadsheets/d/1-uDff_7J0KD5mKrp0Vvzr7lt3OU09vwQwhkpOPPYv2Y/edit?usp=sharing"",""งบพรบ!CI71"")"),0)</f>
        <v>0</v>
      </c>
      <c r="O165" s="72">
        <f t="shared" ca="1" si="47"/>
        <v>0</v>
      </c>
      <c r="P165" s="72">
        <f t="shared" ca="1" si="48"/>
        <v>0</v>
      </c>
      <c r="Q165" s="72">
        <v>0</v>
      </c>
      <c r="R165" s="72">
        <v>0</v>
      </c>
      <c r="S165" s="72">
        <v>0</v>
      </c>
      <c r="T165" s="72">
        <f t="shared" si="49"/>
        <v>0</v>
      </c>
      <c r="U165" s="72">
        <f t="shared" si="50"/>
        <v>0</v>
      </c>
    </row>
    <row r="166" spans="1:21" ht="19.5" hidden="1" x14ac:dyDescent="0.3">
      <c r="A166" s="274"/>
      <c r="B166" s="275"/>
      <c r="C166" s="257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IFERROR(__xludf.DUMMYFUNCTION("IMPORTRANGE(""https://docs.google.com/spreadsheets/d/1eHaY18a8A9IcSdp1K8H6x8fbOy06t2VsZHhMHf-1x7Y/edit?usp=sharing"",""แผน!Z71"")"),0)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IFERROR(__xludf.DUMMYFUNCTION("IMPORTRANGE(""https://docs.google.com/spreadsheets/d/1eHaY18a8A9IcSdp1K8H6x8fbOy06t2VsZHhMHf-1x7Y/edit?usp=sharing"",""แผน!Z71"")"),0)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IFERROR(__xludf.DUMMYFUNCTION("IMPORTRANGE(""https://docs.google.com/spreadsheets/d/1eHaY18a8A9IcSdp1K8H6x8fbOy06t2VsZHhMHf-1x7Y/edit?usp=sharing"",""แผน!Z71"")"),0)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29860</v>
      </c>
      <c r="N173" s="262">
        <f ca="1">N174+N175</f>
        <v>29860</v>
      </c>
      <c r="O173" s="262">
        <f t="shared" ref="O173:O181" ca="1" si="53">IF(L173&gt;0,N173*100/L173,0)</f>
        <v>152.42470648289944</v>
      </c>
      <c r="P173" s="262">
        <f t="shared" ref="P173:P181" ca="1" si="54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5">IF(Q173&gt;0,S173*100/Q173,0)</f>
        <v>0</v>
      </c>
      <c r="U173" s="262">
        <f t="shared" ref="U173:U181" ca="1" si="56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7">L177+L180</f>
        <v>0</v>
      </c>
      <c r="M174" s="75">
        <f t="shared" si="57"/>
        <v>0</v>
      </c>
      <c r="N174" s="75">
        <f t="shared" si="57"/>
        <v>0</v>
      </c>
      <c r="O174" s="75">
        <f t="shared" si="53"/>
        <v>0</v>
      </c>
      <c r="P174" s="75">
        <f t="shared" si="54"/>
        <v>0</v>
      </c>
      <c r="Q174" s="75">
        <f t="shared" ref="Q174:S175" si="58">Q177+Q180</f>
        <v>0</v>
      </c>
      <c r="R174" s="75">
        <f t="shared" si="58"/>
        <v>0</v>
      </c>
      <c r="S174" s="75">
        <f t="shared" si="58"/>
        <v>0</v>
      </c>
      <c r="T174" s="75">
        <f t="shared" si="55"/>
        <v>0</v>
      </c>
      <c r="U174" s="75">
        <f t="shared" si="56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7"/>
        <v>19590</v>
      </c>
      <c r="M175" s="72">
        <f t="shared" ca="1" si="57"/>
        <v>29860</v>
      </c>
      <c r="N175" s="72">
        <f t="shared" ca="1" si="57"/>
        <v>29860</v>
      </c>
      <c r="O175" s="72">
        <f t="shared" ca="1" si="53"/>
        <v>152.42470648289944</v>
      </c>
      <c r="P175" s="72">
        <f t="shared" ca="1" si="54"/>
        <v>100</v>
      </c>
      <c r="Q175" s="72">
        <f t="shared" ca="1" si="58"/>
        <v>0</v>
      </c>
      <c r="R175" s="72">
        <f t="shared" ca="1" si="58"/>
        <v>0</v>
      </c>
      <c r="S175" s="72">
        <f t="shared" ca="1" si="58"/>
        <v>0</v>
      </c>
      <c r="T175" s="72">
        <f t="shared" ca="1" si="55"/>
        <v>0</v>
      </c>
      <c r="U175" s="72">
        <f t="shared" ca="1" si="56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29860</v>
      </c>
      <c r="N176" s="72">
        <f ca="1">N177+N178</f>
        <v>29860</v>
      </c>
      <c r="O176" s="72">
        <f t="shared" ca="1" si="53"/>
        <v>152.42470648289944</v>
      </c>
      <c r="P176" s="72">
        <f t="shared" ca="1" si="54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5"/>
        <v>0</v>
      </c>
      <c r="U176" s="72">
        <f t="shared" ca="1" si="56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3"/>
        <v>0</v>
      </c>
      <c r="P177" s="75">
        <f t="shared" si="54"/>
        <v>0</v>
      </c>
      <c r="Q177" s="75">
        <v>0</v>
      </c>
      <c r="R177" s="75">
        <v>0</v>
      </c>
      <c r="S177" s="75">
        <v>0</v>
      </c>
      <c r="T177" s="75">
        <f t="shared" si="55"/>
        <v>0</v>
      </c>
      <c r="U177" s="75">
        <f t="shared" si="56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IFERROR(__xludf.DUMMYFUNCTION("IMPORTRANGE(""https://docs.google.com/spreadsheets/d/1-uDff_7J0KD5mKrp0Vvzr7lt3OU09vwQwhkpOPPYv2Y/edit?usp=sharing"",""งบพรบ!CK71"")"),19590)</f>
        <v>19590</v>
      </c>
      <c r="M178" s="72">
        <f ca="1">IFERROR(__xludf.DUMMYFUNCTION("IMPORTRANGE(""https://docs.google.com/spreadsheets/d/1-uDff_7J0KD5mKrp0Vvzr7lt3OU09vwQwhkpOPPYv2Y/edit?usp=sharing"",""งบพรบ!CP71"")"),29860)</f>
        <v>29860</v>
      </c>
      <c r="N178" s="72">
        <f ca="1">IFERROR(__xludf.DUMMYFUNCTION("IMPORTRANGE(""https://docs.google.com/spreadsheets/d/1-uDff_7J0KD5mKrp0Vvzr7lt3OU09vwQwhkpOPPYv2Y/edit?usp=sharing"",""งบพรบ!CR71"")"),29860)</f>
        <v>29860</v>
      </c>
      <c r="O178" s="72">
        <f t="shared" ca="1" si="53"/>
        <v>152.42470648289944</v>
      </c>
      <c r="P178" s="72">
        <f t="shared" ca="1" si="54"/>
        <v>100</v>
      </c>
      <c r="Q178" s="72">
        <f ca="1">IFERROR(__xludf.DUMMYFUNCTION("IMPORTRANGE(""https://docs.google.com/spreadsheets/d/1ItG2mGa2ceCfYo0BwxsXqNm01IGEUdYcSSLTEv9YCik/edit?usp=sharing"",""เบิกจ่ายกองทุน!DG71"")"),0)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IFERROR(__xludf.DUMMYFUNCTION("IMPORTRANGE(""https://docs.google.com/spreadsheets/d/1ItG2mGa2ceCfYo0BwxsXqNm01IGEUdYcSSLTEv9YCik/edit?usp=sharing"",""เบิกจ่ายกองทุน!DH71"")"),0)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IFERROR(__xludf.DUMMYFUNCTION("IMPORTRANGE(""https://docs.google.com/spreadsheets/d/1ItG2mGa2ceCfYo0BwxsXqNm01IGEUdYcSSLTEv9YCik/edit?usp=sharing"",""เบิกจ่ายกองทุน!DI71"")"),0)</f>
        <v>0</v>
      </c>
      <c r="T178" s="72">
        <f t="shared" ca="1" si="55"/>
        <v>0</v>
      </c>
      <c r="U178" s="72">
        <f t="shared" ca="1" si="56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3"/>
        <v>0</v>
      </c>
      <c r="P179" s="72">
        <f t="shared" ca="1" si="54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5"/>
        <v>0</v>
      </c>
      <c r="U179" s="72">
        <f t="shared" si="56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3"/>
        <v>0</v>
      </c>
      <c r="P180" s="75">
        <f t="shared" si="54"/>
        <v>0</v>
      </c>
      <c r="Q180" s="75">
        <v>0</v>
      </c>
      <c r="R180" s="75">
        <v>0</v>
      </c>
      <c r="S180" s="75">
        <v>0</v>
      </c>
      <c r="T180" s="75">
        <f t="shared" si="55"/>
        <v>0</v>
      </c>
      <c r="U180" s="75">
        <f t="shared" si="56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IFERROR(__xludf.DUMMYFUNCTION("IMPORTRANGE(""https://docs.google.com/spreadsheets/d/1-uDff_7J0KD5mKrp0Vvzr7lt3OU09vwQwhkpOPPYv2Y/edit?usp=sharing"",""งบพรบ!CN71"")"),0)</f>
        <v>0</v>
      </c>
      <c r="M181" s="72">
        <f ca="1">IFERROR(__xludf.DUMMYFUNCTION("IMPORTRANGE(""https://docs.google.com/spreadsheets/d/1-uDff_7J0KD5mKrp0Vvzr7lt3OU09vwQwhkpOPPYv2Y/edit?usp=sharing"",""งบพรบ!CQ71"")"),0)</f>
        <v>0</v>
      </c>
      <c r="N181" s="72">
        <f ca="1">IFERROR(__xludf.DUMMYFUNCTION("IMPORTRANGE(""https://docs.google.com/spreadsheets/d/1-uDff_7J0KD5mKrp0Vvzr7lt3OU09vwQwhkpOPPYv2Y/edit?usp=sharing"",""งบพรบ!CS71"")"),0)</f>
        <v>0</v>
      </c>
      <c r="O181" s="72">
        <f t="shared" ca="1" si="53"/>
        <v>0</v>
      </c>
      <c r="P181" s="72">
        <f t="shared" ca="1" si="54"/>
        <v>0</v>
      </c>
      <c r="Q181" s="72">
        <v>0</v>
      </c>
      <c r="R181" s="72">
        <v>0</v>
      </c>
      <c r="S181" s="72">
        <v>0</v>
      </c>
      <c r="T181" s="72">
        <f t="shared" si="55"/>
        <v>0</v>
      </c>
      <c r="U181" s="72">
        <f t="shared" si="56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IFERROR(__xludf.DUMMYFUNCTION("IMPORTRANGE(""https://docs.google.com/spreadsheets/d/1eHaY18a8A9IcSdp1K8H6x8fbOy06t2VsZHhMHf-1x7Y/edit?usp=sharing"",""แผน!AA71"")"),7)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124800</v>
      </c>
      <c r="M186" s="262">
        <f ca="1">M187+M188</f>
        <v>126800</v>
      </c>
      <c r="N186" s="262">
        <f ca="1">N187+N188</f>
        <v>88013.21</v>
      </c>
      <c r="O186" s="262">
        <f t="shared" ref="O186:O194" ca="1" si="59">IF(L186&gt;0,N186*100/L186,0)</f>
        <v>70.523405448717952</v>
      </c>
      <c r="P186" s="262">
        <f t="shared" ref="P186:P194" ca="1" si="60">IF(M186&gt;0,N186*100/M186,0)</f>
        <v>69.411048895899057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61">IF(Q186&gt;0,S186*100/Q186,0)</f>
        <v>0</v>
      </c>
      <c r="U186" s="262">
        <f t="shared" ref="U186:U194" ca="1" si="62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3">L190+L193</f>
        <v>0</v>
      </c>
      <c r="M187" s="75">
        <f t="shared" si="63"/>
        <v>0</v>
      </c>
      <c r="N187" s="75">
        <f t="shared" si="63"/>
        <v>0</v>
      </c>
      <c r="O187" s="75">
        <f t="shared" si="59"/>
        <v>0</v>
      </c>
      <c r="P187" s="75">
        <f t="shared" si="60"/>
        <v>0</v>
      </c>
      <c r="Q187" s="75">
        <f t="shared" ref="Q187:S188" si="64">Q190+Q193</f>
        <v>0</v>
      </c>
      <c r="R187" s="75">
        <f t="shared" si="64"/>
        <v>0</v>
      </c>
      <c r="S187" s="75">
        <f t="shared" si="64"/>
        <v>0</v>
      </c>
      <c r="T187" s="75">
        <f t="shared" si="61"/>
        <v>0</v>
      </c>
      <c r="U187" s="75">
        <f t="shared" si="62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3"/>
        <v>124800</v>
      </c>
      <c r="M188" s="72">
        <f t="shared" ca="1" si="63"/>
        <v>126800</v>
      </c>
      <c r="N188" s="72">
        <f t="shared" ca="1" si="63"/>
        <v>88013.21</v>
      </c>
      <c r="O188" s="72">
        <f t="shared" ca="1" si="59"/>
        <v>70.523405448717952</v>
      </c>
      <c r="P188" s="72">
        <f t="shared" ca="1" si="60"/>
        <v>69.411048895899057</v>
      </c>
      <c r="Q188" s="72">
        <f t="shared" ca="1" si="64"/>
        <v>0</v>
      </c>
      <c r="R188" s="72">
        <f t="shared" ca="1" si="64"/>
        <v>0</v>
      </c>
      <c r="S188" s="72">
        <f t="shared" ca="1" si="64"/>
        <v>0</v>
      </c>
      <c r="T188" s="72">
        <f t="shared" ca="1" si="61"/>
        <v>0</v>
      </c>
      <c r="U188" s="72">
        <f t="shared" ca="1" si="62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124800</v>
      </c>
      <c r="M189" s="72">
        <f ca="1">M190+M191</f>
        <v>126800</v>
      </c>
      <c r="N189" s="72">
        <f ca="1">N190+N191</f>
        <v>88013.21</v>
      </c>
      <c r="O189" s="72">
        <f t="shared" ca="1" si="59"/>
        <v>70.523405448717952</v>
      </c>
      <c r="P189" s="72">
        <f t="shared" ca="1" si="60"/>
        <v>69.411048895899057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61"/>
        <v>0</v>
      </c>
      <c r="U189" s="72">
        <f t="shared" ca="1" si="62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9"/>
        <v>0</v>
      </c>
      <c r="P190" s="75">
        <f t="shared" si="60"/>
        <v>0</v>
      </c>
      <c r="Q190" s="75">
        <v>0</v>
      </c>
      <c r="R190" s="75">
        <v>0</v>
      </c>
      <c r="S190" s="75">
        <v>0</v>
      </c>
      <c r="T190" s="75">
        <f t="shared" si="61"/>
        <v>0</v>
      </c>
      <c r="U190" s="75">
        <f t="shared" si="62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IFERROR(__xludf.DUMMYFUNCTION("IMPORTRANGE(""https://docs.google.com/spreadsheets/d/1-uDff_7J0KD5mKrp0Vvzr7lt3OU09vwQwhkpOPPYv2Y/edit?usp=sharing"",""งบพรบ!CU71"")"),124800)</f>
        <v>124800</v>
      </c>
      <c r="M191" s="72">
        <f ca="1">IFERROR(__xludf.DUMMYFUNCTION("IMPORTRANGE(""https://docs.google.com/spreadsheets/d/1-uDff_7J0KD5mKrp0Vvzr7lt3OU09vwQwhkpOPPYv2Y/edit?usp=sharing"",""งบพรบ!CZ71"")"),126800)</f>
        <v>126800</v>
      </c>
      <c r="N191" s="72">
        <f ca="1">IFERROR(__xludf.DUMMYFUNCTION("IMPORTRANGE(""https://docs.google.com/spreadsheets/d/1-uDff_7J0KD5mKrp0Vvzr7lt3OU09vwQwhkpOPPYv2Y/edit?usp=sharing"",""งบพรบ!DB71"")"),88013.21)</f>
        <v>88013.21</v>
      </c>
      <c r="O191" s="72">
        <f t="shared" ca="1" si="59"/>
        <v>70.523405448717952</v>
      </c>
      <c r="P191" s="72">
        <f t="shared" ca="1" si="60"/>
        <v>69.411048895899057</v>
      </c>
      <c r="Q191" s="72">
        <f ca="1">IFERROR(__xludf.DUMMYFUNCTION("IMPORTRANGE(""https://docs.google.com/spreadsheets/d/1ItG2mGa2ceCfYo0BwxsXqNm01IGEUdYcSSLTEv9YCik/edit?usp=sharing"",""เบิกจ่ายกองทุน!BQ71"")"),0)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IFERROR(__xludf.DUMMYFUNCTION("IMPORTRANGE(""https://docs.google.com/spreadsheets/d/1ItG2mGa2ceCfYo0BwxsXqNm01IGEUdYcSSLTEv9YCik/edit?usp=sharing"",""เบิกจ่ายกองทุน!BR71"")"),0)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IFERROR(__xludf.DUMMYFUNCTION("IMPORTRANGE(""https://docs.google.com/spreadsheets/d/1ItG2mGa2ceCfYo0BwxsXqNm01IGEUdYcSSLTEv9YCik/edit?usp=sharing"",""เบิกจ่ายกองทุน!BS71"")"),0)</f>
        <v>0</v>
      </c>
      <c r="T191" s="72">
        <f t="shared" ca="1" si="61"/>
        <v>0</v>
      </c>
      <c r="U191" s="72">
        <f t="shared" ca="1" si="62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9"/>
        <v>0</v>
      </c>
      <c r="P192" s="72">
        <f t="shared" ca="1" si="60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61"/>
        <v>0</v>
      </c>
      <c r="U192" s="72">
        <f t="shared" ca="1" si="62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9"/>
        <v>0</v>
      </c>
      <c r="P193" s="75">
        <f t="shared" si="60"/>
        <v>0</v>
      </c>
      <c r="Q193" s="75">
        <v>0</v>
      </c>
      <c r="R193" s="75">
        <v>0</v>
      </c>
      <c r="S193" s="75">
        <v>0</v>
      </c>
      <c r="T193" s="75">
        <f t="shared" si="61"/>
        <v>0</v>
      </c>
      <c r="U193" s="75">
        <f t="shared" si="62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IFERROR(__xludf.DUMMYFUNCTION("IMPORTRANGE(""https://docs.google.com/spreadsheets/d/1-uDff_7J0KD5mKrp0Vvzr7lt3OU09vwQwhkpOPPYv2Y/edit?usp=sharing"",""งบพรบ!CX71"")"),0)</f>
        <v>0</v>
      </c>
      <c r="M194" s="72">
        <f ca="1">IFERROR(__xludf.DUMMYFUNCTION("IMPORTRANGE(""https://docs.google.com/spreadsheets/d/1-uDff_7J0KD5mKrp0Vvzr7lt3OU09vwQwhkpOPPYv2Y/edit?usp=sharing"",""งบพรบ!DA71"")"),0)</f>
        <v>0</v>
      </c>
      <c r="N194" s="72">
        <f ca="1">IFERROR(__xludf.DUMMYFUNCTION("IMPORTRANGE(""https://docs.google.com/spreadsheets/d/1-uDff_7J0KD5mKrp0Vvzr7lt3OU09vwQwhkpOPPYv2Y/edit?usp=sharing"",""งบพรบ!DC71"")"),0)</f>
        <v>0</v>
      </c>
      <c r="O194" s="72">
        <f t="shared" ca="1" si="59"/>
        <v>0</v>
      </c>
      <c r="P194" s="72">
        <f t="shared" ca="1" si="60"/>
        <v>0</v>
      </c>
      <c r="Q194" s="72">
        <f ca="1">IFERROR(__xludf.DUMMYFUNCTION("IMPORTRANGE(""https://docs.google.com/spreadsheets/d/1ItG2mGa2ceCfYo0BwxsXqNm01IGEUdYcSSLTEv9YCik/edit?usp=sharing"",""เบิกจ่ายกองทุน!BT71"")"),0)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IFERROR(__xludf.DUMMYFUNCTION("IMPORTRANGE(""https://docs.google.com/spreadsheets/d/1ItG2mGa2ceCfYo0BwxsXqNm01IGEUdYcSSLTEv9YCik/edit?usp=sharing"",""เบิกจ่ายกองทุน!BU71"")"),0)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IFERROR(__xludf.DUMMYFUNCTION("IMPORTRANGE(""https://docs.google.com/spreadsheets/d/1ItG2mGa2ceCfYo0BwxsXqNm01IGEUdYcSSLTEv9YCik/edit?usp=sharing"",""เบิกจ่ายกองทุน!BV71"")"),0)</f>
        <v>0</v>
      </c>
      <c r="T194" s="72">
        <f t="shared" ca="1" si="61"/>
        <v>0</v>
      </c>
      <c r="U194" s="72">
        <f t="shared" ca="1" si="62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IFERROR(__xludf.DUMMYFUNCTION("IMPORTRANGE(""https://docs.google.com/spreadsheets/d/1eHaY18a8A9IcSdp1K8H6x8fbOy06t2VsZHhMHf-1x7Y/edit?usp=sharing"",""แผน!AB71"")"),6000)</f>
        <v>6000</v>
      </c>
      <c r="M196" s="85"/>
      <c r="N196" s="961">
        <v>6000</v>
      </c>
      <c r="O196" s="262">
        <f ca="1">IF(L196&gt;0,N196*100/L196,0)</f>
        <v>100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IFERROR(__xludf.DUMMYFUNCTION("IMPORTRANGE(""https://docs.google.com/spreadsheets/d/1eHaY18a8A9IcSdp1K8H6x8fbOy06t2VsZHhMHf-1x7Y/edit?usp=sharing"",""แผน!AE71"")"),4)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110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110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IFERROR(__xludf.DUMMYFUNCTION("IMPORTRANGE(""https://docs.google.com/spreadsheets/d/1eHaY18a8A9IcSdp1K8H6x8fbOy06t2VsZHhMHf-1x7Y/edit?usp=sharing"",""แผน!AG71"")"),0)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56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IFERROR(__xludf.DUMMYFUNCTION("IMPORTRANGE(""https://docs.google.com/spreadsheets/d/1eHaY18a8A9IcSdp1K8H6x8fbOy06t2VsZHhMHf-1x7Y/edit?usp=sharing"",""แผน!AH71"")"),0)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56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IFERROR(__xludf.DUMMYFUNCTION("IMPORTRANGE(""https://docs.google.com/spreadsheets/d/1eHaY18a8A9IcSdp1K8H6x8fbOy06t2VsZHhMHf-1x7Y/edit?usp=sharing"",""แผน!AI71"")"),0)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IFERROR(__xludf.DUMMYFUNCTION("IMPORTRANGE(""https://docs.google.com/spreadsheets/d/1eHaY18a8A9IcSdp1K8H6x8fbOy06t2VsZHhMHf-1x7Y/edit?usp=sharing"",""แผน!LV71"")"),0)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IFERROR(__xludf.DUMMYFUNCTION("IMPORTRANGE(""https://docs.google.com/spreadsheets/d/1eHaY18a8A9IcSdp1K8H6x8fbOy06t2VsZHhMHf-1x7Y/edit?usp=sharing"",""แผน!AJ71"")"),0)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IFERROR(__xludf.DUMMYFUNCTION("IMPORTRANGE(""https://docs.google.com/spreadsheets/d/1eHaY18a8A9IcSdp1K8H6x8fbOy06t2VsZHhMHf-1x7Y/edit?usp=sharing"",""แผน!AK71"")"),0)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IFERROR(__xludf.DUMMYFUNCTION("IMPORTRANGE(""https://docs.google.com/spreadsheets/d/1eHaY18a8A9IcSdp1K8H6x8fbOy06t2VsZHhMHf-1x7Y/edit?usp=sharing"",""แผน!AK71"")"),0)</f>
        <v>0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IFERROR(__xludf.DUMMYFUNCTION("IMPORTRANGE(""https://docs.google.com/spreadsheets/d/1eHaY18a8A9IcSdp1K8H6x8fbOy06t2VsZHhMHf-1x7Y/edit?usp=sharing"",""แผน!AK71"")"),0)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IFERROR(__xludf.DUMMYFUNCTION("IMPORTRANGE(""https://docs.google.com/spreadsheets/d/1eHaY18a8A9IcSdp1K8H6x8fbOy06t2VsZHhMHf-1x7Y/edit?usp=sharing"",""แผน!AM71"")"),0)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IFERROR(__xludf.DUMMYFUNCTION("IMPORTRANGE(""https://docs.google.com/spreadsheets/d/1eHaY18a8A9IcSdp1K8H6x8fbOy06t2VsZHhMHf-1x7Y/edit?usp=sharing"",""แผน!AN71"")"),0)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IFERROR(__xludf.DUMMYFUNCTION("IMPORTRANGE(""https://docs.google.com/spreadsheets/d/1eHaY18a8A9IcSdp1K8H6x8fbOy06t2VsZHhMHf-1x7Y/edit?usp=sharing"",""แผน!AO71"")"),0)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IFERROR(__xludf.DUMMYFUNCTION("IMPORTRANGE(""https://docs.google.com/spreadsheets/d/1eHaY18a8A9IcSdp1K8H6x8fbOy06t2VsZHhMHf-1x7Y/edit?usp=sharing"",""แผน!LY71"")"),0)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IFERROR(__xludf.DUMMYFUNCTION("IMPORTRANGE(""https://docs.google.com/spreadsheets/d/1eHaY18a8A9IcSdp1K8H6x8fbOy06t2VsZHhMHf-1x7Y/edit?usp=sharing"",""แผน!AP71"")"),0)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IFERROR(__xludf.DUMMYFUNCTION("IMPORTRANGE(""https://docs.google.com/spreadsheets/d/1eHaY18a8A9IcSdp1K8H6x8fbOy06t2VsZHhMHf-1x7Y/edit?usp=sharing"",""แผน!AP71"")"),0)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12000</v>
      </c>
      <c r="J221" s="538">
        <f>J229</f>
        <v>12000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3900</v>
      </c>
      <c r="O222" s="262">
        <f ca="1">IF(L222&gt;0,N222*100/L222,0)</f>
        <v>86.666666666666671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IFERROR(__xludf.DUMMYFUNCTION("IMPORTRANGE(""https://docs.google.com/spreadsheets/d/1eHaY18a8A9IcSdp1K8H6x8fbOy06t2VsZHhMHf-1x7Y/edit?usp=sharing"",""แผน!AR71"")"),2500)</f>
        <v>2500</v>
      </c>
      <c r="M223" s="85"/>
      <c r="N223" s="387">
        <v>1900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IFERROR(__xludf.DUMMYFUNCTION("IMPORTRANGE(""https://docs.google.com/spreadsheets/d/1eHaY18a8A9IcSdp1K8H6x8fbOy06t2VsZHhMHf-1x7Y/edit?usp=sharing"",""แผน!AS71"")"),2000)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IFERROR(__xludf.DUMMYFUNCTION("IMPORTRANGE(""https://docs.google.com/spreadsheets/d/1eHaY18a8A9IcSdp1K8H6x8fbOy06t2VsZHhMHf-1x7Y/edit?usp=sharing"",""แผน!AT71"")"),0)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IFERROR(__xludf.DUMMYFUNCTION("IMPORTRANGE(""https://docs.google.com/spreadsheets/d/1eHaY18a8A9IcSdp1K8H6x8fbOy06t2VsZHhMHf-1x7Y/edit?usp=sharing"",""แผน!AV71"")"),12000)</f>
        <v>12000</v>
      </c>
      <c r="J228" s="292">
        <v>12000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IFERROR(__xludf.DUMMYFUNCTION("IMPORTRANGE(""https://docs.google.com/spreadsheets/d/1eHaY18a8A9IcSdp1K8H6x8fbOy06t2VsZHhMHf-1x7Y/edit?usp=sharing"",""แผน!AV71"")"),12000)</f>
        <v>12000</v>
      </c>
      <c r="J229" s="292">
        <v>12000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IFERROR(__xludf.DUMMYFUNCTION("IMPORTRANGE(""https://docs.google.com/spreadsheets/d/1eHaY18a8A9IcSdp1K8H6x8fbOy06t2VsZHhMHf-1x7Y/edit?usp=sharing"",""แผน!AU71"")"),0)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958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955">
        <v>0</v>
      </c>
      <c r="R232" s="955">
        <v>0</v>
      </c>
      <c r="S232" s="95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53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34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IFERROR(__xludf.DUMMYFUNCTION("IMPORTRANGE(""https://docs.google.com/spreadsheets/d/1eHaY18a8A9IcSdp1K8H6x8fbOy06t2VsZHhMHf-1x7Y/edit?usp=sharing"",""แผน!AX71"")"),0)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IFERROR(__xludf.DUMMYFUNCTION("IMPORTRANGE(""https://docs.google.com/spreadsheets/d/1eHaY18a8A9IcSdp1K8H6x8fbOy06t2VsZHhMHf-1x7Y/edit?usp=sharing"",""แผน!AY71"")"),0)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IFERROR(__xludf.DUMMYFUNCTION("IMPORTRANGE(""https://docs.google.com/spreadsheets/d/1eHaY18a8A9IcSdp1K8H6x8fbOy06t2VsZHhMHf-1x7Y/edit?usp=sharing"",""แผน!AZ71"")"),0)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IFERROR(__xludf.DUMMYFUNCTION("IMPORTRANGE(""https://docs.google.com/spreadsheets/d/1eHaY18a8A9IcSdp1K8H6x8fbOy06t2VsZHhMHf-1x7Y/edit?usp=sharing"",""แผน!BA71"")"),0)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45" t="s">
        <v>35</v>
      </c>
      <c r="I249" s="570">
        <f ca="1">IFERROR(__xludf.DUMMYFUNCTION("IMPORTRANGE(""https://docs.google.com/spreadsheets/d/1eHaY18a8A9IcSdp1K8H6x8fbOy06t2VsZHhMHf-1x7Y/edit?usp=sharing"",""แผน!BG71"")"),0)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945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945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IFERROR(__xludf.DUMMYFUNCTION("IMPORTRANGE(""https://docs.google.com/spreadsheets/d/1eHaY18a8A9IcSdp1K8H6x8fbOy06t2VsZHhMHf-1x7Y/edit?usp=sharing"",""แผน!BB71"")"),0)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IFERROR(__xludf.DUMMYFUNCTION("IMPORTRANGE(""https://docs.google.com/spreadsheets/d/1eHaY18a8A9IcSdp1K8H6x8fbOy06t2VsZHhMHf-1x7Y/edit?usp=sharing"",""แผน!BC71"")"),0)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IFERROR(__xludf.DUMMYFUNCTION("IMPORTRANGE(""https://docs.google.com/spreadsheets/d/1eHaY18a8A9IcSdp1K8H6x8fbOy06t2VsZHhMHf-1x7Y/edit?usp=sharing"",""แผน!BD71"")"),0)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IFERROR(__xludf.DUMMYFUNCTION("IMPORTRANGE(""https://docs.google.com/spreadsheets/d/1eHaY18a8A9IcSdp1K8H6x8fbOy06t2VsZHhMHf-1x7Y/edit?usp=sharing"",""แผน!BE71"")"),0)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IFERROR(__xludf.DUMMYFUNCTION("IMPORTRANGE(""https://docs.google.com/spreadsheets/d/1eHaY18a8A9IcSdp1K8H6x8fbOy06t2VsZHhMHf-1x7Y/edit?usp=sharing"",""แผน!BH71"")"),0)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12</v>
      </c>
      <c r="J265" s="943">
        <f>J276</f>
        <v>12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5">IF(L266&gt;0,N266*100/L266,0)</f>
        <v>100</v>
      </c>
      <c r="P266" s="211">
        <f t="shared" ref="P266:P274" ca="1" si="66">IF(M266&gt;0,N266*100/M266,0)</f>
        <v>100</v>
      </c>
      <c r="Q266" s="211">
        <f ca="1">Q267+Q268</f>
        <v>36760</v>
      </c>
      <c r="R266" s="211">
        <f ca="1">R267+R268</f>
        <v>36760</v>
      </c>
      <c r="S266" s="211">
        <f ca="1">S267+S268</f>
        <v>23893</v>
      </c>
      <c r="T266" s="211">
        <f t="shared" ref="T266:T274" ca="1" si="67">IF(Q266&gt;0,S266*100/Q266,0)</f>
        <v>64.997279651795424</v>
      </c>
      <c r="U266" s="211">
        <f t="shared" ref="U266:U274" ca="1" si="68">IF(R266&gt;0,S266*100/R266,0)</f>
        <v>64.997279651795424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9">L270+L273</f>
        <v>0</v>
      </c>
      <c r="M267" s="75">
        <f t="shared" si="69"/>
        <v>0</v>
      </c>
      <c r="N267" s="75">
        <f t="shared" si="69"/>
        <v>0</v>
      </c>
      <c r="O267" s="75">
        <f t="shared" si="65"/>
        <v>0</v>
      </c>
      <c r="P267" s="75">
        <f t="shared" si="66"/>
        <v>0</v>
      </c>
      <c r="Q267" s="75">
        <f t="shared" ref="Q267:S268" si="70">Q270+Q273</f>
        <v>0</v>
      </c>
      <c r="R267" s="75">
        <f t="shared" si="70"/>
        <v>0</v>
      </c>
      <c r="S267" s="75">
        <f t="shared" si="70"/>
        <v>0</v>
      </c>
      <c r="T267" s="75">
        <f t="shared" si="67"/>
        <v>0</v>
      </c>
      <c r="U267" s="75">
        <f t="shared" si="68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9"/>
        <v>5000</v>
      </c>
      <c r="M268" s="86">
        <f t="shared" ca="1" si="69"/>
        <v>5000</v>
      </c>
      <c r="N268" s="86">
        <f t="shared" ca="1" si="69"/>
        <v>5000</v>
      </c>
      <c r="O268" s="86">
        <f t="shared" ca="1" si="65"/>
        <v>100</v>
      </c>
      <c r="P268" s="86">
        <f t="shared" ca="1" si="66"/>
        <v>100</v>
      </c>
      <c r="Q268" s="86">
        <f t="shared" ca="1" si="70"/>
        <v>36760</v>
      </c>
      <c r="R268" s="86">
        <f t="shared" ca="1" si="70"/>
        <v>36760</v>
      </c>
      <c r="S268" s="86">
        <f t="shared" ca="1" si="70"/>
        <v>23893</v>
      </c>
      <c r="T268" s="86">
        <f t="shared" ca="1" si="67"/>
        <v>64.997279651795424</v>
      </c>
      <c r="U268" s="86">
        <f t="shared" ca="1" si="68"/>
        <v>64.997279651795424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5"/>
        <v>100</v>
      </c>
      <c r="P269" s="86">
        <f t="shared" ca="1" si="66"/>
        <v>100</v>
      </c>
      <c r="Q269" s="86">
        <f ca="1">Q270+Q271</f>
        <v>36760</v>
      </c>
      <c r="R269" s="86">
        <f ca="1">R270+R271</f>
        <v>36760</v>
      </c>
      <c r="S269" s="86">
        <f ca="1">S270+S271</f>
        <v>23893</v>
      </c>
      <c r="T269" s="86">
        <f t="shared" ca="1" si="67"/>
        <v>64.997279651795424</v>
      </c>
      <c r="U269" s="86">
        <f t="shared" ca="1" si="68"/>
        <v>64.997279651795424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5"/>
        <v>0</v>
      </c>
      <c r="P270" s="75">
        <f t="shared" si="66"/>
        <v>0</v>
      </c>
      <c r="Q270" s="75">
        <v>0</v>
      </c>
      <c r="R270" s="75">
        <v>0</v>
      </c>
      <c r="S270" s="75">
        <v>0</v>
      </c>
      <c r="T270" s="75">
        <f t="shared" si="67"/>
        <v>0</v>
      </c>
      <c r="U270" s="75">
        <f t="shared" si="68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IFERROR(__xludf.DUMMYFUNCTION("IMPORTRANGE(""https://docs.google.com/spreadsheets/d/1-uDff_7J0KD5mKrp0Vvzr7lt3OU09vwQwhkpOPPYv2Y/edit?usp=sharing"",""งบพรบ!DE71"")"),5000)</f>
        <v>5000</v>
      </c>
      <c r="M271" s="86">
        <f ca="1">IFERROR(__xludf.DUMMYFUNCTION("IMPORTRANGE(""https://docs.google.com/spreadsheets/d/1-uDff_7J0KD5mKrp0Vvzr7lt3OU09vwQwhkpOPPYv2Y/edit?usp=sharing"",""งบพรบ!DJ71"")"),5000)</f>
        <v>5000</v>
      </c>
      <c r="N271" s="86">
        <f ca="1">IFERROR(__xludf.DUMMYFUNCTION("IMPORTRANGE(""https://docs.google.com/spreadsheets/d/1-uDff_7J0KD5mKrp0Vvzr7lt3OU09vwQwhkpOPPYv2Y/edit?usp=sharing"",""งบพรบ!DL71"")"),5000)</f>
        <v>5000</v>
      </c>
      <c r="O271" s="86">
        <f t="shared" ca="1" si="65"/>
        <v>100</v>
      </c>
      <c r="P271" s="86">
        <f t="shared" ca="1" si="66"/>
        <v>100</v>
      </c>
      <c r="Q271" s="86">
        <f ca="1">IFERROR(__xludf.DUMMYFUNCTION("IMPORTRANGE(""https://docs.google.com/spreadsheets/d/1ItG2mGa2ceCfYo0BwxsXqNm01IGEUdYcSSLTEv9YCik/edit?usp=sharing"",""เบิกจ่ายกองทุน!AP71"")"),36760)</f>
        <v>36760</v>
      </c>
      <c r="R271" s="86">
        <f ca="1">IFERROR(__xludf.DUMMYFUNCTION("IMPORTRANGE(""https://docs.google.com/spreadsheets/d/1ItG2mGa2ceCfYo0BwxsXqNm01IGEUdYcSSLTEv9YCik/edit?usp=sharing"",""เบิกจ่ายกองทุน!AQ71"")"),36760)</f>
        <v>36760</v>
      </c>
      <c r="S271" s="86">
        <f ca="1">IFERROR(__xludf.DUMMYFUNCTION("IMPORTRANGE(""https://docs.google.com/spreadsheets/d/1ItG2mGa2ceCfYo0BwxsXqNm01IGEUdYcSSLTEv9YCik/edit?usp=sharing"",""เบิกจ่ายกองทุน!AR71"")"),23893)</f>
        <v>23893</v>
      </c>
      <c r="T271" s="86">
        <f t="shared" ca="1" si="67"/>
        <v>64.997279651795424</v>
      </c>
      <c r="U271" s="86">
        <f t="shared" ca="1" si="68"/>
        <v>64.997279651795424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5"/>
        <v>0</v>
      </c>
      <c r="P272" s="86">
        <f t="shared" ca="1" si="66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7"/>
        <v>0</v>
      </c>
      <c r="U272" s="86">
        <f t="shared" si="68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5"/>
        <v>0</v>
      </c>
      <c r="P273" s="75">
        <f t="shared" si="66"/>
        <v>0</v>
      </c>
      <c r="Q273" s="75">
        <v>0</v>
      </c>
      <c r="R273" s="75">
        <v>0</v>
      </c>
      <c r="S273" s="75">
        <v>0</v>
      </c>
      <c r="T273" s="75">
        <f t="shared" si="67"/>
        <v>0</v>
      </c>
      <c r="U273" s="75">
        <f t="shared" si="68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IFERROR(__xludf.DUMMYFUNCTION("IMPORTRANGE(""https://docs.google.com/spreadsheets/d/1-uDff_7J0KD5mKrp0Vvzr7lt3OU09vwQwhkpOPPYv2Y/edit?usp=sharing"",""งบพรบ!DH71"")"),0)</f>
        <v>0</v>
      </c>
      <c r="M274" s="86">
        <f ca="1">IFERROR(__xludf.DUMMYFUNCTION("IMPORTRANGE(""https://docs.google.com/spreadsheets/d/1-uDff_7J0KD5mKrp0Vvzr7lt3OU09vwQwhkpOPPYv2Y/edit?usp=sharing"",""งบพรบ!DK71"")"),0)</f>
        <v>0</v>
      </c>
      <c r="N274" s="86">
        <f ca="1">IFERROR(__xludf.DUMMYFUNCTION("IMPORTRANGE(""https://docs.google.com/spreadsheets/d/1-uDff_7J0KD5mKrp0Vvzr7lt3OU09vwQwhkpOPPYv2Y/edit?usp=sharing"",""งบพรบ!DM71"")"),0)</f>
        <v>0</v>
      </c>
      <c r="O274" s="86">
        <f t="shared" ca="1" si="65"/>
        <v>0</v>
      </c>
      <c r="P274" s="86">
        <f t="shared" ca="1" si="66"/>
        <v>0</v>
      </c>
      <c r="Q274" s="86">
        <v>0</v>
      </c>
      <c r="R274" s="86">
        <v>0</v>
      </c>
      <c r="S274" s="86">
        <v>0</v>
      </c>
      <c r="T274" s="86">
        <f t="shared" si="67"/>
        <v>0</v>
      </c>
      <c r="U274" s="86">
        <f t="shared" si="68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21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IFERROR(__xludf.DUMMYFUNCTION("IMPORTRANGE(""https://docs.google.com/spreadsheets/d/1eHaY18a8A9IcSdp1K8H6x8fbOy06t2VsZHhMHf-1x7Y/edit?usp=sharing"",""แผน!EC71"")"),12)</f>
        <v>12</v>
      </c>
      <c r="J276" s="1117">
        <v>12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71">IF(L282&gt;0,N282*100/L282,0)</f>
        <v>0</v>
      </c>
      <c r="P282" s="262">
        <f t="shared" ref="P282:P290" ca="1" si="72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3">IF(Q282&gt;0,S282*100/Q282,0)</f>
        <v>0</v>
      </c>
      <c r="U282" s="262">
        <f t="shared" ref="U282:U290" si="74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5">L286+L289</f>
        <v>0</v>
      </c>
      <c r="M283" s="75">
        <f t="shared" si="75"/>
        <v>0</v>
      </c>
      <c r="N283" s="75">
        <f t="shared" si="75"/>
        <v>0</v>
      </c>
      <c r="O283" s="75">
        <f t="shared" si="71"/>
        <v>0</v>
      </c>
      <c r="P283" s="75">
        <f t="shared" si="72"/>
        <v>0</v>
      </c>
      <c r="Q283" s="75">
        <f t="shared" ref="Q283:S284" si="76">Q286+Q289</f>
        <v>0</v>
      </c>
      <c r="R283" s="75">
        <f t="shared" si="76"/>
        <v>0</v>
      </c>
      <c r="S283" s="75">
        <f t="shared" si="76"/>
        <v>0</v>
      </c>
      <c r="T283" s="75">
        <f t="shared" si="73"/>
        <v>0</v>
      </c>
      <c r="U283" s="75">
        <f t="shared" si="74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5"/>
        <v>0</v>
      </c>
      <c r="M284" s="72">
        <f t="shared" ca="1" si="75"/>
        <v>0</v>
      </c>
      <c r="N284" s="72">
        <f t="shared" ca="1" si="75"/>
        <v>0</v>
      </c>
      <c r="O284" s="72">
        <f t="shared" ca="1" si="71"/>
        <v>0</v>
      </c>
      <c r="P284" s="72">
        <f t="shared" ca="1" si="72"/>
        <v>0</v>
      </c>
      <c r="Q284" s="72">
        <f t="shared" si="76"/>
        <v>0</v>
      </c>
      <c r="R284" s="72">
        <f t="shared" si="76"/>
        <v>0</v>
      </c>
      <c r="S284" s="72">
        <f t="shared" si="76"/>
        <v>0</v>
      </c>
      <c r="T284" s="72">
        <f t="shared" si="73"/>
        <v>0</v>
      </c>
      <c r="U284" s="72">
        <f t="shared" si="74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71"/>
        <v>0</v>
      </c>
      <c r="P285" s="72">
        <f t="shared" ca="1" si="72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3"/>
        <v>0</v>
      </c>
      <c r="U285" s="72">
        <f t="shared" si="74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71"/>
        <v>0</v>
      </c>
      <c r="P286" s="75">
        <f t="shared" si="72"/>
        <v>0</v>
      </c>
      <c r="Q286" s="75">
        <v>0</v>
      </c>
      <c r="R286" s="75">
        <v>0</v>
      </c>
      <c r="S286" s="75">
        <v>0</v>
      </c>
      <c r="T286" s="75">
        <f t="shared" si="73"/>
        <v>0</v>
      </c>
      <c r="U286" s="75">
        <f t="shared" si="74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IFERROR(__xludf.DUMMYFUNCTION("IMPORTRANGE(""https://docs.google.com/spreadsheets/d/1-uDff_7J0KD5mKrp0Vvzr7lt3OU09vwQwhkpOPPYv2Y/edit?usp=sharing"",""งบพรบ!DO71"")"),0)</f>
        <v>0</v>
      </c>
      <c r="M287" s="72">
        <f ca="1">IFERROR(__xludf.DUMMYFUNCTION("IMPORTRANGE(""https://docs.google.com/spreadsheets/d/1-uDff_7J0KD5mKrp0Vvzr7lt3OU09vwQwhkpOPPYv2Y/edit?usp=sharing"",""งบพรบ!DT71"")"),0)</f>
        <v>0</v>
      </c>
      <c r="N287" s="72">
        <f ca="1">IFERROR(__xludf.DUMMYFUNCTION("IMPORTRANGE(""https://docs.google.com/spreadsheets/d/1-uDff_7J0KD5mKrp0Vvzr7lt3OU09vwQwhkpOPPYv2Y/edit?usp=sharing"",""งบพรบ!DV71"")"),0)</f>
        <v>0</v>
      </c>
      <c r="O287" s="72">
        <f t="shared" ca="1" si="71"/>
        <v>0</v>
      </c>
      <c r="P287" s="72">
        <f t="shared" ca="1" si="72"/>
        <v>0</v>
      </c>
      <c r="Q287" s="72">
        <v>0</v>
      </c>
      <c r="R287" s="72">
        <v>0</v>
      </c>
      <c r="S287" s="72">
        <v>0</v>
      </c>
      <c r="T287" s="75">
        <f t="shared" si="73"/>
        <v>0</v>
      </c>
      <c r="U287" s="75">
        <f t="shared" si="74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71"/>
        <v>0</v>
      </c>
      <c r="P288" s="72">
        <f t="shared" ca="1" si="72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3"/>
        <v>0</v>
      </c>
      <c r="U288" s="72">
        <f t="shared" si="74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71"/>
        <v>0</v>
      </c>
      <c r="P289" s="75">
        <f t="shared" si="72"/>
        <v>0</v>
      </c>
      <c r="Q289" s="75">
        <v>0</v>
      </c>
      <c r="R289" s="75">
        <v>0</v>
      </c>
      <c r="S289" s="75">
        <v>0</v>
      </c>
      <c r="T289" s="75">
        <f t="shared" si="73"/>
        <v>0</v>
      </c>
      <c r="U289" s="75">
        <f t="shared" si="74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IFERROR(__xludf.DUMMYFUNCTION("IMPORTRANGE(""https://docs.google.com/spreadsheets/d/1-uDff_7J0KD5mKrp0Vvzr7lt3OU09vwQwhkpOPPYv2Y/edit?usp=sharing"",""งบพรบ!DR71"")"),0)</f>
        <v>0</v>
      </c>
      <c r="M290" s="72">
        <f ca="1">IFERROR(__xludf.DUMMYFUNCTION("IMPORTRANGE(""https://docs.google.com/spreadsheets/d/1-uDff_7J0KD5mKrp0Vvzr7lt3OU09vwQwhkpOPPYv2Y/edit?usp=sharing"",""งบพรบ!DU71"")"),0)</f>
        <v>0</v>
      </c>
      <c r="N290" s="72">
        <f ca="1">IFERROR(__xludf.DUMMYFUNCTION("IMPORTRANGE(""https://docs.google.com/spreadsheets/d/1-uDff_7J0KD5mKrp0Vvzr7lt3OU09vwQwhkpOPPYv2Y/edit?usp=sharing"",""งบพรบ!DW71"")"),0)</f>
        <v>0</v>
      </c>
      <c r="O290" s="72">
        <f t="shared" ca="1" si="71"/>
        <v>0</v>
      </c>
      <c r="P290" s="72">
        <f t="shared" ca="1" si="72"/>
        <v>0</v>
      </c>
      <c r="Q290" s="72">
        <v>0</v>
      </c>
      <c r="R290" s="72">
        <v>0</v>
      </c>
      <c r="S290" s="72">
        <v>0</v>
      </c>
      <c r="T290" s="72">
        <f t="shared" si="73"/>
        <v>0</v>
      </c>
      <c r="U290" s="72">
        <f t="shared" si="74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IFERROR(__xludf.DUMMYFUNCTION("IMPORTRANGE(""https://docs.google.com/spreadsheets/d/1eHaY18a8A9IcSdp1K8H6x8fbOy06t2VsZHhMHf-1x7Y/edit?usp=sharing"",""แผน!EE71"")"),0)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IFERROR(__xludf.DUMMYFUNCTION("IMPORTRANGE(""https://docs.google.com/spreadsheets/d/1eHaY18a8A9IcSdp1K8H6x8fbOy06t2VsZHhMHf-1x7Y/edit?usp=sharing"",""แผน!ED71"")"),0)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IFERROR(__xludf.DUMMYFUNCTION("IMPORTRANGE(""https://docs.google.com/spreadsheets/d/1eHaY18a8A9IcSdp1K8H6x8fbOy06t2VsZHhMHf-1x7Y/edit?usp=sharing"",""แผน!ED71"")"),0)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IFERROR(__xludf.DUMMYFUNCTION("IMPORTRANGE(""https://docs.google.com/spreadsheets/d/1eHaY18a8A9IcSdp1K8H6x8fbOy06t2VsZHhMHf-1x7Y/edit?usp=sharing"",""แผน!ED71"")"),0)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7">IF(L303&gt;0,N303*100/L303,0)</f>
        <v>0</v>
      </c>
      <c r="P303" s="262">
        <f t="shared" ref="P303:P311" ca="1" si="78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9">IF(Q303&gt;0,S303*100/Q303,0)</f>
        <v>0</v>
      </c>
      <c r="U303" s="262">
        <f t="shared" ref="U303:U311" ca="1" si="80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81">L307+L310</f>
        <v>0</v>
      </c>
      <c r="M304" s="75">
        <f t="shared" si="81"/>
        <v>0</v>
      </c>
      <c r="N304" s="75">
        <f t="shared" si="81"/>
        <v>0</v>
      </c>
      <c r="O304" s="75">
        <f t="shared" si="77"/>
        <v>0</v>
      </c>
      <c r="P304" s="75">
        <f t="shared" si="78"/>
        <v>0</v>
      </c>
      <c r="Q304" s="75">
        <f t="shared" ref="Q304:S305" si="82">Q307+Q310</f>
        <v>0</v>
      </c>
      <c r="R304" s="75">
        <f t="shared" si="82"/>
        <v>0</v>
      </c>
      <c r="S304" s="75">
        <f t="shared" si="82"/>
        <v>0</v>
      </c>
      <c r="T304" s="75">
        <f t="shared" si="79"/>
        <v>0</v>
      </c>
      <c r="U304" s="75">
        <f t="shared" si="80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81"/>
        <v>0</v>
      </c>
      <c r="M305" s="72">
        <f t="shared" ca="1" si="81"/>
        <v>0</v>
      </c>
      <c r="N305" s="72">
        <f t="shared" ca="1" si="81"/>
        <v>0</v>
      </c>
      <c r="O305" s="72">
        <f t="shared" ca="1" si="77"/>
        <v>0</v>
      </c>
      <c r="P305" s="72">
        <f t="shared" ca="1" si="78"/>
        <v>0</v>
      </c>
      <c r="Q305" s="72">
        <f t="shared" ca="1" si="82"/>
        <v>0</v>
      </c>
      <c r="R305" s="72">
        <f t="shared" ca="1" si="82"/>
        <v>0</v>
      </c>
      <c r="S305" s="72">
        <f t="shared" ca="1" si="82"/>
        <v>0</v>
      </c>
      <c r="T305" s="72">
        <f t="shared" ca="1" si="79"/>
        <v>0</v>
      </c>
      <c r="U305" s="72">
        <f t="shared" ca="1" si="80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7"/>
        <v>0</v>
      </c>
      <c r="P306" s="72">
        <f t="shared" ca="1" si="78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9"/>
        <v>0</v>
      </c>
      <c r="U306" s="72">
        <f t="shared" ca="1" si="80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7"/>
        <v>0</v>
      </c>
      <c r="P307" s="75">
        <f t="shared" si="78"/>
        <v>0</v>
      </c>
      <c r="Q307" s="75">
        <v>0</v>
      </c>
      <c r="R307" s="75">
        <v>0</v>
      </c>
      <c r="S307" s="75">
        <v>0</v>
      </c>
      <c r="T307" s="75">
        <f t="shared" si="79"/>
        <v>0</v>
      </c>
      <c r="U307" s="75">
        <f t="shared" si="80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IFERROR(__xludf.DUMMYFUNCTION("IMPORTRANGE(""https://docs.google.com/spreadsheets/d/1-uDff_7J0KD5mKrp0Vvzr7lt3OU09vwQwhkpOPPYv2Y/edit?usp=sharing"",""งบพรบ!DY71"")"),0)</f>
        <v>0</v>
      </c>
      <c r="M308" s="72">
        <f ca="1">IFERROR(__xludf.DUMMYFUNCTION("IMPORTRANGE(""https://docs.google.com/spreadsheets/d/1-uDff_7J0KD5mKrp0Vvzr7lt3OU09vwQwhkpOPPYv2Y/edit?usp=sharing"",""งบพรบ!ED71"")"),0)</f>
        <v>0</v>
      </c>
      <c r="N308" s="72">
        <f ca="1">IFERROR(__xludf.DUMMYFUNCTION("IMPORTRANGE(""https://docs.google.com/spreadsheets/d/1-uDff_7J0KD5mKrp0Vvzr7lt3OU09vwQwhkpOPPYv2Y/edit?usp=sharing"",""งบพรบ!EF71"")"),0)</f>
        <v>0</v>
      </c>
      <c r="O308" s="72">
        <f t="shared" ca="1" si="77"/>
        <v>0</v>
      </c>
      <c r="P308" s="72">
        <f t="shared" ca="1" si="78"/>
        <v>0</v>
      </c>
      <c r="Q308" s="72">
        <f ca="1">IFERROR(__xludf.DUMMYFUNCTION("IMPORTRANGE(""https://docs.google.com/spreadsheets/d/1ItG2mGa2ceCfYo0BwxsXqNm01IGEUdYcSSLTEv9YCik/edit?usp=sharing"",""เบิกจ่ายกองทุน!BB71"")"),0)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IFERROR(__xludf.DUMMYFUNCTION("IMPORTRANGE(""https://docs.google.com/spreadsheets/d/1ItG2mGa2ceCfYo0BwxsXqNm01IGEUdYcSSLTEv9YCik/edit?usp=sharing"",""เบิกจ่ายกองทุน!BC71"")"),0)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IFERROR(__xludf.DUMMYFUNCTION("IMPORTRANGE(""https://docs.google.com/spreadsheets/d/1ItG2mGa2ceCfYo0BwxsXqNm01IGEUdYcSSLTEv9YCik/edit?usp=sharing"",""เบิกจ่ายกองทุน!BD71"")"),0)</f>
        <v>0</v>
      </c>
      <c r="T308" s="72">
        <f t="shared" ca="1" si="79"/>
        <v>0</v>
      </c>
      <c r="U308" s="72">
        <f t="shared" ca="1" si="80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7"/>
        <v>0</v>
      </c>
      <c r="P309" s="72">
        <f t="shared" ca="1" si="78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9"/>
        <v>0</v>
      </c>
      <c r="U309" s="72">
        <f t="shared" si="80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7"/>
        <v>0</v>
      </c>
      <c r="P310" s="75">
        <f t="shared" si="78"/>
        <v>0</v>
      </c>
      <c r="Q310" s="75">
        <v>0</v>
      </c>
      <c r="R310" s="75">
        <v>0</v>
      </c>
      <c r="S310" s="75">
        <v>0</v>
      </c>
      <c r="T310" s="75">
        <f t="shared" si="79"/>
        <v>0</v>
      </c>
      <c r="U310" s="75">
        <f t="shared" si="80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IFERROR(__xludf.DUMMYFUNCTION("IMPORTRANGE(""https://docs.google.com/spreadsheets/d/1-uDff_7J0KD5mKrp0Vvzr7lt3OU09vwQwhkpOPPYv2Y/edit?usp=sharing"",""งบพรบ!EB71"")"),0)</f>
        <v>0</v>
      </c>
      <c r="M311" s="72">
        <f ca="1">IFERROR(__xludf.DUMMYFUNCTION("IMPORTRANGE(""https://docs.google.com/spreadsheets/d/1-uDff_7J0KD5mKrp0Vvzr7lt3OU09vwQwhkpOPPYv2Y/edit?usp=sharing"",""งบพรบ!EE71"")"),0)</f>
        <v>0</v>
      </c>
      <c r="N311" s="72">
        <f ca="1">IFERROR(__xludf.DUMMYFUNCTION("IMPORTRANGE(""https://docs.google.com/spreadsheets/d/1-uDff_7J0KD5mKrp0Vvzr7lt3OU09vwQwhkpOPPYv2Y/edit?usp=sharing"",""งบพรบ!EG71"")"),0)</f>
        <v>0</v>
      </c>
      <c r="O311" s="72">
        <f t="shared" ca="1" si="77"/>
        <v>0</v>
      </c>
      <c r="P311" s="72">
        <f t="shared" ca="1" si="78"/>
        <v>0</v>
      </c>
      <c r="Q311" s="72">
        <v>0</v>
      </c>
      <c r="R311" s="72">
        <v>0</v>
      </c>
      <c r="S311" s="72">
        <v>0</v>
      </c>
      <c r="T311" s="72">
        <f t="shared" si="79"/>
        <v>0</v>
      </c>
      <c r="U311" s="72">
        <f t="shared" si="80"/>
        <v>0</v>
      </c>
    </row>
    <row r="312" spans="1:21" ht="19.5" hidden="1" x14ac:dyDescent="0.3">
      <c r="A312" s="274"/>
      <c r="B312" s="275"/>
      <c r="C312" s="257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IFERROR(__xludf.DUMMYFUNCTION("IMPORTRANGE(""https://docs.google.com/spreadsheets/d/1eHaY18a8A9IcSdp1K8H6x8fbOy06t2VsZHhMHf-1x7Y/edit?usp=sharing"",""แผน!EF71"")"),0)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893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3">IF(L320&gt;0,N320*100/L320,0)</f>
        <v>0</v>
      </c>
      <c r="P320" s="262">
        <f t="shared" ref="P320:P328" ca="1" si="84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5">IF(Q320&gt;0,S320*100/Q320,0)</f>
        <v>0</v>
      </c>
      <c r="U320" s="262">
        <f t="shared" ref="U320:U328" si="86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7">L324+L327</f>
        <v>0</v>
      </c>
      <c r="M321" s="75">
        <f t="shared" si="87"/>
        <v>0</v>
      </c>
      <c r="N321" s="75">
        <f t="shared" si="87"/>
        <v>0</v>
      </c>
      <c r="O321" s="75">
        <f t="shared" si="83"/>
        <v>0</v>
      </c>
      <c r="P321" s="75">
        <f t="shared" si="84"/>
        <v>0</v>
      </c>
      <c r="Q321" s="75">
        <f t="shared" ref="Q321:S322" si="88">Q324+Q327</f>
        <v>0</v>
      </c>
      <c r="R321" s="75">
        <f t="shared" si="88"/>
        <v>0</v>
      </c>
      <c r="S321" s="75">
        <f t="shared" si="88"/>
        <v>0</v>
      </c>
      <c r="T321" s="75">
        <f t="shared" si="85"/>
        <v>0</v>
      </c>
      <c r="U321" s="75">
        <f t="shared" si="86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7"/>
        <v>0</v>
      </c>
      <c r="M322" s="72">
        <f t="shared" ca="1" si="87"/>
        <v>0</v>
      </c>
      <c r="N322" s="72">
        <f t="shared" ca="1" si="87"/>
        <v>0</v>
      </c>
      <c r="O322" s="72">
        <f t="shared" ca="1" si="83"/>
        <v>0</v>
      </c>
      <c r="P322" s="72">
        <f t="shared" ca="1" si="84"/>
        <v>0</v>
      </c>
      <c r="Q322" s="72">
        <f t="shared" si="88"/>
        <v>0</v>
      </c>
      <c r="R322" s="72">
        <f t="shared" si="88"/>
        <v>0</v>
      </c>
      <c r="S322" s="72">
        <f t="shared" si="88"/>
        <v>0</v>
      </c>
      <c r="T322" s="72">
        <f t="shared" si="85"/>
        <v>0</v>
      </c>
      <c r="U322" s="72">
        <f t="shared" si="86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3"/>
        <v>0</v>
      </c>
      <c r="P323" s="72">
        <f t="shared" ca="1" si="84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5"/>
        <v>0</v>
      </c>
      <c r="U323" s="72">
        <f t="shared" si="86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3"/>
        <v>0</v>
      </c>
      <c r="P324" s="75">
        <f t="shared" si="84"/>
        <v>0</v>
      </c>
      <c r="Q324" s="75">
        <v>0</v>
      </c>
      <c r="R324" s="75">
        <v>0</v>
      </c>
      <c r="S324" s="75">
        <v>0</v>
      </c>
      <c r="T324" s="75">
        <f t="shared" si="85"/>
        <v>0</v>
      </c>
      <c r="U324" s="75">
        <f t="shared" si="86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IFERROR(__xludf.DUMMYFUNCTION("IMPORTRANGE(""https://docs.google.com/spreadsheets/d/1-uDff_7J0KD5mKrp0Vvzr7lt3OU09vwQwhkpOPPYv2Y/edit?usp=sharing"",""งบพรบ!EI71"")"),0)</f>
        <v>0</v>
      </c>
      <c r="M325" s="72">
        <f ca="1">IFERROR(__xludf.DUMMYFUNCTION("IMPORTRANGE(""https://docs.google.com/spreadsheets/d/1-uDff_7J0KD5mKrp0Vvzr7lt3OU09vwQwhkpOPPYv2Y/edit?usp=sharing"",""งบพรบ!EN71"")"),0)</f>
        <v>0</v>
      </c>
      <c r="N325" s="72">
        <f ca="1">IFERROR(__xludf.DUMMYFUNCTION("IMPORTRANGE(""https://docs.google.com/spreadsheets/d/1-uDff_7J0KD5mKrp0Vvzr7lt3OU09vwQwhkpOPPYv2Y/edit?usp=sharing"",""งบพรบ!EP71"")"),0)</f>
        <v>0</v>
      </c>
      <c r="O325" s="72">
        <f t="shared" ca="1" si="83"/>
        <v>0</v>
      </c>
      <c r="P325" s="72">
        <f t="shared" ca="1" si="84"/>
        <v>0</v>
      </c>
      <c r="Q325" s="72">
        <v>0</v>
      </c>
      <c r="R325" s="72">
        <v>0</v>
      </c>
      <c r="S325" s="72">
        <v>0</v>
      </c>
      <c r="T325" s="72">
        <f t="shared" si="85"/>
        <v>0</v>
      </c>
      <c r="U325" s="72">
        <f t="shared" si="86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3"/>
        <v>0</v>
      </c>
      <c r="P326" s="72">
        <f t="shared" ca="1" si="84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5"/>
        <v>0</v>
      </c>
      <c r="U326" s="72">
        <f t="shared" si="86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3"/>
        <v>0</v>
      </c>
      <c r="P327" s="75">
        <f t="shared" si="84"/>
        <v>0</v>
      </c>
      <c r="Q327" s="75">
        <v>0</v>
      </c>
      <c r="R327" s="75">
        <v>0</v>
      </c>
      <c r="S327" s="75">
        <v>0</v>
      </c>
      <c r="T327" s="75">
        <f t="shared" si="85"/>
        <v>0</v>
      </c>
      <c r="U327" s="75">
        <f t="shared" si="86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IFERROR(__xludf.DUMMYFUNCTION("IMPORTRANGE(""https://docs.google.com/spreadsheets/d/1-uDff_7J0KD5mKrp0Vvzr7lt3OU09vwQwhkpOPPYv2Y/edit?usp=sharing"",""งบพรบ!EL71"")"),0)</f>
        <v>0</v>
      </c>
      <c r="M328" s="72">
        <f ca="1">IFERROR(__xludf.DUMMYFUNCTION("IMPORTRANGE(""https://docs.google.com/spreadsheets/d/1-uDff_7J0KD5mKrp0Vvzr7lt3OU09vwQwhkpOPPYv2Y/edit?usp=sharing"",""งบพรบ!EO71"")"),0)</f>
        <v>0</v>
      </c>
      <c r="N328" s="72">
        <f ca="1">IFERROR(__xludf.DUMMYFUNCTION("IMPORTRANGE(""https://docs.google.com/spreadsheets/d/1-uDff_7J0KD5mKrp0Vvzr7lt3OU09vwQwhkpOPPYv2Y/edit?usp=sharing"",""งบพรบ!EQ71"")"),0)</f>
        <v>0</v>
      </c>
      <c r="O328" s="72">
        <f t="shared" ca="1" si="83"/>
        <v>0</v>
      </c>
      <c r="P328" s="72">
        <f t="shared" ca="1" si="84"/>
        <v>0</v>
      </c>
      <c r="Q328" s="72">
        <v>0</v>
      </c>
      <c r="R328" s="72">
        <v>0</v>
      </c>
      <c r="S328" s="72">
        <v>0</v>
      </c>
      <c r="T328" s="72">
        <f t="shared" si="85"/>
        <v>0</v>
      </c>
      <c r="U328" s="72">
        <f t="shared" si="86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IFERROR(__xludf.DUMMYFUNCTION("IMPORTRANGE(""https://docs.google.com/spreadsheets/d/1eHaY18a8A9IcSdp1K8H6x8fbOy06t2VsZHhMHf-1x7Y/edit?usp=sharing"",""แผน!EJ71"")"),0)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336800</v>
      </c>
      <c r="M333" s="262">
        <f ca="1">M334+M335</f>
        <v>336800</v>
      </c>
      <c r="N333" s="262">
        <f ca="1">N334+N335</f>
        <v>217584.82</v>
      </c>
      <c r="O333" s="262">
        <f t="shared" ref="O333:O341" ca="1" si="89">IF(L333&gt;0,N333*100/L333,0)</f>
        <v>64.60356888361045</v>
      </c>
      <c r="P333" s="262">
        <f t="shared" ref="P333:P341" ca="1" si="90">IF(M333&gt;0,N333*100/M333,0)</f>
        <v>64.60356888361045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91">IF(Q333&gt;0,S333*100/Q333,0)</f>
        <v>0</v>
      </c>
      <c r="U333" s="262">
        <f t="shared" ref="U333:U341" si="92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3">L337+L340</f>
        <v>0</v>
      </c>
      <c r="M334" s="75">
        <f t="shared" si="93"/>
        <v>0</v>
      </c>
      <c r="N334" s="75">
        <f t="shared" si="93"/>
        <v>0</v>
      </c>
      <c r="O334" s="75">
        <f t="shared" si="89"/>
        <v>0</v>
      </c>
      <c r="P334" s="75">
        <f t="shared" si="90"/>
        <v>0</v>
      </c>
      <c r="Q334" s="75">
        <f t="shared" ref="Q334:S335" si="94">Q337+Q340</f>
        <v>0</v>
      </c>
      <c r="R334" s="75">
        <f t="shared" si="94"/>
        <v>0</v>
      </c>
      <c r="S334" s="75">
        <f t="shared" si="94"/>
        <v>0</v>
      </c>
      <c r="T334" s="75">
        <f t="shared" si="91"/>
        <v>0</v>
      </c>
      <c r="U334" s="75">
        <f t="shared" si="92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3"/>
        <v>336800</v>
      </c>
      <c r="M335" s="72">
        <f t="shared" ca="1" si="93"/>
        <v>336800</v>
      </c>
      <c r="N335" s="72">
        <f t="shared" ca="1" si="93"/>
        <v>217584.82</v>
      </c>
      <c r="O335" s="72">
        <f t="shared" ca="1" si="89"/>
        <v>64.60356888361045</v>
      </c>
      <c r="P335" s="72">
        <f t="shared" ca="1" si="90"/>
        <v>64.60356888361045</v>
      </c>
      <c r="Q335" s="72">
        <f t="shared" si="94"/>
        <v>0</v>
      </c>
      <c r="R335" s="72">
        <f t="shared" si="94"/>
        <v>0</v>
      </c>
      <c r="S335" s="72">
        <f t="shared" si="94"/>
        <v>0</v>
      </c>
      <c r="T335" s="72">
        <f t="shared" si="91"/>
        <v>0</v>
      </c>
      <c r="U335" s="72">
        <f t="shared" si="92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336800</v>
      </c>
      <c r="M336" s="72">
        <f ca="1">M337+M338</f>
        <v>336800</v>
      </c>
      <c r="N336" s="72">
        <f ca="1">N337+N338</f>
        <v>217584.82</v>
      </c>
      <c r="O336" s="72">
        <f t="shared" ca="1" si="89"/>
        <v>64.60356888361045</v>
      </c>
      <c r="P336" s="72">
        <f t="shared" ca="1" si="90"/>
        <v>64.60356888361045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91"/>
        <v>0</v>
      </c>
      <c r="U336" s="72">
        <f t="shared" si="92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9"/>
        <v>0</v>
      </c>
      <c r="P337" s="75">
        <f t="shared" si="90"/>
        <v>0</v>
      </c>
      <c r="Q337" s="75">
        <v>0</v>
      </c>
      <c r="R337" s="75">
        <v>0</v>
      </c>
      <c r="S337" s="75">
        <v>0</v>
      </c>
      <c r="T337" s="75">
        <f t="shared" si="91"/>
        <v>0</v>
      </c>
      <c r="U337" s="75">
        <f t="shared" si="92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IFERROR(__xludf.DUMMYFUNCTION("IMPORTRANGE(""https://docs.google.com/spreadsheets/d/1-uDff_7J0KD5mKrp0Vvzr7lt3OU09vwQwhkpOPPYv2Y/edit?usp=sharing"",""งบพรบ!ES71"")"),336800)</f>
        <v>336800</v>
      </c>
      <c r="M338" s="72">
        <f ca="1">IFERROR(__xludf.DUMMYFUNCTION("IMPORTRANGE(""https://docs.google.com/spreadsheets/d/1-uDff_7J0KD5mKrp0Vvzr7lt3OU09vwQwhkpOPPYv2Y/edit?usp=sharing"",""งบพรบ!EX71"")"),336800)</f>
        <v>336800</v>
      </c>
      <c r="N338" s="72">
        <f ca="1">IFERROR(__xludf.DUMMYFUNCTION("IMPORTRANGE(""https://docs.google.com/spreadsheets/d/1-uDff_7J0KD5mKrp0Vvzr7lt3OU09vwQwhkpOPPYv2Y/edit?usp=sharing"",""งบพรบ!EZ71"")"),217584.82)</f>
        <v>217584.82</v>
      </c>
      <c r="O338" s="72">
        <f t="shared" ca="1" si="89"/>
        <v>64.60356888361045</v>
      </c>
      <c r="P338" s="72">
        <f t="shared" ca="1" si="90"/>
        <v>64.60356888361045</v>
      </c>
      <c r="Q338" s="72">
        <v>0</v>
      </c>
      <c r="R338" s="72">
        <v>0</v>
      </c>
      <c r="S338" s="72">
        <v>0</v>
      </c>
      <c r="T338" s="72">
        <f t="shared" si="91"/>
        <v>0</v>
      </c>
      <c r="U338" s="72">
        <f t="shared" si="92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9"/>
        <v>0</v>
      </c>
      <c r="P339" s="72">
        <f t="shared" ca="1" si="90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91"/>
        <v>0</v>
      </c>
      <c r="U339" s="72">
        <f t="shared" si="92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9"/>
        <v>0</v>
      </c>
      <c r="P340" s="75">
        <f t="shared" si="90"/>
        <v>0</v>
      </c>
      <c r="Q340" s="75">
        <v>0</v>
      </c>
      <c r="R340" s="75">
        <v>0</v>
      </c>
      <c r="S340" s="75">
        <v>0</v>
      </c>
      <c r="T340" s="75">
        <f t="shared" si="91"/>
        <v>0</v>
      </c>
      <c r="U340" s="75">
        <f t="shared" si="92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IFERROR(__xludf.DUMMYFUNCTION("IMPORTRANGE(""https://docs.google.com/spreadsheets/d/1-uDff_7J0KD5mKrp0Vvzr7lt3OU09vwQwhkpOPPYv2Y/edit?usp=sharing"",""งบพรบ!EV71"")"),0)</f>
        <v>0</v>
      </c>
      <c r="M341" s="72">
        <f ca="1">IFERROR(__xludf.DUMMYFUNCTION("IMPORTRANGE(""https://docs.google.com/spreadsheets/d/1-uDff_7J0KD5mKrp0Vvzr7lt3OU09vwQwhkpOPPYv2Y/edit?usp=sharing"",""งบพรบ!EY71"")"),0)</f>
        <v>0</v>
      </c>
      <c r="N341" s="72">
        <f ca="1">IFERROR(__xludf.DUMMYFUNCTION("IMPORTRANGE(""https://docs.google.com/spreadsheets/d/1-uDff_7J0KD5mKrp0Vvzr7lt3OU09vwQwhkpOPPYv2Y/edit?usp=sharing"",""งบพรบ!FA71"")"),0)</f>
        <v>0</v>
      </c>
      <c r="O341" s="72">
        <f t="shared" ca="1" si="89"/>
        <v>0</v>
      </c>
      <c r="P341" s="72">
        <f t="shared" ca="1" si="90"/>
        <v>0</v>
      </c>
      <c r="Q341" s="72">
        <v>0</v>
      </c>
      <c r="R341" s="72">
        <v>0</v>
      </c>
      <c r="S341" s="72">
        <v>0</v>
      </c>
      <c r="T341" s="72">
        <f t="shared" si="91"/>
        <v>0</v>
      </c>
      <c r="U341" s="72">
        <f t="shared" si="92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85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IFERROR(__xludf.DUMMYFUNCTION("IMPORTRANGE(""https://docs.google.com/spreadsheets/d/1eHaY18a8A9IcSdp1K8H6x8fbOy06t2VsZHhMHf-1x7Y/edit?usp=sharing"",""แผน!EK71"")"),40)</f>
        <v>40</v>
      </c>
      <c r="J344" s="291">
        <f ca="1">IFERROR(__xludf.DUMMYFUNCTION("IMPORTRANGE(""https://docs.google.com/spreadsheets/d/1awYsYK3VOup2i3Pq_Yjnu8DRu_mYwSBnCR2QPthd0rU/edit?usp=sharing"",""ศูนย์ยกเว้นโฉนด!D71"")"),68)</f>
        <v>68</v>
      </c>
      <c r="K344" s="72">
        <f ca="1">IF(I344&gt;0,J344*100/I344,0)</f>
        <v>170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IFERROR(__xludf.DUMMYFUNCTION("IMPORTRANGE(""https://docs.google.com/spreadsheets/d/1eHaY18a8A9IcSdp1K8H6x8fbOy06t2VsZHhMHf-1x7Y/edit?usp=sharing"",""แผน!EL71"")"),1)</f>
        <v>1</v>
      </c>
      <c r="J346" s="291">
        <f ca="1">IFERROR(__xludf.DUMMYFUNCTION("IMPORTRANGE(""https://docs.google.com/spreadsheets/d/1awYsYK3VOup2i3Pq_Yjnu8DRu_mYwSBnCR2QPthd0rU/edit?usp=sharing"",""ศูนย์รวม!E71"")"),1)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IFERROR(__xludf.DUMMYFUNCTION("IMPORTRANGE(""https://docs.google.com/spreadsheets/d/1awYsYK3VOup2i3Pq_Yjnu8DRu_mYwSBnCR2QPthd0rU/edit?usp=sharing"",""ศูนย์ยกเว้นโฉนด!F71"")"),14)</f>
        <v>14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IFERROR(__xludf.DUMMYFUNCTION("IMPORTRANGE(""https://docs.google.com/spreadsheets/d/1awYsYK3VOup2i3Pq_Yjnu8DRu_mYwSBnCR2QPthd0rU/edit?usp=sharing"",""ศูนย์ยกเว้นโฉนด!G71"")"),3)</f>
        <v>3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IFERROR(__xludf.DUMMYFUNCTION("IMPORTRANGE(""https://docs.google.com/spreadsheets/d/1awYsYK3VOup2i3Pq_Yjnu8DRu_mYwSBnCR2QPthd0rU/edit?usp=sharing"",""ศูนย์ยกเว้นโฉนด!H71"")"),0)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IFERROR(__xludf.DUMMYFUNCTION("IMPORTRANGE(""https://docs.google.com/spreadsheets/d/1awYsYK3VOup2i3Pq_Yjnu8DRu_mYwSBnCR2QPthd0rU/edit?usp=sharing"",""โฉนดM3!G71"")"),"")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IFERROR(__xludf.DUMMYFUNCTION("IMPORTRANGE(""https://docs.google.com/spreadsheets/d/1awYsYK3VOup2i3Pq_Yjnu8DRu_mYwSBnCR2QPthd0rU/edit?usp=sharing"",""โฉนดM3!H71"")"),"")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IFERROR(__xludf.DUMMYFUNCTION("IMPORTRANGE(""https://docs.google.com/spreadsheets/d/1awYsYK3VOup2i3Pq_Yjnu8DRu_mYwSBnCR2QPthd0rU/edit?usp=sharing"",""โฉนดM3!I71"")"),"")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186970</v>
      </c>
      <c r="M356" s="262">
        <f ca="1">M357+M358</f>
        <v>164985</v>
      </c>
      <c r="N356" s="262">
        <f ca="1">N357+N358</f>
        <v>125137.18</v>
      </c>
      <c r="O356" s="262">
        <f t="shared" ref="O356:O364" ca="1" si="95">IF(L356&gt;0,N356*100/L356,0)</f>
        <v>66.929015350056162</v>
      </c>
      <c r="P356" s="262">
        <f t="shared" ref="P356:P364" ca="1" si="96">IF(M356&gt;0,N356*100/M356,0)</f>
        <v>75.847610388823227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7">IF(Q356&gt;0,S356*100/Q356,0)</f>
        <v>0</v>
      </c>
      <c r="U356" s="262">
        <f t="shared" ref="U356:U364" si="98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9">L360+L363</f>
        <v>0</v>
      </c>
      <c r="M357" s="75">
        <f t="shared" si="99"/>
        <v>0</v>
      </c>
      <c r="N357" s="75">
        <f t="shared" si="99"/>
        <v>0</v>
      </c>
      <c r="O357" s="75">
        <f t="shared" si="95"/>
        <v>0</v>
      </c>
      <c r="P357" s="75">
        <f t="shared" si="96"/>
        <v>0</v>
      </c>
      <c r="Q357" s="75">
        <f t="shared" ref="Q357:S358" si="100">Q360+Q363</f>
        <v>0</v>
      </c>
      <c r="R357" s="75">
        <f t="shared" si="100"/>
        <v>0</v>
      </c>
      <c r="S357" s="75">
        <f t="shared" si="100"/>
        <v>0</v>
      </c>
      <c r="T357" s="75">
        <f t="shared" si="97"/>
        <v>0</v>
      </c>
      <c r="U357" s="75">
        <f t="shared" si="98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9"/>
        <v>186970</v>
      </c>
      <c r="M358" s="72">
        <f t="shared" ca="1" si="99"/>
        <v>164985</v>
      </c>
      <c r="N358" s="72">
        <f t="shared" ca="1" si="99"/>
        <v>125137.18</v>
      </c>
      <c r="O358" s="72">
        <f t="shared" ca="1" si="95"/>
        <v>66.929015350056162</v>
      </c>
      <c r="P358" s="72">
        <f t="shared" ca="1" si="96"/>
        <v>75.847610388823227</v>
      </c>
      <c r="Q358" s="72">
        <f t="shared" si="100"/>
        <v>0</v>
      </c>
      <c r="R358" s="72">
        <f t="shared" si="100"/>
        <v>0</v>
      </c>
      <c r="S358" s="72">
        <f t="shared" si="100"/>
        <v>0</v>
      </c>
      <c r="T358" s="72">
        <f t="shared" si="97"/>
        <v>0</v>
      </c>
      <c r="U358" s="72">
        <f t="shared" si="98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186970</v>
      </c>
      <c r="M359" s="72">
        <f ca="1">M360+M361</f>
        <v>164985</v>
      </c>
      <c r="N359" s="72">
        <f ca="1">N360+N361</f>
        <v>125137.18</v>
      </c>
      <c r="O359" s="72">
        <f t="shared" ca="1" si="95"/>
        <v>66.929015350056162</v>
      </c>
      <c r="P359" s="72">
        <f t="shared" ca="1" si="96"/>
        <v>75.847610388823227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7"/>
        <v>0</v>
      </c>
      <c r="U359" s="72">
        <f t="shared" si="98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5"/>
        <v>0</v>
      </c>
      <c r="P360" s="75">
        <f t="shared" si="96"/>
        <v>0</v>
      </c>
      <c r="Q360" s="75">
        <v>0</v>
      </c>
      <c r="R360" s="75">
        <v>0</v>
      </c>
      <c r="S360" s="75">
        <v>0</v>
      </c>
      <c r="T360" s="75">
        <f t="shared" si="97"/>
        <v>0</v>
      </c>
      <c r="U360" s="75">
        <f t="shared" si="98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IFERROR(__xludf.DUMMYFUNCTION("IMPORTRANGE(""https://docs.google.com/spreadsheets/d/1-uDff_7J0KD5mKrp0Vvzr7lt3OU09vwQwhkpOPPYv2Y/edit?usp=sharing"",""งบพรบ!FC71"")"),186970)</f>
        <v>186970</v>
      </c>
      <c r="M361" s="72">
        <f ca="1">IFERROR(__xludf.DUMMYFUNCTION("IMPORTRANGE(""https://docs.google.com/spreadsheets/d/1-uDff_7J0KD5mKrp0Vvzr7lt3OU09vwQwhkpOPPYv2Y/edit?usp=sharing"",""งบพรบ!FH71"")"),164985)</f>
        <v>164985</v>
      </c>
      <c r="N361" s="72">
        <f ca="1">IFERROR(__xludf.DUMMYFUNCTION("IMPORTRANGE(""https://docs.google.com/spreadsheets/d/1-uDff_7J0KD5mKrp0Vvzr7lt3OU09vwQwhkpOPPYv2Y/edit?usp=sharing"",""งบพรบ!FJ71"")"),125137.18)</f>
        <v>125137.18</v>
      </c>
      <c r="O361" s="72">
        <f t="shared" ca="1" si="95"/>
        <v>66.929015350056162</v>
      </c>
      <c r="P361" s="72">
        <f t="shared" ca="1" si="96"/>
        <v>75.847610388823227</v>
      </c>
      <c r="Q361" s="72">
        <v>0</v>
      </c>
      <c r="R361" s="72">
        <v>0</v>
      </c>
      <c r="S361" s="72">
        <v>0</v>
      </c>
      <c r="T361" s="72">
        <f t="shared" si="97"/>
        <v>0</v>
      </c>
      <c r="U361" s="72">
        <f t="shared" si="98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5"/>
        <v>0</v>
      </c>
      <c r="P362" s="72">
        <f t="shared" ca="1" si="96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7"/>
        <v>0</v>
      </c>
      <c r="U362" s="72">
        <f t="shared" si="98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5"/>
        <v>0</v>
      </c>
      <c r="P363" s="75">
        <f t="shared" si="96"/>
        <v>0</v>
      </c>
      <c r="Q363" s="75">
        <v>0</v>
      </c>
      <c r="R363" s="75">
        <v>0</v>
      </c>
      <c r="S363" s="75">
        <v>0</v>
      </c>
      <c r="T363" s="75">
        <f t="shared" si="97"/>
        <v>0</v>
      </c>
      <c r="U363" s="75">
        <f t="shared" si="98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IFERROR(__xludf.DUMMYFUNCTION("IMPORTRANGE(""https://docs.google.com/spreadsheets/d/1-uDff_7J0KD5mKrp0Vvzr7lt3OU09vwQwhkpOPPYv2Y/edit?usp=sharing"",""งบพรบ!FF71"")"),0)</f>
        <v>0</v>
      </c>
      <c r="M364" s="72">
        <f ca="1">IFERROR(__xludf.DUMMYFUNCTION("IMPORTRANGE(""https://docs.google.com/spreadsheets/d/1-uDff_7J0KD5mKrp0Vvzr7lt3OU09vwQwhkpOPPYv2Y/edit?usp=sharing"",""งบพรบ!FI71"")"),0)</f>
        <v>0</v>
      </c>
      <c r="N364" s="72">
        <f ca="1">IFERROR(__xludf.DUMMYFUNCTION("IMPORTRANGE(""https://docs.google.com/spreadsheets/d/1-uDff_7J0KD5mKrp0Vvzr7lt3OU09vwQwhkpOPPYv2Y/edit?usp=sharing"",""งบพรบ!FK71"")"),0)</f>
        <v>0</v>
      </c>
      <c r="O364" s="72">
        <f t="shared" ca="1" si="95"/>
        <v>0</v>
      </c>
      <c r="P364" s="72">
        <f t="shared" ca="1" si="96"/>
        <v>0</v>
      </c>
      <c r="Q364" s="72">
        <v>0</v>
      </c>
      <c r="R364" s="72">
        <v>0</v>
      </c>
      <c r="S364" s="72">
        <v>0</v>
      </c>
      <c r="T364" s="72">
        <f t="shared" si="97"/>
        <v>0</v>
      </c>
      <c r="U364" s="72">
        <f t="shared" si="98"/>
        <v>0</v>
      </c>
    </row>
    <row r="365" spans="1:21" ht="19.5" hidden="1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IFERROR(__xludf.DUMMYFUNCTION("IMPORTRANGE(""https://docs.google.com/spreadsheets/d/1tdoBKaGub7dwA3U6UFTqxio9LNnvDCQjHKmttSEBsFQ/edit?usp=sharing"",""จัดที่ดิน!AB71"")"),0)</f>
        <v>0</v>
      </c>
      <c r="K367" s="72">
        <f t="shared" ref="K367:K372" si="101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IFERROR(__xludf.DUMMYFUNCTION("IMPORTRANGE(""https://docs.google.com/spreadsheets/d/1eHaY18a8A9IcSdp1K8H6x8fbOy06t2VsZHhMHf-1x7Y/edit?usp=sharing"",""แผน!EW71"")"),0)</f>
        <v>0</v>
      </c>
      <c r="J368" s="879">
        <f ca="1">IFERROR(__xludf.DUMMYFUNCTION("IMPORTRANGE(""https://docs.google.com/spreadsheets/d/1tdoBKaGub7dwA3U6UFTqxio9LNnvDCQjHKmttSEBsFQ/edit?usp=sharing"",""จัดที่ดิน!AC71"")"),0)</f>
        <v>0</v>
      </c>
      <c r="K368" s="72">
        <f t="shared" ca="1" si="101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IFERROR(__xludf.DUMMYFUNCTION("IMPORTRANGE(""https://docs.google.com/spreadsheets/d/1eHaY18a8A9IcSdp1K8H6x8fbOy06t2VsZHhMHf-1x7Y/edit?usp=sharing"",""แผน!EX71"")"),0)</f>
        <v>0</v>
      </c>
      <c r="J369" s="291">
        <f ca="1">IFERROR(__xludf.DUMMYFUNCTION("IMPORTRANGE(""https://docs.google.com/spreadsheets/d/1tdoBKaGub7dwA3U6UFTqxio9LNnvDCQjHKmttSEBsFQ/edit?usp=sharing"",""จัดที่ดิน!AD71"")"),0)</f>
        <v>0</v>
      </c>
      <c r="K369" s="72">
        <f t="shared" ca="1" si="101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IFERROR(__xludf.DUMMYFUNCTION("IMPORTRANGE(""https://docs.google.com/spreadsheets/d/1tdoBKaGub7dwA3U6UFTqxio9LNnvDCQjHKmttSEBsFQ/edit?usp=sharing"",""จัดที่ดิน!AE71"")"),0)</f>
        <v>0</v>
      </c>
      <c r="K370" s="72">
        <f t="shared" si="101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IFERROR(__xludf.DUMMYFUNCTION("IMPORTRANGE(""https://docs.google.com/spreadsheets/d/1eHaY18a8A9IcSdp1K8H6x8fbOy06t2VsZHhMHf-1x7Y/edit?usp=sharing"",""แผน!EY71"")"),0)</f>
        <v>0</v>
      </c>
      <c r="J371" s="291">
        <f ca="1">IFERROR(__xludf.DUMMYFUNCTION("IMPORTRANGE(""https://docs.google.com/spreadsheets/d/1tdoBKaGub7dwA3U6UFTqxio9LNnvDCQjHKmttSEBsFQ/edit?usp=sharing"",""จัดที่ดิน!AF71"")"),0)</f>
        <v>0</v>
      </c>
      <c r="K371" s="72">
        <f t="shared" ca="1" si="101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IFERROR(__xludf.DUMMYFUNCTION("IMPORTRANGE(""https://docs.google.com/spreadsheets/d/1tdoBKaGub7dwA3U6UFTqxio9LNnvDCQjHKmttSEBsFQ/edit?usp=sharing"",""จัดที่ดิน!AG71"")"),0)</f>
        <v>0</v>
      </c>
      <c r="K372" s="72">
        <f t="shared" si="101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2">IF(L375&gt;0,N375*100/L375,0)</f>
        <v>0</v>
      </c>
      <c r="P375" s="262">
        <f t="shared" ref="P375:P383" ca="1" si="103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4">IF(Q375&gt;0,S375*100/Q375,0)</f>
        <v>0</v>
      </c>
      <c r="U375" s="262">
        <f t="shared" ref="U375:U383" ca="1" si="105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6">L379+L382</f>
        <v>0</v>
      </c>
      <c r="M376" s="75">
        <f t="shared" si="106"/>
        <v>0</v>
      </c>
      <c r="N376" s="75">
        <f t="shared" si="106"/>
        <v>0</v>
      </c>
      <c r="O376" s="75">
        <f t="shared" si="102"/>
        <v>0</v>
      </c>
      <c r="P376" s="75">
        <f t="shared" si="103"/>
        <v>0</v>
      </c>
      <c r="Q376" s="75">
        <f t="shared" ref="Q376:S377" si="107">Q379+Q382</f>
        <v>0</v>
      </c>
      <c r="R376" s="75">
        <f t="shared" si="107"/>
        <v>0</v>
      </c>
      <c r="S376" s="75">
        <f t="shared" si="107"/>
        <v>0</v>
      </c>
      <c r="T376" s="75">
        <f t="shared" si="104"/>
        <v>0</v>
      </c>
      <c r="U376" s="75">
        <f t="shared" si="105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6"/>
        <v>0</v>
      </c>
      <c r="M377" s="72">
        <f t="shared" ca="1" si="106"/>
        <v>0</v>
      </c>
      <c r="N377" s="72">
        <f t="shared" ca="1" si="106"/>
        <v>0</v>
      </c>
      <c r="O377" s="72">
        <f t="shared" ca="1" si="102"/>
        <v>0</v>
      </c>
      <c r="P377" s="72">
        <f t="shared" ca="1" si="103"/>
        <v>0</v>
      </c>
      <c r="Q377" s="72">
        <f t="shared" ca="1" si="107"/>
        <v>0</v>
      </c>
      <c r="R377" s="72">
        <f t="shared" ca="1" si="107"/>
        <v>0</v>
      </c>
      <c r="S377" s="72">
        <f t="shared" ca="1" si="107"/>
        <v>0</v>
      </c>
      <c r="T377" s="72">
        <f t="shared" ca="1" si="104"/>
        <v>0</v>
      </c>
      <c r="U377" s="72">
        <f t="shared" ca="1" si="105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2"/>
        <v>0</v>
      </c>
      <c r="P378" s="72">
        <f t="shared" ca="1" si="103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4"/>
        <v>0</v>
      </c>
      <c r="U378" s="72">
        <f t="shared" ca="1" si="105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2"/>
        <v>0</v>
      </c>
      <c r="P379" s="75">
        <f t="shared" si="103"/>
        <v>0</v>
      </c>
      <c r="Q379" s="75">
        <v>0</v>
      </c>
      <c r="R379" s="75">
        <v>0</v>
      </c>
      <c r="S379" s="75">
        <v>0</v>
      </c>
      <c r="T379" s="75">
        <f t="shared" si="104"/>
        <v>0</v>
      </c>
      <c r="U379" s="75">
        <f t="shared" si="105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IFERROR(__xludf.DUMMYFUNCTION("IMPORTRANGE(""https://docs.google.com/spreadsheets/d/1-uDff_7J0KD5mKrp0Vvzr7lt3OU09vwQwhkpOPPYv2Y/edit?usp=sharing"",""งบพรบ!IE71"")"),0)</f>
        <v>0</v>
      </c>
      <c r="M380" s="72">
        <f ca="1">IFERROR(__xludf.DUMMYFUNCTION("IMPORTRANGE(""https://docs.google.com/spreadsheets/d/1-uDff_7J0KD5mKrp0Vvzr7lt3OU09vwQwhkpOPPYv2Y/edit?usp=sharing"",""งบพรบ!IJ71"")"),0)</f>
        <v>0</v>
      </c>
      <c r="N380" s="72">
        <f ca="1">IFERROR(__xludf.DUMMYFUNCTION("IMPORTRANGE(""https://docs.google.com/spreadsheets/d/1-uDff_7J0KD5mKrp0Vvzr7lt3OU09vwQwhkpOPPYv2Y/edit?usp=sharing"",""งบพรบ!IL71"")"),0)</f>
        <v>0</v>
      </c>
      <c r="O380" s="72">
        <f t="shared" ca="1" si="102"/>
        <v>0</v>
      </c>
      <c r="P380" s="72">
        <f t="shared" ca="1" si="103"/>
        <v>0</v>
      </c>
      <c r="Q380" s="72">
        <f ca="1">IFERROR(__xludf.DUMMYFUNCTION("IMPORTRANGE(""https://docs.google.com/spreadsheets/d/1ItG2mGa2ceCfYo0BwxsXqNm01IGEUdYcSSLTEv9YCik/edit?usp=sharing"",""เบิกจ่ายกองทุน!BW71"")"),0)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IFERROR(__xludf.DUMMYFUNCTION("IMPORTRANGE(""https://docs.google.com/spreadsheets/d/1ItG2mGa2ceCfYo0BwxsXqNm01IGEUdYcSSLTEv9YCik/edit?usp=sharing"",""เบิกจ่ายกองทุน!BX71"")"),0)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IFERROR(__xludf.DUMMYFUNCTION("IMPORTRANGE(""https://docs.google.com/spreadsheets/d/1ItG2mGa2ceCfYo0BwxsXqNm01IGEUdYcSSLTEv9YCik/edit?usp=sharing"",""เบิกจ่ายกองทุน!BY71"")"),0)</f>
        <v>0</v>
      </c>
      <c r="T380" s="72">
        <f t="shared" ca="1" si="104"/>
        <v>0</v>
      </c>
      <c r="U380" s="72">
        <f t="shared" ca="1" si="105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2"/>
        <v>0</v>
      </c>
      <c r="P381" s="72">
        <f t="shared" ca="1" si="103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4"/>
        <v>0</v>
      </c>
      <c r="U381" s="72">
        <f t="shared" si="105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2"/>
        <v>0</v>
      </c>
      <c r="P382" s="75">
        <f t="shared" si="103"/>
        <v>0</v>
      </c>
      <c r="Q382" s="75">
        <v>0</v>
      </c>
      <c r="R382" s="75">
        <v>0</v>
      </c>
      <c r="S382" s="75">
        <v>0</v>
      </c>
      <c r="T382" s="75">
        <f t="shared" si="104"/>
        <v>0</v>
      </c>
      <c r="U382" s="75">
        <f t="shared" si="105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IFERROR(__xludf.DUMMYFUNCTION("IMPORTRANGE(""https://docs.google.com/spreadsheets/d/1-uDff_7J0KD5mKrp0Vvzr7lt3OU09vwQwhkpOPPYv2Y/edit?usp=sharing"",""งบพรบ!IH71"")"),0)</f>
        <v>0</v>
      </c>
      <c r="M383" s="72">
        <f ca="1">IFERROR(__xludf.DUMMYFUNCTION("IMPORTRANGE(""https://docs.google.com/spreadsheets/d/1-uDff_7J0KD5mKrp0Vvzr7lt3OU09vwQwhkpOPPYv2Y/edit?usp=sharing"",""งบพรบ!IK71"")"),0)</f>
        <v>0</v>
      </c>
      <c r="N383" s="72">
        <f ca="1">IFERROR(__xludf.DUMMYFUNCTION("IMPORTRANGE(""https://docs.google.com/spreadsheets/d/1-uDff_7J0KD5mKrp0Vvzr7lt3OU09vwQwhkpOPPYv2Y/edit?usp=sharing"",""งบพรบ!IM71"")"),0)</f>
        <v>0</v>
      </c>
      <c r="O383" s="72">
        <f t="shared" ca="1" si="102"/>
        <v>0</v>
      </c>
      <c r="P383" s="72">
        <f t="shared" ca="1" si="103"/>
        <v>0</v>
      </c>
      <c r="Q383" s="72">
        <v>0</v>
      </c>
      <c r="R383" s="72">
        <v>0</v>
      </c>
      <c r="S383" s="72">
        <v>0</v>
      </c>
      <c r="T383" s="72">
        <f t="shared" si="104"/>
        <v>0</v>
      </c>
      <c r="U383" s="72">
        <f t="shared" si="105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IFERROR(__xludf.DUMMYFUNCTION("IMPORTRANGE(""https://docs.google.com/spreadsheets/d/1eHaY18a8A9IcSdp1K8H6x8fbOy06t2VsZHhMHf-1x7Y/edit?usp=sharing"",""แผน!JQ71"")"),0)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IFERROR(__xludf.DUMMYFUNCTION("IMPORTRANGE(""https://docs.google.com/spreadsheets/d/1eHaY18a8A9IcSdp1K8H6x8fbOy06t2VsZHhMHf-1x7Y/edit?usp=sharing"",""แผน!JQ71"")"),0)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8">IF(L392&gt;0,N392*100/L392,0)</f>
        <v>0</v>
      </c>
      <c r="P392" s="262">
        <f t="shared" ref="P392:P400" si="109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10">IF(Q392&gt;0,S392*100/Q392,0)</f>
        <v>0</v>
      </c>
      <c r="U392" s="262">
        <f t="shared" ref="U392:U400" ca="1" si="111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2">L396+L399</f>
        <v>0</v>
      </c>
      <c r="M393" s="75">
        <f t="shared" si="112"/>
        <v>0</v>
      </c>
      <c r="N393" s="75">
        <f t="shared" si="112"/>
        <v>0</v>
      </c>
      <c r="O393" s="75">
        <f t="shared" si="108"/>
        <v>0</v>
      </c>
      <c r="P393" s="75">
        <f t="shared" si="109"/>
        <v>0</v>
      </c>
      <c r="Q393" s="75">
        <f t="shared" ref="Q393:S394" si="113">Q396+Q399</f>
        <v>0</v>
      </c>
      <c r="R393" s="75">
        <f t="shared" si="113"/>
        <v>0</v>
      </c>
      <c r="S393" s="75">
        <f t="shared" si="113"/>
        <v>0</v>
      </c>
      <c r="T393" s="75">
        <f t="shared" si="110"/>
        <v>0</v>
      </c>
      <c r="U393" s="75">
        <f t="shared" si="111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2"/>
        <v>0</v>
      </c>
      <c r="M394" s="72">
        <f t="shared" si="112"/>
        <v>0</v>
      </c>
      <c r="N394" s="72">
        <f t="shared" si="112"/>
        <v>0</v>
      </c>
      <c r="O394" s="72">
        <f t="shared" si="108"/>
        <v>0</v>
      </c>
      <c r="P394" s="72">
        <f t="shared" si="109"/>
        <v>0</v>
      </c>
      <c r="Q394" s="72">
        <f t="shared" ca="1" si="113"/>
        <v>0</v>
      </c>
      <c r="R394" s="72">
        <f t="shared" ca="1" si="113"/>
        <v>0</v>
      </c>
      <c r="S394" s="72">
        <f t="shared" ca="1" si="113"/>
        <v>0</v>
      </c>
      <c r="T394" s="72">
        <f t="shared" ca="1" si="110"/>
        <v>0</v>
      </c>
      <c r="U394" s="72">
        <f t="shared" ca="1" si="111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8"/>
        <v>0</v>
      </c>
      <c r="P395" s="72">
        <f t="shared" si="109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10"/>
        <v>0</v>
      </c>
      <c r="U395" s="72">
        <f t="shared" ca="1" si="111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8"/>
        <v>0</v>
      </c>
      <c r="P396" s="75">
        <f t="shared" si="109"/>
        <v>0</v>
      </c>
      <c r="Q396" s="75">
        <v>0</v>
      </c>
      <c r="R396" s="75">
        <v>0</v>
      </c>
      <c r="S396" s="75">
        <v>0</v>
      </c>
      <c r="T396" s="75">
        <f t="shared" si="110"/>
        <v>0</v>
      </c>
      <c r="U396" s="75">
        <f t="shared" si="111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8"/>
        <v>0</v>
      </c>
      <c r="P397" s="72">
        <f t="shared" si="109"/>
        <v>0</v>
      </c>
      <c r="Q397" s="72">
        <f ca="1">IFERROR(__xludf.DUMMYFUNCTION("IMPORTRANGE(""https://docs.google.com/spreadsheets/d/1ItG2mGa2ceCfYo0BwxsXqNm01IGEUdYcSSLTEv9YCik/edit?usp=sharing"",""เบิกจ่ายกองทุน!CL71"")"),0)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IFERROR(__xludf.DUMMYFUNCTION("IMPORTRANGE(""https://docs.google.com/spreadsheets/d/1ItG2mGa2ceCfYo0BwxsXqNm01IGEUdYcSSLTEv9YCik/edit?usp=sharing"",""เบิกจ่ายกองทุน!CM71"")"),0)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IFERROR(__xludf.DUMMYFUNCTION("IMPORTRANGE(""https://docs.google.com/spreadsheets/d/1ItG2mGa2ceCfYo0BwxsXqNm01IGEUdYcSSLTEv9YCik/edit?usp=sharing"",""เบิกจ่ายกองทุน!CN71"")"),0)</f>
        <v>0</v>
      </c>
      <c r="T397" s="72">
        <f t="shared" ca="1" si="110"/>
        <v>0</v>
      </c>
      <c r="U397" s="72">
        <f t="shared" ca="1" si="111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8"/>
        <v>0</v>
      </c>
      <c r="P398" s="72">
        <f t="shared" si="109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10"/>
        <v>0</v>
      </c>
      <c r="U398" s="72">
        <f t="shared" si="111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8"/>
        <v>0</v>
      </c>
      <c r="P399" s="75">
        <f t="shared" si="109"/>
        <v>0</v>
      </c>
      <c r="Q399" s="75">
        <v>0</v>
      </c>
      <c r="R399" s="75">
        <v>0</v>
      </c>
      <c r="S399" s="75">
        <v>0</v>
      </c>
      <c r="T399" s="75">
        <f t="shared" si="110"/>
        <v>0</v>
      </c>
      <c r="U399" s="75">
        <f t="shared" si="111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8"/>
        <v>0</v>
      </c>
      <c r="P400" s="72">
        <f t="shared" si="109"/>
        <v>0</v>
      </c>
      <c r="Q400" s="72">
        <v>0</v>
      </c>
      <c r="R400" s="72">
        <v>0</v>
      </c>
      <c r="S400" s="72">
        <v>0</v>
      </c>
      <c r="T400" s="72">
        <f t="shared" si="110"/>
        <v>0</v>
      </c>
      <c r="U400" s="72">
        <f t="shared" si="111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4">IF(L413&gt;0,N413*100/L413,0)</f>
        <v>0</v>
      </c>
      <c r="P413" s="262">
        <f t="shared" ref="P413:P421" ca="1" si="115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6">IF(Q413&gt;0,S413*100/Q413,0)</f>
        <v>0</v>
      </c>
      <c r="U413" s="262">
        <f t="shared" ref="U413:U421" ca="1" si="117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8">L417+L420</f>
        <v>0</v>
      </c>
      <c r="M414" s="75">
        <f t="shared" si="118"/>
        <v>0</v>
      </c>
      <c r="N414" s="75">
        <f t="shared" si="118"/>
        <v>0</v>
      </c>
      <c r="O414" s="75">
        <f t="shared" si="114"/>
        <v>0</v>
      </c>
      <c r="P414" s="75">
        <f t="shared" si="115"/>
        <v>0</v>
      </c>
      <c r="Q414" s="75">
        <f t="shared" ref="Q414:S415" si="119">Q417+Q420</f>
        <v>0</v>
      </c>
      <c r="R414" s="75">
        <f t="shared" si="119"/>
        <v>0</v>
      </c>
      <c r="S414" s="75">
        <f t="shared" si="119"/>
        <v>0</v>
      </c>
      <c r="T414" s="75">
        <f t="shared" si="116"/>
        <v>0</v>
      </c>
      <c r="U414" s="75">
        <f t="shared" si="117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8"/>
        <v>0</v>
      </c>
      <c r="M415" s="72">
        <f t="shared" ca="1" si="118"/>
        <v>0</v>
      </c>
      <c r="N415" s="72">
        <f t="shared" ca="1" si="118"/>
        <v>0</v>
      </c>
      <c r="O415" s="72">
        <f t="shared" ca="1" si="114"/>
        <v>0</v>
      </c>
      <c r="P415" s="72">
        <f t="shared" ca="1" si="115"/>
        <v>0</v>
      </c>
      <c r="Q415" s="72">
        <f t="shared" ca="1" si="119"/>
        <v>0</v>
      </c>
      <c r="R415" s="72">
        <f t="shared" ca="1" si="119"/>
        <v>0</v>
      </c>
      <c r="S415" s="72">
        <f t="shared" ca="1" si="119"/>
        <v>0</v>
      </c>
      <c r="T415" s="72">
        <f t="shared" ca="1" si="116"/>
        <v>0</v>
      </c>
      <c r="U415" s="72">
        <f t="shared" ca="1" si="117"/>
        <v>0</v>
      </c>
    </row>
    <row r="416" spans="1:21" ht="19.5" hidden="1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4"/>
        <v>0</v>
      </c>
      <c r="P416" s="72">
        <f t="shared" ca="1" si="115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6"/>
        <v>0</v>
      </c>
      <c r="U416" s="72">
        <f t="shared" ca="1" si="117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4"/>
        <v>0</v>
      </c>
      <c r="P417" s="75">
        <f t="shared" si="115"/>
        <v>0</v>
      </c>
      <c r="Q417" s="75">
        <v>0</v>
      </c>
      <c r="R417" s="75">
        <v>0</v>
      </c>
      <c r="S417" s="75">
        <v>0</v>
      </c>
      <c r="T417" s="75">
        <f t="shared" si="116"/>
        <v>0</v>
      </c>
      <c r="U417" s="75">
        <f t="shared" si="117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IFERROR(__xludf.DUMMYFUNCTION("IMPORTRANGE(""https://docs.google.com/spreadsheets/d/1-uDff_7J0KD5mKrp0Vvzr7lt3OU09vwQwhkpOPPYv2Y/edit?usp=sharing"",""งบพรบ!IO71"")"),0)</f>
        <v>0</v>
      </c>
      <c r="M418" s="72">
        <f ca="1">IFERROR(__xludf.DUMMYFUNCTION("IMPORTRANGE(""https://docs.google.com/spreadsheets/d/1-uDff_7J0KD5mKrp0Vvzr7lt3OU09vwQwhkpOPPYv2Y/edit?usp=sharing"",""งบพรบ!IT71"")"),0)</f>
        <v>0</v>
      </c>
      <c r="N418" s="72">
        <f ca="1">IFERROR(__xludf.DUMMYFUNCTION("IMPORTRANGE(""https://docs.google.com/spreadsheets/d/1-uDff_7J0KD5mKrp0Vvzr7lt3OU09vwQwhkpOPPYv2Y/edit?usp=sharing"",""งบพรบ!IV71"")"),0)</f>
        <v>0</v>
      </c>
      <c r="O418" s="72">
        <f t="shared" ca="1" si="114"/>
        <v>0</v>
      </c>
      <c r="P418" s="72">
        <f t="shared" ca="1" si="115"/>
        <v>0</v>
      </c>
      <c r="Q418" s="72">
        <f ca="1">IFERROR(__xludf.DUMMYFUNCTION("IMPORTRANGE(""https://docs.google.com/spreadsheets/d/1ItG2mGa2ceCfYo0BwxsXqNm01IGEUdYcSSLTEv9YCik/edit?usp=sharing"",""เบิกจ่ายกองทุน!BZ71"")"),0)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IFERROR(__xludf.DUMMYFUNCTION("IMPORTRANGE(""https://docs.google.com/spreadsheets/d/1ItG2mGa2ceCfYo0BwxsXqNm01IGEUdYcSSLTEv9YCik/edit?usp=sharing"",""เบิกจ่ายกองทุน!CA71"")"),0)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IFERROR(__xludf.DUMMYFUNCTION("IMPORTRANGE(""https://docs.google.com/spreadsheets/d/1ItG2mGa2ceCfYo0BwxsXqNm01IGEUdYcSSLTEv9YCik/edit?usp=sharing"",""เบิกจ่ายกองทุน!CB71"")"),0)</f>
        <v>0</v>
      </c>
      <c r="T418" s="72">
        <f t="shared" ca="1" si="116"/>
        <v>0</v>
      </c>
      <c r="U418" s="72">
        <f t="shared" ca="1" si="117"/>
        <v>0</v>
      </c>
    </row>
    <row r="419" spans="1:21" ht="19.5" hidden="1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4"/>
        <v>0</v>
      </c>
      <c r="P419" s="72">
        <f t="shared" ca="1" si="115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6"/>
        <v>0</v>
      </c>
      <c r="U419" s="72">
        <f t="shared" si="117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4"/>
        <v>0</v>
      </c>
      <c r="P420" s="75">
        <f t="shared" si="115"/>
        <v>0</v>
      </c>
      <c r="Q420" s="75">
        <v>0</v>
      </c>
      <c r="R420" s="75">
        <v>0</v>
      </c>
      <c r="S420" s="75">
        <v>0</v>
      </c>
      <c r="T420" s="75">
        <f t="shared" si="116"/>
        <v>0</v>
      </c>
      <c r="U420" s="75">
        <f t="shared" si="117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IFERROR(__xludf.DUMMYFUNCTION("IMPORTRANGE(""https://docs.google.com/spreadsheets/d/1-uDff_7J0KD5mKrp0Vvzr7lt3OU09vwQwhkpOPPYv2Y/edit?usp=sharing"",""งบพรบ!IR71"")"),0)</f>
        <v>0</v>
      </c>
      <c r="M421" s="72">
        <f ca="1">IFERROR(__xludf.DUMMYFUNCTION("IMPORTRANGE(""https://docs.google.com/spreadsheets/d/1-uDff_7J0KD5mKrp0Vvzr7lt3OU09vwQwhkpOPPYv2Y/edit?usp=sharing"",""งบพรบ!IU71"")"),0)</f>
        <v>0</v>
      </c>
      <c r="N421" s="72">
        <f ca="1">IFERROR(__xludf.DUMMYFUNCTION("IMPORTRANGE(""https://docs.google.com/spreadsheets/d/1-uDff_7J0KD5mKrp0Vvzr7lt3OU09vwQwhkpOPPYv2Y/edit?usp=sharing"",""งบพรบ!IW71"")"),0)</f>
        <v>0</v>
      </c>
      <c r="O421" s="72">
        <f t="shared" ca="1" si="114"/>
        <v>0</v>
      </c>
      <c r="P421" s="72">
        <f t="shared" ca="1" si="115"/>
        <v>0</v>
      </c>
      <c r="Q421" s="72">
        <v>0</v>
      </c>
      <c r="R421" s="72">
        <v>0</v>
      </c>
      <c r="S421" s="72">
        <v>0</v>
      </c>
      <c r="T421" s="72">
        <f t="shared" si="116"/>
        <v>0</v>
      </c>
      <c r="U421" s="72">
        <f t="shared" si="117"/>
        <v>0</v>
      </c>
    </row>
    <row r="422" spans="1:21" ht="19.5" hidden="1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IFERROR(__xludf.DUMMYFUNCTION("IMPORTRANGE(""https://docs.google.com/spreadsheets/d/1eHaY18a8A9IcSdp1K8H6x8fbOy06t2VsZHhMHf-1x7Y/edit?usp=sharing"",""แผน!HJ71"")"),0)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IFERROR(__xludf.DUMMYFUNCTION("IMPORTRANGE(""https://docs.google.com/spreadsheets/d/1eHaY18a8A9IcSdp1K8H6x8fbOy06t2VsZHhMHf-1x7Y/edit?usp=sharing"",""แผน!HK71"")"),0)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IFERROR(__xludf.DUMMYFUNCTION("IMPORTRANGE(""https://docs.google.com/spreadsheets/d/1eHaY18a8A9IcSdp1K8H6x8fbOy06t2VsZHhMHf-1x7Y/edit?usp=sharing"",""แผน!HJ71"")"),0)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IFERROR(__xludf.DUMMYFUNCTION("IMPORTRANGE(""https://docs.google.com/spreadsheets/d/1eHaY18a8A9IcSdp1K8H6x8fbOy06t2VsZHhMHf-1x7Y/edit?usp=sharing"",""แผน!HK71"")"),0)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IFERROR(__xludf.DUMMYFUNCTION("IMPORTRANGE(""https://docs.google.com/spreadsheets/d/1eHaY18a8A9IcSdp1K8H6x8fbOy06t2VsZHhMHf-1x7Y/edit?usp=sharing"",""แผน!HJ71"")"),0)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IFERROR(__xludf.DUMMYFUNCTION("IMPORTRANGE(""https://docs.google.com/spreadsheets/d/1eHaY18a8A9IcSdp1K8H6x8fbOy06t2VsZHhMHf-1x7Y/edit?usp=sharing"",""แผน!HK71"")"),0)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0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IFERROR(__xludf.DUMMYFUNCTION("IMPORTRANGE(""https://docs.google.com/spreadsheets/d/1eHaY18a8A9IcSdp1K8H6x8fbOy06t2VsZHhMHf-1x7Y/edit?usp=sharing"",""แผน!HL71"")"),0)</f>
        <v>0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IFERROR(__xludf.DUMMYFUNCTION("IMPORTRANGE(""https://docs.google.com/spreadsheets/d/1eHaY18a8A9IcSdp1K8H6x8fbOy06t2VsZHhMHf-1x7Y/edit?usp=sharing"",""แผน!HM71"")"),0)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20">IF(L493&gt;0,N493*100/L493,0)</f>
        <v>0</v>
      </c>
      <c r="P493" s="262">
        <f t="shared" ref="P493:P501" ca="1" si="121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2">IF(Q493&gt;0,S493*100/Q493,0)</f>
        <v>0</v>
      </c>
      <c r="U493" s="262">
        <f t="shared" ref="U493:U501" ca="1" si="123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4">L497+L500</f>
        <v>0</v>
      </c>
      <c r="M494" s="75">
        <f t="shared" si="124"/>
        <v>0</v>
      </c>
      <c r="N494" s="75">
        <f t="shared" si="124"/>
        <v>0</v>
      </c>
      <c r="O494" s="75">
        <f t="shared" si="120"/>
        <v>0</v>
      </c>
      <c r="P494" s="75">
        <f t="shared" si="121"/>
        <v>0</v>
      </c>
      <c r="Q494" s="75">
        <f t="shared" ref="Q494:S495" si="125">Q497+Q500</f>
        <v>0</v>
      </c>
      <c r="R494" s="75">
        <f t="shared" si="125"/>
        <v>0</v>
      </c>
      <c r="S494" s="75">
        <f t="shared" si="125"/>
        <v>0</v>
      </c>
      <c r="T494" s="75">
        <f t="shared" si="122"/>
        <v>0</v>
      </c>
      <c r="U494" s="75">
        <f t="shared" si="123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4"/>
        <v>0</v>
      </c>
      <c r="M495" s="72">
        <f t="shared" ca="1" si="124"/>
        <v>0</v>
      </c>
      <c r="N495" s="72">
        <f t="shared" ca="1" si="124"/>
        <v>0</v>
      </c>
      <c r="O495" s="72">
        <f t="shared" ca="1" si="120"/>
        <v>0</v>
      </c>
      <c r="P495" s="72">
        <f t="shared" ca="1" si="121"/>
        <v>0</v>
      </c>
      <c r="Q495" s="72">
        <f t="shared" ca="1" si="125"/>
        <v>0</v>
      </c>
      <c r="R495" s="72">
        <f t="shared" ca="1" si="125"/>
        <v>0</v>
      </c>
      <c r="S495" s="72">
        <f t="shared" ca="1" si="125"/>
        <v>0</v>
      </c>
      <c r="T495" s="72">
        <f t="shared" ca="1" si="122"/>
        <v>0</v>
      </c>
      <c r="U495" s="72">
        <f t="shared" ca="1" si="123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20"/>
        <v>0</v>
      </c>
      <c r="P496" s="72">
        <f t="shared" ca="1" si="121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2"/>
        <v>0</v>
      </c>
      <c r="U496" s="72">
        <f t="shared" ca="1" si="123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20"/>
        <v>0</v>
      </c>
      <c r="P497" s="75">
        <f t="shared" si="121"/>
        <v>0</v>
      </c>
      <c r="Q497" s="75">
        <v>0</v>
      </c>
      <c r="R497" s="75">
        <v>0</v>
      </c>
      <c r="S497" s="75">
        <v>0</v>
      </c>
      <c r="T497" s="75">
        <f t="shared" si="122"/>
        <v>0</v>
      </c>
      <c r="U497" s="75">
        <f t="shared" si="123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IFERROR(__xludf.DUMMYFUNCTION("IMPORTRANGE(""https://docs.google.com/spreadsheets/d/1-uDff_7J0KD5mKrp0Vvzr7lt3OU09vwQwhkpOPPYv2Y/edit?usp=sharing"",""งบพรบ!HU71"")"),0)</f>
        <v>0</v>
      </c>
      <c r="M498" s="72">
        <f ca="1">IFERROR(__xludf.DUMMYFUNCTION("IMPORTRANGE(""https://docs.google.com/spreadsheets/d/1-uDff_7J0KD5mKrp0Vvzr7lt3OU09vwQwhkpOPPYv2Y/edit?usp=sharing"",""งบพรบ!HZ71"")"),0)</f>
        <v>0</v>
      </c>
      <c r="N498" s="72">
        <f ca="1">IFERROR(__xludf.DUMMYFUNCTION("IMPORTRANGE(""https://docs.google.com/spreadsheets/d/1-uDff_7J0KD5mKrp0Vvzr7lt3OU09vwQwhkpOPPYv2Y/edit?usp=sharing"",""งบพรบ!IB71"")"),0)</f>
        <v>0</v>
      </c>
      <c r="O498" s="72">
        <f t="shared" ca="1" si="120"/>
        <v>0</v>
      </c>
      <c r="P498" s="72">
        <f t="shared" ca="1" si="121"/>
        <v>0</v>
      </c>
      <c r="Q498" s="72">
        <f ca="1">IFERROR(__xludf.DUMMYFUNCTION("IMPORTRANGE(""https://docs.google.com/spreadsheets/d/1ItG2mGa2ceCfYo0BwxsXqNm01IGEUdYcSSLTEv9YCik/edit?usp=sharing"",""เบิกจ่ายกองทุน!AD71"")"),0)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IFERROR(__xludf.DUMMYFUNCTION("IMPORTRANGE(""https://docs.google.com/spreadsheets/d/1ItG2mGa2ceCfYo0BwxsXqNm01IGEUdYcSSLTEv9YCik/edit?usp=sharing"",""เบิกจ่ายกองทุน!AE71"")"),0)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IFERROR(__xludf.DUMMYFUNCTION("IMPORTRANGE(""https://docs.google.com/spreadsheets/d/1ItG2mGa2ceCfYo0BwxsXqNm01IGEUdYcSSLTEv9YCik/edit?usp=sharing"",""เบิกจ่ายกองทุน!AF71"")"),0)</f>
        <v>0</v>
      </c>
      <c r="T498" s="72">
        <f t="shared" ca="1" si="122"/>
        <v>0</v>
      </c>
      <c r="U498" s="72">
        <f t="shared" ca="1" si="123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20"/>
        <v>0</v>
      </c>
      <c r="P499" s="72">
        <f t="shared" ca="1" si="121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2"/>
        <v>0</v>
      </c>
      <c r="U499" s="72">
        <f t="shared" si="123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20"/>
        <v>0</v>
      </c>
      <c r="P500" s="75">
        <f t="shared" si="121"/>
        <v>0</v>
      </c>
      <c r="Q500" s="75">
        <v>0</v>
      </c>
      <c r="R500" s="75">
        <v>0</v>
      </c>
      <c r="S500" s="75">
        <v>0</v>
      </c>
      <c r="T500" s="75">
        <f t="shared" si="122"/>
        <v>0</v>
      </c>
      <c r="U500" s="75">
        <f t="shared" si="123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IFERROR(__xludf.DUMMYFUNCTION("IMPORTRANGE(""https://docs.google.com/spreadsheets/d/1-uDff_7J0KD5mKrp0Vvzr7lt3OU09vwQwhkpOPPYv2Y/edit?usp=sharing"",""งบพรบ!HX71"")"),0)</f>
        <v>0</v>
      </c>
      <c r="M501" s="72">
        <f ca="1">IFERROR(__xludf.DUMMYFUNCTION("IMPORTRANGE(""https://docs.google.com/spreadsheets/d/1-uDff_7J0KD5mKrp0Vvzr7lt3OU09vwQwhkpOPPYv2Y/edit?usp=sharing"",""งบพรบ!IA71"")"),0)</f>
        <v>0</v>
      </c>
      <c r="N501" s="72">
        <f ca="1">IFERROR(__xludf.DUMMYFUNCTION("IMPORTRANGE(""https://docs.google.com/spreadsheets/d/1-uDff_7J0KD5mKrp0Vvzr7lt3OU09vwQwhkpOPPYv2Y/edit?usp=sharing"",""งบพรบ!IC71"")"),0)</f>
        <v>0</v>
      </c>
      <c r="O501" s="72">
        <f t="shared" ca="1" si="120"/>
        <v>0</v>
      </c>
      <c r="P501" s="72">
        <f t="shared" ca="1" si="121"/>
        <v>0</v>
      </c>
      <c r="Q501" s="72">
        <v>0</v>
      </c>
      <c r="R501" s="72">
        <v>0</v>
      </c>
      <c r="S501" s="72">
        <v>0</v>
      </c>
      <c r="T501" s="72">
        <f t="shared" si="122"/>
        <v>0</v>
      </c>
      <c r="U501" s="72">
        <f t="shared" si="123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IFERROR(__xludf.DUMMYFUNCTION("IMPORTRANGE(""https://docs.google.com/spreadsheets/d/1eHaY18a8A9IcSdp1K8H6x8fbOy06t2VsZHhMHf-1x7Y/edit?usp=sharing"",""แผน!GX71"")"),0)</f>
        <v>0</v>
      </c>
      <c r="J503" s="601">
        <f ca="1">IF(AND(J504=I504,J505=I505,J506=I506,J507=I507),I503,0)</f>
        <v>0</v>
      </c>
      <c r="K503" s="262">
        <f t="shared" ref="K503:K509" ca="1" si="126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IFERROR(__xludf.DUMMYFUNCTION("IMPORTRANGE(""https://docs.google.com/spreadsheets/d/1eHaY18a8A9IcSdp1K8H6x8fbOy06t2VsZHhMHf-1x7Y/edit?usp=sharing"",""แผน!GY71"")"),0)</f>
        <v>0</v>
      </c>
      <c r="J504" s="292">
        <v>0</v>
      </c>
      <c r="K504" s="72">
        <f t="shared" ca="1" si="126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IFERROR(__xludf.DUMMYFUNCTION("IMPORTRANGE(""https://docs.google.com/spreadsheets/d/1eHaY18a8A9IcSdp1K8H6x8fbOy06t2VsZHhMHf-1x7Y/edit?usp=sharing"",""แผน!GZ71"")"),0)</f>
        <v>0</v>
      </c>
      <c r="J505" s="292">
        <v>0</v>
      </c>
      <c r="K505" s="72">
        <f t="shared" ca="1" si="126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IFERROR(__xludf.DUMMYFUNCTION("IMPORTRANGE(""https://docs.google.com/spreadsheets/d/1eHaY18a8A9IcSdp1K8H6x8fbOy06t2VsZHhMHf-1x7Y/edit?usp=sharing"",""แผน!HA71"")"),0)</f>
        <v>0</v>
      </c>
      <c r="J506" s="292">
        <v>0</v>
      </c>
      <c r="K506" s="72">
        <f t="shared" ca="1" si="126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IFERROR(__xludf.DUMMYFUNCTION("IMPORTRANGE(""https://docs.google.com/spreadsheets/d/1eHaY18a8A9IcSdp1K8H6x8fbOy06t2VsZHhMHf-1x7Y/edit?usp=sharing"",""แผน!HB71"")"),0)</f>
        <v>0</v>
      </c>
      <c r="J507" s="292">
        <v>0</v>
      </c>
      <c r="K507" s="72">
        <f t="shared" ca="1" si="126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6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IFERROR(__xludf.DUMMYFUNCTION("IMPORTRANGE(""https://docs.google.com/spreadsheets/d/1eHaY18a8A9IcSdp1K8H6x8fbOy06t2VsZHhMHf-1x7Y/edit?usp=sharing"",""แผน!HC71"")"),0)</f>
        <v>0</v>
      </c>
      <c r="J509" s="739">
        <v>0</v>
      </c>
      <c r="K509" s="181">
        <f t="shared" ca="1" si="126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7">IF(L513&gt;0,N513*100/L513,0)</f>
        <v>0</v>
      </c>
      <c r="P513" s="262">
        <f t="shared" ref="P513:P521" ca="1" si="128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9">IF(Q513&gt;0,S513*100/Q513,0)</f>
        <v>0</v>
      </c>
      <c r="U513" s="262">
        <f t="shared" ref="U513:U521" si="130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31">L517+L520</f>
        <v>0</v>
      </c>
      <c r="M514" s="75">
        <f t="shared" si="131"/>
        <v>0</v>
      </c>
      <c r="N514" s="75">
        <f t="shared" si="131"/>
        <v>0</v>
      </c>
      <c r="O514" s="75">
        <f t="shared" si="127"/>
        <v>0</v>
      </c>
      <c r="P514" s="75">
        <f t="shared" si="128"/>
        <v>0</v>
      </c>
      <c r="Q514" s="75">
        <f t="shared" ref="Q514:S515" si="132">Q517+Q520</f>
        <v>0</v>
      </c>
      <c r="R514" s="75">
        <f t="shared" si="132"/>
        <v>0</v>
      </c>
      <c r="S514" s="75">
        <f t="shared" si="132"/>
        <v>0</v>
      </c>
      <c r="T514" s="75">
        <f t="shared" si="129"/>
        <v>0</v>
      </c>
      <c r="U514" s="75">
        <f t="shared" si="130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31"/>
        <v>0</v>
      </c>
      <c r="M515" s="72">
        <f t="shared" ca="1" si="131"/>
        <v>0</v>
      </c>
      <c r="N515" s="72">
        <f t="shared" ca="1" si="131"/>
        <v>0</v>
      </c>
      <c r="O515" s="72">
        <f t="shared" ca="1" si="127"/>
        <v>0</v>
      </c>
      <c r="P515" s="72">
        <f t="shared" ca="1" si="128"/>
        <v>0</v>
      </c>
      <c r="Q515" s="72">
        <f t="shared" si="132"/>
        <v>0</v>
      </c>
      <c r="R515" s="72">
        <f t="shared" si="132"/>
        <v>0</v>
      </c>
      <c r="S515" s="72">
        <f t="shared" si="132"/>
        <v>0</v>
      </c>
      <c r="T515" s="72">
        <f t="shared" si="129"/>
        <v>0</v>
      </c>
      <c r="U515" s="72">
        <f t="shared" si="130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7"/>
        <v>0</v>
      </c>
      <c r="P516" s="72">
        <f t="shared" ca="1" si="128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9"/>
        <v>0</v>
      </c>
      <c r="U516" s="72">
        <f t="shared" si="130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7"/>
        <v>0</v>
      </c>
      <c r="P517" s="75">
        <f t="shared" si="128"/>
        <v>0</v>
      </c>
      <c r="Q517" s="75">
        <v>0</v>
      </c>
      <c r="R517" s="75">
        <v>0</v>
      </c>
      <c r="S517" s="75">
        <v>0</v>
      </c>
      <c r="T517" s="75">
        <f t="shared" si="129"/>
        <v>0</v>
      </c>
      <c r="U517" s="75">
        <f t="shared" si="130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IFERROR(__xludf.DUMMYFUNCTION("IMPORTRANGE(""https://docs.google.com/spreadsheets/d/1-uDff_7J0KD5mKrp0Vvzr7lt3OU09vwQwhkpOPPYv2Y/edit?usp=sharing"",""งบพรบ!FM71"")"),0)</f>
        <v>0</v>
      </c>
      <c r="M518" s="72">
        <f ca="1">IFERROR(__xludf.DUMMYFUNCTION("IMPORTRANGE(""https://docs.google.com/spreadsheets/d/1-uDff_7J0KD5mKrp0Vvzr7lt3OU09vwQwhkpOPPYv2Y/edit?usp=sharing"",""งบพรบ!FR71"")"),0)</f>
        <v>0</v>
      </c>
      <c r="N518" s="72">
        <f ca="1">IFERROR(__xludf.DUMMYFUNCTION("IMPORTRANGE(""https://docs.google.com/spreadsheets/d/1-uDff_7J0KD5mKrp0Vvzr7lt3OU09vwQwhkpOPPYv2Y/edit?usp=sharing"",""งบพรบ!FT71"")"),0)</f>
        <v>0</v>
      </c>
      <c r="O518" s="72">
        <f t="shared" ca="1" si="127"/>
        <v>0</v>
      </c>
      <c r="P518" s="72">
        <f t="shared" ca="1" si="128"/>
        <v>0</v>
      </c>
      <c r="Q518" s="72">
        <v>0</v>
      </c>
      <c r="R518" s="72">
        <v>0</v>
      </c>
      <c r="S518" s="72">
        <v>0</v>
      </c>
      <c r="T518" s="72">
        <f t="shared" si="129"/>
        <v>0</v>
      </c>
      <c r="U518" s="72">
        <f t="shared" si="130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7"/>
        <v>0</v>
      </c>
      <c r="P519" s="72">
        <f t="shared" ca="1" si="128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9"/>
        <v>0</v>
      </c>
      <c r="U519" s="72">
        <f t="shared" si="130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7"/>
        <v>0</v>
      </c>
      <c r="P520" s="75">
        <f t="shared" si="128"/>
        <v>0</v>
      </c>
      <c r="Q520" s="75">
        <v>0</v>
      </c>
      <c r="R520" s="75">
        <v>0</v>
      </c>
      <c r="S520" s="75">
        <v>0</v>
      </c>
      <c r="T520" s="75">
        <f t="shared" si="129"/>
        <v>0</v>
      </c>
      <c r="U520" s="75">
        <f t="shared" si="130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IFERROR(__xludf.DUMMYFUNCTION("IMPORTRANGE(""https://docs.google.com/spreadsheets/d/1-uDff_7J0KD5mKrp0Vvzr7lt3OU09vwQwhkpOPPYv2Y/edit?usp=sharing"",""งบพรบ!FP71"")"),0)</f>
        <v>0</v>
      </c>
      <c r="M521" s="72">
        <f ca="1">IFERROR(__xludf.DUMMYFUNCTION("IMPORTRANGE(""https://docs.google.com/spreadsheets/d/1-uDff_7J0KD5mKrp0Vvzr7lt3OU09vwQwhkpOPPYv2Y/edit?usp=sharing"",""งบพรบ!FS71"")"),0)</f>
        <v>0</v>
      </c>
      <c r="N521" s="72">
        <f ca="1">IFERROR(__xludf.DUMMYFUNCTION("IMPORTRANGE(""https://docs.google.com/spreadsheets/d/1-uDff_7J0KD5mKrp0Vvzr7lt3OU09vwQwhkpOPPYv2Y/edit?usp=sharing"",""งบพรบ!FU71"")"),0)</f>
        <v>0</v>
      </c>
      <c r="O521" s="72">
        <f t="shared" ca="1" si="127"/>
        <v>0</v>
      </c>
      <c r="P521" s="72">
        <f t="shared" ca="1" si="128"/>
        <v>0</v>
      </c>
      <c r="Q521" s="72">
        <v>0</v>
      </c>
      <c r="R521" s="72">
        <v>0</v>
      </c>
      <c r="S521" s="72">
        <v>0</v>
      </c>
      <c r="T521" s="72">
        <f t="shared" si="129"/>
        <v>0</v>
      </c>
      <c r="U521" s="72">
        <f t="shared" si="130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3">IF(L534&gt;0,N534*100/L534,0)</f>
        <v>0</v>
      </c>
      <c r="P534" s="262">
        <f t="shared" ref="P534:P542" ca="1" si="134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5">IF(Q534&gt;0,S534*100/Q534,0)</f>
        <v>0</v>
      </c>
      <c r="U534" s="262">
        <f t="shared" ref="U534:U542" si="136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7">L538+L541</f>
        <v>0</v>
      </c>
      <c r="M535" s="75">
        <f t="shared" si="137"/>
        <v>0</v>
      </c>
      <c r="N535" s="75">
        <f t="shared" si="137"/>
        <v>0</v>
      </c>
      <c r="O535" s="75">
        <f t="shared" si="133"/>
        <v>0</v>
      </c>
      <c r="P535" s="75">
        <f t="shared" si="134"/>
        <v>0</v>
      </c>
      <c r="Q535" s="75">
        <f t="shared" ref="Q535:S536" si="138">Q538+Q541</f>
        <v>0</v>
      </c>
      <c r="R535" s="75">
        <f t="shared" si="138"/>
        <v>0</v>
      </c>
      <c r="S535" s="75">
        <f t="shared" si="138"/>
        <v>0</v>
      </c>
      <c r="T535" s="75">
        <f t="shared" si="135"/>
        <v>0</v>
      </c>
      <c r="U535" s="75">
        <f t="shared" si="136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7"/>
        <v>0</v>
      </c>
      <c r="M536" s="72">
        <f t="shared" ca="1" si="137"/>
        <v>0</v>
      </c>
      <c r="N536" s="72">
        <f t="shared" ca="1" si="137"/>
        <v>0</v>
      </c>
      <c r="O536" s="72">
        <f t="shared" ca="1" si="133"/>
        <v>0</v>
      </c>
      <c r="P536" s="72">
        <f t="shared" ca="1" si="134"/>
        <v>0</v>
      </c>
      <c r="Q536" s="72">
        <f t="shared" si="138"/>
        <v>0</v>
      </c>
      <c r="R536" s="72">
        <f t="shared" si="138"/>
        <v>0</v>
      </c>
      <c r="S536" s="72">
        <f t="shared" si="138"/>
        <v>0</v>
      </c>
      <c r="T536" s="72">
        <f t="shared" si="135"/>
        <v>0</v>
      </c>
      <c r="U536" s="72">
        <f t="shared" si="136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3"/>
        <v>0</v>
      </c>
      <c r="P537" s="72">
        <f t="shared" ca="1" si="134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5"/>
        <v>0</v>
      </c>
      <c r="U537" s="72">
        <f t="shared" si="136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3"/>
        <v>0</v>
      </c>
      <c r="P538" s="75">
        <f t="shared" si="134"/>
        <v>0</v>
      </c>
      <c r="Q538" s="75">
        <v>0</v>
      </c>
      <c r="R538" s="75">
        <v>0</v>
      </c>
      <c r="S538" s="75">
        <v>0</v>
      </c>
      <c r="T538" s="75">
        <f t="shared" si="135"/>
        <v>0</v>
      </c>
      <c r="U538" s="75">
        <f t="shared" si="136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IFERROR(__xludf.DUMMYFUNCTION("IMPORTRANGE(""https://docs.google.com/spreadsheets/d/1-uDff_7J0KD5mKrp0Vvzr7lt3OU09vwQwhkpOPPYv2Y/edit?usp=sharing"",""งบพรบ!FW71"")"),0)</f>
        <v>0</v>
      </c>
      <c r="M539" s="72">
        <f ca="1">IFERROR(__xludf.DUMMYFUNCTION("IMPORTRANGE(""https://docs.google.com/spreadsheets/d/1-uDff_7J0KD5mKrp0Vvzr7lt3OU09vwQwhkpOPPYv2Y/edit?usp=sharing"",""งบพรบ!GB71"")"),0)</f>
        <v>0</v>
      </c>
      <c r="N539" s="72">
        <f ca="1">IFERROR(__xludf.DUMMYFUNCTION("IMPORTRANGE(""https://docs.google.com/spreadsheets/d/1-uDff_7J0KD5mKrp0Vvzr7lt3OU09vwQwhkpOPPYv2Y/edit?usp=sharing"",""งบพรบ!GD71"")"),0)</f>
        <v>0</v>
      </c>
      <c r="O539" s="72">
        <f t="shared" ca="1" si="133"/>
        <v>0</v>
      </c>
      <c r="P539" s="72">
        <f t="shared" ca="1" si="134"/>
        <v>0</v>
      </c>
      <c r="Q539" s="72">
        <v>0</v>
      </c>
      <c r="R539" s="72">
        <v>0</v>
      </c>
      <c r="S539" s="72">
        <v>0</v>
      </c>
      <c r="T539" s="72">
        <f t="shared" si="135"/>
        <v>0</v>
      </c>
      <c r="U539" s="72">
        <f t="shared" si="136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3"/>
        <v>0</v>
      </c>
      <c r="P540" s="72">
        <f t="shared" ca="1" si="134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5"/>
        <v>0</v>
      </c>
      <c r="U540" s="72">
        <f t="shared" si="136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3"/>
        <v>0</v>
      </c>
      <c r="P541" s="75">
        <f t="shared" si="134"/>
        <v>0</v>
      </c>
      <c r="Q541" s="75">
        <v>0</v>
      </c>
      <c r="R541" s="75">
        <v>0</v>
      </c>
      <c r="S541" s="75">
        <v>0</v>
      </c>
      <c r="T541" s="75">
        <f t="shared" si="135"/>
        <v>0</v>
      </c>
      <c r="U541" s="75">
        <f t="shared" si="136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IFERROR(__xludf.DUMMYFUNCTION("IMPORTRANGE(""https://docs.google.com/spreadsheets/d/1-uDff_7J0KD5mKrp0Vvzr7lt3OU09vwQwhkpOPPYv2Y/edit?usp=sharing"",""งบพรบ!FZ71"")"),0)</f>
        <v>0</v>
      </c>
      <c r="M542" s="72">
        <f ca="1">IFERROR(__xludf.DUMMYFUNCTION("IMPORTRANGE(""https://docs.google.com/spreadsheets/d/1-uDff_7J0KD5mKrp0Vvzr7lt3OU09vwQwhkpOPPYv2Y/edit?usp=sharing"",""งบพรบ!GC71"")"),0)</f>
        <v>0</v>
      </c>
      <c r="N542" s="72">
        <f ca="1">IFERROR(__xludf.DUMMYFUNCTION("IMPORTRANGE(""https://docs.google.com/spreadsheets/d/1-uDff_7J0KD5mKrp0Vvzr7lt3OU09vwQwhkpOPPYv2Y/edit?usp=sharing"",""งบพรบ!GE71"")"),0)</f>
        <v>0</v>
      </c>
      <c r="O542" s="72">
        <f t="shared" ca="1" si="133"/>
        <v>0</v>
      </c>
      <c r="P542" s="72">
        <f t="shared" ca="1" si="134"/>
        <v>0</v>
      </c>
      <c r="Q542" s="72">
        <v>0</v>
      </c>
      <c r="R542" s="72">
        <v>0</v>
      </c>
      <c r="S542" s="72">
        <v>0</v>
      </c>
      <c r="T542" s="72">
        <f t="shared" si="135"/>
        <v>0</v>
      </c>
      <c r="U542" s="72">
        <f t="shared" si="136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9">IF(L555&gt;0,N555*100/L555,0)</f>
        <v>0</v>
      </c>
      <c r="P555" s="262">
        <f t="shared" ref="P555:P563" ca="1" si="140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41">IF(Q555&gt;0,S555*100/Q555,0)</f>
        <v>0</v>
      </c>
      <c r="U555" s="262">
        <f t="shared" ref="U555:U563" si="142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3">L559+L562</f>
        <v>0</v>
      </c>
      <c r="M556" s="75">
        <f t="shared" si="143"/>
        <v>0</v>
      </c>
      <c r="N556" s="75">
        <f t="shared" si="143"/>
        <v>0</v>
      </c>
      <c r="O556" s="75">
        <f t="shared" si="139"/>
        <v>0</v>
      </c>
      <c r="P556" s="75">
        <f t="shared" si="140"/>
        <v>0</v>
      </c>
      <c r="Q556" s="75">
        <f t="shared" ref="Q556:S557" si="144">Q559+Q562</f>
        <v>0</v>
      </c>
      <c r="R556" s="75">
        <f t="shared" si="144"/>
        <v>0</v>
      </c>
      <c r="S556" s="75">
        <f t="shared" si="144"/>
        <v>0</v>
      </c>
      <c r="T556" s="75">
        <f t="shared" si="141"/>
        <v>0</v>
      </c>
      <c r="U556" s="75">
        <f t="shared" si="142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3"/>
        <v>0</v>
      </c>
      <c r="M557" s="72">
        <f t="shared" ca="1" si="143"/>
        <v>0</v>
      </c>
      <c r="N557" s="72">
        <f t="shared" ca="1" si="143"/>
        <v>0</v>
      </c>
      <c r="O557" s="72">
        <f t="shared" ca="1" si="139"/>
        <v>0</v>
      </c>
      <c r="P557" s="72">
        <f t="shared" ca="1" si="140"/>
        <v>0</v>
      </c>
      <c r="Q557" s="72">
        <f t="shared" si="144"/>
        <v>0</v>
      </c>
      <c r="R557" s="72">
        <f t="shared" si="144"/>
        <v>0</v>
      </c>
      <c r="S557" s="72">
        <f t="shared" si="144"/>
        <v>0</v>
      </c>
      <c r="T557" s="72">
        <f t="shared" si="141"/>
        <v>0</v>
      </c>
      <c r="U557" s="72">
        <f t="shared" si="142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9"/>
        <v>0</v>
      </c>
      <c r="P558" s="72">
        <f t="shared" ca="1" si="140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41"/>
        <v>0</v>
      </c>
      <c r="U558" s="72">
        <f t="shared" si="142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9"/>
        <v>0</v>
      </c>
      <c r="P559" s="75">
        <f t="shared" si="140"/>
        <v>0</v>
      </c>
      <c r="Q559" s="75">
        <v>0</v>
      </c>
      <c r="R559" s="75">
        <v>0</v>
      </c>
      <c r="S559" s="75">
        <v>0</v>
      </c>
      <c r="T559" s="75">
        <f t="shared" si="141"/>
        <v>0</v>
      </c>
      <c r="U559" s="75">
        <f t="shared" si="142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IFERROR(__xludf.DUMMYFUNCTION("IMPORTRANGE(""https://docs.google.com/spreadsheets/d/1-uDff_7J0KD5mKrp0Vvzr7lt3OU09vwQwhkpOPPYv2Y/edit?usp=sharing"",""งบพรบ!GG71"")"),0)</f>
        <v>0</v>
      </c>
      <c r="M560" s="72">
        <f ca="1">IFERROR(__xludf.DUMMYFUNCTION("IMPORTRANGE(""https://docs.google.com/spreadsheets/d/1-uDff_7J0KD5mKrp0Vvzr7lt3OU09vwQwhkpOPPYv2Y/edit?usp=sharing"",""งบพรบ!GL71"")"),0)</f>
        <v>0</v>
      </c>
      <c r="N560" s="72">
        <f ca="1">IFERROR(__xludf.DUMMYFUNCTION("IMPORTRANGE(""https://docs.google.com/spreadsheets/d/1-uDff_7J0KD5mKrp0Vvzr7lt3OU09vwQwhkpOPPYv2Y/edit?usp=sharing"",""งบพรบ!GN71"")"),0)</f>
        <v>0</v>
      </c>
      <c r="O560" s="72">
        <f t="shared" ca="1" si="139"/>
        <v>0</v>
      </c>
      <c r="P560" s="72">
        <f t="shared" ca="1" si="140"/>
        <v>0</v>
      </c>
      <c r="Q560" s="72">
        <v>0</v>
      </c>
      <c r="R560" s="72">
        <v>0</v>
      </c>
      <c r="S560" s="72">
        <v>0</v>
      </c>
      <c r="T560" s="72">
        <f t="shared" si="141"/>
        <v>0</v>
      </c>
      <c r="U560" s="72">
        <f t="shared" si="142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9"/>
        <v>0</v>
      </c>
      <c r="P561" s="72">
        <f t="shared" ca="1" si="140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41"/>
        <v>0</v>
      </c>
      <c r="U561" s="72">
        <f t="shared" si="142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9"/>
        <v>0</v>
      </c>
      <c r="P562" s="75">
        <f t="shared" si="140"/>
        <v>0</v>
      </c>
      <c r="Q562" s="75">
        <v>0</v>
      </c>
      <c r="R562" s="75">
        <v>0</v>
      </c>
      <c r="S562" s="75">
        <v>0</v>
      </c>
      <c r="T562" s="75">
        <f t="shared" si="141"/>
        <v>0</v>
      </c>
      <c r="U562" s="75">
        <f t="shared" si="142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IFERROR(__xludf.DUMMYFUNCTION("IMPORTRANGE(""https://docs.google.com/spreadsheets/d/1-uDff_7J0KD5mKrp0Vvzr7lt3OU09vwQwhkpOPPYv2Y/edit?usp=sharing"",""งบพรบ!GJ71"")"),0)</f>
        <v>0</v>
      </c>
      <c r="M563" s="72">
        <f ca="1">IFERROR(__xludf.DUMMYFUNCTION("IMPORTRANGE(""https://docs.google.com/spreadsheets/d/1-uDff_7J0KD5mKrp0Vvzr7lt3OU09vwQwhkpOPPYv2Y/edit?usp=sharing"",""งบพรบ!GM71"")"),0)</f>
        <v>0</v>
      </c>
      <c r="N563" s="72">
        <f ca="1">IFERROR(__xludf.DUMMYFUNCTION("IMPORTRANGE(""https://docs.google.com/spreadsheets/d/1-uDff_7J0KD5mKrp0Vvzr7lt3OU09vwQwhkpOPPYv2Y/edit?usp=sharing"",""งบพรบ!GO71"")"),0)</f>
        <v>0</v>
      </c>
      <c r="O563" s="72">
        <f t="shared" ca="1" si="139"/>
        <v>0</v>
      </c>
      <c r="P563" s="72">
        <f t="shared" ca="1" si="140"/>
        <v>0</v>
      </c>
      <c r="Q563" s="72">
        <v>0</v>
      </c>
      <c r="R563" s="72">
        <v>0</v>
      </c>
      <c r="S563" s="72">
        <v>0</v>
      </c>
      <c r="T563" s="72">
        <f t="shared" si="141"/>
        <v>0</v>
      </c>
      <c r="U563" s="72">
        <f t="shared" si="142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5">IF(L576&gt;0,N576*100/L576,0)</f>
        <v>0</v>
      </c>
      <c r="P576" s="262">
        <f t="shared" ref="P576:P584" ca="1" si="146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7">IF(Q576&gt;0,S576*100/Q576,0)</f>
        <v>0</v>
      </c>
      <c r="U576" s="262">
        <f t="shared" ref="U576:U584" si="148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9">L580+L583</f>
        <v>0</v>
      </c>
      <c r="M577" s="75">
        <f t="shared" si="149"/>
        <v>0</v>
      </c>
      <c r="N577" s="75">
        <f t="shared" si="149"/>
        <v>0</v>
      </c>
      <c r="O577" s="75">
        <f t="shared" si="145"/>
        <v>0</v>
      </c>
      <c r="P577" s="75">
        <f t="shared" si="146"/>
        <v>0</v>
      </c>
      <c r="Q577" s="75">
        <f t="shared" ref="Q577:S578" si="150">Q580+Q583</f>
        <v>0</v>
      </c>
      <c r="R577" s="75">
        <f t="shared" si="150"/>
        <v>0</v>
      </c>
      <c r="S577" s="75">
        <f t="shared" si="150"/>
        <v>0</v>
      </c>
      <c r="T577" s="75">
        <f t="shared" si="147"/>
        <v>0</v>
      </c>
      <c r="U577" s="75">
        <f t="shared" si="148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9"/>
        <v>0</v>
      </c>
      <c r="M578" s="72">
        <f t="shared" ca="1" si="149"/>
        <v>0</v>
      </c>
      <c r="N578" s="72">
        <f t="shared" ca="1" si="149"/>
        <v>0</v>
      </c>
      <c r="O578" s="72">
        <f t="shared" ca="1" si="145"/>
        <v>0</v>
      </c>
      <c r="P578" s="72">
        <f t="shared" ca="1" si="146"/>
        <v>0</v>
      </c>
      <c r="Q578" s="72">
        <f t="shared" si="150"/>
        <v>0</v>
      </c>
      <c r="R578" s="72">
        <f t="shared" si="150"/>
        <v>0</v>
      </c>
      <c r="S578" s="72">
        <f t="shared" si="150"/>
        <v>0</v>
      </c>
      <c r="T578" s="72">
        <f t="shared" si="147"/>
        <v>0</v>
      </c>
      <c r="U578" s="72">
        <f t="shared" si="148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5"/>
        <v>0</v>
      </c>
      <c r="P579" s="72">
        <f t="shared" ca="1" si="146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7"/>
        <v>0</v>
      </c>
      <c r="U579" s="72">
        <f t="shared" si="148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5"/>
        <v>0</v>
      </c>
      <c r="P580" s="75">
        <f t="shared" si="146"/>
        <v>0</v>
      </c>
      <c r="Q580" s="75">
        <v>0</v>
      </c>
      <c r="R580" s="75">
        <v>0</v>
      </c>
      <c r="S580" s="75">
        <v>0</v>
      </c>
      <c r="T580" s="75">
        <f t="shared" si="147"/>
        <v>0</v>
      </c>
      <c r="U580" s="75">
        <f t="shared" si="148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IFERROR(__xludf.DUMMYFUNCTION("IMPORTRANGE(""https://docs.google.com/spreadsheets/d/1-uDff_7J0KD5mKrp0Vvzr7lt3OU09vwQwhkpOPPYv2Y/edit?usp=sharing"",""งบพรบ!GQ71"")"),0)</f>
        <v>0</v>
      </c>
      <c r="M581" s="72">
        <f ca="1">IFERROR(__xludf.DUMMYFUNCTION("IMPORTRANGE(""https://docs.google.com/spreadsheets/d/1-uDff_7J0KD5mKrp0Vvzr7lt3OU09vwQwhkpOPPYv2Y/edit?usp=sharing"",""งบพรบ!GV71"")"),0)</f>
        <v>0</v>
      </c>
      <c r="N581" s="72">
        <f ca="1">IFERROR(__xludf.DUMMYFUNCTION("IMPORTRANGE(""https://docs.google.com/spreadsheets/d/1-uDff_7J0KD5mKrp0Vvzr7lt3OU09vwQwhkpOPPYv2Y/edit?usp=sharing"",""งบพรบ!GX71"")"),0)</f>
        <v>0</v>
      </c>
      <c r="O581" s="72">
        <f t="shared" ca="1" si="145"/>
        <v>0</v>
      </c>
      <c r="P581" s="72">
        <f t="shared" ca="1" si="146"/>
        <v>0</v>
      </c>
      <c r="Q581" s="72">
        <v>0</v>
      </c>
      <c r="R581" s="72">
        <v>0</v>
      </c>
      <c r="S581" s="72">
        <v>0</v>
      </c>
      <c r="T581" s="72">
        <f t="shared" si="147"/>
        <v>0</v>
      </c>
      <c r="U581" s="72">
        <f t="shared" si="148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5"/>
        <v>0</v>
      </c>
      <c r="P582" s="72">
        <f t="shared" ca="1" si="146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7"/>
        <v>0</v>
      </c>
      <c r="U582" s="72">
        <f t="shared" si="148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5"/>
        <v>0</v>
      </c>
      <c r="P583" s="75">
        <f t="shared" si="146"/>
        <v>0</v>
      </c>
      <c r="Q583" s="75">
        <v>0</v>
      </c>
      <c r="R583" s="75">
        <v>0</v>
      </c>
      <c r="S583" s="75">
        <v>0</v>
      </c>
      <c r="T583" s="75">
        <f t="shared" si="147"/>
        <v>0</v>
      </c>
      <c r="U583" s="75">
        <f t="shared" si="148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IFERROR(__xludf.DUMMYFUNCTION("IMPORTRANGE(""https://docs.google.com/spreadsheets/d/1-uDff_7J0KD5mKrp0Vvzr7lt3OU09vwQwhkpOPPYv2Y/edit?usp=sharing"",""งบพรบ!GT71"")"),0)</f>
        <v>0</v>
      </c>
      <c r="M584" s="72">
        <f ca="1">IFERROR(__xludf.DUMMYFUNCTION("IMPORTRANGE(""https://docs.google.com/spreadsheets/d/1-uDff_7J0KD5mKrp0Vvzr7lt3OU09vwQwhkpOPPYv2Y/edit?usp=sharing"",""งบพรบ!GW71"")"),0)</f>
        <v>0</v>
      </c>
      <c r="N584" s="72">
        <f ca="1">IFERROR(__xludf.DUMMYFUNCTION("IMPORTRANGE(""https://docs.google.com/spreadsheets/d/1-uDff_7J0KD5mKrp0Vvzr7lt3OU09vwQwhkpOPPYv2Y/edit?usp=sharing"",""งบพรบ!GY71"")"),0)</f>
        <v>0</v>
      </c>
      <c r="O584" s="72">
        <f t="shared" ca="1" si="145"/>
        <v>0</v>
      </c>
      <c r="P584" s="72">
        <f t="shared" ca="1" si="146"/>
        <v>0</v>
      </c>
      <c r="Q584" s="72">
        <v>0</v>
      </c>
      <c r="R584" s="72">
        <v>0</v>
      </c>
      <c r="S584" s="72">
        <v>0</v>
      </c>
      <c r="T584" s="72">
        <f t="shared" si="147"/>
        <v>0</v>
      </c>
      <c r="U584" s="72">
        <f t="shared" si="148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826" t="s">
        <v>217</v>
      </c>
      <c r="B596" s="824"/>
      <c r="C596" s="825"/>
      <c r="D596" s="824"/>
      <c r="E596" s="824"/>
      <c r="F596" s="824"/>
      <c r="G596" s="824"/>
      <c r="H596" s="823"/>
      <c r="I596" s="822"/>
      <c r="J596" s="822"/>
      <c r="K596" s="821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820" t="s">
        <v>218</v>
      </c>
      <c r="C597" s="299"/>
      <c r="D597" s="251"/>
      <c r="E597" s="250"/>
      <c r="F597" s="250"/>
      <c r="G597" s="250"/>
      <c r="H597" s="819" t="s">
        <v>99</v>
      </c>
      <c r="I597" s="818"/>
      <c r="J597" s="814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817"/>
      <c r="B598" s="816" t="s">
        <v>219</v>
      </c>
      <c r="C598" s="251"/>
      <c r="D598" s="250"/>
      <c r="E598" s="250"/>
      <c r="F598" s="250"/>
      <c r="G598" s="252"/>
      <c r="H598" s="815" t="s">
        <v>35</v>
      </c>
      <c r="I598" s="814"/>
      <c r="J598" s="814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44" t="s">
        <v>19</v>
      </c>
      <c r="E599" s="1401"/>
      <c r="F599" s="1401"/>
      <c r="G599" s="1402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51">IF(L599&gt;0,N599*100/L599,0)</f>
        <v>0</v>
      </c>
      <c r="P599" s="262">
        <f t="shared" ref="P599:P607" ca="1" si="152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3">IF(Q599&gt;0,S599*100/Q599,0)</f>
        <v>0</v>
      </c>
      <c r="U599" s="262">
        <f t="shared" ref="U599:U607" ca="1" si="154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5">L603+L606</f>
        <v>0</v>
      </c>
      <c r="M600" s="75">
        <f t="shared" si="155"/>
        <v>0</v>
      </c>
      <c r="N600" s="75">
        <f t="shared" si="155"/>
        <v>0</v>
      </c>
      <c r="O600" s="75">
        <f t="shared" si="151"/>
        <v>0</v>
      </c>
      <c r="P600" s="75">
        <f t="shared" si="152"/>
        <v>0</v>
      </c>
      <c r="Q600" s="75">
        <f t="shared" ref="Q600:S601" si="156">Q603+Q606</f>
        <v>0</v>
      </c>
      <c r="R600" s="75">
        <f t="shared" si="156"/>
        <v>0</v>
      </c>
      <c r="S600" s="75">
        <f t="shared" si="156"/>
        <v>0</v>
      </c>
      <c r="T600" s="75">
        <f t="shared" si="153"/>
        <v>0</v>
      </c>
      <c r="U600" s="75">
        <f t="shared" si="154"/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t="shared" ca="1" si="155"/>
        <v>0</v>
      </c>
      <c r="M601" s="72">
        <f t="shared" ca="1" si="155"/>
        <v>0</v>
      </c>
      <c r="N601" s="72">
        <f t="shared" ca="1" si="155"/>
        <v>0</v>
      </c>
      <c r="O601" s="72">
        <f t="shared" ca="1" si="151"/>
        <v>0</v>
      </c>
      <c r="P601" s="72">
        <f t="shared" ca="1" si="152"/>
        <v>0</v>
      </c>
      <c r="Q601" s="72">
        <f t="shared" ca="1" si="156"/>
        <v>0</v>
      </c>
      <c r="R601" s="72">
        <f t="shared" ca="1" si="156"/>
        <v>0</v>
      </c>
      <c r="S601" s="72">
        <f t="shared" ca="1" si="156"/>
        <v>0</v>
      </c>
      <c r="T601" s="72">
        <f t="shared" ca="1" si="153"/>
        <v>0</v>
      </c>
      <c r="U601" s="72">
        <f t="shared" ca="1" si="154"/>
        <v>0</v>
      </c>
    </row>
    <row r="602" spans="1:21" ht="19.5" hidden="1" x14ac:dyDescent="0.3">
      <c r="A602" s="255"/>
      <c r="B602" s="267"/>
      <c r="C602" s="267"/>
      <c r="D602" s="799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51"/>
        <v>0</v>
      </c>
      <c r="P602" s="72">
        <f t="shared" ca="1" si="152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3"/>
        <v>0</v>
      </c>
      <c r="U602" s="72">
        <f t="shared" ca="1" si="154"/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51"/>
        <v>0</v>
      </c>
      <c r="P603" s="75">
        <f t="shared" si="152"/>
        <v>0</v>
      </c>
      <c r="Q603" s="75">
        <v>0</v>
      </c>
      <c r="R603" s="75">
        <v>0</v>
      </c>
      <c r="S603" s="75">
        <v>0</v>
      </c>
      <c r="T603" s="75">
        <f t="shared" si="153"/>
        <v>0</v>
      </c>
      <c r="U603" s="75">
        <f t="shared" si="154"/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IFERROR(__xludf.DUMMYFUNCTION("IMPORTRANGE(""https://docs.google.com/spreadsheets/d/1-uDff_7J0KD5mKrp0Vvzr7lt3OU09vwQwhkpOPPYv2Y/edit?usp=sharing"",""งบพรบ!HK71"")"),0)</f>
        <v>0</v>
      </c>
      <c r="M604" s="72">
        <f ca="1">IFERROR(__xludf.DUMMYFUNCTION("IMPORTRANGE(""https://docs.google.com/spreadsheets/d/1-uDff_7J0KD5mKrp0Vvzr7lt3OU09vwQwhkpOPPYv2Y/edit?usp=sharing"",""งบพรบ!HP71"")"),0)</f>
        <v>0</v>
      </c>
      <c r="N604" s="72">
        <f ca="1">IFERROR(__xludf.DUMMYFUNCTION("IMPORTRANGE(""https://docs.google.com/spreadsheets/d/1-uDff_7J0KD5mKrp0Vvzr7lt3OU09vwQwhkpOPPYv2Y/edit?usp=sharing"",""งบพรบ!HR71"")"),0)</f>
        <v>0</v>
      </c>
      <c r="O604" s="72">
        <f t="shared" ca="1" si="151"/>
        <v>0</v>
      </c>
      <c r="P604" s="72">
        <f t="shared" ca="1" si="152"/>
        <v>0</v>
      </c>
      <c r="Q604" s="72">
        <f ca="1">IFERROR(__xludf.DUMMYFUNCTION("IMPORTRANGE(""https://docs.google.com/spreadsheets/d/1ItG2mGa2ceCfYo0BwxsXqNm01IGEUdYcSSLTEv9YCik/edit?usp=sharing"",""เบิกจ่ายกองทุน!AV71"")"),0)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IFERROR(__xludf.DUMMYFUNCTION("IMPORTRANGE(""https://docs.google.com/spreadsheets/d/1ItG2mGa2ceCfYo0BwxsXqNm01IGEUdYcSSLTEv9YCik/edit?usp=sharing"",""เบิกจ่ายกองทุน!AW71"")"),0)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IFERROR(__xludf.DUMMYFUNCTION("IMPORTRANGE(""https://docs.google.com/spreadsheets/d/1ItG2mGa2ceCfYo0BwxsXqNm01IGEUdYcSSLTEv9YCik/edit?usp=sharing"",""เบิกจ่ายกองทุน!AX71"")"),0)</f>
        <v>0</v>
      </c>
      <c r="T604" s="72">
        <f t="shared" ca="1" si="153"/>
        <v>0</v>
      </c>
      <c r="U604" s="72">
        <f t="shared" ca="1" si="154"/>
        <v>0</v>
      </c>
    </row>
    <row r="605" spans="1:21" ht="19.5" hidden="1" x14ac:dyDescent="0.3">
      <c r="A605" s="255"/>
      <c r="B605" s="267"/>
      <c r="C605" s="267"/>
      <c r="D605" s="799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51"/>
        <v>0</v>
      </c>
      <c r="P605" s="72">
        <f t="shared" ca="1" si="152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3"/>
        <v>0</v>
      </c>
      <c r="U605" s="72">
        <f t="shared" ca="1" si="154"/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51"/>
        <v>0</v>
      </c>
      <c r="P606" s="75">
        <f t="shared" si="152"/>
        <v>0</v>
      </c>
      <c r="Q606" s="75">
        <v>0</v>
      </c>
      <c r="R606" s="75">
        <v>0</v>
      </c>
      <c r="S606" s="75">
        <v>0</v>
      </c>
      <c r="T606" s="75">
        <f t="shared" si="153"/>
        <v>0</v>
      </c>
      <c r="U606" s="75">
        <f t="shared" si="154"/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IFERROR(__xludf.DUMMYFUNCTION("IMPORTRANGE(""https://docs.google.com/spreadsheets/d/1-uDff_7J0KD5mKrp0Vvzr7lt3OU09vwQwhkpOPPYv2Y/edit?usp=sharing"",""งบพรบ!HN71"")"),0)</f>
        <v>0</v>
      </c>
      <c r="M607" s="72">
        <f ca="1">IFERROR(__xludf.DUMMYFUNCTION("IMPORTRANGE(""https://docs.google.com/spreadsheets/d/1-uDff_7J0KD5mKrp0Vvzr7lt3OU09vwQwhkpOPPYv2Y/edit?usp=sharing"",""งบพรบ!HQ71"")"),0)</f>
        <v>0</v>
      </c>
      <c r="N607" s="72">
        <f ca="1">IFERROR(__xludf.DUMMYFUNCTION("IMPORTRANGE(""https://docs.google.com/spreadsheets/d/1-uDff_7J0KD5mKrp0Vvzr7lt3OU09vwQwhkpOPPYv2Y/edit?usp=sharing"",""งบพรบ!HS71"")"),0)</f>
        <v>0</v>
      </c>
      <c r="O607" s="72">
        <f t="shared" ca="1" si="151"/>
        <v>0</v>
      </c>
      <c r="P607" s="72">
        <f t="shared" ca="1" si="152"/>
        <v>0</v>
      </c>
      <c r="Q607" s="72">
        <f ca="1">IFERROR(__xludf.DUMMYFUNCTION("IMPORTRANGE(""https://docs.google.com/spreadsheets/d/1ItG2mGa2ceCfYo0BwxsXqNm01IGEUdYcSSLTEv9YCik/edit?usp=sharing"",""เบิกจ่ายกองทุน!AY71"")"),0)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IFERROR(__xludf.DUMMYFUNCTION("IMPORTRANGE(""https://docs.google.com/spreadsheets/d/1ItG2mGa2ceCfYo0BwxsXqNm01IGEUdYcSSLTEv9YCik/edit?usp=sharing"",""เบิกจ่ายกองทุน!AZ71"")"),0)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IFERROR(__xludf.DUMMYFUNCTION("IMPORTRANGE(""https://docs.google.com/spreadsheets/d/1ItG2mGa2ceCfYo0BwxsXqNm01IGEUdYcSSLTEv9YCik/edit?usp=sharing"",""เบิกจ่ายกองทุน!BA71"")"),0)</f>
        <v>0</v>
      </c>
      <c r="T607" s="72">
        <f t="shared" ca="1" si="153"/>
        <v>0</v>
      </c>
      <c r="U607" s="72">
        <f t="shared" ca="1" si="154"/>
        <v>0</v>
      </c>
    </row>
    <row r="608" spans="1:21" ht="19.5" hidden="1" x14ac:dyDescent="0.3">
      <c r="A608" s="274"/>
      <c r="B608" s="275"/>
      <c r="C608" s="304" t="s">
        <v>18</v>
      </c>
      <c r="D608" s="813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812"/>
      <c r="B612" s="811"/>
      <c r="C612" s="811"/>
      <c r="D612" s="811"/>
      <c r="E612" s="810" t="s">
        <v>223</v>
      </c>
      <c r="F612" s="809"/>
      <c r="G612" s="808"/>
      <c r="H612" s="807" t="s">
        <v>35</v>
      </c>
      <c r="I612" s="806"/>
      <c r="J612" s="806"/>
      <c r="K612" s="805"/>
      <c r="L612" s="804"/>
      <c r="M612" s="803"/>
      <c r="N612" s="803"/>
      <c r="O612" s="803"/>
      <c r="P612" s="803"/>
      <c r="Q612" s="803"/>
      <c r="R612" s="803"/>
      <c r="S612" s="803"/>
      <c r="T612" s="803"/>
      <c r="U612" s="803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30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7">IF(L616&gt;0,N616*100/L616,0)</f>
        <v>0</v>
      </c>
      <c r="P616" s="262">
        <f t="shared" ref="P616:P624" si="158">IF(M616&gt;0,N616*100/M616,0)</f>
        <v>0</v>
      </c>
      <c r="Q616" s="262">
        <f ca="1">Q617+Q618</f>
        <v>4650</v>
      </c>
      <c r="R616" s="262">
        <f ca="1">R617+R618</f>
        <v>4650</v>
      </c>
      <c r="S616" s="262">
        <f ca="1">S617+S618</f>
        <v>650</v>
      </c>
      <c r="T616" s="262">
        <f t="shared" ref="T616:T624" ca="1" si="159">IF(Q616&gt;0,S616*100/Q616,0)</f>
        <v>13.978494623655914</v>
      </c>
      <c r="U616" s="262">
        <f t="shared" ref="U616:U624" ca="1" si="160">IF(R616&gt;0,S616*100/R616,0)</f>
        <v>13.978494623655914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61">L620+L623</f>
        <v>0</v>
      </c>
      <c r="M617" s="75">
        <f t="shared" si="161"/>
        <v>0</v>
      </c>
      <c r="N617" s="75">
        <f t="shared" si="161"/>
        <v>0</v>
      </c>
      <c r="O617" s="75">
        <f t="shared" si="157"/>
        <v>0</v>
      </c>
      <c r="P617" s="75">
        <f t="shared" si="158"/>
        <v>0</v>
      </c>
      <c r="Q617" s="75">
        <f t="shared" ref="Q617:S618" si="162">Q620+Q623</f>
        <v>0</v>
      </c>
      <c r="R617" s="75">
        <f t="shared" si="162"/>
        <v>0</v>
      </c>
      <c r="S617" s="75">
        <f t="shared" si="162"/>
        <v>0</v>
      </c>
      <c r="T617" s="75">
        <f t="shared" si="159"/>
        <v>0</v>
      </c>
      <c r="U617" s="75">
        <f t="shared" si="160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61"/>
        <v>0</v>
      </c>
      <c r="M618" s="72">
        <f t="shared" si="161"/>
        <v>0</v>
      </c>
      <c r="N618" s="72">
        <f t="shared" si="161"/>
        <v>0</v>
      </c>
      <c r="O618" s="72">
        <f t="shared" si="157"/>
        <v>0</v>
      </c>
      <c r="P618" s="72">
        <f t="shared" si="158"/>
        <v>0</v>
      </c>
      <c r="Q618" s="72">
        <f t="shared" ca="1" si="162"/>
        <v>4650</v>
      </c>
      <c r="R618" s="72">
        <f t="shared" ca="1" si="162"/>
        <v>4650</v>
      </c>
      <c r="S618" s="72">
        <f t="shared" ca="1" si="162"/>
        <v>650</v>
      </c>
      <c r="T618" s="72">
        <f t="shared" ca="1" si="159"/>
        <v>13.978494623655914</v>
      </c>
      <c r="U618" s="72">
        <f t="shared" ca="1" si="160"/>
        <v>13.978494623655914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7"/>
        <v>0</v>
      </c>
      <c r="P619" s="72">
        <f t="shared" si="158"/>
        <v>0</v>
      </c>
      <c r="Q619" s="72">
        <f ca="1">Q620+Q621</f>
        <v>4650</v>
      </c>
      <c r="R619" s="72">
        <f ca="1">R620+R621</f>
        <v>4650</v>
      </c>
      <c r="S619" s="72">
        <f ca="1">S620+S621</f>
        <v>650</v>
      </c>
      <c r="T619" s="72">
        <f t="shared" ca="1" si="159"/>
        <v>13.978494623655914</v>
      </c>
      <c r="U619" s="72">
        <f t="shared" ca="1" si="160"/>
        <v>13.978494623655914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7"/>
        <v>0</v>
      </c>
      <c r="P620" s="75">
        <f t="shared" si="158"/>
        <v>0</v>
      </c>
      <c r="Q620" s="75">
        <v>0</v>
      </c>
      <c r="R620" s="75">
        <v>0</v>
      </c>
      <c r="S620" s="75">
        <v>0</v>
      </c>
      <c r="T620" s="75">
        <f t="shared" si="159"/>
        <v>0</v>
      </c>
      <c r="U620" s="75">
        <f t="shared" si="160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7"/>
        <v>0</v>
      </c>
      <c r="P621" s="72">
        <f t="shared" si="158"/>
        <v>0</v>
      </c>
      <c r="Q621" s="72">
        <f ca="1">IFERROR(__xludf.DUMMYFUNCTION("IMPORTRANGE(""https://docs.google.com/spreadsheets/d/1ItG2mGa2ceCfYo0BwxsXqNm01IGEUdYcSSLTEv9YCik/edit?usp=sharing"",""เบิกจ่ายกองทุน!F71"")"),4650)</f>
        <v>4650</v>
      </c>
      <c r="R621" s="72">
        <f ca="1">IFERROR(__xludf.DUMMYFUNCTION("IMPORTRANGE(""https://docs.google.com/spreadsheets/d/1ItG2mGa2ceCfYo0BwxsXqNm01IGEUdYcSSLTEv9YCik/edit?usp=sharing"",""เบิกจ่ายกองทุน!G71"")"),4650)</f>
        <v>4650</v>
      </c>
      <c r="S621" s="72">
        <f ca="1">IFERROR(__xludf.DUMMYFUNCTION("IMPORTRANGE(""https://docs.google.com/spreadsheets/d/1ItG2mGa2ceCfYo0BwxsXqNm01IGEUdYcSSLTEv9YCik/edit?usp=sharing"",""เบิกจ่ายกองทุน!H71"")"),650)</f>
        <v>650</v>
      </c>
      <c r="T621" s="72">
        <f t="shared" ca="1" si="159"/>
        <v>13.978494623655914</v>
      </c>
      <c r="U621" s="72">
        <f t="shared" ca="1" si="160"/>
        <v>13.978494623655914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7"/>
        <v>0</v>
      </c>
      <c r="P622" s="72">
        <f t="shared" si="158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9"/>
        <v>0</v>
      </c>
      <c r="U622" s="72">
        <f t="shared" si="160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7"/>
        <v>0</v>
      </c>
      <c r="P623" s="75">
        <f t="shared" si="158"/>
        <v>0</v>
      </c>
      <c r="Q623" s="75">
        <v>0</v>
      </c>
      <c r="R623" s="75">
        <v>0</v>
      </c>
      <c r="S623" s="75">
        <v>0</v>
      </c>
      <c r="T623" s="75">
        <f t="shared" si="159"/>
        <v>0</v>
      </c>
      <c r="U623" s="75">
        <f t="shared" si="160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7"/>
        <v>0</v>
      </c>
      <c r="P624" s="72">
        <f t="shared" si="158"/>
        <v>0</v>
      </c>
      <c r="Q624" s="72">
        <v>0</v>
      </c>
      <c r="R624" s="72">
        <v>0</v>
      </c>
      <c r="S624" s="72">
        <v>0</v>
      </c>
      <c r="T624" s="72">
        <f t="shared" si="159"/>
        <v>0</v>
      </c>
      <c r="U624" s="72">
        <f t="shared" si="160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IFERROR(__xludf.DUMMYFUNCTION("IMPORTRANGE(""https://docs.google.com/spreadsheets/d/1eHaY18a8A9IcSdp1K8H6x8fbOy06t2VsZHhMHf-1x7Y/edit?usp=sharing"",""แผน!ID71"")"),30)</f>
        <v>30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IFERROR(__xludf.DUMMYFUNCTION("IMPORTRANGE(""https://docs.google.com/spreadsheets/d/1eHaY18a8A9IcSdp1K8H6x8fbOy06t2VsZHhMHf-1x7Y/edit?usp=sharing"",""แผน!IC71"")"),0)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IFERROR(__xludf.DUMMYFUNCTION("IMPORTRANGE(""https://docs.google.com/spreadsheets/d/1eHaY18a8A9IcSdp1K8H6x8fbOy06t2VsZHhMHf-1x7Y/edit?usp=sharing"",""แผน!IC71"")"),0)</f>
        <v>0</v>
      </c>
      <c r="J628" s="292">
        <v>6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IFERROR(__xludf.DUMMYFUNCTION("IMPORTRANGE(""https://docs.google.com/spreadsheets/d/1eHaY18a8A9IcSdp1K8H6x8fbOy06t2VsZHhMHf-1x7Y/edit?usp=sharing"",""แผน!IE71"")"),0)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3">IF(L642&gt;0,N642*100/L642,0)</f>
        <v>0</v>
      </c>
      <c r="P642" s="262">
        <f t="shared" ref="P642:P650" si="164">IF(M642&gt;0,N642*100/M642,0)</f>
        <v>0</v>
      </c>
      <c r="Q642" s="262">
        <f ca="1">Q643+Q644</f>
        <v>7560</v>
      </c>
      <c r="R642" s="262">
        <f ca="1">R643+R644</f>
        <v>7560</v>
      </c>
      <c r="S642" s="262">
        <f ca="1">S643+S644</f>
        <v>3000</v>
      </c>
      <c r="T642" s="262">
        <f t="shared" ref="T642:T650" ca="1" si="165">IF(Q642&gt;0,S642*100/Q642,0)</f>
        <v>39.682539682539684</v>
      </c>
      <c r="U642" s="262">
        <f t="shared" ref="U642:U650" ca="1" si="166">IF(R642&gt;0,S642*100/R642,0)</f>
        <v>39.682539682539684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7">L646+L649</f>
        <v>0</v>
      </c>
      <c r="M643" s="75">
        <f t="shared" si="167"/>
        <v>0</v>
      </c>
      <c r="N643" s="75">
        <f t="shared" si="167"/>
        <v>0</v>
      </c>
      <c r="O643" s="75">
        <f t="shared" si="163"/>
        <v>0</v>
      </c>
      <c r="P643" s="75">
        <f t="shared" si="164"/>
        <v>0</v>
      </c>
      <c r="Q643" s="75">
        <f t="shared" ref="Q643:S644" si="168">Q646+Q649</f>
        <v>0</v>
      </c>
      <c r="R643" s="75">
        <f t="shared" si="168"/>
        <v>0</v>
      </c>
      <c r="S643" s="75">
        <f t="shared" si="168"/>
        <v>0</v>
      </c>
      <c r="T643" s="75">
        <f t="shared" si="165"/>
        <v>0</v>
      </c>
      <c r="U643" s="75">
        <f t="shared" si="166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7"/>
        <v>0</v>
      </c>
      <c r="M644" s="72">
        <f t="shared" si="167"/>
        <v>0</v>
      </c>
      <c r="N644" s="72">
        <f t="shared" si="167"/>
        <v>0</v>
      </c>
      <c r="O644" s="72">
        <f t="shared" si="163"/>
        <v>0</v>
      </c>
      <c r="P644" s="72">
        <f t="shared" si="164"/>
        <v>0</v>
      </c>
      <c r="Q644" s="72">
        <f t="shared" ca="1" si="168"/>
        <v>7560</v>
      </c>
      <c r="R644" s="72">
        <f t="shared" ca="1" si="168"/>
        <v>7560</v>
      </c>
      <c r="S644" s="72">
        <f t="shared" ca="1" si="168"/>
        <v>3000</v>
      </c>
      <c r="T644" s="72">
        <f t="shared" ca="1" si="165"/>
        <v>39.682539682539684</v>
      </c>
      <c r="U644" s="72">
        <f t="shared" ca="1" si="166"/>
        <v>39.682539682539684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3"/>
        <v>0</v>
      </c>
      <c r="P645" s="72">
        <f t="shared" si="164"/>
        <v>0</v>
      </c>
      <c r="Q645" s="72">
        <f ca="1">Q646+Q647</f>
        <v>7560</v>
      </c>
      <c r="R645" s="72">
        <f ca="1">R646+R647</f>
        <v>7560</v>
      </c>
      <c r="S645" s="72">
        <f ca="1">S646+S647</f>
        <v>3000</v>
      </c>
      <c r="T645" s="72">
        <f t="shared" ca="1" si="165"/>
        <v>39.682539682539684</v>
      </c>
      <c r="U645" s="72">
        <f t="shared" ca="1" si="166"/>
        <v>39.682539682539684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3"/>
        <v>0</v>
      </c>
      <c r="P646" s="75">
        <f t="shared" si="164"/>
        <v>0</v>
      </c>
      <c r="Q646" s="75">
        <v>0</v>
      </c>
      <c r="R646" s="75">
        <v>0</v>
      </c>
      <c r="S646" s="75">
        <v>0</v>
      </c>
      <c r="T646" s="75">
        <f t="shared" si="165"/>
        <v>0</v>
      </c>
      <c r="U646" s="75">
        <f t="shared" si="166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3"/>
        <v>0</v>
      </c>
      <c r="P647" s="72">
        <f t="shared" si="164"/>
        <v>0</v>
      </c>
      <c r="Q647" s="72">
        <f ca="1">IFERROR(__xludf.DUMMYFUNCTION("IMPORTRANGE(""https://docs.google.com/spreadsheets/d/1ItG2mGa2ceCfYo0BwxsXqNm01IGEUdYcSSLTEv9YCik/edit?usp=sharing"",""เบิกจ่ายกองทุน!I71"")"),7560)</f>
        <v>7560</v>
      </c>
      <c r="R647" s="72">
        <f ca="1">IFERROR(__xludf.DUMMYFUNCTION("IMPORTRANGE(""https://docs.google.com/spreadsheets/d/1ItG2mGa2ceCfYo0BwxsXqNm01IGEUdYcSSLTEv9YCik/edit?usp=sharing"",""เบิกจ่ายกองทุน!J71"")"),7560)</f>
        <v>7560</v>
      </c>
      <c r="S647" s="72">
        <f ca="1">IFERROR(__xludf.DUMMYFUNCTION("IMPORTRANGE(""https://docs.google.com/spreadsheets/d/1ItG2mGa2ceCfYo0BwxsXqNm01IGEUdYcSSLTEv9YCik/edit?usp=sharing"",""เบิกจ่ายกองทุน!K71"")"),3000)</f>
        <v>3000</v>
      </c>
      <c r="T647" s="72">
        <f t="shared" ca="1" si="165"/>
        <v>39.682539682539684</v>
      </c>
      <c r="U647" s="72">
        <f t="shared" ca="1" si="166"/>
        <v>39.682539682539684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3"/>
        <v>0</v>
      </c>
      <c r="P648" s="72">
        <f t="shared" si="164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5"/>
        <v>0</v>
      </c>
      <c r="U648" s="72">
        <f t="shared" si="166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3"/>
        <v>0</v>
      </c>
      <c r="P649" s="75">
        <f t="shared" si="164"/>
        <v>0</v>
      </c>
      <c r="Q649" s="75">
        <v>0</v>
      </c>
      <c r="R649" s="75">
        <v>0</v>
      </c>
      <c r="S649" s="75">
        <v>0</v>
      </c>
      <c r="T649" s="75">
        <f t="shared" si="165"/>
        <v>0</v>
      </c>
      <c r="U649" s="75">
        <f t="shared" si="166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3"/>
        <v>0</v>
      </c>
      <c r="P650" s="72">
        <f t="shared" si="164"/>
        <v>0</v>
      </c>
      <c r="Q650" s="72">
        <v>0</v>
      </c>
      <c r="R650" s="72">
        <v>0</v>
      </c>
      <c r="S650" s="72">
        <v>0</v>
      </c>
      <c r="T650" s="72">
        <f t="shared" si="165"/>
        <v>0</v>
      </c>
      <c r="U650" s="72">
        <f t="shared" si="166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IFERROR(__xludf.DUMMYFUNCTION("IMPORTRANGE(""https://docs.google.com/spreadsheets/d/1eHaY18a8A9IcSdp1K8H6x8fbOy06t2VsZHhMHf-1x7Y/edit?usp=sharing"",""แผน!IF71"")"),0)</f>
        <v>0</v>
      </c>
      <c r="J652" s="291">
        <f ca="1">IFERROR(__xludf.DUMMYFUNCTION("IMPORTRANGE(""https://docs.google.com/spreadsheets/d/1tdoBKaGub7dwA3U6UFTqxio9LNnvDCQjHKmttSEBsFQ/edit?usp=sharing"",""จัดที่ดิน!AU71"")"),0)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IFERROR(__xludf.DUMMYFUNCTION("IMPORTRANGE(""https://docs.google.com/spreadsheets/d/1eHaY18a8A9IcSdp1K8H6x8fbOy06t2VsZHhMHf-1x7Y/edit?usp=sharing"",""แผน!IG71"")"),1)</f>
        <v>1</v>
      </c>
      <c r="J653" s="291">
        <f ca="1">IFERROR(__xludf.DUMMYFUNCTION("IMPORTRANGE(""https://docs.google.com/spreadsheets/d/1tdoBKaGub7dwA3U6UFTqxio9LNnvDCQjHKmttSEBsFQ/edit?usp=sharing"",""จัดที่ดิน!AW71"")"),1)</f>
        <v>1</v>
      </c>
      <c r="K653" s="72">
        <f ca="1">IF(I653&gt;0,J653*100/I653,0)</f>
        <v>100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IFERROR(__xludf.DUMMYFUNCTION("IMPORTRANGE(""https://docs.google.com/spreadsheets/d/1eHaY18a8A9IcSdp1K8H6x8fbOy06t2VsZHhMHf-1x7Y/edit?usp=sharing"",""แผน!IH71"")"),0)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IFERROR(__xludf.DUMMYFUNCTION("IMPORTRANGE(""https://docs.google.com/spreadsheets/d/1eHaY18a8A9IcSdp1K8H6x8fbOy06t2VsZHhMHf-1x7Y/edit?usp=sharing"",""แผน!II71"")"),0)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IFERROR(__xludf.DUMMYFUNCTION("IMPORTRANGE(""https://docs.google.com/spreadsheets/d/1eHaY18a8A9IcSdp1K8H6x8fbOy06t2VsZHhMHf-1x7Y/edit?usp=sharing"",""แผน!IJ71"")"),0)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IFERROR(__xludf.DUMMYFUNCTION("IMPORTRANGE(""https://docs.google.com/spreadsheets/d/1eHaY18a8A9IcSdp1K8H6x8fbOy06t2VsZHhMHf-1x7Y/edit?usp=sharing"",""แผน!IK71"")"),0)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IFERROR(__xludf.DUMMYFUNCTION("IMPORTRANGE(""https://docs.google.com/spreadsheets/d/1tdoBKaGub7dwA3U6UFTqxio9LNnvDCQjHKmttSEBsFQ/edit?usp=sharing"",""จัดที่ดิน!AY71"")"),4)</f>
        <v>4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IFERROR(__xludf.DUMMYFUNCTION("IMPORTRANGE(""https://docs.google.com/spreadsheets/d/1tdoBKaGub7dwA3U6UFTqxio9LNnvDCQjHKmttSEBsFQ/edit?usp=sharing"",""จัดที่ดิน!AZ71"")"),4)</f>
        <v>4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IFERROR(__xludf.DUMMYFUNCTION("IMPORTRANGE(""https://docs.google.com/spreadsheets/d/1eHaY18a8A9IcSdp1K8H6x8fbOy06t2VsZHhMHf-1x7Y/edit?usp=sharing"",""แผน!IL71"")"),69)</f>
        <v>69</v>
      </c>
      <c r="J673" s="291">
        <f ca="1">IFERROR(__xludf.DUMMYFUNCTION("IMPORTRANGE(""https://docs.google.com/spreadsheets/d/1tdoBKaGub7dwA3U6UFTqxio9LNnvDCQjHKmttSEBsFQ/edit?usp=sharing"",""จัดที่ดิน!BA71"")"),39.87)</f>
        <v>39.869999999999997</v>
      </c>
      <c r="K673" s="72">
        <f ca="1">IF(I673&gt;0,J673*100/I673,0)</f>
        <v>57.782608695652165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IFERROR(__xludf.DUMMYFUNCTION("IMPORTRANGE(""https://docs.google.com/spreadsheets/d/1eHaY18a8A9IcSdp1K8H6x8fbOy06t2VsZHhMHf-1x7Y/edit?usp=sharing"",""แผน!IM71"")"),5)</f>
        <v>5</v>
      </c>
      <c r="J674" s="601">
        <f ca="1">J676+J679</f>
        <v>6</v>
      </c>
      <c r="K674" s="262">
        <f ca="1">IF(I674&gt;0,J674*100/I674,0)</f>
        <v>120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IFERROR(__xludf.DUMMYFUNCTION("IMPORTRANGE(""https://docs.google.com/spreadsheets/d/1eHaY18a8A9IcSdp1K8H6x8fbOy06t2VsZHhMHf-1x7Y/edit?usp=sharing"",""แผน!IN71"")"),48)</f>
        <v>48</v>
      </c>
      <c r="J675" s="601">
        <f ca="1">J678+J681</f>
        <v>55.74</v>
      </c>
      <c r="K675" s="262">
        <f ca="1">IF(I675&gt;0,J675*100/I675,0)</f>
        <v>116.125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IFERROR(__xludf.DUMMYFUNCTION("IMPORTRANGE(""https://docs.google.com/spreadsheets/d/1eHaY18a8A9IcSdp1K8H6x8fbOy06t2VsZHhMHf-1x7Y/edit?usp=sharing"",""แผน!IO71"")"),3)</f>
        <v>3</v>
      </c>
      <c r="J676" s="291">
        <f ca="1">IFERROR(__xludf.DUMMYFUNCTION("IMPORTRANGE(""https://docs.google.com/spreadsheets/d/1tdoBKaGub7dwA3U6UFTqxio9LNnvDCQjHKmttSEBsFQ/edit?usp=sharing"",""จัดที่ดิน!BF71"")"),5)</f>
        <v>5</v>
      </c>
      <c r="K676" s="72">
        <f ca="1">IF(I676&gt;0,J676*100/I676,0)</f>
        <v>166.66666666666666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IFERROR(__xludf.DUMMYFUNCTION("IMPORTRANGE(""https://docs.google.com/spreadsheets/d/1tdoBKaGub7dwA3U6UFTqxio9LNnvDCQjHKmttSEBsFQ/edit?usp=sharing"",""จัดที่ดิน!BG71"")"),5)</f>
        <v>5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IFERROR(__xludf.DUMMYFUNCTION("IMPORTRANGE(""https://docs.google.com/spreadsheets/d/1eHaY18a8A9IcSdp1K8H6x8fbOy06t2VsZHhMHf-1x7Y/edit?usp=sharing"",""แผน!IP71"")"),31)</f>
        <v>31</v>
      </c>
      <c r="J678" s="291">
        <f ca="1">IFERROR(__xludf.DUMMYFUNCTION("IMPORTRANGE(""https://docs.google.com/spreadsheets/d/1tdoBKaGub7dwA3U6UFTqxio9LNnvDCQjHKmttSEBsFQ/edit?usp=sharing"",""จัดที่ดิน!BH71"")"),45.74)</f>
        <v>45.74</v>
      </c>
      <c r="K678" s="72">
        <f ca="1">IF(I678&gt;0,J678*100/I678,0)</f>
        <v>147.54838709677421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IFERROR(__xludf.DUMMYFUNCTION("IMPORTRANGE(""https://docs.google.com/spreadsheets/d/1eHaY18a8A9IcSdp1K8H6x8fbOy06t2VsZHhMHf-1x7Y/edit?usp=sharing"",""แผน!IQ71"")"),2)</f>
        <v>2</v>
      </c>
      <c r="J679" s="291">
        <f ca="1">IFERROR(__xludf.DUMMYFUNCTION("IMPORTRANGE(""https://docs.google.com/spreadsheets/d/1tdoBKaGub7dwA3U6UFTqxio9LNnvDCQjHKmttSEBsFQ/edit?usp=sharing"",""จัดที่ดิน!BK71"")"),1)</f>
        <v>1</v>
      </c>
      <c r="K679" s="72">
        <f ca="1">IF(I679&gt;0,J679*100/I679,0)</f>
        <v>50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IFERROR(__xludf.DUMMYFUNCTION("IMPORTRANGE(""https://docs.google.com/spreadsheets/d/1tdoBKaGub7dwA3U6UFTqxio9LNnvDCQjHKmttSEBsFQ/edit?usp=sharing"",""จัดที่ดิน!BL71"")"),1)</f>
        <v>1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IFERROR(__xludf.DUMMYFUNCTION("IMPORTRANGE(""https://docs.google.com/spreadsheets/d/1eHaY18a8A9IcSdp1K8H6x8fbOy06t2VsZHhMHf-1x7Y/edit?usp=sharing"",""แผน!IR71"")"),17)</f>
        <v>17</v>
      </c>
      <c r="J681" s="291">
        <f ca="1">IFERROR(__xludf.DUMMYFUNCTION("IMPORTRANGE(""https://docs.google.com/spreadsheets/d/1tdoBKaGub7dwA3U6UFTqxio9LNnvDCQjHKmttSEBsFQ/edit?usp=sharing"",""จัดที่ดิน!BM71"")"),10)</f>
        <v>10</v>
      </c>
      <c r="K681" s="72">
        <f ca="1">IF(I681&gt;0,J681*100/I681,0)</f>
        <v>58.823529411764703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IFERROR(__xludf.DUMMYFUNCTION("IMPORTRANGE(""https://docs.google.com/spreadsheets/d/1eHaY18a8A9IcSdp1K8H6x8fbOy06t2VsZHhMHf-1x7Y/edit?usp=sharing"",""แผน!IS71"")"),0)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hidden="1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hidden="1" x14ac:dyDescent="0.3">
      <c r="A690" s="255"/>
      <c r="B690" s="267"/>
      <c r="C690" s="304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9">IF(L690&gt;0,N690*100/L690,0)</f>
        <v>0</v>
      </c>
      <c r="P690" s="262">
        <f t="shared" ref="P690:P698" si="170"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t="shared" ref="T690:T698" ca="1" si="171">IF(Q690&gt;0,S690*100/Q690,0)</f>
        <v>0</v>
      </c>
      <c r="U690" s="262">
        <f t="shared" ref="U690:U698" ca="1" si="172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3">L694+L697</f>
        <v>0</v>
      </c>
      <c r="M691" s="75">
        <f t="shared" si="173"/>
        <v>0</v>
      </c>
      <c r="N691" s="75">
        <f t="shared" si="173"/>
        <v>0</v>
      </c>
      <c r="O691" s="75">
        <f t="shared" si="169"/>
        <v>0</v>
      </c>
      <c r="P691" s="75">
        <f t="shared" si="170"/>
        <v>0</v>
      </c>
      <c r="Q691" s="75">
        <f t="shared" ref="Q691:S692" si="174">Q694+Q697</f>
        <v>0</v>
      </c>
      <c r="R691" s="75">
        <f t="shared" si="174"/>
        <v>0</v>
      </c>
      <c r="S691" s="75">
        <f t="shared" si="174"/>
        <v>0</v>
      </c>
      <c r="T691" s="75">
        <f t="shared" si="171"/>
        <v>0</v>
      </c>
      <c r="U691" s="75">
        <f t="shared" si="172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3"/>
        <v>0</v>
      </c>
      <c r="M692" s="72">
        <f t="shared" si="173"/>
        <v>0</v>
      </c>
      <c r="N692" s="72">
        <f t="shared" si="173"/>
        <v>0</v>
      </c>
      <c r="O692" s="72">
        <f t="shared" si="169"/>
        <v>0</v>
      </c>
      <c r="P692" s="72">
        <f t="shared" si="170"/>
        <v>0</v>
      </c>
      <c r="Q692" s="72">
        <f t="shared" ca="1" si="174"/>
        <v>0</v>
      </c>
      <c r="R692" s="72">
        <f t="shared" ca="1" si="174"/>
        <v>0</v>
      </c>
      <c r="S692" s="72">
        <f t="shared" ca="1" si="174"/>
        <v>0</v>
      </c>
      <c r="T692" s="72">
        <f t="shared" ca="1" si="171"/>
        <v>0</v>
      </c>
      <c r="U692" s="72">
        <f t="shared" ca="1" si="172"/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9"/>
        <v>0</v>
      </c>
      <c r="P693" s="72">
        <f t="shared" si="170"/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t="shared" ca="1" si="171"/>
        <v>0</v>
      </c>
      <c r="U693" s="72">
        <f t="shared" ca="1" si="172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9"/>
        <v>0</v>
      </c>
      <c r="P694" s="75">
        <f t="shared" si="170"/>
        <v>0</v>
      </c>
      <c r="Q694" s="75">
        <v>0</v>
      </c>
      <c r="R694" s="75">
        <v>0</v>
      </c>
      <c r="S694" s="75">
        <v>0</v>
      </c>
      <c r="T694" s="75">
        <f t="shared" si="171"/>
        <v>0</v>
      </c>
      <c r="U694" s="75">
        <f t="shared" si="172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9"/>
        <v>0</v>
      </c>
      <c r="P695" s="72">
        <f t="shared" si="170"/>
        <v>0</v>
      </c>
      <c r="Q695" s="72">
        <f ca="1">IFERROR(__xludf.DUMMYFUNCTION("IMPORTRANGE(""https://docs.google.com/spreadsheets/d/1ItG2mGa2ceCfYo0BwxsXqNm01IGEUdYcSSLTEv9YCik/edit?usp=sharing"",""เบิกจ่ายกองทุน!L71"")"),0)</f>
        <v>0</v>
      </c>
      <c r="R695" s="72">
        <f ca="1">IFERROR(__xludf.DUMMYFUNCTION("IMPORTRANGE(""https://docs.google.com/spreadsheets/d/1ItG2mGa2ceCfYo0BwxsXqNm01IGEUdYcSSLTEv9YCik/edit?usp=sharing"",""เบิกจ่ายกองทุน!M71"")"),0)</f>
        <v>0</v>
      </c>
      <c r="S695" s="72">
        <f ca="1">IFERROR(__xludf.DUMMYFUNCTION("IMPORTRANGE(""https://docs.google.com/spreadsheets/d/1ItG2mGa2ceCfYo0BwxsXqNm01IGEUdYcSSLTEv9YCik/edit?usp=sharing"",""เบิกจ่ายกองทุน!N71"")"),0)</f>
        <v>0</v>
      </c>
      <c r="T695" s="72">
        <f t="shared" ca="1" si="171"/>
        <v>0</v>
      </c>
      <c r="U695" s="72">
        <f t="shared" ca="1" si="172"/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9"/>
        <v>0</v>
      </c>
      <c r="P696" s="72">
        <f t="shared" si="170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71"/>
        <v>0</v>
      </c>
      <c r="U696" s="72">
        <f t="shared" si="172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9"/>
        <v>0</v>
      </c>
      <c r="P697" s="75">
        <f t="shared" si="170"/>
        <v>0</v>
      </c>
      <c r="Q697" s="75">
        <v>0</v>
      </c>
      <c r="R697" s="75">
        <v>0</v>
      </c>
      <c r="S697" s="75">
        <v>0</v>
      </c>
      <c r="T697" s="75">
        <f t="shared" si="171"/>
        <v>0</v>
      </c>
      <c r="U697" s="75">
        <f t="shared" si="172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9"/>
        <v>0</v>
      </c>
      <c r="P698" s="72">
        <f t="shared" si="170"/>
        <v>0</v>
      </c>
      <c r="Q698" s="72">
        <v>0</v>
      </c>
      <c r="R698" s="72">
        <v>0</v>
      </c>
      <c r="S698" s="72">
        <v>0</v>
      </c>
      <c r="T698" s="72">
        <f t="shared" si="171"/>
        <v>0</v>
      </c>
      <c r="U698" s="72">
        <f t="shared" si="172"/>
        <v>0</v>
      </c>
    </row>
    <row r="699" spans="1:21" ht="19.5" hidden="1" x14ac:dyDescent="0.3">
      <c r="A699" s="274"/>
      <c r="B699" s="275"/>
      <c r="C699" s="304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IFERROR(__xludf.DUMMYFUNCTION("IMPORTRANGE(""https://docs.google.com/spreadsheets/d/1eHaY18a8A9IcSdp1K8H6x8fbOy06t2VsZHhMHf-1x7Y/edit?usp=sharing"",""แผน!LC71"")"),0)</f>
        <v>0</v>
      </c>
      <c r="J700" s="292">
        <v>0</v>
      </c>
      <c r="K700" s="746">
        <f t="shared" ref="K700:K710" ca="1" si="175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0</v>
      </c>
      <c r="J701" s="601">
        <f ca="1">J703+J705</f>
        <v>0</v>
      </c>
      <c r="K701" s="262">
        <f t="shared" ca="1" si="175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5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IFERROR(__xludf.DUMMYFUNCTION("IMPORTRANGE(""https://docs.google.com/spreadsheets/d/1eHaY18a8A9IcSdp1K8H6x8fbOy06t2VsZHhMHf-1x7Y/edit?usp=sharing"",""แผน!LJ71"")"),0)</f>
        <v>0</v>
      </c>
      <c r="J703" s="291">
        <f ca="1">IFERROR(__xludf.DUMMYFUNCTION("IMPORTRANGE(""https://docs.google.com/spreadsheets/d/1tdoBKaGub7dwA3U6UFTqxio9LNnvDCQjHKmttSEBsFQ/edit?usp=sharing"",""จัดที่ดิน!AP71"")"),0)</f>
        <v>0</v>
      </c>
      <c r="K703" s="72">
        <f t="shared" ca="1" si="175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IFERROR(__xludf.DUMMYFUNCTION("IMPORTRANGE(""https://docs.google.com/spreadsheets/d/1tdoBKaGub7dwA3U6UFTqxio9LNnvDCQjHKmttSEBsFQ/edit?usp=sharing"",""จัดที่ดิน!AQ71"")"),0)</f>
        <v>0</v>
      </c>
      <c r="K704" s="72">
        <f t="shared" si="175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IFERROR(__xludf.DUMMYFUNCTION("IMPORTRANGE(""https://docs.google.com/spreadsheets/d/1eHaY18a8A9IcSdp1K8H6x8fbOy06t2VsZHhMHf-1x7Y/edit?usp=sharing"",""แผน!LK71"")"),0)</f>
        <v>0</v>
      </c>
      <c r="J705" s="291">
        <f ca="1">IFERROR(__xludf.DUMMYFUNCTION("IMPORTRANGE(""https://docs.google.com/spreadsheets/d/1tdoBKaGub7dwA3U6UFTqxio9LNnvDCQjHKmttSEBsFQ/edit?usp=sharing"",""จัดที่ดิน!AR71"")"),0)</f>
        <v>0</v>
      </c>
      <c r="K705" s="746">
        <f t="shared" ca="1" si="175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IFERROR(__xludf.DUMMYFUNCTION("IMPORTRANGE(""https://docs.google.com/spreadsheets/d/1tdoBKaGub7dwA3U6UFTqxio9LNnvDCQjHKmttSEBsFQ/edit?usp=sharing"",""จัดที่ดิน!AS71"")"),0)</f>
        <v>0</v>
      </c>
      <c r="K706" s="72">
        <f t="shared" si="175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IFERROR(__xludf.DUMMYFUNCTION("IMPORTRANGE(""https://docs.google.com/spreadsheets/d/1eHaY18a8A9IcSdp1K8H6x8fbOy06t2VsZHhMHf-1x7Y/edit?usp=sharing"",""แผน!LJ71"")"),0)</f>
        <v>0</v>
      </c>
      <c r="J707" s="291">
        <f ca="1">IFERROR(__xludf.DUMMYFUNCTION("IMPORTRANGE(""https://docs.google.com/spreadsheets/d/1tdoBKaGub7dwA3U6UFTqxio9LNnvDCQjHKmttSEBsFQ/edit?usp=sharing"",""จัดที่ดิน!BN71"")"),0)</f>
        <v>0</v>
      </c>
      <c r="K707" s="72">
        <f t="shared" ca="1" si="175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IFERROR(__xludf.DUMMYFUNCTION("IMPORTRANGE(""https://docs.google.com/spreadsheets/d/1tdoBKaGub7dwA3U6UFTqxio9LNnvDCQjHKmttSEBsFQ/edit?usp=sharing"",""จัดที่ดิน!BO71"")"),0)</f>
        <v>0</v>
      </c>
      <c r="K708" s="72">
        <f t="shared" si="175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IFERROR(__xludf.DUMMYFUNCTION("IMPORTRANGE(""https://docs.google.com/spreadsheets/d/1eHaY18a8A9IcSdp1K8H6x8fbOy06t2VsZHhMHf-1x7Y/edit?usp=sharing"",""แผน!LK71"")"),0)</f>
        <v>0</v>
      </c>
      <c r="J709" s="291">
        <f ca="1">IFERROR(__xludf.DUMMYFUNCTION("IMPORTRANGE(""https://docs.google.com/spreadsheets/d/1tdoBKaGub7dwA3U6UFTqxio9LNnvDCQjHKmttSEBsFQ/edit?usp=sharing"",""จัดที่ดิน!BP71"")"),0)</f>
        <v>0</v>
      </c>
      <c r="K709" s="72">
        <f t="shared" ca="1" si="175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IFERROR(__xludf.DUMMYFUNCTION("IMPORTRANGE(""https://docs.google.com/spreadsheets/d/1tdoBKaGub7dwA3U6UFTqxio9LNnvDCQjHKmttSEBsFQ/edit?usp=sharing"",""จัดที่ดิน!BQ71"")"),0)</f>
        <v>0</v>
      </c>
      <c r="K710" s="72">
        <f t="shared" si="175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6">IF(L714&gt;0,N714*100/L714,0)</f>
        <v>0</v>
      </c>
      <c r="P714" s="262">
        <f t="shared" ref="P714:P722" si="177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8">IF(Q714&gt;0,S714*100/Q714,0)</f>
        <v>0</v>
      </c>
      <c r="U714" s="262">
        <f t="shared" ref="U714:U722" si="179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80">L718+L721</f>
        <v>0</v>
      </c>
      <c r="M715" s="75">
        <f t="shared" si="180"/>
        <v>0</v>
      </c>
      <c r="N715" s="75">
        <f t="shared" si="180"/>
        <v>0</v>
      </c>
      <c r="O715" s="75">
        <f t="shared" si="176"/>
        <v>0</v>
      </c>
      <c r="P715" s="75">
        <f t="shared" si="177"/>
        <v>0</v>
      </c>
      <c r="Q715" s="75">
        <f t="shared" ref="Q715:S716" si="181">Q718+Q721</f>
        <v>0</v>
      </c>
      <c r="R715" s="75">
        <f t="shared" si="181"/>
        <v>0</v>
      </c>
      <c r="S715" s="75">
        <f t="shared" si="181"/>
        <v>0</v>
      </c>
      <c r="T715" s="75">
        <f t="shared" si="178"/>
        <v>0</v>
      </c>
      <c r="U715" s="75">
        <f t="shared" si="179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80"/>
        <v>0</v>
      </c>
      <c r="M716" s="72">
        <f t="shared" si="180"/>
        <v>0</v>
      </c>
      <c r="N716" s="72">
        <f t="shared" si="180"/>
        <v>0</v>
      </c>
      <c r="O716" s="72">
        <f t="shared" si="176"/>
        <v>0</v>
      </c>
      <c r="P716" s="72">
        <f t="shared" si="177"/>
        <v>0</v>
      </c>
      <c r="Q716" s="72">
        <f t="shared" si="181"/>
        <v>0</v>
      </c>
      <c r="R716" s="72">
        <f t="shared" si="181"/>
        <v>0</v>
      </c>
      <c r="S716" s="72">
        <f t="shared" si="181"/>
        <v>0</v>
      </c>
      <c r="T716" s="72">
        <f t="shared" si="178"/>
        <v>0</v>
      </c>
      <c r="U716" s="72">
        <f t="shared" si="179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6"/>
        <v>0</v>
      </c>
      <c r="P717" s="72">
        <f t="shared" si="177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8"/>
        <v>0</v>
      </c>
      <c r="U717" s="72">
        <f t="shared" si="179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6"/>
        <v>0</v>
      </c>
      <c r="P718" s="75">
        <f t="shared" si="177"/>
        <v>0</v>
      </c>
      <c r="Q718" s="75">
        <v>0</v>
      </c>
      <c r="R718" s="75">
        <v>0</v>
      </c>
      <c r="S718" s="75">
        <v>0</v>
      </c>
      <c r="T718" s="75">
        <f t="shared" si="178"/>
        <v>0</v>
      </c>
      <c r="U718" s="75">
        <f t="shared" si="179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6"/>
        <v>0</v>
      </c>
      <c r="P719" s="72">
        <f t="shared" si="177"/>
        <v>0</v>
      </c>
      <c r="Q719" s="72">
        <v>0</v>
      </c>
      <c r="R719" s="72">
        <v>0</v>
      </c>
      <c r="S719" s="72">
        <v>0</v>
      </c>
      <c r="T719" s="72">
        <f t="shared" si="178"/>
        <v>0</v>
      </c>
      <c r="U719" s="72">
        <f t="shared" si="179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6"/>
        <v>0</v>
      </c>
      <c r="P720" s="72">
        <f t="shared" si="177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8"/>
        <v>0</v>
      </c>
      <c r="U720" s="72">
        <f t="shared" si="179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6"/>
        <v>0</v>
      </c>
      <c r="P721" s="75">
        <f t="shared" si="177"/>
        <v>0</v>
      </c>
      <c r="Q721" s="75">
        <v>0</v>
      </c>
      <c r="R721" s="75">
        <v>0</v>
      </c>
      <c r="S721" s="75">
        <v>0</v>
      </c>
      <c r="T721" s="75">
        <f t="shared" si="178"/>
        <v>0</v>
      </c>
      <c r="U721" s="75">
        <f t="shared" si="179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6"/>
        <v>0</v>
      </c>
      <c r="P722" s="72">
        <f t="shared" si="177"/>
        <v>0</v>
      </c>
      <c r="Q722" s="72">
        <v>0</v>
      </c>
      <c r="R722" s="72">
        <v>0</v>
      </c>
      <c r="S722" s="72">
        <v>0</v>
      </c>
      <c r="T722" s="72">
        <f t="shared" si="178"/>
        <v>0</v>
      </c>
      <c r="U722" s="72">
        <f t="shared" si="179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IFERROR(__xludf.DUMMYFUNCTION("IMPORTRANGE(""https://docs.google.com/spreadsheets/d/1eHaY18a8A9IcSdp1K8H6x8fbOy06t2VsZHhMHf-1x7Y/edit?usp=sharing"",""แผน!FZ71"")"),0)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IFERROR(__xludf.DUMMYFUNCTION("IMPORTRANGE(""https://docs.google.com/spreadsheets/d/1eHaY18a8A9IcSdp1K8H6x8fbOy06t2VsZHhMHf-1x7Y/edit?usp=sharing"",""แผน!GA71"")"),0)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2">IF(L728&gt;0,N728*100/L728,0)</f>
        <v>0</v>
      </c>
      <c r="P728" s="262">
        <f t="shared" ref="P728:P736" si="183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4">IF(Q728&gt;0,S728*100/Q728,0)</f>
        <v>0</v>
      </c>
      <c r="U728" s="262">
        <f t="shared" ref="U728:U736" ca="1" si="185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6">L732+L735</f>
        <v>0</v>
      </c>
      <c r="M729" s="75">
        <f t="shared" si="186"/>
        <v>0</v>
      </c>
      <c r="N729" s="75">
        <f t="shared" si="186"/>
        <v>0</v>
      </c>
      <c r="O729" s="75">
        <f t="shared" si="182"/>
        <v>0</v>
      </c>
      <c r="P729" s="75">
        <f t="shared" si="183"/>
        <v>0</v>
      </c>
      <c r="Q729" s="75">
        <f t="shared" ref="Q729:S730" si="187">Q732+Q735</f>
        <v>0</v>
      </c>
      <c r="R729" s="75">
        <f t="shared" si="187"/>
        <v>0</v>
      </c>
      <c r="S729" s="75">
        <f t="shared" si="187"/>
        <v>0</v>
      </c>
      <c r="T729" s="75">
        <f t="shared" si="184"/>
        <v>0</v>
      </c>
      <c r="U729" s="75">
        <f t="shared" si="185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6"/>
        <v>0</v>
      </c>
      <c r="M730" s="72">
        <f t="shared" si="186"/>
        <v>0</v>
      </c>
      <c r="N730" s="72">
        <f t="shared" si="186"/>
        <v>0</v>
      </c>
      <c r="O730" s="72">
        <f t="shared" si="182"/>
        <v>0</v>
      </c>
      <c r="P730" s="72">
        <f t="shared" si="183"/>
        <v>0</v>
      </c>
      <c r="Q730" s="72">
        <f t="shared" ca="1" si="187"/>
        <v>0</v>
      </c>
      <c r="R730" s="72">
        <f t="shared" ca="1" si="187"/>
        <v>0</v>
      </c>
      <c r="S730" s="72">
        <f t="shared" ca="1" si="187"/>
        <v>0</v>
      </c>
      <c r="T730" s="72">
        <f t="shared" ca="1" si="184"/>
        <v>0</v>
      </c>
      <c r="U730" s="72">
        <f t="shared" ca="1" si="185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2"/>
        <v>0</v>
      </c>
      <c r="P731" s="72">
        <f t="shared" si="183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4"/>
        <v>0</v>
      </c>
      <c r="U731" s="72">
        <f t="shared" ca="1" si="185"/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2"/>
        <v>0</v>
      </c>
      <c r="P732" s="75">
        <f t="shared" si="183"/>
        <v>0</v>
      </c>
      <c r="Q732" s="75">
        <v>0</v>
      </c>
      <c r="R732" s="75">
        <v>0</v>
      </c>
      <c r="S732" s="75">
        <v>0</v>
      </c>
      <c r="T732" s="75">
        <f t="shared" si="184"/>
        <v>0</v>
      </c>
      <c r="U732" s="75">
        <f t="shared" si="185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2"/>
        <v>0</v>
      </c>
      <c r="P733" s="72">
        <f t="shared" si="183"/>
        <v>0</v>
      </c>
      <c r="Q733" s="72">
        <f ca="1">IFERROR(__xludf.DUMMYFUNCTION("IMPORTRANGE(""https://docs.google.com/spreadsheets/d/1ItG2mGa2ceCfYo0BwxsXqNm01IGEUdYcSSLTEv9YCik/edit?usp=sharing"",""เบิกจ่ายกองทุน!O71"")"),0)</f>
        <v>0</v>
      </c>
      <c r="R733" s="72">
        <f ca="1">IFERROR(__xludf.DUMMYFUNCTION("IMPORTRANGE(""https://docs.google.com/spreadsheets/d/1ItG2mGa2ceCfYo0BwxsXqNm01IGEUdYcSSLTEv9YCik/edit?usp=sharing"",""เบิกจ่ายกองทุน!P71"")"),0)</f>
        <v>0</v>
      </c>
      <c r="S733" s="72">
        <f ca="1">IFERROR(__xludf.DUMMYFUNCTION("IMPORTRANGE(""https://docs.google.com/spreadsheets/d/1ItG2mGa2ceCfYo0BwxsXqNm01IGEUdYcSSLTEv9YCik/edit?usp=sharing"",""เบิกจ่ายกองทุน!Q71"")"),0)</f>
        <v>0</v>
      </c>
      <c r="T733" s="72">
        <f t="shared" ca="1" si="184"/>
        <v>0</v>
      </c>
      <c r="U733" s="72">
        <f t="shared" ca="1" si="185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2"/>
        <v>0</v>
      </c>
      <c r="P734" s="72">
        <f t="shared" si="183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4"/>
        <v>0</v>
      </c>
      <c r="U734" s="72">
        <f t="shared" si="185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2"/>
        <v>0</v>
      </c>
      <c r="P735" s="75">
        <f t="shared" si="183"/>
        <v>0</v>
      </c>
      <c r="Q735" s="75">
        <v>0</v>
      </c>
      <c r="R735" s="75">
        <v>0</v>
      </c>
      <c r="S735" s="75">
        <v>0</v>
      </c>
      <c r="T735" s="75">
        <f t="shared" si="184"/>
        <v>0</v>
      </c>
      <c r="U735" s="75">
        <f t="shared" si="185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2"/>
        <v>0</v>
      </c>
      <c r="P736" s="72">
        <f t="shared" si="183"/>
        <v>0</v>
      </c>
      <c r="Q736" s="72">
        <v>0</v>
      </c>
      <c r="R736" s="72">
        <v>0</v>
      </c>
      <c r="S736" s="72">
        <v>0</v>
      </c>
      <c r="T736" s="72">
        <f t="shared" si="184"/>
        <v>0</v>
      </c>
      <c r="U736" s="72">
        <f t="shared" si="185"/>
        <v>0</v>
      </c>
    </row>
    <row r="737" spans="1:21" ht="19.5" hidden="1" x14ac:dyDescent="0.3">
      <c r="A737" s="274"/>
      <c r="B737" s="275"/>
      <c r="C737" s="304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IFERROR(__xludf.DUMMYFUNCTION("IMPORTRANGE(""https://docs.google.com/spreadsheets/d/1eHaY18a8A9IcSdp1K8H6x8fbOy06t2VsZHhMHf-1x7Y/edit?usp=sharing"",""แผน!GB71"")"),0)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IFERROR(__xludf.DUMMYFUNCTION("IMPORTRANGE(""https://docs.google.com/spreadsheets/d/1eHaY18a8A9IcSdp1K8H6x8fbOy06t2VsZHhMHf-1x7Y/edit?usp=sharing"",""แผน!GC71"")"),0)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IFERROR(__xludf.DUMMYFUNCTION("IMPORTRANGE(""https://docs.google.com/spreadsheets/d/1eHaY18a8A9IcSdp1K8H6x8fbOy06t2VsZHhMHf-1x7Y/edit?usp=sharing"",""แผน!GD71"")"),0)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IFERROR(__xludf.DUMMYFUNCTION("IMPORTRANGE(""https://docs.google.com/spreadsheets/d/1eHaY18a8A9IcSdp1K8H6x8fbOy06t2VsZHhMHf-1x7Y/edit?usp=sharing"",""แผน!GE71"")"),0)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IFERROR(__xludf.DUMMYFUNCTION("IMPORTRANGE(""https://docs.google.com/spreadsheets/d/1eHaY18a8A9IcSdp1K8H6x8fbOy06t2VsZHhMHf-1x7Y/edit?usp=sharing"",""แผน!GF71"")"),0)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IFERROR(__xludf.DUMMYFUNCTION("IMPORTRANGE(""https://docs.google.com/spreadsheets/d/1eHaY18a8A9IcSdp1K8H6x8fbOy06t2VsZHhMHf-1x7Y/edit?usp=sharing"",""แผน!GC71"")"),0)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IFERROR(__xludf.DUMMYFUNCTION("IMPORTRANGE(""https://docs.google.com/spreadsheets/d/1eHaY18a8A9IcSdp1K8H6x8fbOy06t2VsZHhMHf-1x7Y/edit?usp=sharing"",""แผน!GE71"")"),0)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8">IF(L760&gt;0,N760*100/L760,0)</f>
        <v>0</v>
      </c>
      <c r="P760" s="262">
        <f t="shared" ref="P760:P768" si="189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90">IF(Q760&gt;0,S760*100/Q760,0)</f>
        <v>0</v>
      </c>
      <c r="U760" s="262">
        <f t="shared" ref="U760:U768" ca="1" si="191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2">L764+L767</f>
        <v>0</v>
      </c>
      <c r="M761" s="75">
        <f t="shared" si="192"/>
        <v>0</v>
      </c>
      <c r="N761" s="75">
        <f t="shared" si="192"/>
        <v>0</v>
      </c>
      <c r="O761" s="75">
        <f t="shared" si="188"/>
        <v>0</v>
      </c>
      <c r="P761" s="75">
        <f t="shared" si="189"/>
        <v>0</v>
      </c>
      <c r="Q761" s="75">
        <f t="shared" ref="Q761:S762" si="193">Q764+Q767</f>
        <v>0</v>
      </c>
      <c r="R761" s="75">
        <f t="shared" si="193"/>
        <v>0</v>
      </c>
      <c r="S761" s="75">
        <f t="shared" si="193"/>
        <v>0</v>
      </c>
      <c r="T761" s="75">
        <f t="shared" si="190"/>
        <v>0</v>
      </c>
      <c r="U761" s="75">
        <f t="shared" si="191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2"/>
        <v>0</v>
      </c>
      <c r="M762" s="72">
        <f t="shared" si="192"/>
        <v>0</v>
      </c>
      <c r="N762" s="72">
        <f t="shared" si="192"/>
        <v>0</v>
      </c>
      <c r="O762" s="72">
        <f t="shared" si="188"/>
        <v>0</v>
      </c>
      <c r="P762" s="72">
        <f t="shared" si="189"/>
        <v>0</v>
      </c>
      <c r="Q762" s="72">
        <f t="shared" ca="1" si="193"/>
        <v>0</v>
      </c>
      <c r="R762" s="72">
        <f t="shared" ca="1" si="193"/>
        <v>0</v>
      </c>
      <c r="S762" s="72">
        <f t="shared" ca="1" si="193"/>
        <v>0</v>
      </c>
      <c r="T762" s="72">
        <f t="shared" ca="1" si="190"/>
        <v>0</v>
      </c>
      <c r="U762" s="72">
        <f t="shared" ca="1" si="191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8"/>
        <v>0</v>
      </c>
      <c r="P763" s="72">
        <f t="shared" si="189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90"/>
        <v>0</v>
      </c>
      <c r="U763" s="72">
        <f t="shared" ca="1" si="191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8"/>
        <v>0</v>
      </c>
      <c r="P764" s="75">
        <f t="shared" si="189"/>
        <v>0</v>
      </c>
      <c r="Q764" s="75">
        <v>0</v>
      </c>
      <c r="R764" s="75">
        <v>0</v>
      </c>
      <c r="S764" s="75">
        <v>0</v>
      </c>
      <c r="T764" s="75">
        <f t="shared" si="190"/>
        <v>0</v>
      </c>
      <c r="U764" s="75">
        <f t="shared" si="191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8"/>
        <v>0</v>
      </c>
      <c r="P765" s="72">
        <f t="shared" si="189"/>
        <v>0</v>
      </c>
      <c r="Q765" s="72">
        <f ca="1">IFERROR(__xludf.DUMMYFUNCTION("IMPORTRANGE(""https://docs.google.com/spreadsheets/d/1ItG2mGa2ceCfYo0BwxsXqNm01IGEUdYcSSLTEv9YCik/edit?usp=sharing"",""เบิกจ่ายกองทุน!AA71"")"),0)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IFERROR(__xludf.DUMMYFUNCTION("IMPORTRANGE(""https://docs.google.com/spreadsheets/d/1ItG2mGa2ceCfYo0BwxsXqNm01IGEUdYcSSLTEv9YCik/edit?usp=sharing"",""เบิกจ่ายกองทุน!AB71"")"),0)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IFERROR(__xludf.DUMMYFUNCTION("IMPORTRANGE(""https://docs.google.com/spreadsheets/d/1ItG2mGa2ceCfYo0BwxsXqNm01IGEUdYcSSLTEv9YCik/edit?usp=sharing"",""เบิกจ่ายกองทุน!AC71"")"),0)</f>
        <v>0</v>
      </c>
      <c r="T765" s="72">
        <f t="shared" ca="1" si="190"/>
        <v>0</v>
      </c>
      <c r="U765" s="72">
        <f t="shared" ca="1" si="191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8"/>
        <v>0</v>
      </c>
      <c r="P766" s="72">
        <f t="shared" si="189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90"/>
        <v>0</v>
      </c>
      <c r="U766" s="72">
        <f t="shared" si="191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8"/>
        <v>0</v>
      </c>
      <c r="P767" s="75">
        <f t="shared" si="189"/>
        <v>0</v>
      </c>
      <c r="Q767" s="75">
        <v>0</v>
      </c>
      <c r="R767" s="75">
        <v>0</v>
      </c>
      <c r="S767" s="75">
        <v>0</v>
      </c>
      <c r="T767" s="75">
        <f t="shared" si="190"/>
        <v>0</v>
      </c>
      <c r="U767" s="75">
        <f t="shared" si="191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8"/>
        <v>0</v>
      </c>
      <c r="P768" s="72">
        <f t="shared" si="189"/>
        <v>0</v>
      </c>
      <c r="Q768" s="72">
        <v>0</v>
      </c>
      <c r="R768" s="72">
        <v>0</v>
      </c>
      <c r="S768" s="72">
        <v>0</v>
      </c>
      <c r="T768" s="72">
        <f t="shared" si="190"/>
        <v>0</v>
      </c>
      <c r="U768" s="72">
        <f t="shared" si="191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IFERROR(__xludf.DUMMYFUNCTION("IMPORTRANGE(""https://docs.google.com/spreadsheets/d/1eHaY18a8A9IcSdp1K8H6x8fbOy06t2VsZHhMHf-1x7Y/edit?usp=sharing"",""แผน!FI71"")"),0)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IFERROR(__xludf.DUMMYFUNCTION("IMPORTRANGE(""https://docs.google.com/spreadsheets/d/1eHaY18a8A9IcSdp1K8H6x8fbOy06t2VsZHhMHf-1x7Y/edit?usp=sharing"",""แผน!FQ71"")"),0)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IFERROR(__xludf.DUMMYFUNCTION("IMPORTRANGE(""https://docs.google.com/spreadsheets/d/1eHaY18a8A9IcSdp1K8H6x8fbOy06t2VsZHhMHf-1x7Y/edit?usp=sharing"",""แผน!FR71"")"),0)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IFERROR(__xludf.DUMMYFUNCTION("IMPORTRANGE(""https://docs.google.com/spreadsheets/d/1eHaY18a8A9IcSdp1K8H6x8fbOy06t2VsZHhMHf-1x7Y/edit?usp=sharing"",""แผน!FS71"")"),0)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IFERROR(__xludf.DUMMYFUNCTION("IMPORTRANGE(""https://docs.google.com/spreadsheets/d/1eHaY18a8A9IcSdp1K8H6x8fbOy06t2VsZHhMHf-1x7Y/edit?usp=sharing"",""แผน!FT71"")"),0)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IFERROR(__xludf.DUMMYFUNCTION("IMPORTRANGE(""https://docs.google.com/spreadsheets/d/10OvvATaaLtwErnr3qtWFcTmtbfpFEt5Bsqel9sXx0uE/edit?usp=sharing"",""งานกองทุน!D71"")"),0)</f>
        <v>0</v>
      </c>
      <c r="J778" s="291">
        <f ca="1">IFERROR(__xludf.DUMMYFUNCTION("IMPORTRANGE(""https://docs.google.com/spreadsheets/d/10OvvATaaLtwErnr3qtWFcTmtbfpFEt5Bsqel9sXx0uE/edit?usp=sharing"",""งานกองทุน!F71"")"),20000)</f>
        <v>20000</v>
      </c>
      <c r="K778" s="72">
        <f t="shared" ref="K778:K785" ca="1" si="194">IF(I778&gt;0,J778*100/I778,0)</f>
        <v>0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IFERROR(__xludf.DUMMYFUNCTION("IMPORTRANGE(""https://docs.google.com/spreadsheets/d/10OvvATaaLtwErnr3qtWFcTmtbfpFEt5Bsqel9sXx0uE/edit?usp=sharing"",""งานกองทุน!C71"")"),0)</f>
        <v>0</v>
      </c>
      <c r="J779" s="291">
        <f ca="1">IFERROR(__xludf.DUMMYFUNCTION("IMPORTRANGE(""https://docs.google.com/spreadsheets/d/10OvvATaaLtwErnr3qtWFcTmtbfpFEt5Bsqel9sXx0uE/edit?usp=sharing"",""งานกองทุน!E71"")"),1)</f>
        <v>1</v>
      </c>
      <c r="K779" s="72">
        <f t="shared" ca="1" si="194"/>
        <v>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IFERROR(__xludf.DUMMYFUNCTION("IMPORTRANGE(""https://docs.google.com/spreadsheets/d/10OvvATaaLtwErnr3qtWFcTmtbfpFEt5Bsqel9sXx0uE/edit?usp=sharing"",""งานกองทุน!I71"")"),0)</f>
        <v>0</v>
      </c>
      <c r="J780" s="291">
        <f ca="1">IFERROR(__xludf.DUMMYFUNCTION("IMPORTRANGE(""https://docs.google.com/spreadsheets/d/10OvvATaaLtwErnr3qtWFcTmtbfpFEt5Bsqel9sXx0uE/edit?usp=sharing"",""งานกองทุน!K71"")"),0)</f>
        <v>0</v>
      </c>
      <c r="K780" s="72">
        <f t="shared" ca="1" si="194"/>
        <v>0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IFERROR(__xludf.DUMMYFUNCTION("IMPORTRANGE(""https://docs.google.com/spreadsheets/d/10OvvATaaLtwErnr3qtWFcTmtbfpFEt5Bsqel9sXx0uE/edit?usp=sharing"",""งานกองทุน!H71"")"),0)</f>
        <v>0</v>
      </c>
      <c r="J781" s="291">
        <f ca="1">IFERROR(__xludf.DUMMYFUNCTION("IMPORTRANGE(""https://docs.google.com/spreadsheets/d/10OvvATaaLtwErnr3qtWFcTmtbfpFEt5Bsqel9sXx0uE/edit?usp=sharing"",""งานกองทุน!J71"")"),0)</f>
        <v>0</v>
      </c>
      <c r="K781" s="72">
        <f t="shared" ca="1" si="194"/>
        <v>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IFERROR(__xludf.DUMMYFUNCTION("IMPORTRANGE(""https://docs.google.com/spreadsheets/d/10OvvATaaLtwErnr3qtWFcTmtbfpFEt5Bsqel9sXx0uE/edit?usp=sharing"",""งานกองทุน!N71"")"),49884.9)</f>
        <v>49884.9</v>
      </c>
      <c r="J782" s="291">
        <f ca="1">IFERROR(__xludf.DUMMYFUNCTION("IMPORTRANGE(""https://docs.google.com/spreadsheets/d/10OvvATaaLtwErnr3qtWFcTmtbfpFEt5Bsqel9sXx0uE/edit?usp=sharing"",""งานกองทุน!P71"")"),32817.62)</f>
        <v>32817.620000000003</v>
      </c>
      <c r="K782" s="72">
        <f t="shared" ca="1" si="194"/>
        <v>65.786680939522782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IFERROR(__xludf.DUMMYFUNCTION("IMPORTRANGE(""https://docs.google.com/spreadsheets/d/10OvvATaaLtwErnr3qtWFcTmtbfpFEt5Bsqel9sXx0uE/edit?usp=sharing"",""งานกองทุน!M71"")"),18)</f>
        <v>18</v>
      </c>
      <c r="J783" s="291">
        <f ca="1">IFERROR(__xludf.DUMMYFUNCTION("IMPORTRANGE(""https://docs.google.com/spreadsheets/d/10OvvATaaLtwErnr3qtWFcTmtbfpFEt5Bsqel9sXx0uE/edit?usp=sharing"",""งานกองทุน!O71"")"),1)</f>
        <v>1</v>
      </c>
      <c r="K783" s="72">
        <f t="shared" ca="1" si="194"/>
        <v>5.5555555555555554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IFERROR(__xludf.DUMMYFUNCTION("IMPORTRANGE(""https://docs.google.com/spreadsheets/d/10OvvATaaLtwErnr3qtWFcTmtbfpFEt5Bsqel9sXx0uE/edit?usp=sharing"",""งานกองทุน!S71"")"),588000)</f>
        <v>588000</v>
      </c>
      <c r="J784" s="291">
        <f ca="1">IFERROR(__xludf.DUMMYFUNCTION("IMPORTRANGE(""https://docs.google.com/spreadsheets/d/10OvvATaaLtwErnr3qtWFcTmtbfpFEt5Bsqel9sXx0uE/edit?usp=sharing"",""งานกองทุน!U71"")"),0)</f>
        <v>0</v>
      </c>
      <c r="K784" s="72">
        <f t="shared" ca="1" si="194"/>
        <v>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IFERROR(__xludf.DUMMYFUNCTION("IMPORTRANGE(""https://docs.google.com/spreadsheets/d/10OvvATaaLtwErnr3qtWFcTmtbfpFEt5Bsqel9sXx0uE/edit?usp=sharing"",""งานกองทุน!R71"")"),21)</f>
        <v>21</v>
      </c>
      <c r="J785" s="773">
        <f ca="1">IFERROR(__xludf.DUMMYFUNCTION("IMPORTRANGE(""https://docs.google.com/spreadsheets/d/10OvvATaaLtwErnr3qtWFcTmtbfpFEt5Bsqel9sXx0uE/edit?usp=sharing"",""งานกองทุน!T71"")"),0)</f>
        <v>0</v>
      </c>
      <c r="K785" s="181">
        <f t="shared" ca="1" si="194"/>
        <v>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74E3E-FF49-48F5-8416-3CF03D0B511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366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5" t="s">
        <v>2</v>
      </c>
      <c r="B4" s="1405"/>
      <c r="C4" s="1405"/>
      <c r="D4" s="1405"/>
      <c r="E4" s="1405"/>
      <c r="F4" s="1405"/>
      <c r="G4" s="1406"/>
      <c r="H4" s="1464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4709763</v>
      </c>
      <c r="M18" s="57">
        <f ca="1">M19+M20</f>
        <v>4938974</v>
      </c>
      <c r="N18" s="57">
        <f ca="1">N19+N20</f>
        <v>3784840.13</v>
      </c>
      <c r="O18" s="57">
        <f t="shared" ref="O18:O26" ca="1" si="0">IF(L18&gt;0,N18*100/L18,0)</f>
        <v>80.36158358711468</v>
      </c>
      <c r="P18" s="57">
        <f t="shared" ref="P18:P26" ca="1" si="1">IF(M18&gt;0,N18*100/M18,0)</f>
        <v>76.632112863926793</v>
      </c>
      <c r="Q18" s="57">
        <f ca="1">Q19+Q20</f>
        <v>3245147.24</v>
      </c>
      <c r="R18" s="57">
        <f ca="1">R19+R20</f>
        <v>3256387</v>
      </c>
      <c r="S18" s="57">
        <f ca="1">S19+S20</f>
        <v>1550257</v>
      </c>
      <c r="T18" s="57">
        <f t="shared" ref="T18:T26" ca="1" si="2">IF(Q18&gt;0,S18*100/Q18,0)</f>
        <v>47.771545798951173</v>
      </c>
      <c r="U18" s="57">
        <f t="shared" ref="U18:U26" ca="1" si="3">IF(R18&gt;0,S18*100/R18,0)</f>
        <v>47.606657316836113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4709763</v>
      </c>
      <c r="M20" s="63">
        <f t="shared" ca="1" si="4"/>
        <v>4938974</v>
      </c>
      <c r="N20" s="63">
        <f t="shared" ca="1" si="4"/>
        <v>3784840.13</v>
      </c>
      <c r="O20" s="63">
        <f t="shared" ca="1" si="0"/>
        <v>80.36158358711468</v>
      </c>
      <c r="P20" s="63">
        <f t="shared" ca="1" si="1"/>
        <v>76.632112863926793</v>
      </c>
      <c r="Q20" s="63">
        <f t="shared" ca="1" si="5"/>
        <v>3245147.24</v>
      </c>
      <c r="R20" s="63">
        <f t="shared" ca="1" si="5"/>
        <v>3256387</v>
      </c>
      <c r="S20" s="63">
        <f t="shared" ca="1" si="5"/>
        <v>1550257</v>
      </c>
      <c r="T20" s="63">
        <f t="shared" ca="1" si="2"/>
        <v>47.771545798951173</v>
      </c>
      <c r="U20" s="63">
        <f t="shared" ca="1" si="3"/>
        <v>47.606657316836113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3457763</v>
      </c>
      <c r="M21" s="72">
        <f ca="1">M22+M23</f>
        <v>3727524</v>
      </c>
      <c r="N21" s="72">
        <f ca="1">N22+N23</f>
        <v>2573390.13</v>
      </c>
      <c r="O21" s="72">
        <f t="shared" ca="1" si="0"/>
        <v>74.423554477273314</v>
      </c>
      <c r="P21" s="72">
        <f t="shared" ca="1" si="1"/>
        <v>69.037520080353602</v>
      </c>
      <c r="Q21" s="72">
        <f ca="1">Q22+Q23</f>
        <v>2336147.2400000002</v>
      </c>
      <c r="R21" s="72">
        <f ca="1">R22+R23</f>
        <v>2347387</v>
      </c>
      <c r="S21" s="72">
        <f ca="1">S22+S23</f>
        <v>1550257</v>
      </c>
      <c r="T21" s="72">
        <f t="shared" ca="1" si="2"/>
        <v>66.359558740826614</v>
      </c>
      <c r="U21" s="72">
        <f t="shared" ca="1" si="3"/>
        <v>66.041815857376733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3457763</v>
      </c>
      <c r="M23" s="72">
        <f ca="1">M49+M64+M77+M99+M122+M144+M162+M191+M178+M271+M287+M308+M325+M338+M361+M380+M418+M498+M518+M539+M560+M581+M604+M621+M647+M695+M719+M733+M765</f>
        <v>3727524</v>
      </c>
      <c r="N23" s="72">
        <f ca="1">N49+N64+N77+N99+N122+N144+N162+N191+N178+N271+N287+N308+N325+N338+N361+N380+N418+N498+N518+N539+N560+N581+N604+N621+N647+N695+N719+N733+N765</f>
        <v>2573390.13</v>
      </c>
      <c r="O23" s="72">
        <f t="shared" ca="1" si="0"/>
        <v>74.423554477273314</v>
      </c>
      <c r="P23" s="72">
        <f t="shared" ca="1" si="1"/>
        <v>69.037520080353602</v>
      </c>
      <c r="Q23" s="72">
        <f t="shared" ca="1" si="6"/>
        <v>2336147.2400000002</v>
      </c>
      <c r="R23" s="72">
        <f t="shared" ca="1" si="6"/>
        <v>2347387</v>
      </c>
      <c r="S23" s="72">
        <f t="shared" ca="1" si="6"/>
        <v>1550257</v>
      </c>
      <c r="T23" s="72">
        <f t="shared" ca="1" si="2"/>
        <v>66.359558740826614</v>
      </c>
      <c r="U23" s="72">
        <f t="shared" ca="1" si="3"/>
        <v>66.041815857376733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1252000</v>
      </c>
      <c r="M24" s="72">
        <f ca="1">M25+M26</f>
        <v>1211450</v>
      </c>
      <c r="N24" s="72">
        <f ca="1">N25+N26</f>
        <v>1211450</v>
      </c>
      <c r="O24" s="72">
        <f t="shared" ca="1" si="0"/>
        <v>96.761182108626201</v>
      </c>
      <c r="P24" s="72">
        <f t="shared" ca="1" si="1"/>
        <v>100</v>
      </c>
      <c r="Q24" s="72">
        <f ca="1">Q25+Q26</f>
        <v>909000</v>
      </c>
      <c r="R24" s="72">
        <f ca="1">R25+R26</f>
        <v>909000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1252000</v>
      </c>
      <c r="M26" s="72">
        <f ca="1">M52+M67+M80+M102+M125+M147+M165+M194+M181+M274+M290+M311+M328+M341+M364+M383+M421+M501+M521+M542+M563+M584+M607+M624+M650+M698+M722+M736+M768</f>
        <v>1211450</v>
      </c>
      <c r="N26" s="72">
        <f ca="1">N52+N67+N80+N102+N125+N147+N165+N194+N181+N274+N290+N311+N328+N341+N364+N383+N421+N501+N521+N542+N563+N584+N607+N624+N650+N698+N722+N736+N768</f>
        <v>1211450</v>
      </c>
      <c r="O26" s="72">
        <f t="shared" ca="1" si="0"/>
        <v>96.761182108626201</v>
      </c>
      <c r="P26" s="72">
        <f t="shared" ca="1" si="1"/>
        <v>100</v>
      </c>
      <c r="Q26" s="75">
        <f t="shared" ca="1" si="7"/>
        <v>909000</v>
      </c>
      <c r="R26" s="75">
        <f t="shared" ca="1" si="7"/>
        <v>909000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4537965</v>
      </c>
      <c r="M40" s="1050">
        <f ca="1">M44+M59+M72+M94+M125+M139+M157+M173+M186+M266+M282+M303+M320+M333+M356</f>
        <v>4767176</v>
      </c>
      <c r="N40" s="1050">
        <f ca="1">N44+N59+N72+N94+N125+N139+N157+N173+N186+N266+N282+N303+N320+N333+N356</f>
        <v>3783840.13</v>
      </c>
      <c r="O40" s="1050">
        <f ca="1">IF(L40&gt;0,N40*100/L40,0)</f>
        <v>83.381871169125361</v>
      </c>
      <c r="P40" s="1050">
        <f ca="1">IF(M40&gt;0,N40*100/M40,0)</f>
        <v>79.372780237188636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806750</v>
      </c>
      <c r="M44" s="1031">
        <f ca="1">M45+M46</f>
        <v>873731</v>
      </c>
      <c r="N44" s="1031">
        <f ca="1">N45+N46</f>
        <v>680231</v>
      </c>
      <c r="O44" s="1031">
        <f t="shared" ref="O44:O52" ca="1" si="8">IF(L44&gt;0,N44*100/L44,0)</f>
        <v>84.317446544778434</v>
      </c>
      <c r="P44" s="1031">
        <f t="shared" ref="P44:P52" ca="1" si="9">IF(M44&gt;0,N44*100/M44,0)</f>
        <v>77.853595671894439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806750</v>
      </c>
      <c r="M46" s="1018">
        <f t="shared" ca="1" si="12"/>
        <v>873731</v>
      </c>
      <c r="N46" s="1018">
        <f t="shared" ca="1" si="12"/>
        <v>680231</v>
      </c>
      <c r="O46" s="1018">
        <f t="shared" ca="1" si="8"/>
        <v>84.317446544778434</v>
      </c>
      <c r="P46" s="1018">
        <f t="shared" ca="1" si="9"/>
        <v>77.853595671894439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806750</v>
      </c>
      <c r="M47" s="72">
        <f ca="1">M48+M49</f>
        <v>873731</v>
      </c>
      <c r="N47" s="72">
        <f ca="1">N48+N49</f>
        <v>680231</v>
      </c>
      <c r="O47" s="72">
        <f t="shared" ca="1" si="8"/>
        <v>84.317446544778434</v>
      </c>
      <c r="P47" s="72">
        <f t="shared" ca="1" si="9"/>
        <v>77.853595671894439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IFERROR(__xludf.DUMMYFUNCTION("IMPORTRANGE(""https://docs.google.com/spreadsheets/d/1-uDff_7J0KD5mKrp0Vvzr7lt3OU09vwQwhkpOPPYv2Y/edit?usp=sharing"",""งบพรบ!P72"")"),806750)</f>
        <v>806750</v>
      </c>
      <c r="M49" s="72">
        <f ca="1">IFERROR(__xludf.DUMMYFUNCTION("IMPORTRANGE(""https://docs.google.com/spreadsheets/d/1-uDff_7J0KD5mKrp0Vvzr7lt3OU09vwQwhkpOPPYv2Y/edit?usp=sharing"",""งบพรบ!V72"")"),873731)</f>
        <v>873731</v>
      </c>
      <c r="N49" s="72">
        <f ca="1">IFERROR(__xludf.DUMMYFUNCTION("IMPORTRANGE(""https://docs.google.com/spreadsheets/d/1-uDff_7J0KD5mKrp0Vvzr7lt3OU09vwQwhkpOPPYv2Y/edit?usp=sharing"",""งบพรบ!Y72"")"),680231)</f>
        <v>680231</v>
      </c>
      <c r="O49" s="72">
        <f t="shared" ca="1" si="8"/>
        <v>84.317446544778434</v>
      </c>
      <c r="P49" s="72">
        <f t="shared" ca="1" si="9"/>
        <v>77.853595671894439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IFERROR(__xludf.DUMMYFUNCTION("IMPORTRANGE(""https://docs.google.com/spreadsheets/d/1-uDff_7J0KD5mKrp0Vvzr7lt3OU09vwQwhkpOPPYv2Y/edit?usp=sharing"",""งบพรบ!S72"")"),0)</f>
        <v>0</v>
      </c>
      <c r="M52" s="72">
        <f ca="1">IFERROR(__xludf.DUMMYFUNCTION("IMPORTRANGE(""https://docs.google.com/spreadsheets/d/1-uDff_7J0KD5mKrp0Vvzr7lt3OU09vwQwhkpOPPYv2Y/edit?usp=sharing"",""งบพรบ!W72"")"),0)</f>
        <v>0</v>
      </c>
      <c r="N52" s="72">
        <f ca="1">IFERROR(__xludf.DUMMYFUNCTION("IMPORTRANGE(""https://docs.google.com/spreadsheets/d/1-uDff_7J0KD5mKrp0Vvzr7lt3OU09vwQwhkpOPPYv2Y/edit?usp=sharing"",""งบพรบ!Z72"")"),0)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2113200</v>
      </c>
      <c r="M59" s="1001">
        <f ca="1">M60+M61</f>
        <v>2072650</v>
      </c>
      <c r="N59" s="1001">
        <f ca="1">N60+N61</f>
        <v>1945593</v>
      </c>
      <c r="O59" s="1001">
        <f t="shared" ref="O59:O67" ca="1" si="14">IF(L59&gt;0,N59*100/L59,0)</f>
        <v>92.068568994889262</v>
      </c>
      <c r="P59" s="1001">
        <f t="shared" ref="P59:P67" ca="1" si="15">IF(M59&gt;0,N59*100/M59,0)</f>
        <v>93.869828480447737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2113200</v>
      </c>
      <c r="M61" s="988">
        <f t="shared" ca="1" si="18"/>
        <v>2072650</v>
      </c>
      <c r="N61" s="988">
        <f t="shared" ca="1" si="18"/>
        <v>1945593</v>
      </c>
      <c r="O61" s="988">
        <f t="shared" ca="1" si="14"/>
        <v>92.068568994889262</v>
      </c>
      <c r="P61" s="988">
        <f t="shared" ca="1" si="15"/>
        <v>93.869828480447737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861200</v>
      </c>
      <c r="M62" s="72">
        <f ca="1">M63+M64</f>
        <v>861200</v>
      </c>
      <c r="N62" s="72">
        <f ca="1">N63+N64</f>
        <v>734143</v>
      </c>
      <c r="O62" s="72">
        <f t="shared" ca="1" si="14"/>
        <v>85.246516488620529</v>
      </c>
      <c r="P62" s="72">
        <f t="shared" ca="1" si="15"/>
        <v>85.246516488620529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IFERROR(__xludf.DUMMYFUNCTION("IMPORTRANGE(""https://docs.google.com/spreadsheets/d/1-uDff_7J0KD5mKrp0Vvzr7lt3OU09vwQwhkpOPPYv2Y/edit?usp=sharing"",""งบพรบ!AC72"")"),861200)</f>
        <v>861200</v>
      </c>
      <c r="M64" s="72">
        <f ca="1">IFERROR(__xludf.DUMMYFUNCTION("IMPORTRANGE(""https://docs.google.com/spreadsheets/d/1-uDff_7J0KD5mKrp0Vvzr7lt3OU09vwQwhkpOPPYv2Y/edit?usp=sharing"",""งบพรบ!AH72"")"),861200)</f>
        <v>861200</v>
      </c>
      <c r="N64" s="72">
        <f ca="1">IFERROR(__xludf.DUMMYFUNCTION("IMPORTRANGE(""https://docs.google.com/spreadsheets/d/1-uDff_7J0KD5mKrp0Vvzr7lt3OU09vwQwhkpOPPYv2Y/edit?usp=sharing"",""งบพรบ!AJ72"")"),734143)</f>
        <v>734143</v>
      </c>
      <c r="O64" s="72">
        <f t="shared" ca="1" si="14"/>
        <v>85.246516488620529</v>
      </c>
      <c r="P64" s="72">
        <f t="shared" ca="1" si="15"/>
        <v>85.246516488620529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1252000</v>
      </c>
      <c r="M65" s="72">
        <f ca="1">M66+M67</f>
        <v>1211450</v>
      </c>
      <c r="N65" s="72">
        <f ca="1">N66+N67</f>
        <v>1211450</v>
      </c>
      <c r="O65" s="72">
        <f t="shared" ca="1" si="14"/>
        <v>96.761182108626201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IFERROR(__xludf.DUMMYFUNCTION("IMPORTRANGE(""https://docs.google.com/spreadsheets/d/1-uDff_7J0KD5mKrp0Vvzr7lt3OU09vwQwhkpOPPYv2Y/edit?usp=sharing"",""งบพรบ!AF72"")"),1252000)</f>
        <v>1252000</v>
      </c>
      <c r="M67" s="181">
        <f ca="1">IFERROR(__xludf.DUMMYFUNCTION("IMPORTRANGE(""https://docs.google.com/spreadsheets/d/1-uDff_7J0KD5mKrp0Vvzr7lt3OU09vwQwhkpOPPYv2Y/edit?usp=sharing"",""งบพรบ!AI72"")"),1211450)</f>
        <v>1211450</v>
      </c>
      <c r="N67" s="181">
        <f ca="1">IFERROR(__xludf.DUMMYFUNCTION("IMPORTRANGE(""https://docs.google.com/spreadsheets/d/1-uDff_7J0KD5mKrp0Vvzr7lt3OU09vwQwhkpOPPYv2Y/edit?usp=sharing"",""งบพรบ!AK72"")"),1211450)</f>
        <v>1211450</v>
      </c>
      <c r="O67" s="181">
        <f t="shared" ca="1" si="14"/>
        <v>96.761182108626201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2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94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150000</v>
      </c>
      <c r="M72" s="262">
        <f ca="1">M73+M74</f>
        <v>150000</v>
      </c>
      <c r="N72" s="262">
        <f ca="1">N73+N74</f>
        <v>109699</v>
      </c>
      <c r="O72" s="262">
        <f t="shared" ref="O72:O80" ca="1" si="20">IF(L72&gt;0,N72*100/L72,0)</f>
        <v>73.132666666666665</v>
      </c>
      <c r="P72" s="262">
        <f t="shared" ref="P72:P80" ca="1" si="21">IF(M72&gt;0,N72*100/M72,0)</f>
        <v>73.132666666666665</v>
      </c>
      <c r="Q72" s="262">
        <f ca="1">Q73+Q74</f>
        <v>1881380</v>
      </c>
      <c r="R72" s="262">
        <f ca="1">R73+R74</f>
        <v>1884620</v>
      </c>
      <c r="S72" s="262">
        <f ca="1">S73+S74</f>
        <v>716945</v>
      </c>
      <c r="T72" s="262">
        <f t="shared" ref="T72:T80" ca="1" si="22">IF(Q72&gt;0,S72*100/Q72,0)</f>
        <v>38.10739988731676</v>
      </c>
      <c r="U72" s="262">
        <f t="shared" ref="U72:U80" ca="1" si="23">IF(R72&gt;0,S72*100/R72,0)</f>
        <v>38.041886428033237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150000</v>
      </c>
      <c r="M74" s="72">
        <f t="shared" ca="1" si="24"/>
        <v>150000</v>
      </c>
      <c r="N74" s="72">
        <f t="shared" ca="1" si="24"/>
        <v>109699</v>
      </c>
      <c r="O74" s="72">
        <f t="shared" ca="1" si="20"/>
        <v>73.132666666666665</v>
      </c>
      <c r="P74" s="72">
        <f t="shared" ca="1" si="21"/>
        <v>73.132666666666665</v>
      </c>
      <c r="Q74" s="72">
        <f t="shared" ca="1" si="25"/>
        <v>1881380</v>
      </c>
      <c r="R74" s="72">
        <f t="shared" ca="1" si="25"/>
        <v>1884620</v>
      </c>
      <c r="S74" s="72">
        <f t="shared" ca="1" si="25"/>
        <v>716945</v>
      </c>
      <c r="T74" s="72">
        <f t="shared" ca="1" si="22"/>
        <v>38.10739988731676</v>
      </c>
      <c r="U74" s="72">
        <f t="shared" ca="1" si="23"/>
        <v>38.041886428033237</v>
      </c>
    </row>
    <row r="75" spans="1:21" ht="18.75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150000</v>
      </c>
      <c r="M75" s="72">
        <f ca="1">M76+M77</f>
        <v>150000</v>
      </c>
      <c r="N75" s="72">
        <f ca="1">N76+N77</f>
        <v>109699</v>
      </c>
      <c r="O75" s="72">
        <f t="shared" ca="1" si="20"/>
        <v>73.132666666666665</v>
      </c>
      <c r="P75" s="72">
        <f t="shared" ca="1" si="21"/>
        <v>73.132666666666665</v>
      </c>
      <c r="Q75" s="72">
        <f ca="1">Q76+Q77</f>
        <v>972380</v>
      </c>
      <c r="R75" s="72">
        <f ca="1">R76+R77</f>
        <v>975620</v>
      </c>
      <c r="S75" s="72">
        <f ca="1">S76+S77</f>
        <v>716945</v>
      </c>
      <c r="T75" s="72">
        <f t="shared" ca="1" si="22"/>
        <v>73.73094880602234</v>
      </c>
      <c r="U75" s="72">
        <f t="shared" ca="1" si="23"/>
        <v>73.486090896045596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IFERROR(__xludf.DUMMYFUNCTION("IMPORTRANGE(""https://docs.google.com/spreadsheets/d/1-uDff_7J0KD5mKrp0Vvzr7lt3OU09vwQwhkpOPPYv2Y/edit?usp=sharing"",""งบพรบ!AM72"")"),150000)</f>
        <v>150000</v>
      </c>
      <c r="M77" s="72">
        <f ca="1">IFERROR(__xludf.DUMMYFUNCTION("IMPORTRANGE(""https://docs.google.com/spreadsheets/d/1-uDff_7J0KD5mKrp0Vvzr7lt3OU09vwQwhkpOPPYv2Y/edit?usp=sharing"",""งบพรบ!AR72"")"),150000)</f>
        <v>150000</v>
      </c>
      <c r="N77" s="72">
        <f ca="1">IFERROR(__xludf.DUMMYFUNCTION("IMPORTRANGE(""https://docs.google.com/spreadsheets/d/1-uDff_7J0KD5mKrp0Vvzr7lt3OU09vwQwhkpOPPYv2Y/edit?usp=sharing"",""งบพรบ!AT72"")"),109699)</f>
        <v>109699</v>
      </c>
      <c r="O77" s="72">
        <f t="shared" ca="1" si="20"/>
        <v>73.132666666666665</v>
      </c>
      <c r="P77" s="72">
        <f t="shared" ca="1" si="21"/>
        <v>73.132666666666665</v>
      </c>
      <c r="Q77" s="72">
        <f ca="1">IFERROR(__xludf.DUMMYFUNCTION("IMPORTRANGE(""https://docs.google.com/spreadsheets/d/1ItG2mGa2ceCfYo0BwxsXqNm01IGEUdYcSSLTEv9YCik/edit?usp=sharing"",""เบิกจ่ายกองทุน!BH72"")"),972380)</f>
        <v>972380</v>
      </c>
      <c r="R77" s="72">
        <f ca="1">IFERROR(__xludf.DUMMYFUNCTION("IMPORTRANGE(""https://docs.google.com/spreadsheets/d/1ItG2mGa2ceCfYo0BwxsXqNm01IGEUdYcSSLTEv9YCik/edit?usp=sharing"",""เบิกจ่ายกองทุน!BI72"")"),975620)</f>
        <v>975620</v>
      </c>
      <c r="S77" s="72">
        <f ca="1">IFERROR(__xludf.DUMMYFUNCTION("IMPORTRANGE(""https://docs.google.com/spreadsheets/d/1ItG2mGa2ceCfYo0BwxsXqNm01IGEUdYcSSLTEv9YCik/edit?usp=sharing"",""เบิกจ่ายกองทุน!BJ72"")"),716945)</f>
        <v>716945</v>
      </c>
      <c r="T77" s="72">
        <f t="shared" ca="1" si="22"/>
        <v>73.73094880602234</v>
      </c>
      <c r="U77" s="72">
        <f t="shared" ca="1" si="23"/>
        <v>73.486090896045596</v>
      </c>
    </row>
    <row r="78" spans="1:21" ht="18.75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909000</v>
      </c>
      <c r="R78" s="72">
        <f ca="1">R79+R80</f>
        <v>909000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IFERROR(__xludf.DUMMYFUNCTION("IMPORTRANGE(""https://docs.google.com/spreadsheets/d/1-uDff_7J0KD5mKrp0Vvzr7lt3OU09vwQwhkpOPPYv2Y/edit?usp=sharing"",""งบพรบ!AP72"")"),0)</f>
        <v>0</v>
      </c>
      <c r="M80" s="72">
        <f ca="1">IFERROR(__xludf.DUMMYFUNCTION("IMPORTRANGE(""https://docs.google.com/spreadsheets/d/1-uDff_7J0KD5mKrp0Vvzr7lt3OU09vwQwhkpOPPYv2Y/edit?usp=sharing"",""งบพรบ!AS72"")"),0)</f>
        <v>0</v>
      </c>
      <c r="N80" s="72">
        <f ca="1">IFERROR(__xludf.DUMMYFUNCTION("IMPORTRANGE(""https://docs.google.com/spreadsheets/d/1-uDff_7J0KD5mKrp0Vvzr7lt3OU09vwQwhkpOPPYv2Y/edit?usp=sharing"",""งบพรบ!AU72"")"),0)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IFERROR(__xludf.DUMMYFUNCTION("IMPORTRANGE(""https://docs.google.com/spreadsheets/d/1ItG2mGa2ceCfYo0BwxsXqNm01IGEUdYcSSLTEv9YCik/edit?usp=sharing"",""เบิกจ่ายกองทุน!BK72"")"),909000)</f>
        <v>909000</v>
      </c>
      <c r="R80" s="72">
        <f ca="1">IFERROR(__xludf.DUMMYFUNCTION("IMPORTRANGE(""https://docs.google.com/spreadsheets/d/1ItG2mGa2ceCfYo0BwxsXqNm01IGEUdYcSSLTEv9YCik/edit?usp=sharing"",""เบิกจ่ายกองทุน!BL72"")"),909000)</f>
        <v>909000</v>
      </c>
      <c r="S80" s="72">
        <f ca="1">IFERROR(__xludf.DUMMYFUNCTION("IMPORTRANGE(""https://docs.google.com/spreadsheets/d/1ItG2mGa2ceCfYo0BwxsXqNm01IGEUdYcSSLTEv9YCik/edit?usp=sharing"",""เบิกจ่ายกองทุน!BM72"")"),0)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68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2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94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IFERROR(__xludf.DUMMYFUNCTION("IMPORTRANGE(""https://docs.google.com/spreadsheets/d/1eHaY18a8A9IcSdp1K8H6x8fbOy06t2VsZHhMHf-1x7Y/edit?usp=sharing"",""แผน!H72"")"),0)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IFERROR(__xludf.DUMMYFUNCTION("IMPORTRANGE(""https://docs.google.com/spreadsheets/d/1eHaY18a8A9IcSdp1K8H6x8fbOy06t2VsZHhMHf-1x7Y/edit?usp=sharing"",""แผน!I72"")"),0)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IFERROR(__xludf.DUMMYFUNCTION("IMPORTRANGE(""https://docs.google.com/spreadsheets/d/1eHaY18a8A9IcSdp1K8H6x8fbOy06t2VsZHhMHf-1x7Y/edit?usp=sharing"",""แผน!F72"")"),2)</f>
        <v>2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IFERROR(__xludf.DUMMYFUNCTION("IMPORTRANGE(""https://docs.google.com/spreadsheets/d/1eHaY18a8A9IcSdp1K8H6x8fbOy06t2VsZHhMHf-1x7Y/edit?usp=sharing"",""แผน!G72"")"),94)</f>
        <v>94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IFERROR(__xludf.DUMMYFUNCTION("IMPORTRANGE(""https://docs.google.com/spreadsheets/d/1eHaY18a8A9IcSdp1K8H6x8fbOy06t2VsZHhMHf-1x7Y/edit?usp=sharing"",""แผน!D72"")"),0)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IFERROR(__xludf.DUMMYFUNCTION("IMPORTRANGE(""https://docs.google.com/spreadsheets/d/1eHaY18a8A9IcSdp1K8H6x8fbOy06t2VsZHhMHf-1x7Y/edit?usp=sharing"",""แผน!E72"")"),0)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IFERROR(__xludf.DUMMYFUNCTION("IMPORTRANGE(""https://docs.google.com/spreadsheets/d/1eHaY18a8A9IcSdp1K8H6x8fbOy06t2VsZHhMHf-1x7Y/edit?usp=sharing"",""แผน!J72"")"),2)</f>
        <v>2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IFERROR(__xludf.DUMMYFUNCTION("IMPORTRANGE(""https://docs.google.com/spreadsheets/d/1-uDff_7J0KD5mKrp0Vvzr7lt3OU09vwQwhkpOPPYv2Y/edit?usp=sharing"",""งบพรบ!AW72"")"),0)</f>
        <v>0</v>
      </c>
      <c r="M99" s="72">
        <f ca="1">IFERROR(__xludf.DUMMYFUNCTION("IMPORTRANGE(""https://docs.google.com/spreadsheets/d/1-uDff_7J0KD5mKrp0Vvzr7lt3OU09vwQwhkpOPPYv2Y/edit?usp=sharing"",""งบพรบ!BB72"")"),0)</f>
        <v>0</v>
      </c>
      <c r="N99" s="72">
        <f ca="1">IFERROR(__xludf.DUMMYFUNCTION("IMPORTRANGE(""https://docs.google.com/spreadsheets/d/1-uDff_7J0KD5mKrp0Vvzr7lt3OU09vwQwhkpOPPYv2Y/edit?usp=sharing"",""งบพรบ!BD72"")"),0)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IFERROR(__xludf.DUMMYFUNCTION("IMPORTRANGE(""https://docs.google.com/spreadsheets/d/1ItG2mGa2ceCfYo0BwxsXqNm01IGEUdYcSSLTEv9YCik/edit?usp=sharing"",""เบิกจ่ายกองทุน!AJ72"")"),0)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IFERROR(__xludf.DUMMYFUNCTION("IMPORTRANGE(""https://docs.google.com/spreadsheets/d/1ItG2mGa2ceCfYo0BwxsXqNm01IGEUdYcSSLTEv9YCik/edit?usp=sharing"",""เบิกจ่ายกองทุน!AK72"")"),0)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IFERROR(__xludf.DUMMYFUNCTION("IMPORTRANGE(""https://docs.google.com/spreadsheets/d/1ItG2mGa2ceCfYo0BwxsXqNm01IGEUdYcSSLTEv9YCik/edit?usp=sharing"",""เบิกจ่ายกองทุน!AL72"")"),0)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IFERROR(__xludf.DUMMYFUNCTION("IMPORTRANGE(""https://docs.google.com/spreadsheets/d/1-uDff_7J0KD5mKrp0Vvzr7lt3OU09vwQwhkpOPPYv2Y/edit?usp=sharing"",""งบพรบ!AZ72"")"),0)</f>
        <v>0</v>
      </c>
      <c r="M102" s="72">
        <f ca="1">IFERROR(__xludf.DUMMYFUNCTION("IMPORTRANGE(""https://docs.google.com/spreadsheets/d/1-uDff_7J0KD5mKrp0Vvzr7lt3OU09vwQwhkpOPPYv2Y/edit?usp=sharing"",""งบพรบ!BC72"")"),0)</f>
        <v>0</v>
      </c>
      <c r="N102" s="72">
        <f ca="1">IFERROR(__xludf.DUMMYFUNCTION("IMPORTRANGE(""https://docs.google.com/spreadsheets/d/1-uDff_7J0KD5mKrp0Vvzr7lt3OU09vwQwhkpOPPYv2Y/edit?usp=sharing"",""งบพรบ!BE72"")"),0)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IFERROR(__xludf.DUMMYFUNCTION("IMPORTRANGE(""https://docs.google.com/spreadsheets/d/1eHaY18a8A9IcSdp1K8H6x8fbOy06t2VsZHhMHf-1x7Y/edit?usp=sharing"",""แผน!N72"")"),0)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IFERROR(__xludf.DUMMYFUNCTION("IMPORTRANGE(""https://docs.google.com/spreadsheets/d/1eHaY18a8A9IcSdp1K8H6x8fbOy06t2VsZHhMHf-1x7Y/edit?usp=sharing"",""แผน!O72"")"),0)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IFERROR(__xludf.DUMMYFUNCTION("IMPORTRANGE(""https://docs.google.com/spreadsheets/d/1eHaY18a8A9IcSdp1K8H6x8fbOy06t2VsZHhMHf-1x7Y/edit?usp=sharing"",""แผน!R72"")"),0)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20</v>
      </c>
      <c r="J116" s="254">
        <f>J127</f>
        <v>20</v>
      </c>
      <c r="K116" s="57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67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154180</v>
      </c>
      <c r="T117" s="262">
        <f t="shared" ref="T117:T125" ca="1" si="35">IF(Q117&gt;0,S117*100/Q117,0)</f>
        <v>73.643484906381346</v>
      </c>
      <c r="U117" s="262">
        <f t="shared" ref="U117:U125" ca="1" si="36">IF(R117&gt;0,S117*100/R117,0)</f>
        <v>73.643484906381346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154180</v>
      </c>
      <c r="T119" s="72">
        <f t="shared" ca="1" si="35"/>
        <v>73.643484906381346</v>
      </c>
      <c r="U119" s="72">
        <f t="shared" ca="1" si="36"/>
        <v>73.643484906381346</v>
      </c>
    </row>
    <row r="120" spans="1:21" ht="18.75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154180</v>
      </c>
      <c r="T120" s="72">
        <f t="shared" ca="1" si="35"/>
        <v>73.643484906381346</v>
      </c>
      <c r="U120" s="72">
        <f t="shared" ca="1" si="36"/>
        <v>73.643484906381346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IFERROR(__xludf.DUMMYFUNCTION("IMPORTRANGE(""https://docs.google.com/spreadsheets/d/1-uDff_7J0KD5mKrp0Vvzr7lt3OU09vwQwhkpOPPYv2Y/edit?usp=sharing"",""งบพรบ!BG72"")"),0)</f>
        <v>0</v>
      </c>
      <c r="M122" s="72">
        <f ca="1">IFERROR(__xludf.DUMMYFUNCTION("IMPORTRANGE(""https://docs.google.com/spreadsheets/d/1-uDff_7J0KD5mKrp0Vvzr7lt3OU09vwQwhkpOPPYv2Y/edit?usp=sharing"",""งบพรบ!BL72"")"),0)</f>
        <v>0</v>
      </c>
      <c r="N122" s="72">
        <f ca="1">IFERROR(__xludf.DUMMYFUNCTION("IMPORTRANGE(""https://docs.google.com/spreadsheets/d/1-uDff_7J0KD5mKrp0Vvzr7lt3OU09vwQwhkpOPPYv2Y/edit?usp=sharing"",""งบพรบ!BN72"")"),0)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IFERROR(__xludf.DUMMYFUNCTION("IMPORTRANGE(""https://docs.google.com/spreadsheets/d/1ItG2mGa2ceCfYo0BwxsXqNm01IGEUdYcSSLTEv9YCik/edit?usp=sharing"",""เบิกจ่ายกองทุน!U72"")"),209360)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IFERROR(__xludf.DUMMYFUNCTION("IMPORTRANGE(""https://docs.google.com/spreadsheets/d/1ItG2mGa2ceCfYo0BwxsXqNm01IGEUdYcSSLTEv9YCik/edit?usp=sharing"",""เบิกจ่ายกองทุน!V72"")"),209360)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IFERROR(__xludf.DUMMYFUNCTION("IMPORTRANGE(""https://docs.google.com/spreadsheets/d/1ItG2mGa2ceCfYo0BwxsXqNm01IGEUdYcSSLTEv9YCik/edit?usp=sharing"",""เบิกจ่ายกองทุน!W72"")"),154180)</f>
        <v>154180</v>
      </c>
      <c r="T122" s="72">
        <f t="shared" ca="1" si="35"/>
        <v>73.643484906381346</v>
      </c>
      <c r="U122" s="72">
        <f t="shared" ca="1" si="36"/>
        <v>73.643484906381346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IFERROR(__xludf.DUMMYFUNCTION("IMPORTRANGE(""https://docs.google.com/spreadsheets/d/1-uDff_7J0KD5mKrp0Vvzr7lt3OU09vwQwhkpOPPYv2Y/edit?usp=sharing"",""งบพรบ!BJ72"")"),0)</f>
        <v>0</v>
      </c>
      <c r="M125" s="72">
        <f ca="1">IFERROR(__xludf.DUMMYFUNCTION("IMPORTRANGE(""https://docs.google.com/spreadsheets/d/1-uDff_7J0KD5mKrp0Vvzr7lt3OU09vwQwhkpOPPYv2Y/edit?usp=sharing"",""งบพรบ!BM72"")"),0)</f>
        <v>0</v>
      </c>
      <c r="N125" s="72">
        <f ca="1">IFERROR(__xludf.DUMMYFUNCTION("IMPORTRANGE(""https://docs.google.com/spreadsheets/d/1-uDff_7J0KD5mKrp0Vvzr7lt3OU09vwQwhkpOPPYv2Y/edit?usp=sharing"",""งบพรบ!BO72"")"),0)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IFERROR(__xludf.DUMMYFUNCTION("IMPORTRANGE(""https://docs.google.com/spreadsheets/d/1ItG2mGa2ceCfYo0BwxsXqNm01IGEUdYcSSLTEv9YCik/edit?usp=sharing"",""เบิกจ่ายกองทุน!X72"")"),0)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IFERROR(__xludf.DUMMYFUNCTION("IMPORTRANGE(""https://docs.google.com/spreadsheets/d/1ItG2mGa2ceCfYo0BwxsXqNm01IGEUdYcSSLTEv9YCik/edit?usp=sharing"",""เบิกจ่ายกองทุน!Y72"")"),0)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IFERROR(__xludf.DUMMYFUNCTION("IMPORTRANGE(""https://docs.google.com/spreadsheets/d/1ItG2mGa2ceCfYo0BwxsXqNm01IGEUdYcSSLTEv9YCik/edit?usp=sharing"",""เบิกจ่ายกองทุน!Z72"")"),0)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274"/>
      <c r="B126" s="275"/>
      <c r="C126" s="668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IFERROR(__xludf.DUMMYFUNCTION("IMPORTRANGE(""https://docs.google.com/spreadsheets/d/1eHaY18a8A9IcSdp1K8H6x8fbOy06t2VsZHhMHf-1x7Y/edit?usp=sharing"",""แผน!FF72"")"),20)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IFERROR(__xludf.DUMMYFUNCTION("IMPORTRANGE(""https://docs.google.com/spreadsheets/d/1eHaY18a8A9IcSdp1K8H6x8fbOy06t2VsZHhMHf-1x7Y/edit?usp=sharing"",""แผน!FG72"")"),0)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IFERROR(__xludf.DUMMYFUNCTION("IMPORTRANGE(""https://docs.google.com/spreadsheets/d/1eHaY18a8A9IcSdp1K8H6x8fbOy06t2VsZHhMHf-1x7Y/edit?usp=sharing"",""แผน!FH72"")"),20)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IFERROR(__xludf.DUMMYFUNCTION("IMPORTRANGE(""https://docs.google.com/spreadsheets/d/1eHaY18a8A9IcSdp1K8H6x8fbOy06t2VsZHhMHf-1x7Y/edit?usp=sharing"",""แผน!FI72"")"),0)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IFERROR(__xludf.DUMMYFUNCTION("IMPORTRANGE(""https://docs.google.com/spreadsheets/d/1-uDff_7J0KD5mKrp0Vvzr7lt3OU09vwQwhkpOPPYv2Y/edit?usp=sharing"",""งบพรบ!BQ72"")"),0)</f>
        <v>0</v>
      </c>
      <c r="M144" s="72">
        <f ca="1">IFERROR(__xludf.DUMMYFUNCTION("IMPORTRANGE(""https://docs.google.com/spreadsheets/d/1-uDff_7J0KD5mKrp0Vvzr7lt3OU09vwQwhkpOPPYv2Y/edit?usp=sharing"",""งบพรบ!BV72"")"),0)</f>
        <v>0</v>
      </c>
      <c r="N144" s="72">
        <f ca="1">IFERROR(__xludf.DUMMYFUNCTION("IMPORTRANGE(""https://docs.google.com/spreadsheets/d/1-uDff_7J0KD5mKrp0Vvzr7lt3OU09vwQwhkpOPPYv2Y/edit?usp=sharing"",""งบพรบ!BX72"")"),0)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IFERROR(__xludf.DUMMYFUNCTION("IMPORTRANGE(""https://docs.google.com/spreadsheets/d/1ItG2mGa2ceCfYo0BwxsXqNm01IGEUdYcSSLTEv9YCik/edit?usp=sharing"",""เบิกจ่ายกองทุน!CF72"")"),0)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IFERROR(__xludf.DUMMYFUNCTION("IMPORTRANGE(""https://docs.google.com/spreadsheets/d/1ItG2mGa2ceCfYo0BwxsXqNm01IGEUdYcSSLTEv9YCik/edit?usp=sharing"",""เบิกจ่ายกองทุน!CG72"")"),0)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IFERROR(__xludf.DUMMYFUNCTION("IMPORTRANGE(""https://docs.google.com/spreadsheets/d/1ItG2mGa2ceCfYo0BwxsXqNm01IGEUdYcSSLTEv9YCik/edit?usp=sharing"",""เบิกจ่ายกองทุน!CH72"")"),0)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IFERROR(__xludf.DUMMYFUNCTION("IMPORTRANGE(""https://docs.google.com/spreadsheets/d/1-uDff_7J0KD5mKrp0Vvzr7lt3OU09vwQwhkpOPPYv2Y/edit?usp=sharing"",""งบพรบ!BT72"")"),0)</f>
        <v>0</v>
      </c>
      <c r="M147" s="72">
        <f ca="1">IFERROR(__xludf.DUMMYFUNCTION("IMPORTRANGE(""https://docs.google.com/spreadsheets/d/1-uDff_7J0KD5mKrp0Vvzr7lt3OU09vwQwhkpOPPYv2Y/edit?usp=sharing"",""งบพรบ!BW72"")"),0)</f>
        <v>0</v>
      </c>
      <c r="N147" s="72">
        <f ca="1">IFERROR(__xludf.DUMMYFUNCTION("IMPORTRANGE(""https://docs.google.com/spreadsheets/d/1-uDff_7J0KD5mKrp0Vvzr7lt3OU09vwQwhkpOPPYv2Y/edit?usp=sharing"",""งบพรบ!BY72"")"),0)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IFERROR(__xludf.DUMMYFUNCTION("IMPORTRANGE(""https://docs.google.com/spreadsheets/d/1ItG2mGa2ceCfYo0BwxsXqNm01IGEUdYcSSLTEv9YCik/edit?usp=sharing"",""เบิกจ่ายกองทุน!CI72"")"),0)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IFERROR(__xludf.DUMMYFUNCTION("IMPORTRANGE(""https://docs.google.com/spreadsheets/d/1ItG2mGa2ceCfYo0BwxsXqNm01IGEUdYcSSLTEv9YCik/edit?usp=sharing"",""เบิกจ่ายกองทุน!CJ72"")"),0)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IFERROR(__xludf.DUMMYFUNCTION("IMPORTRANGE(""https://docs.google.com/spreadsheets/d/1ItG2mGa2ceCfYo0BwxsXqNm01IGEUdYcSSLTEv9YCik/edit?usp=sharing"",""เบิกจ่ายกองทุน!CK72"")"),0)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IFERROR(__xludf.DUMMYFUNCTION("IMPORTRANGE(""https://docs.google.com/spreadsheets/d/1eHaY18a8A9IcSdp1K8H6x8fbOy06t2VsZHhMHf-1x7Y/edit?usp=sharing"",""แผน!U72"")"),0)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IFERROR(__xludf.DUMMYFUNCTION("IMPORTRANGE(""https://docs.google.com/spreadsheets/d/1eHaY18a8A9IcSdp1K8H6x8fbOy06t2VsZHhMHf-1x7Y/edit?usp=sharing"",""แผน!V72"")"),0)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IFERROR(__xludf.DUMMYFUNCTION("IMPORTRANGE(""https://docs.google.com/spreadsheets/d/1eHaY18a8A9IcSdp1K8H6x8fbOy06t2VsZHhMHf-1x7Y/edit?usp=sharing"",""แผน!W72"")"),0)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IFERROR(__xludf.DUMMYFUNCTION("IMPORTRANGE(""https://docs.google.com/spreadsheets/d/1eHaY18a8A9IcSdp1K8H6x8fbOy06t2VsZHhMHf-1x7Y/edit?usp=sharing"",""แผน!X72"")"),0)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IFERROR(__xludf.DUMMYFUNCTION("IMPORTRANGE(""https://docs.google.com/spreadsheets/d/1eHaY18a8A9IcSdp1K8H6x8fbOy06t2VsZHhMHf-1x7Y/edit?usp=sharing"",""แผน!Y72"")"),0)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4500</v>
      </c>
      <c r="M157" s="262">
        <f ca="1">M158+M159</f>
        <v>5050</v>
      </c>
      <c r="N157" s="262">
        <f ca="1">N158+N159</f>
        <v>3800</v>
      </c>
      <c r="O157" s="262">
        <f t="shared" ref="O157:O165" ca="1" si="45">IF(L157&gt;0,N157*100/L157,0)</f>
        <v>84.444444444444443</v>
      </c>
      <c r="P157" s="262">
        <f t="shared" ref="P157:P165" ca="1" si="46">IF(M157&gt;0,N157*100/M157,0)</f>
        <v>75.247524752475243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4500</v>
      </c>
      <c r="M159" s="72">
        <f t="shared" ca="1" si="49"/>
        <v>5050</v>
      </c>
      <c r="N159" s="72">
        <f t="shared" ca="1" si="49"/>
        <v>3800</v>
      </c>
      <c r="O159" s="72">
        <f t="shared" ca="1" si="45"/>
        <v>84.444444444444443</v>
      </c>
      <c r="P159" s="72">
        <f t="shared" ca="1" si="46"/>
        <v>75.247524752475243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4500</v>
      </c>
      <c r="M160" s="72">
        <f ca="1">M161+M162</f>
        <v>5050</v>
      </c>
      <c r="N160" s="72">
        <f ca="1">N161+N162</f>
        <v>3800</v>
      </c>
      <c r="O160" s="72">
        <f t="shared" ca="1" si="45"/>
        <v>84.444444444444443</v>
      </c>
      <c r="P160" s="72">
        <f t="shared" ca="1" si="46"/>
        <v>75.247524752475243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IFERROR(__xludf.DUMMYFUNCTION("IMPORTRANGE(""https://docs.google.com/spreadsheets/d/1-uDff_7J0KD5mKrp0Vvzr7lt3OU09vwQwhkpOPPYv2Y/edit?usp=sharing"",""งบพรบ!CA72"")"),4500)</f>
        <v>4500</v>
      </c>
      <c r="M162" s="72">
        <f ca="1">IFERROR(__xludf.DUMMYFUNCTION("IMPORTRANGE(""https://docs.google.com/spreadsheets/d/1-uDff_7J0KD5mKrp0Vvzr7lt3OU09vwQwhkpOPPYv2Y/edit?usp=sharing"",""งบพรบ!CF72"")"),5050)</f>
        <v>5050</v>
      </c>
      <c r="N162" s="72">
        <f ca="1">IFERROR(__xludf.DUMMYFUNCTION("IMPORTRANGE(""https://docs.google.com/spreadsheets/d/1-uDff_7J0KD5mKrp0Vvzr7lt3OU09vwQwhkpOPPYv2Y/edit?usp=sharing"",""งบพรบ!CH72"")"),3800)</f>
        <v>3800</v>
      </c>
      <c r="O162" s="72">
        <f t="shared" ca="1" si="45"/>
        <v>84.444444444444443</v>
      </c>
      <c r="P162" s="72">
        <f t="shared" ca="1" si="46"/>
        <v>75.247524752475243</v>
      </c>
      <c r="Q162" s="72">
        <f ca="1">IFERROR(__xludf.DUMMYFUNCTION("IMPORTRANGE(""https://docs.google.com/spreadsheets/d/1ItG2mGa2ceCfYo0BwxsXqNm01IGEUdYcSSLTEv9YCik/edit?usp=sharing"",""เบิกจ่ายกองทุน!AM72"")"),0)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IFERROR(__xludf.DUMMYFUNCTION("IMPORTRANGE(""https://docs.google.com/spreadsheets/d/1ItG2mGa2ceCfYo0BwxsXqNm01IGEUdYcSSLTEv9YCik/edit?usp=sharing"",""เบิกจ่ายกองทุน!AN72"")"),0)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IFERROR(__xludf.DUMMYFUNCTION("IMPORTRANGE(""https://docs.google.com/spreadsheets/d/1ItG2mGa2ceCfYo0BwxsXqNm01IGEUdYcSSLTEv9YCik/edit?usp=sharing"",""เบิกจ่ายกองทุน!AO72"")"),0)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IFERROR(__xludf.DUMMYFUNCTION("IMPORTRANGE(""https://docs.google.com/spreadsheets/d/1-uDff_7J0KD5mKrp0Vvzr7lt3OU09vwQwhkpOPPYv2Y/edit?usp=sharing"",""งบพรบ!CD72"")"),0)</f>
        <v>0</v>
      </c>
      <c r="M165" s="72">
        <f ca="1">IFERROR(__xludf.DUMMYFUNCTION("IMPORTRANGE(""https://docs.google.com/spreadsheets/d/1-uDff_7J0KD5mKrp0Vvzr7lt3OU09vwQwhkpOPPYv2Y/edit?usp=sharing"",""งบพรบ!CG72"")"),0)</f>
        <v>0</v>
      </c>
      <c r="N165" s="72">
        <f ca="1">IFERROR(__xludf.DUMMYFUNCTION("IMPORTRANGE(""https://docs.google.com/spreadsheets/d/1-uDff_7J0KD5mKrp0Vvzr7lt3OU09vwQwhkpOPPYv2Y/edit?usp=sharing"",""งบพรบ!CI72"")"),0)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IFERROR(__xludf.DUMMYFUNCTION("IMPORTRANGE(""https://docs.google.com/spreadsheets/d/1eHaY18a8A9IcSdp1K8H6x8fbOy06t2VsZHhMHf-1x7Y/edit?usp=sharing"",""แผน!Z72"")"),15)</f>
        <v>15</v>
      </c>
      <c r="J167" s="292">
        <v>15</v>
      </c>
      <c r="K167" s="72">
        <f ca="1">IF(I167&gt;0,J167*100/I167,0)</f>
        <v>100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14</v>
      </c>
      <c r="J172" s="963">
        <f>J183+J184</f>
        <v>7</v>
      </c>
      <c r="K172" s="962">
        <f ca="1">IF(I172&gt;0,J172*100/I172,0)</f>
        <v>50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32740</v>
      </c>
      <c r="N173" s="262">
        <f ca="1">N174+N175</f>
        <v>32740</v>
      </c>
      <c r="O173" s="262">
        <f t="shared" ref="O173:O181" ca="1" si="51">IF(L173&gt;0,N173*100/L173,0)</f>
        <v>167.12608473711077</v>
      </c>
      <c r="P173" s="262">
        <f t="shared" ref="P173:P181" ca="1" si="52">IF(M173&gt;0,N173*100/M173,0)</f>
        <v>100</v>
      </c>
      <c r="Q173" s="262">
        <f ca="1">Q174+Q175</f>
        <v>20320</v>
      </c>
      <c r="R173" s="262">
        <f ca="1">R174+R175</f>
        <v>20320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32740</v>
      </c>
      <c r="N175" s="72">
        <f t="shared" ca="1" si="55"/>
        <v>32740</v>
      </c>
      <c r="O175" s="72">
        <f t="shared" ca="1" si="51"/>
        <v>167.12608473711077</v>
      </c>
      <c r="P175" s="72">
        <f t="shared" ca="1" si="52"/>
        <v>100</v>
      </c>
      <c r="Q175" s="72">
        <f t="shared" ca="1" si="56"/>
        <v>20320</v>
      </c>
      <c r="R175" s="72">
        <f t="shared" ca="1" si="56"/>
        <v>20320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32740</v>
      </c>
      <c r="N176" s="72">
        <f ca="1">N177+N178</f>
        <v>32740</v>
      </c>
      <c r="O176" s="72">
        <f t="shared" ca="1" si="51"/>
        <v>167.12608473711077</v>
      </c>
      <c r="P176" s="72">
        <f t="shared" ca="1" si="52"/>
        <v>100</v>
      </c>
      <c r="Q176" s="72">
        <f ca="1">Q177+Q178</f>
        <v>20320</v>
      </c>
      <c r="R176" s="72">
        <f ca="1">R177+R178</f>
        <v>20320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IFERROR(__xludf.DUMMYFUNCTION("IMPORTRANGE(""https://docs.google.com/spreadsheets/d/1-uDff_7J0KD5mKrp0Vvzr7lt3OU09vwQwhkpOPPYv2Y/edit?usp=sharing"",""งบพรบ!CK72"")"),19590)</f>
        <v>19590</v>
      </c>
      <c r="M178" s="72">
        <f ca="1">IFERROR(__xludf.DUMMYFUNCTION("IMPORTRANGE(""https://docs.google.com/spreadsheets/d/1-uDff_7J0KD5mKrp0Vvzr7lt3OU09vwQwhkpOPPYv2Y/edit?usp=sharing"",""งบพรบ!CP72"")"),32740)</f>
        <v>32740</v>
      </c>
      <c r="N178" s="72">
        <f ca="1">IFERROR(__xludf.DUMMYFUNCTION("IMPORTRANGE(""https://docs.google.com/spreadsheets/d/1-uDff_7J0KD5mKrp0Vvzr7lt3OU09vwQwhkpOPPYv2Y/edit?usp=sharing"",""งบพรบ!CR72"")"),32740)</f>
        <v>32740</v>
      </c>
      <c r="O178" s="72">
        <f t="shared" ca="1" si="51"/>
        <v>167.12608473711077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IFERROR(__xludf.DUMMYFUNCTION("IMPORTRANGE(""https://docs.google.com/spreadsheets/d/1ItG2mGa2ceCfYo0BwxsXqNm01IGEUdYcSSLTEv9YCik/edit?usp=sharing"",""เบิกจ่ายกองทุน!DG72"")"),20320)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IFERROR(__xludf.DUMMYFUNCTION("IMPORTRANGE(""https://docs.google.com/spreadsheets/d/1ItG2mGa2ceCfYo0BwxsXqNm01IGEUdYcSSLTEv9YCik/edit?usp=sharing"",""เบิกจ่ายกองทุน!DH72"")"),20320)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IFERROR(__xludf.DUMMYFUNCTION("IMPORTRANGE(""https://docs.google.com/spreadsheets/d/1ItG2mGa2ceCfYo0BwxsXqNm01IGEUdYcSSLTEv9YCik/edit?usp=sharing"",""เบิกจ่ายกองทุน!DI72"")"),0)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IFERROR(__xludf.DUMMYFUNCTION("IMPORTRANGE(""https://docs.google.com/spreadsheets/d/1-uDff_7J0KD5mKrp0Vvzr7lt3OU09vwQwhkpOPPYv2Y/edit?usp=sharing"",""งบพรบ!CN72"")"),0)</f>
        <v>0</v>
      </c>
      <c r="M181" s="72">
        <f ca="1">IFERROR(__xludf.DUMMYFUNCTION("IMPORTRANGE(""https://docs.google.com/spreadsheets/d/1-uDff_7J0KD5mKrp0Vvzr7lt3OU09vwQwhkpOPPYv2Y/edit?usp=sharing"",""งบพรบ!CQ72"")"),0)</f>
        <v>0</v>
      </c>
      <c r="N181" s="72">
        <f ca="1">IFERROR(__xludf.DUMMYFUNCTION("IMPORTRANGE(""https://docs.google.com/spreadsheets/d/1-uDff_7J0KD5mKrp0Vvzr7lt3OU09vwQwhkpOPPYv2Y/edit?usp=sharing"",""งบพรบ!CS72"")"),0)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IFERROR(__xludf.DUMMYFUNCTION("IMPORTRANGE(""https://docs.google.com/spreadsheets/d/1eHaY18a8A9IcSdp1K8H6x8fbOy06t2VsZHhMHf-1x7Y/edit?usp=sharing"",""แผน!AA72"")"),14)</f>
        <v>14</v>
      </c>
      <c r="J183" s="292">
        <v>7</v>
      </c>
      <c r="K183" s="72">
        <f ca="1">IF(I183&gt;0,J183*100/I183,0)</f>
        <v>50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15500</v>
      </c>
      <c r="M186" s="262">
        <f ca="1">M187+M188</f>
        <v>17500</v>
      </c>
      <c r="N186" s="262">
        <f ca="1">N187+N188</f>
        <v>10500</v>
      </c>
      <c r="O186" s="262">
        <f t="shared" ref="O186:O194" ca="1" si="57">IF(L186&gt;0,N186*100/L186,0)</f>
        <v>67.741935483870961</v>
      </c>
      <c r="P186" s="262">
        <f t="shared" ref="P186:P194" ca="1" si="58">IF(M186&gt;0,N186*100/M186,0)</f>
        <v>60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15500</v>
      </c>
      <c r="M188" s="72">
        <f t="shared" ca="1" si="61"/>
        <v>17500</v>
      </c>
      <c r="N188" s="72">
        <f t="shared" ca="1" si="61"/>
        <v>10500</v>
      </c>
      <c r="O188" s="72">
        <f t="shared" ca="1" si="57"/>
        <v>67.741935483870961</v>
      </c>
      <c r="P188" s="72">
        <f t="shared" ca="1" si="58"/>
        <v>60</v>
      </c>
      <c r="Q188" s="72">
        <f t="shared" ca="1" si="62"/>
        <v>14000</v>
      </c>
      <c r="R188" s="72">
        <f t="shared" ca="1" si="62"/>
        <v>14000</v>
      </c>
      <c r="S188" s="72">
        <f t="shared" ca="1" si="62"/>
        <v>14000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15500</v>
      </c>
      <c r="M189" s="72">
        <f ca="1">M190+M191</f>
        <v>17500</v>
      </c>
      <c r="N189" s="72">
        <f ca="1">N190+N191</f>
        <v>10500</v>
      </c>
      <c r="O189" s="72">
        <f t="shared" ca="1" si="57"/>
        <v>67.741935483870961</v>
      </c>
      <c r="P189" s="72">
        <f t="shared" ca="1" si="58"/>
        <v>60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IFERROR(__xludf.DUMMYFUNCTION("IMPORTRANGE(""https://docs.google.com/spreadsheets/d/1-uDff_7J0KD5mKrp0Vvzr7lt3OU09vwQwhkpOPPYv2Y/edit?usp=sharing"",""งบพรบ!CU72"")"),15500)</f>
        <v>15500</v>
      </c>
      <c r="M191" s="72">
        <f ca="1">IFERROR(__xludf.DUMMYFUNCTION("IMPORTRANGE(""https://docs.google.com/spreadsheets/d/1-uDff_7J0KD5mKrp0Vvzr7lt3OU09vwQwhkpOPPYv2Y/edit?usp=sharing"",""งบพรบ!CZ72"")"),17500)</f>
        <v>17500</v>
      </c>
      <c r="N191" s="72">
        <f ca="1">IFERROR(__xludf.DUMMYFUNCTION("IMPORTRANGE(""https://docs.google.com/spreadsheets/d/1-uDff_7J0KD5mKrp0Vvzr7lt3OU09vwQwhkpOPPYv2Y/edit?usp=sharing"",""งบพรบ!DB72"")"),10500)</f>
        <v>10500</v>
      </c>
      <c r="O191" s="72">
        <f t="shared" ca="1" si="57"/>
        <v>67.741935483870961</v>
      </c>
      <c r="P191" s="72">
        <f t="shared" ca="1" si="58"/>
        <v>60</v>
      </c>
      <c r="Q191" s="72">
        <f ca="1">IFERROR(__xludf.DUMMYFUNCTION("IMPORTRANGE(""https://docs.google.com/spreadsheets/d/1ItG2mGa2ceCfYo0BwxsXqNm01IGEUdYcSSLTEv9YCik/edit?usp=sharing"",""เบิกจ่ายกองทุน!BQ72"")"),14000)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IFERROR(__xludf.DUMMYFUNCTION("IMPORTRANGE(""https://docs.google.com/spreadsheets/d/1ItG2mGa2ceCfYo0BwxsXqNm01IGEUdYcSSLTEv9YCik/edit?usp=sharing"",""เบิกจ่ายกองทุน!BR72"")"),14000)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IFERROR(__xludf.DUMMYFUNCTION("IMPORTRANGE(""https://docs.google.com/spreadsheets/d/1ItG2mGa2ceCfYo0BwxsXqNm01IGEUdYcSSLTEv9YCik/edit?usp=sharing"",""เบิกจ่ายกองทุน!BS72"")"),14000)</f>
        <v>14000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IFERROR(__xludf.DUMMYFUNCTION("IMPORTRANGE(""https://docs.google.com/spreadsheets/d/1-uDff_7J0KD5mKrp0Vvzr7lt3OU09vwQwhkpOPPYv2Y/edit?usp=sharing"",""งบพรบ!CX72"")"),0)</f>
        <v>0</v>
      </c>
      <c r="M194" s="72">
        <f ca="1">IFERROR(__xludf.DUMMYFUNCTION("IMPORTRANGE(""https://docs.google.com/spreadsheets/d/1-uDff_7J0KD5mKrp0Vvzr7lt3OU09vwQwhkpOPPYv2Y/edit?usp=sharing"",""งบพรบ!DA72"")"),0)</f>
        <v>0</v>
      </c>
      <c r="N194" s="72">
        <f ca="1">IFERROR(__xludf.DUMMYFUNCTION("IMPORTRANGE(""https://docs.google.com/spreadsheets/d/1-uDff_7J0KD5mKrp0Vvzr7lt3OU09vwQwhkpOPPYv2Y/edit?usp=sharing"",""งบพรบ!DC72"")"),0)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IFERROR(__xludf.DUMMYFUNCTION("IMPORTRANGE(""https://docs.google.com/spreadsheets/d/1ItG2mGa2ceCfYo0BwxsXqNm01IGEUdYcSSLTEv9YCik/edit?usp=sharing"",""เบิกจ่ายกองทุน!BT72"")"),0)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IFERROR(__xludf.DUMMYFUNCTION("IMPORTRANGE(""https://docs.google.com/spreadsheets/d/1ItG2mGa2ceCfYo0BwxsXqNm01IGEUdYcSSLTEv9YCik/edit?usp=sharing"",""เบิกจ่ายกองทุน!BU72"")"),0)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IFERROR(__xludf.DUMMYFUNCTION("IMPORTRANGE(""https://docs.google.com/spreadsheets/d/1ItG2mGa2ceCfYo0BwxsXqNm01IGEUdYcSSLTEv9YCik/edit?usp=sharing"",""เบิกจ่ายกองทุน!BV72"")"),0)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IFERROR(__xludf.DUMMYFUNCTION("IMPORTRANGE(""https://docs.google.com/spreadsheets/d/1eHaY18a8A9IcSdp1K8H6x8fbOy06t2VsZHhMHf-1x7Y/edit?usp=sharing"",""แผน!AB72"")"),6000)</f>
        <v>6000</v>
      </c>
      <c r="M196" s="85"/>
      <c r="N196" s="961">
        <v>0</v>
      </c>
      <c r="O196" s="262">
        <f ca="1">IF(L196&gt;0,N196*100/L196,0)</f>
        <v>0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IFERROR(__xludf.DUMMYFUNCTION("IMPORTRANGE(""https://docs.google.com/spreadsheets/d/1eHaY18a8A9IcSdp1K8H6x8fbOy06t2VsZHhMHf-1x7Y/edit?usp=sharing"",""แผน!AE72"")"),4)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56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5000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56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IFERROR(__xludf.DUMMYFUNCTION("IMPORTRANGE(""https://docs.google.com/spreadsheets/d/1eHaY18a8A9IcSdp1K8H6x8fbOy06t2VsZHhMHf-1x7Y/edit?usp=sharing"",""แผน!AG72"")"),1000)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56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IFERROR(__xludf.DUMMYFUNCTION("IMPORTRANGE(""https://docs.google.com/spreadsheets/d/1eHaY18a8A9IcSdp1K8H6x8fbOy06t2VsZHhMHf-1x7Y/edit?usp=sharing"",""แผน!AH72"")"),0)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56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IFERROR(__xludf.DUMMYFUNCTION("IMPORTRANGE(""https://docs.google.com/spreadsheets/d/1eHaY18a8A9IcSdp1K8H6x8fbOy06t2VsZHhMHf-1x7Y/edit?usp=sharing"",""แผน!AI72"")"),0)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IFERROR(__xludf.DUMMYFUNCTION("IMPORTRANGE(""https://docs.google.com/spreadsheets/d/1eHaY18a8A9IcSdp1K8H6x8fbOy06t2VsZHhMHf-1x7Y/edit?usp=sharing"",""แผน!LV72"")"),14000)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29"/>
      <c r="B207" s="267"/>
      <c r="C207" s="256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IFERROR(__xludf.DUMMYFUNCTION("IMPORTRANGE(""https://docs.google.com/spreadsheets/d/1eHaY18a8A9IcSdp1K8H6x8fbOy06t2VsZHhMHf-1x7Y/edit?usp=sharing"",""แผน!AJ72"")"),4000)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IFERROR(__xludf.DUMMYFUNCTION("IMPORTRANGE(""https://docs.google.com/spreadsheets/d/1eHaY18a8A9IcSdp1K8H6x8fbOy06t2VsZHhMHf-1x7Y/edit?usp=sharing"",""แผน!AK72"")"),1)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IFERROR(__xludf.DUMMYFUNCTION("IMPORTRANGE(""https://docs.google.com/spreadsheets/d/1eHaY18a8A9IcSdp1K8H6x8fbOy06t2VsZHhMHf-1x7Y/edit?usp=sharing"",""แผน!JX72"")"),1)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IFERROR(__xludf.DUMMYFUNCTION("IMPORTRANGE(""https://docs.google.com/spreadsheets/d/1eHaY18a8A9IcSdp1K8H6x8fbOy06t2VsZHhMHf-1x7Y/edit?usp=sharing"",""แผน!JY72"")"),0)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IFERROR(__xludf.DUMMYFUNCTION("IMPORTRANGE(""https://docs.google.com/spreadsheets/d/1eHaY18a8A9IcSdp1K8H6x8fbOy06t2VsZHhMHf-1x7Y/edit?usp=sharing"",""แผน!AM72"")"),0)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IFERROR(__xludf.DUMMYFUNCTION("IMPORTRANGE(""https://docs.google.com/spreadsheets/d/1eHaY18a8A9IcSdp1K8H6x8fbOy06t2VsZHhMHf-1x7Y/edit?usp=sharing"",""แผน!AN72"")"),0)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IFERROR(__xludf.DUMMYFUNCTION("IMPORTRANGE(""https://docs.google.com/spreadsheets/d/1eHaY18a8A9IcSdp1K8H6x8fbOy06t2VsZHhMHf-1x7Y/edit?usp=sharing"",""แผน!AO72"")"),0)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IFERROR(__xludf.DUMMYFUNCTION("IMPORTRANGE(""https://docs.google.com/spreadsheets/d/1eHaY18a8A9IcSdp1K8H6x8fbOy06t2VsZHhMHf-1x7Y/edit?usp=sharing"",""แผน!LY72"")"),0)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IFERROR(__xludf.DUMMYFUNCTION("IMPORTRANGE(""https://docs.google.com/spreadsheets/d/1eHaY18a8A9IcSdp1K8H6x8fbOy06t2VsZHhMHf-1x7Y/edit?usp=sharing"",""แผน!AP72"")"),0)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IFERROR(__xludf.DUMMYFUNCTION("IMPORTRANGE(""https://docs.google.com/spreadsheets/d/1eHaY18a8A9IcSdp1K8H6x8fbOy06t2VsZHhMHf-1x7Y/edit?usp=sharing"",""แผน!AP72"")"),0)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20000</v>
      </c>
      <c r="J221" s="538">
        <f>J229</f>
        <v>20000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IFERROR(__xludf.DUMMYFUNCTION("IMPORTRANGE(""https://docs.google.com/spreadsheets/d/1eHaY18a8A9IcSdp1K8H6x8fbOy06t2VsZHhMHf-1x7Y/edit?usp=sharing"",""แผน!AR72"")"),2500)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IFERROR(__xludf.DUMMYFUNCTION("IMPORTRANGE(""https://docs.google.com/spreadsheets/d/1eHaY18a8A9IcSdp1K8H6x8fbOy06t2VsZHhMHf-1x7Y/edit?usp=sharing"",""แผน!AS72"")"),2000)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IFERROR(__xludf.DUMMYFUNCTION("IMPORTRANGE(""https://docs.google.com/spreadsheets/d/1eHaY18a8A9IcSdp1K8H6x8fbOy06t2VsZHhMHf-1x7Y/edit?usp=sharing"",""แผน!AT72"")"),0)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IFERROR(__xludf.DUMMYFUNCTION("IMPORTRANGE(""https://docs.google.com/spreadsheets/d/1eHaY18a8A9IcSdp1K8H6x8fbOy06t2VsZHhMHf-1x7Y/edit?usp=sharing"",""แผน!AV72"")"),20000)</f>
        <v>20000</v>
      </c>
      <c r="J228" s="292">
        <v>20000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IFERROR(__xludf.DUMMYFUNCTION("IMPORTRANGE(""https://docs.google.com/spreadsheets/d/1eHaY18a8A9IcSdp1K8H6x8fbOy06t2VsZHhMHf-1x7Y/edit?usp=sharing"",""แผน!AV72"")"),20000)</f>
        <v>20000</v>
      </c>
      <c r="J229" s="292">
        <v>20000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IFERROR(__xludf.DUMMYFUNCTION("IMPORTRANGE(""https://docs.google.com/spreadsheets/d/1eHaY18a8A9IcSdp1K8H6x8fbOy06t2VsZHhMHf-1x7Y/edit?usp=sharing"",""แผน!AU72"")"),0)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958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955">
        <v>0</v>
      </c>
      <c r="R232" s="955">
        <v>0</v>
      </c>
      <c r="S232" s="955">
        <v>0</v>
      </c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53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34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IFERROR(__xludf.DUMMYFUNCTION("IMPORTRANGE(""https://docs.google.com/spreadsheets/d/1eHaY18a8A9IcSdp1K8H6x8fbOy06t2VsZHhMHf-1x7Y/edit?usp=sharing"",""แผน!AX72"")"),0)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IFERROR(__xludf.DUMMYFUNCTION("IMPORTRANGE(""https://docs.google.com/spreadsheets/d/1eHaY18a8A9IcSdp1K8H6x8fbOy06t2VsZHhMHf-1x7Y/edit?usp=sharing"",""แผน!AY72"")"),0)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IFERROR(__xludf.DUMMYFUNCTION("IMPORTRANGE(""https://docs.google.com/spreadsheets/d/1eHaY18a8A9IcSdp1K8H6x8fbOy06t2VsZHhMHf-1x7Y/edit?usp=sharing"",""แผน!AZ72"")"),0)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IFERROR(__xludf.DUMMYFUNCTION("IMPORTRANGE(""https://docs.google.com/spreadsheets/d/1eHaY18a8A9IcSdp1K8H6x8fbOy06t2VsZHhMHf-1x7Y/edit?usp=sharing"",""แผน!BA72"")"),0)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45" t="s">
        <v>35</v>
      </c>
      <c r="I249" s="570">
        <f ca="1">IFERROR(__xludf.DUMMYFUNCTION("IMPORTRANGE(""https://docs.google.com/spreadsheets/d/1eHaY18a8A9IcSdp1K8H6x8fbOy06t2VsZHhMHf-1x7Y/edit?usp=sharing"",""แผน!BG72"")"),0)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945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945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IFERROR(__xludf.DUMMYFUNCTION("IMPORTRANGE(""https://docs.google.com/spreadsheets/d/1eHaY18a8A9IcSdp1K8H6x8fbOy06t2VsZHhMHf-1x7Y/edit?usp=sharing"",""แผน!BB72"")"),0)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IFERROR(__xludf.DUMMYFUNCTION("IMPORTRANGE(""https://docs.google.com/spreadsheets/d/1eHaY18a8A9IcSdp1K8H6x8fbOy06t2VsZHhMHf-1x7Y/edit?usp=sharing"",""แผน!BC72"")"),0)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IFERROR(__xludf.DUMMYFUNCTION("IMPORTRANGE(""https://docs.google.com/spreadsheets/d/1eHaY18a8A9IcSdp1K8H6x8fbOy06t2VsZHhMHf-1x7Y/edit?usp=sharing"",""แผน!BD72"")"),0)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IFERROR(__xludf.DUMMYFUNCTION("IMPORTRANGE(""https://docs.google.com/spreadsheets/d/1eHaY18a8A9IcSdp1K8H6x8fbOy06t2VsZHhMHf-1x7Y/edit?usp=sharing"",""แผน!BE72"")"),0)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IFERROR(__xludf.DUMMYFUNCTION("IMPORTRANGE(""https://docs.google.com/spreadsheets/d/1eHaY18a8A9IcSdp1K8H6x8fbOy06t2VsZHhMHf-1x7Y/edit?usp=sharing"",""แผน!BH72"")"),0)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50660</v>
      </c>
      <c r="T266" s="211">
        <f t="shared" ref="T266:T274" ca="1" si="65">IF(Q266&gt;0,S266*100/Q266,0)</f>
        <v>100</v>
      </c>
      <c r="U266" s="211">
        <f t="shared" ref="U266:U274" ca="1" si="66">IF(R266&gt;0,S266*100/R266,0)</f>
        <v>100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50660</v>
      </c>
      <c r="T268" s="86">
        <f t="shared" ca="1" si="65"/>
        <v>100</v>
      </c>
      <c r="U268" s="86">
        <f t="shared" ca="1" si="66"/>
        <v>100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50660</v>
      </c>
      <c r="T269" s="86">
        <f t="shared" ca="1" si="65"/>
        <v>100</v>
      </c>
      <c r="U269" s="86">
        <f t="shared" ca="1" si="66"/>
        <v>100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IFERROR(__xludf.DUMMYFUNCTION("IMPORTRANGE(""https://docs.google.com/spreadsheets/d/1-uDff_7J0KD5mKrp0Vvzr7lt3OU09vwQwhkpOPPYv2Y/edit?usp=sharing"",""งบพรบ!DE72"")"),5000)</f>
        <v>5000</v>
      </c>
      <c r="M271" s="86">
        <f ca="1">IFERROR(__xludf.DUMMYFUNCTION("IMPORTRANGE(""https://docs.google.com/spreadsheets/d/1-uDff_7J0KD5mKrp0Vvzr7lt3OU09vwQwhkpOPPYv2Y/edit?usp=sharing"",""งบพรบ!DJ72"")"),5000)</f>
        <v>5000</v>
      </c>
      <c r="N271" s="86">
        <f ca="1">IFERROR(__xludf.DUMMYFUNCTION("IMPORTRANGE(""https://docs.google.com/spreadsheets/d/1-uDff_7J0KD5mKrp0Vvzr7lt3OU09vwQwhkpOPPYv2Y/edit?usp=sharing"",""งบพรบ!DL72"")"),5000)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IFERROR(__xludf.DUMMYFUNCTION("IMPORTRANGE(""https://docs.google.com/spreadsheets/d/1ItG2mGa2ceCfYo0BwxsXqNm01IGEUdYcSSLTEv9YCik/edit?usp=sharing"",""เบิกจ่ายกองทุน!AP72"")"),50660)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IFERROR(__xludf.DUMMYFUNCTION("IMPORTRANGE(""https://docs.google.com/spreadsheets/d/1ItG2mGa2ceCfYo0BwxsXqNm01IGEUdYcSSLTEv9YCik/edit?usp=sharing"",""เบิกจ่ายกองทุน!AQ72"")"),50660)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IFERROR(__xludf.DUMMYFUNCTION("IMPORTRANGE(""https://docs.google.com/spreadsheets/d/1ItG2mGa2ceCfYo0BwxsXqNm01IGEUdYcSSLTEv9YCik/edit?usp=sharing"",""เบิกจ่ายกองทุน!AR72"")"),50660)</f>
        <v>50660</v>
      </c>
      <c r="T271" s="86">
        <f t="shared" ca="1" si="65"/>
        <v>100</v>
      </c>
      <c r="U271" s="86">
        <f t="shared" ca="1" si="66"/>
        <v>100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IFERROR(__xludf.DUMMYFUNCTION("IMPORTRANGE(""https://docs.google.com/spreadsheets/d/1-uDff_7J0KD5mKrp0Vvzr7lt3OU09vwQwhkpOPPYv2Y/edit?usp=sharing"",""งบพรบ!DH72"")"),0)</f>
        <v>0</v>
      </c>
      <c r="M274" s="86">
        <f ca="1">IFERROR(__xludf.DUMMYFUNCTION("IMPORTRANGE(""https://docs.google.com/spreadsheets/d/1-uDff_7J0KD5mKrp0Vvzr7lt3OU09vwQwhkpOPPYv2Y/edit?usp=sharing"",""งบพรบ!DK72"")"),0)</f>
        <v>0</v>
      </c>
      <c r="N274" s="86">
        <f ca="1">IFERROR(__xludf.DUMMYFUNCTION("IMPORTRANGE(""https://docs.google.com/spreadsheets/d/1-uDff_7J0KD5mKrp0Vvzr7lt3OU09vwQwhkpOPPYv2Y/edit?usp=sharing"",""งบพรบ!DM72"")"),0)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21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IFERROR(__xludf.DUMMYFUNCTION("IMPORTRANGE(""https://docs.google.com/spreadsheets/d/1eHaY18a8A9IcSdp1K8H6x8fbOy06t2VsZHhMHf-1x7Y/edit?usp=sharing"",""แผน!EC72"")"),22)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10</v>
      </c>
      <c r="J280" s="911">
        <f>J293</f>
        <v>10</v>
      </c>
      <c r="K280" s="910">
        <f ca="1">IF(I280&gt;0,J280*100/I280,0)</f>
        <v>100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100</v>
      </c>
      <c r="J281" s="911">
        <f>J292</f>
        <v>100</v>
      </c>
      <c r="K281" s="910">
        <f ca="1">IF(I281&gt;0,J281*100/I281,0)</f>
        <v>100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668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182620</v>
      </c>
      <c r="M282" s="262">
        <f ca="1">M283+M284</f>
        <v>182620</v>
      </c>
      <c r="N282" s="262">
        <f ca="1">N283+N284</f>
        <v>124670</v>
      </c>
      <c r="O282" s="262">
        <f t="shared" ref="O282:O290" ca="1" si="69">IF(L282&gt;0,N282*100/L282,0)</f>
        <v>68.267440587011279</v>
      </c>
      <c r="P282" s="262">
        <f t="shared" ref="P282:P290" ca="1" si="70">IF(M282&gt;0,N282*100/M282,0)</f>
        <v>68.267440587011279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182620</v>
      </c>
      <c r="M284" s="72">
        <f t="shared" ca="1" si="73"/>
        <v>182620</v>
      </c>
      <c r="N284" s="72">
        <f t="shared" ca="1" si="73"/>
        <v>124670</v>
      </c>
      <c r="O284" s="72">
        <f t="shared" ca="1" si="69"/>
        <v>68.267440587011279</v>
      </c>
      <c r="P284" s="72">
        <f t="shared" ca="1" si="70"/>
        <v>68.267440587011279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182620</v>
      </c>
      <c r="M285" s="72">
        <f ca="1">M286+M287</f>
        <v>182620</v>
      </c>
      <c r="N285" s="72">
        <f ca="1">N286+N287</f>
        <v>124670</v>
      </c>
      <c r="O285" s="72">
        <f t="shared" ca="1" si="69"/>
        <v>68.267440587011279</v>
      </c>
      <c r="P285" s="72">
        <f t="shared" ca="1" si="70"/>
        <v>68.267440587011279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IFERROR(__xludf.DUMMYFUNCTION("IMPORTRANGE(""https://docs.google.com/spreadsheets/d/1-uDff_7J0KD5mKrp0Vvzr7lt3OU09vwQwhkpOPPYv2Y/edit?usp=sharing"",""งบพรบ!DO72"")"),182620)</f>
        <v>182620</v>
      </c>
      <c r="M287" s="72">
        <f ca="1">IFERROR(__xludf.DUMMYFUNCTION("IMPORTRANGE(""https://docs.google.com/spreadsheets/d/1-uDff_7J0KD5mKrp0Vvzr7lt3OU09vwQwhkpOPPYv2Y/edit?usp=sharing"",""งบพรบ!DT72"")"),182620)</f>
        <v>182620</v>
      </c>
      <c r="N287" s="72">
        <f ca="1">IFERROR(__xludf.DUMMYFUNCTION("IMPORTRANGE(""https://docs.google.com/spreadsheets/d/1-uDff_7J0KD5mKrp0Vvzr7lt3OU09vwQwhkpOPPYv2Y/edit?usp=sharing"",""งบพรบ!DV72"")"),124670)</f>
        <v>124670</v>
      </c>
      <c r="O287" s="72">
        <f t="shared" ca="1" si="69"/>
        <v>68.267440587011279</v>
      </c>
      <c r="P287" s="72">
        <f t="shared" ca="1" si="70"/>
        <v>68.267440587011279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IFERROR(__xludf.DUMMYFUNCTION("IMPORTRANGE(""https://docs.google.com/spreadsheets/d/1-uDff_7J0KD5mKrp0Vvzr7lt3OU09vwQwhkpOPPYv2Y/edit?usp=sharing"",""งบพรบ!DR72"")"),0)</f>
        <v>0</v>
      </c>
      <c r="M290" s="72">
        <f ca="1">IFERROR(__xludf.DUMMYFUNCTION("IMPORTRANGE(""https://docs.google.com/spreadsheets/d/1-uDff_7J0KD5mKrp0Vvzr7lt3OU09vwQwhkpOPPYv2Y/edit?usp=sharing"",""งบพรบ!DU72"")"),0)</f>
        <v>0</v>
      </c>
      <c r="N290" s="72">
        <f ca="1">IFERROR(__xludf.DUMMYFUNCTION("IMPORTRANGE(""https://docs.google.com/spreadsheets/d/1-uDff_7J0KD5mKrp0Vvzr7lt3OU09vwQwhkpOPPYv2Y/edit?usp=sharing"",""งบพรบ!DW72"")"),0)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x14ac:dyDescent="0.3">
      <c r="A291" s="274"/>
      <c r="B291" s="275"/>
      <c r="C291" s="668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IFERROR(__xludf.DUMMYFUNCTION("IMPORTRANGE(""https://docs.google.com/spreadsheets/d/1eHaY18a8A9IcSdp1K8H6x8fbOy06t2VsZHhMHf-1x7Y/edit?usp=sharing"",""แผน!EE72"")"),100)</f>
        <v>100</v>
      </c>
      <c r="J292" s="292">
        <v>100</v>
      </c>
      <c r="K292" s="746">
        <f ca="1">IF(I292&gt;0,J292*100/I292,0)</f>
        <v>100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IFERROR(__xludf.DUMMYFUNCTION("IMPORTRANGE(""https://docs.google.com/spreadsheets/d/1eHaY18a8A9IcSdp1K8H6x8fbOy06t2VsZHhMHf-1x7Y/edit?usp=sharing"",""แผน!ED72"")"),10)</f>
        <v>10</v>
      </c>
      <c r="J293" s="601">
        <f>J296</f>
        <v>10</v>
      </c>
      <c r="K293" s="908">
        <f ca="1">IF(I293&gt;0,J293*100/I293,0)</f>
        <v>100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IFERROR(__xludf.DUMMYFUNCTION("IMPORTRANGE(""https://docs.google.com/spreadsheets/d/1eHaY18a8A9IcSdp1K8H6x8fbOy06t2VsZHhMHf-1x7Y/edit?usp=sharing"",""แผน!ED72"")"),10)</f>
        <v>10</v>
      </c>
      <c r="J295" s="292">
        <v>10</v>
      </c>
      <c r="K295" s="746">
        <f ca="1">IF(I295&gt;0,J295*100/I295,0)</f>
        <v>100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IFERROR(__xludf.DUMMYFUNCTION("IMPORTRANGE(""https://docs.google.com/spreadsheets/d/1eHaY18a8A9IcSdp1K8H6x8fbOy06t2VsZHhMHf-1x7Y/edit?usp=sharing"",""แผน!ED72"")"),10)</f>
        <v>10</v>
      </c>
      <c r="J296" s="292">
        <v>10</v>
      </c>
      <c r="K296" s="746">
        <f ca="1">IF(I296&gt;0,J296*100/I296,0)</f>
        <v>100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15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323075</v>
      </c>
      <c r="M303" s="262">
        <f ca="1">M304+M305</f>
        <v>462835</v>
      </c>
      <c r="N303" s="262">
        <f ca="1">N304+N305</f>
        <v>209864</v>
      </c>
      <c r="O303" s="262">
        <f t="shared" ref="O303:O311" ca="1" si="75">IF(L303&gt;0,N303*100/L303,0)</f>
        <v>64.958291418401302</v>
      </c>
      <c r="P303" s="262">
        <f t="shared" ref="P303:P311" ca="1" si="76">IF(M303&gt;0,N303*100/M303,0)</f>
        <v>45.343156848552937</v>
      </c>
      <c r="Q303" s="262">
        <f ca="1">Q304+Q305</f>
        <v>123161.24</v>
      </c>
      <c r="R303" s="262">
        <f ca="1">R304+R305</f>
        <v>123161</v>
      </c>
      <c r="S303" s="262">
        <f ca="1">S304+S305</f>
        <v>16440</v>
      </c>
      <c r="T303" s="262">
        <f t="shared" ref="T303:T311" ca="1" si="77">IF(Q303&gt;0,S303*100/Q303,0)</f>
        <v>13.348355375441169</v>
      </c>
      <c r="U303" s="262">
        <f t="shared" ref="U303:U311" ca="1" si="78">IF(R303&gt;0,S303*100/R303,0)</f>
        <v>13.348381386965029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323075</v>
      </c>
      <c r="M305" s="72">
        <f t="shared" ca="1" si="79"/>
        <v>462835</v>
      </c>
      <c r="N305" s="72">
        <f t="shared" ca="1" si="79"/>
        <v>209864</v>
      </c>
      <c r="O305" s="72">
        <f t="shared" ca="1" si="75"/>
        <v>64.958291418401302</v>
      </c>
      <c r="P305" s="72">
        <f t="shared" ca="1" si="76"/>
        <v>45.343156848552937</v>
      </c>
      <c r="Q305" s="72">
        <f t="shared" ca="1" si="80"/>
        <v>123161.24</v>
      </c>
      <c r="R305" s="72">
        <f t="shared" ca="1" si="80"/>
        <v>123161</v>
      </c>
      <c r="S305" s="72">
        <f t="shared" ca="1" si="80"/>
        <v>16440</v>
      </c>
      <c r="T305" s="72">
        <f t="shared" ca="1" si="77"/>
        <v>13.348355375441169</v>
      </c>
      <c r="U305" s="72">
        <f t="shared" ca="1" si="78"/>
        <v>13.348381386965029</v>
      </c>
    </row>
    <row r="306" spans="1:21" ht="18.75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323075</v>
      </c>
      <c r="M306" s="72">
        <f ca="1">M307+M308</f>
        <v>462835</v>
      </c>
      <c r="N306" s="72">
        <f ca="1">N307+N308</f>
        <v>209864</v>
      </c>
      <c r="O306" s="72">
        <f t="shared" ca="1" si="75"/>
        <v>64.958291418401302</v>
      </c>
      <c r="P306" s="72">
        <f t="shared" ca="1" si="76"/>
        <v>45.343156848552937</v>
      </c>
      <c r="Q306" s="72">
        <f ca="1">Q307+Q308</f>
        <v>123161.24</v>
      </c>
      <c r="R306" s="72">
        <f ca="1">R307+R308</f>
        <v>123161</v>
      </c>
      <c r="S306" s="72">
        <f ca="1">S307+S308</f>
        <v>16440</v>
      </c>
      <c r="T306" s="72">
        <f t="shared" ca="1" si="77"/>
        <v>13.348355375441169</v>
      </c>
      <c r="U306" s="72">
        <f t="shared" ca="1" si="78"/>
        <v>13.348381386965029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IFERROR(__xludf.DUMMYFUNCTION("IMPORTRANGE(""https://docs.google.com/spreadsheets/d/1-uDff_7J0KD5mKrp0Vvzr7lt3OU09vwQwhkpOPPYv2Y/edit?usp=sharing"",""งบพรบ!DY72"")"),323075)</f>
        <v>323075</v>
      </c>
      <c r="M308" s="72">
        <f ca="1">IFERROR(__xludf.DUMMYFUNCTION("IMPORTRANGE(""https://docs.google.com/spreadsheets/d/1-uDff_7J0KD5mKrp0Vvzr7lt3OU09vwQwhkpOPPYv2Y/edit?usp=sharing"",""งบพรบ!ED72"")"),462835)</f>
        <v>462835</v>
      </c>
      <c r="N308" s="72">
        <f ca="1">IFERROR(__xludf.DUMMYFUNCTION("IMPORTRANGE(""https://docs.google.com/spreadsheets/d/1-uDff_7J0KD5mKrp0Vvzr7lt3OU09vwQwhkpOPPYv2Y/edit?usp=sharing"",""งบพรบ!EF72"")"),209864)</f>
        <v>209864</v>
      </c>
      <c r="O308" s="72">
        <f t="shared" ca="1" si="75"/>
        <v>64.958291418401302</v>
      </c>
      <c r="P308" s="72">
        <f t="shared" ca="1" si="76"/>
        <v>45.343156848552937</v>
      </c>
      <c r="Q308" s="72">
        <f ca="1">IFERROR(__xludf.DUMMYFUNCTION("IMPORTRANGE(""https://docs.google.com/spreadsheets/d/1ItG2mGa2ceCfYo0BwxsXqNm01IGEUdYcSSLTEv9YCik/edit?usp=sharing"",""เบิกจ่ายกองทุน!BB72"")"),123161.24)</f>
        <v>123161.24</v>
      </c>
      <c r="R308" s="72">
        <f ca="1">IFERROR(__xludf.DUMMYFUNCTION("IMPORTRANGE(""https://docs.google.com/spreadsheets/d/1ItG2mGa2ceCfYo0BwxsXqNm01IGEUdYcSSLTEv9YCik/edit?usp=sharing"",""เบิกจ่ายกองทุน!BC72"")"),123161)</f>
        <v>123161</v>
      </c>
      <c r="S308" s="72">
        <f ca="1">IFERROR(__xludf.DUMMYFUNCTION("IMPORTRANGE(""https://docs.google.com/spreadsheets/d/1ItG2mGa2ceCfYo0BwxsXqNm01IGEUdYcSSLTEv9YCik/edit?usp=sharing"",""เบิกจ่ายกองทุน!BD72"")"),16440)</f>
        <v>16440</v>
      </c>
      <c r="T308" s="72">
        <f t="shared" ca="1" si="77"/>
        <v>13.348355375441169</v>
      </c>
      <c r="U308" s="72">
        <f t="shared" ca="1" si="78"/>
        <v>13.348381386965029</v>
      </c>
    </row>
    <row r="309" spans="1:21" ht="18.75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IFERROR(__xludf.DUMMYFUNCTION("IMPORTRANGE(""https://docs.google.com/spreadsheets/d/1-uDff_7J0KD5mKrp0Vvzr7lt3OU09vwQwhkpOPPYv2Y/edit?usp=sharing"",""งบพรบ!EB72"")"),0)</f>
        <v>0</v>
      </c>
      <c r="M311" s="72">
        <f ca="1">IFERROR(__xludf.DUMMYFUNCTION("IMPORTRANGE(""https://docs.google.com/spreadsheets/d/1-uDff_7J0KD5mKrp0Vvzr7lt3OU09vwQwhkpOPPYv2Y/edit?usp=sharing"",""งบพรบ!EE72"")"),0)</f>
        <v>0</v>
      </c>
      <c r="N311" s="72">
        <f ca="1">IFERROR(__xludf.DUMMYFUNCTION("IMPORTRANGE(""https://docs.google.com/spreadsheets/d/1-uDff_7J0KD5mKrp0Vvzr7lt3OU09vwQwhkpOPPYv2Y/edit?usp=sharing"",""งบพรบ!EG72"")"),0)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IFERROR(__xludf.DUMMYFUNCTION("IMPORTRANGE(""https://docs.google.com/spreadsheets/d/1eHaY18a8A9IcSdp1K8H6x8fbOy06t2VsZHhMHf-1x7Y/edit?usp=sharing"",""แผน!EF72"")"),15)</f>
        <v>15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472"/>
      <c r="B317" s="473"/>
      <c r="C317" s="473"/>
      <c r="D317" s="29"/>
      <c r="E317" s="19"/>
      <c r="F317" s="19"/>
      <c r="G317" s="22"/>
      <c r="H317" s="30"/>
      <c r="I317" s="474"/>
      <c r="J317" s="474"/>
      <c r="K317" s="3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IFERROR(__xludf.DUMMYFUNCTION("IMPORTRANGE(""https://docs.google.com/spreadsheets/d/1-uDff_7J0KD5mKrp0Vvzr7lt3OU09vwQwhkpOPPYv2Y/edit?usp=sharing"",""งบพรบ!EI72"")"),0)</f>
        <v>0</v>
      </c>
      <c r="M325" s="72">
        <f ca="1">IFERROR(__xludf.DUMMYFUNCTION("IMPORTRANGE(""https://docs.google.com/spreadsheets/d/1-uDff_7J0KD5mKrp0Vvzr7lt3OU09vwQwhkpOPPYv2Y/edit?usp=sharing"",""งบพรบ!EN72"")"),0)</f>
        <v>0</v>
      </c>
      <c r="N325" s="72">
        <f ca="1">IFERROR(__xludf.DUMMYFUNCTION("IMPORTRANGE(""https://docs.google.com/spreadsheets/d/1-uDff_7J0KD5mKrp0Vvzr7lt3OU09vwQwhkpOPPYv2Y/edit?usp=sharing"",""งบพรบ!EP72"")"),0)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IFERROR(__xludf.DUMMYFUNCTION("IMPORTRANGE(""https://docs.google.com/spreadsheets/d/1-uDff_7J0KD5mKrp0Vvzr7lt3OU09vwQwhkpOPPYv2Y/edit?usp=sharing"",""งบพรบ!EL72"")"),0)</f>
        <v>0</v>
      </c>
      <c r="M328" s="72">
        <f ca="1">IFERROR(__xludf.DUMMYFUNCTION("IMPORTRANGE(""https://docs.google.com/spreadsheets/d/1-uDff_7J0KD5mKrp0Vvzr7lt3OU09vwQwhkpOPPYv2Y/edit?usp=sharing"",""งบพรบ!EO72"")"),0)</f>
        <v>0</v>
      </c>
      <c r="N328" s="72">
        <f ca="1">IFERROR(__xludf.DUMMYFUNCTION("IMPORTRANGE(""https://docs.google.com/spreadsheets/d/1-uDff_7J0KD5mKrp0Vvzr7lt3OU09vwQwhkpOPPYv2Y/edit?usp=sharing"",""งบพรบ!EQ72"")"),0)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IFERROR(__xludf.DUMMYFUNCTION("IMPORTRANGE(""https://docs.google.com/spreadsheets/d/1eHaY18a8A9IcSdp1K8H6x8fbOy06t2VsZHhMHf-1x7Y/edit?usp=sharing"",""แผน!EJ72"")"),0)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1540</v>
      </c>
      <c r="J332" s="515">
        <f ca="1">J344+J347+J348+J349+J353+J354</f>
        <v>4903</v>
      </c>
      <c r="K332" s="516">
        <f ca="1">IF(I332&gt;0,J332*100/I332,0)</f>
        <v>318.3766233766234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181000</v>
      </c>
      <c r="M333" s="262">
        <f ca="1">M334+M335</f>
        <v>181000</v>
      </c>
      <c r="N333" s="262">
        <f ca="1">N334+N335</f>
        <v>124389</v>
      </c>
      <c r="O333" s="262">
        <f t="shared" ref="O333:O341" ca="1" si="87">IF(L333&gt;0,N333*100/L333,0)</f>
        <v>68.723204419889498</v>
      </c>
      <c r="P333" s="262">
        <f t="shared" ref="P333:P341" ca="1" si="88">IF(M333&gt;0,N333*100/M333,0)</f>
        <v>68.723204419889498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181000</v>
      </c>
      <c r="M335" s="72">
        <f t="shared" ca="1" si="91"/>
        <v>181000</v>
      </c>
      <c r="N335" s="72">
        <f t="shared" ca="1" si="91"/>
        <v>124389</v>
      </c>
      <c r="O335" s="72">
        <f t="shared" ca="1" si="87"/>
        <v>68.723204419889498</v>
      </c>
      <c r="P335" s="72">
        <f t="shared" ca="1" si="88"/>
        <v>68.723204419889498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181000</v>
      </c>
      <c r="M336" s="72">
        <f ca="1">M337+M338</f>
        <v>181000</v>
      </c>
      <c r="N336" s="72">
        <f ca="1">N337+N338</f>
        <v>124389</v>
      </c>
      <c r="O336" s="72">
        <f t="shared" ca="1" si="87"/>
        <v>68.723204419889498</v>
      </c>
      <c r="P336" s="72">
        <f t="shared" ca="1" si="88"/>
        <v>68.723204419889498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IFERROR(__xludf.DUMMYFUNCTION("IMPORTRANGE(""https://docs.google.com/spreadsheets/d/1-uDff_7J0KD5mKrp0Vvzr7lt3OU09vwQwhkpOPPYv2Y/edit?usp=sharing"",""งบพรบ!ES72"")"),181000)</f>
        <v>181000</v>
      </c>
      <c r="M338" s="72">
        <f ca="1">IFERROR(__xludf.DUMMYFUNCTION("IMPORTRANGE(""https://docs.google.com/spreadsheets/d/1-uDff_7J0KD5mKrp0Vvzr7lt3OU09vwQwhkpOPPYv2Y/edit?usp=sharing"",""งบพรบ!EX72"")"),181000)</f>
        <v>181000</v>
      </c>
      <c r="N338" s="72">
        <f ca="1">IFERROR(__xludf.DUMMYFUNCTION("IMPORTRANGE(""https://docs.google.com/spreadsheets/d/1-uDff_7J0KD5mKrp0Vvzr7lt3OU09vwQwhkpOPPYv2Y/edit?usp=sharing"",""งบพรบ!EZ72"")"),124389)</f>
        <v>124389</v>
      </c>
      <c r="O338" s="72">
        <f t="shared" ca="1" si="87"/>
        <v>68.723204419889498</v>
      </c>
      <c r="P338" s="72">
        <f t="shared" ca="1" si="88"/>
        <v>68.723204419889498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IFERROR(__xludf.DUMMYFUNCTION("IMPORTRANGE(""https://docs.google.com/spreadsheets/d/1-uDff_7J0KD5mKrp0Vvzr7lt3OU09vwQwhkpOPPYv2Y/edit?usp=sharing"",""งบพรบ!EV72"")"),0)</f>
        <v>0</v>
      </c>
      <c r="M341" s="72">
        <f ca="1">IFERROR(__xludf.DUMMYFUNCTION("IMPORTRANGE(""https://docs.google.com/spreadsheets/d/1-uDff_7J0KD5mKrp0Vvzr7lt3OU09vwQwhkpOPPYv2Y/edit?usp=sharing"",""งบพรบ!EY72"")"),0)</f>
        <v>0</v>
      </c>
      <c r="N341" s="72">
        <f ca="1">IFERROR(__xludf.DUMMYFUNCTION("IMPORTRANGE(""https://docs.google.com/spreadsheets/d/1-uDff_7J0KD5mKrp0Vvzr7lt3OU09vwQwhkpOPPYv2Y/edit?usp=sharing"",""งบพรบ!FA72"")"),0)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2367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IFERROR(__xludf.DUMMYFUNCTION("IMPORTRANGE(""https://docs.google.com/spreadsheets/d/1eHaY18a8A9IcSdp1K8H6x8fbOy06t2VsZHhMHf-1x7Y/edit?usp=sharing"",""แผน!EK72"")"),1540)</f>
        <v>1540</v>
      </c>
      <c r="J344" s="291">
        <f ca="1">IFERROR(__xludf.DUMMYFUNCTION("IMPORTRANGE(""https://docs.google.com/spreadsheets/d/1awYsYK3VOup2i3Pq_Yjnu8DRu_mYwSBnCR2QPthd0rU/edit?usp=sharing"",""ศูนย์ยกเว้นโฉนด!D72"")"),2329)</f>
        <v>2329</v>
      </c>
      <c r="K344" s="72">
        <f ca="1">IF(I344&gt;0,J344*100/I344,0)</f>
        <v>151.23376623376623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IFERROR(__xludf.DUMMYFUNCTION("IMPORTRANGE(""https://docs.google.com/spreadsheets/d/1eHaY18a8A9IcSdp1K8H6x8fbOy06t2VsZHhMHf-1x7Y/edit?usp=sharing"",""แผน!EL72"")"),3)</f>
        <v>3</v>
      </c>
      <c r="J346" s="291">
        <f ca="1">IFERROR(__xludf.DUMMYFUNCTION("IMPORTRANGE(""https://docs.google.com/spreadsheets/d/1awYsYK3VOup2i3Pq_Yjnu8DRu_mYwSBnCR2QPthd0rU/edit?usp=sharing"",""ศูนย์รวม!E72"")"),14)</f>
        <v>14</v>
      </c>
      <c r="K346" s="72">
        <f ca="1">IF(I346&gt;0,J346*100/I346,0)</f>
        <v>466.66666666666669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IFERROR(__xludf.DUMMYFUNCTION("IMPORTRANGE(""https://docs.google.com/spreadsheets/d/1awYsYK3VOup2i3Pq_Yjnu8DRu_mYwSBnCR2QPthd0rU/edit?usp=sharing"",""ศูนย์ยกเว้นโฉนด!F72"")"),4)</f>
        <v>4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IFERROR(__xludf.DUMMYFUNCTION("IMPORTRANGE(""https://docs.google.com/spreadsheets/d/1awYsYK3VOup2i3Pq_Yjnu8DRu_mYwSBnCR2QPthd0rU/edit?usp=sharing"",""ศูนย์ยกเว้นโฉนด!G72"")"),34)</f>
        <v>34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IFERROR(__xludf.DUMMYFUNCTION("IMPORTRANGE(""https://docs.google.com/spreadsheets/d/1awYsYK3VOup2i3Pq_Yjnu8DRu_mYwSBnCR2QPthd0rU/edit?usp=sharing"",""ศูนย์ยกเว้นโฉนด!H72"")"),0)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>
        <f ca="1">J352+J353+J354</f>
        <v>2537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IFERROR(__xludf.DUMMYFUNCTION("IMPORTRANGE(""https://docs.google.com/spreadsheets/d/1awYsYK3VOup2i3Pq_Yjnu8DRu_mYwSBnCR2QPthd0rU/edit?usp=sharing"",""โฉนดM3!G72"")"),1)</f>
        <v>1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IFERROR(__xludf.DUMMYFUNCTION("IMPORTRANGE(""https://docs.google.com/spreadsheets/d/1awYsYK3VOup2i3Pq_Yjnu8DRu_mYwSBnCR2QPthd0rU/edit?usp=sharing"",""โฉนดM3!H72"")"),2380)</f>
        <v>2380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IFERROR(__xludf.DUMMYFUNCTION("IMPORTRANGE(""https://docs.google.com/spreadsheets/d/1awYsYK3VOup2i3Pq_Yjnu8DRu_mYwSBnCR2QPthd0rU/edit?usp=sharing"",""โฉนดM3!I72"")"),156)</f>
        <v>156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736730</v>
      </c>
      <c r="M356" s="262">
        <f ca="1">M357+M358</f>
        <v>784050</v>
      </c>
      <c r="N356" s="262">
        <f ca="1">N357+N358</f>
        <v>537354.13</v>
      </c>
      <c r="O356" s="262">
        <f t="shared" ref="O356:O364" ca="1" si="93">IF(L356&gt;0,N356*100/L356,0)</f>
        <v>72.937728883037209</v>
      </c>
      <c r="P356" s="262">
        <f t="shared" ref="P356:P364" ca="1" si="94">IF(M356&gt;0,N356*100/M356,0)</f>
        <v>68.535696703016384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736730</v>
      </c>
      <c r="M358" s="72">
        <f t="shared" ca="1" si="97"/>
        <v>784050</v>
      </c>
      <c r="N358" s="72">
        <f t="shared" ca="1" si="97"/>
        <v>537354.13</v>
      </c>
      <c r="O358" s="72">
        <f t="shared" ca="1" si="93"/>
        <v>72.937728883037209</v>
      </c>
      <c r="P358" s="72">
        <f t="shared" ca="1" si="94"/>
        <v>68.535696703016384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736730</v>
      </c>
      <c r="M359" s="72">
        <f ca="1">M360+M361</f>
        <v>784050</v>
      </c>
      <c r="N359" s="72">
        <f ca="1">N360+N361</f>
        <v>537354.13</v>
      </c>
      <c r="O359" s="72">
        <f t="shared" ca="1" si="93"/>
        <v>72.937728883037209</v>
      </c>
      <c r="P359" s="72">
        <f t="shared" ca="1" si="94"/>
        <v>68.535696703016384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IFERROR(__xludf.DUMMYFUNCTION("IMPORTRANGE(""https://docs.google.com/spreadsheets/d/1-uDff_7J0KD5mKrp0Vvzr7lt3OU09vwQwhkpOPPYv2Y/edit?usp=sharing"",""งบพรบ!FC72"")"),736730)</f>
        <v>736730</v>
      </c>
      <c r="M361" s="72">
        <f ca="1">IFERROR(__xludf.DUMMYFUNCTION("IMPORTRANGE(""https://docs.google.com/spreadsheets/d/1-uDff_7J0KD5mKrp0Vvzr7lt3OU09vwQwhkpOPPYv2Y/edit?usp=sharing"",""งบพรบ!FH72"")"),784050)</f>
        <v>784050</v>
      </c>
      <c r="N361" s="72">
        <f ca="1">IFERROR(__xludf.DUMMYFUNCTION("IMPORTRANGE(""https://docs.google.com/spreadsheets/d/1-uDff_7J0KD5mKrp0Vvzr7lt3OU09vwQwhkpOPPYv2Y/edit?usp=sharing"",""งบพรบ!FJ72"")"),537354.13)</f>
        <v>537354.13</v>
      </c>
      <c r="O361" s="72">
        <f t="shared" ca="1" si="93"/>
        <v>72.937728883037209</v>
      </c>
      <c r="P361" s="72">
        <f t="shared" ca="1" si="94"/>
        <v>68.535696703016384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IFERROR(__xludf.DUMMYFUNCTION("IMPORTRANGE(""https://docs.google.com/spreadsheets/d/1-uDff_7J0KD5mKrp0Vvzr7lt3OU09vwQwhkpOPPYv2Y/edit?usp=sharing"",""งบพรบ!FF72"")"),0)</f>
        <v>0</v>
      </c>
      <c r="M364" s="72">
        <f ca="1">IFERROR(__xludf.DUMMYFUNCTION("IMPORTRANGE(""https://docs.google.com/spreadsheets/d/1-uDff_7J0KD5mKrp0Vvzr7lt3OU09vwQwhkpOPPYv2Y/edit?usp=sharing"",""งบพรบ!FI72"")"),0)</f>
        <v>0</v>
      </c>
      <c r="N364" s="72">
        <f ca="1">IFERROR(__xludf.DUMMYFUNCTION("IMPORTRANGE(""https://docs.google.com/spreadsheets/d/1-uDff_7J0KD5mKrp0Vvzr7lt3OU09vwQwhkpOPPYv2Y/edit?usp=sharing"",""งบพรบ!FK72"")"),0)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132</v>
      </c>
      <c r="J365" s="538">
        <f ca="1">J371</f>
        <v>104</v>
      </c>
      <c r="K365" s="539">
        <f ca="1">IF(I365&gt;0,J365*100/I365,0)</f>
        <v>78.787878787878782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IFERROR(__xludf.DUMMYFUNCTION("IMPORTRANGE(""https://docs.google.com/spreadsheets/d/1tdoBKaGub7dwA3U6UFTqxio9LNnvDCQjHKmttSEBsFQ/edit?usp=sharing"",""จัดที่ดิน!AB72"")"),136)</f>
        <v>136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IFERROR(__xludf.DUMMYFUNCTION("IMPORTRANGE(""https://docs.google.com/spreadsheets/d/1eHaY18a8A9IcSdp1K8H6x8fbOy06t2VsZHhMHf-1x7Y/edit?usp=sharing"",""แผน!EW72"")"),350)</f>
        <v>350</v>
      </c>
      <c r="J368" s="879">
        <f ca="1">IFERROR(__xludf.DUMMYFUNCTION("IMPORTRANGE(""https://docs.google.com/spreadsheets/d/1tdoBKaGub7dwA3U6UFTqxio9LNnvDCQjHKmttSEBsFQ/edit?usp=sharing"",""จัดที่ดิน!AC72"")"),846.189999999999)</f>
        <v>846.18999999999903</v>
      </c>
      <c r="K368" s="72">
        <f t="shared" ca="1" si="99"/>
        <v>241.76857142857114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IFERROR(__xludf.DUMMYFUNCTION("IMPORTRANGE(""https://docs.google.com/spreadsheets/d/1eHaY18a8A9IcSdp1K8H6x8fbOy06t2VsZHhMHf-1x7Y/edit?usp=sharing"",""แผน!EX72"")"),132)</f>
        <v>132</v>
      </c>
      <c r="J369" s="291">
        <f ca="1">IFERROR(__xludf.DUMMYFUNCTION("IMPORTRANGE(""https://docs.google.com/spreadsheets/d/1tdoBKaGub7dwA3U6UFTqxio9LNnvDCQjHKmttSEBsFQ/edit?usp=sharing"",""จัดที่ดิน!AD72"")"),117)</f>
        <v>117</v>
      </c>
      <c r="K369" s="72">
        <f t="shared" ca="1" si="99"/>
        <v>88.63636363636364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IFERROR(__xludf.DUMMYFUNCTION("IMPORTRANGE(""https://docs.google.com/spreadsheets/d/1tdoBKaGub7dwA3U6UFTqxio9LNnvDCQjHKmttSEBsFQ/edit?usp=sharing"",""จัดที่ดิน!AE72"")"),1177.44999999999)</f>
        <v>1177.44999999999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IFERROR(__xludf.DUMMYFUNCTION("IMPORTRANGE(""https://docs.google.com/spreadsheets/d/1eHaY18a8A9IcSdp1K8H6x8fbOy06t2VsZHhMHf-1x7Y/edit?usp=sharing"",""แผน!EY72"")"),132)</f>
        <v>132</v>
      </c>
      <c r="J371" s="291">
        <f ca="1">IFERROR(__xludf.DUMMYFUNCTION("IMPORTRANGE(""https://docs.google.com/spreadsheets/d/1tdoBKaGub7dwA3U6UFTqxio9LNnvDCQjHKmttSEBsFQ/edit?usp=sharing"",""จัดที่ดิน!AF72"")"),104)</f>
        <v>104</v>
      </c>
      <c r="K371" s="72">
        <f t="shared" ca="1" si="99"/>
        <v>78.787878787878782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IFERROR(__xludf.DUMMYFUNCTION("IMPORTRANGE(""https://docs.google.com/spreadsheets/d/1tdoBKaGub7dwA3U6UFTqxio9LNnvDCQjHKmttSEBsFQ/edit?usp=sharing"",""จัดที่ดิน!AG72"")"),1146.73)</f>
        <v>1146.73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62500</v>
      </c>
      <c r="R375" s="262">
        <f ca="1">R376+R377</f>
        <v>62500</v>
      </c>
      <c r="S375" s="262">
        <f ca="1">S376+S377</f>
        <v>44316</v>
      </c>
      <c r="T375" s="262">
        <f t="shared" ref="T375:T383" ca="1" si="102">IF(Q375&gt;0,S375*100/Q375,0)</f>
        <v>70.905600000000007</v>
      </c>
      <c r="U375" s="262">
        <f t="shared" ref="U375:U383" ca="1" si="103">IF(R375&gt;0,S375*100/R375,0)</f>
        <v>70.905600000000007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62500</v>
      </c>
      <c r="R377" s="72">
        <f t="shared" ca="1" si="105"/>
        <v>62500</v>
      </c>
      <c r="S377" s="72">
        <f t="shared" ca="1" si="105"/>
        <v>44316</v>
      </c>
      <c r="T377" s="72">
        <f t="shared" ca="1" si="102"/>
        <v>70.905600000000007</v>
      </c>
      <c r="U377" s="72">
        <f t="shared" ca="1" si="103"/>
        <v>70.905600000000007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62500</v>
      </c>
      <c r="R378" s="72">
        <f ca="1">R379+R380</f>
        <v>62500</v>
      </c>
      <c r="S378" s="72">
        <f ca="1">S379+S380</f>
        <v>44316</v>
      </c>
      <c r="T378" s="72">
        <f t="shared" ca="1" si="102"/>
        <v>70.905600000000007</v>
      </c>
      <c r="U378" s="72">
        <f t="shared" ca="1" si="103"/>
        <v>70.905600000000007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IFERROR(__xludf.DUMMYFUNCTION("IMPORTRANGE(""https://docs.google.com/spreadsheets/d/1-uDff_7J0KD5mKrp0Vvzr7lt3OU09vwQwhkpOPPYv2Y/edit?usp=sharing"",""งบพรบ!IE72"")"),0)</f>
        <v>0</v>
      </c>
      <c r="M380" s="72">
        <f ca="1">IFERROR(__xludf.DUMMYFUNCTION("IMPORTRANGE(""https://docs.google.com/spreadsheets/d/1-uDff_7J0KD5mKrp0Vvzr7lt3OU09vwQwhkpOPPYv2Y/edit?usp=sharing"",""งบพรบ!IJ72"")"),0)</f>
        <v>0</v>
      </c>
      <c r="N380" s="72">
        <f ca="1">IFERROR(__xludf.DUMMYFUNCTION("IMPORTRANGE(""https://docs.google.com/spreadsheets/d/1-uDff_7J0KD5mKrp0Vvzr7lt3OU09vwQwhkpOPPYv2Y/edit?usp=sharing"",""งบพรบ!IL72"")"),0)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IFERROR(__xludf.DUMMYFUNCTION("IMPORTRANGE(""https://docs.google.com/spreadsheets/d/1ItG2mGa2ceCfYo0BwxsXqNm01IGEUdYcSSLTEv9YCik/edit?usp=sharing"",""เบิกจ่ายกองทุน!BW72"")"),62500)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IFERROR(__xludf.DUMMYFUNCTION("IMPORTRANGE(""https://docs.google.com/spreadsheets/d/1ItG2mGa2ceCfYo0BwxsXqNm01IGEUdYcSSLTEv9YCik/edit?usp=sharing"",""เบิกจ่ายกองทุน!BX72"")"),62500)</f>
        <v>62500</v>
      </c>
      <c r="S380" s="72">
        <f ca="1">IFERROR(__xludf.DUMMYFUNCTION("IMPORTRANGE(""https://docs.google.com/spreadsheets/d/1ItG2mGa2ceCfYo0BwxsXqNm01IGEUdYcSSLTEv9YCik/edit?usp=sharing"",""เบิกจ่ายกองทุน!BY72"")"),44316)</f>
        <v>44316</v>
      </c>
      <c r="T380" s="72">
        <f t="shared" ca="1" si="102"/>
        <v>70.905600000000007</v>
      </c>
      <c r="U380" s="72">
        <f t="shared" ca="1" si="103"/>
        <v>70.905600000000007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IFERROR(__xludf.DUMMYFUNCTION("IMPORTRANGE(""https://docs.google.com/spreadsheets/d/1-uDff_7J0KD5mKrp0Vvzr7lt3OU09vwQwhkpOPPYv2Y/edit?usp=sharing"",""งบพรบ!IH72"")"),0)</f>
        <v>0</v>
      </c>
      <c r="M383" s="72">
        <f ca="1">IFERROR(__xludf.DUMMYFUNCTION("IMPORTRANGE(""https://docs.google.com/spreadsheets/d/1-uDff_7J0KD5mKrp0Vvzr7lt3OU09vwQwhkpOPPYv2Y/edit?usp=sharing"",""งบพรบ!IK72"")"),0)</f>
        <v>0</v>
      </c>
      <c r="N383" s="72">
        <f ca="1">IFERROR(__xludf.DUMMYFUNCTION("IMPORTRANGE(""https://docs.google.com/spreadsheets/d/1-uDff_7J0KD5mKrp0Vvzr7lt3OU09vwQwhkpOPPYv2Y/edit?usp=sharing"",""งบพรบ!IM72"")"),0)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IFERROR(__xludf.DUMMYFUNCTION("IMPORTRANGE(""https://docs.google.com/spreadsheets/d/1w5rwWK1o49a35cNtocGL0gxDwhFSTZUQu90BiH9_zqM/edit?usp=sharing"",""RTK!H72"")"),0)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IFERROR(__xludf.DUMMYFUNCTION("IMPORTRANGE(""https://docs.google.com/spreadsheets/d/1w5rwWK1o49a35cNtocGL0gxDwhFSTZUQu90BiH9_zqM/edit?usp=sharing"",""RTK!G72"")"),1000)</f>
        <v>1000</v>
      </c>
      <c r="J386" s="291">
        <f ca="1">IFERROR(__xludf.DUMMYFUNCTION("IMPORTRANGE(""https://docs.google.com/spreadsheets/d/1w5rwWK1o49a35cNtocGL0gxDwhFSTZUQu90BiH9_zqM/edit?usp=sharing"",""RTK!I72"")"),0)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IFERROR(__xludf.DUMMYFUNCTION("IMPORTRANGE(""https://docs.google.com/spreadsheets/d/1w5rwWK1o49a35cNtocGL0gxDwhFSTZUQu90BiH9_zqM/edit?usp=sharing"",""RTK!L72"")"),0)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IFERROR(__xludf.DUMMYFUNCTION("IMPORTRANGE(""https://docs.google.com/spreadsheets/d/1w5rwWK1o49a35cNtocGL0gxDwhFSTZUQu90BiH9_zqM/edit?usp=sharing"",""RTK!K72"")"),0)</f>
        <v>0</v>
      </c>
      <c r="J388" s="237">
        <f ca="1">IFERROR(__xludf.DUMMYFUNCTION("IMPORTRANGE(""https://docs.google.com/spreadsheets/d/1w5rwWK1o49a35cNtocGL0gxDwhFSTZUQu90BiH9_zqM/edit?usp=sharing"",""RTK!M72"")"),0)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IFERROR(__xludf.DUMMYFUNCTION("IMPORTRANGE(""https://docs.google.com/spreadsheets/d/1ItG2mGa2ceCfYo0BwxsXqNm01IGEUdYcSSLTEv9YCik/edit?usp=sharing"",""เบิกจ่ายกองทุน!CL72"")"),0)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IFERROR(__xludf.DUMMYFUNCTION("IMPORTRANGE(""https://docs.google.com/spreadsheets/d/1ItG2mGa2ceCfYo0BwxsXqNm01IGEUdYcSSLTEv9YCik/edit?usp=sharing"",""เบิกจ่ายกองทุน!CM72"")"),0)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IFERROR(__xludf.DUMMYFUNCTION("IMPORTRANGE(""https://docs.google.com/spreadsheets/d/1ItG2mGa2ceCfYo0BwxsXqNm01IGEUdYcSSLTEv9YCik/edit?usp=sharing"",""เบิกจ่ายกองทุน!CN72"")"),0)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52420</v>
      </c>
      <c r="M413" s="262">
        <f ca="1">M414+M415</f>
        <v>52420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16250</v>
      </c>
      <c r="R413" s="262">
        <f ca="1">R414+R415</f>
        <v>16250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52420</v>
      </c>
      <c r="M415" s="72">
        <f t="shared" ca="1" si="116"/>
        <v>52420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16250</v>
      </c>
      <c r="R415" s="72">
        <f t="shared" ca="1" si="117"/>
        <v>16250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52420</v>
      </c>
      <c r="M416" s="72">
        <f ca="1">M417+M418</f>
        <v>52420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16250</v>
      </c>
      <c r="R416" s="72">
        <f ca="1">R417+R418</f>
        <v>16250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IFERROR(__xludf.DUMMYFUNCTION("IMPORTRANGE(""https://docs.google.com/spreadsheets/d/1-uDff_7J0KD5mKrp0Vvzr7lt3OU09vwQwhkpOPPYv2Y/edit?usp=sharing"",""งบพรบ!IO72"")"),52420)</f>
        <v>52420</v>
      </c>
      <c r="M418" s="72">
        <f ca="1">IFERROR(__xludf.DUMMYFUNCTION("IMPORTRANGE(""https://docs.google.com/spreadsheets/d/1-uDff_7J0KD5mKrp0Vvzr7lt3OU09vwQwhkpOPPYv2Y/edit?usp=sharing"",""งบพรบ!IT72"")"),52420)</f>
        <v>52420</v>
      </c>
      <c r="N418" s="72">
        <f ca="1">IFERROR(__xludf.DUMMYFUNCTION("IMPORTRANGE(""https://docs.google.com/spreadsheets/d/1-uDff_7J0KD5mKrp0Vvzr7lt3OU09vwQwhkpOPPYv2Y/edit?usp=sharing"",""งบพรบ!IV72"")"),0)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IFERROR(__xludf.DUMMYFUNCTION("IMPORTRANGE(""https://docs.google.com/spreadsheets/d/1ItG2mGa2ceCfYo0BwxsXqNm01IGEUdYcSSLTEv9YCik/edit?usp=sharing"",""เบิกจ่ายกองทุน!BZ72"")"),16250)</f>
        <v>16250</v>
      </c>
      <c r="R418" s="72">
        <f ca="1">IFERROR(__xludf.DUMMYFUNCTION("IMPORTRANGE(""https://docs.google.com/spreadsheets/d/1ItG2mGa2ceCfYo0BwxsXqNm01IGEUdYcSSLTEv9YCik/edit?usp=sharing"",""เบิกจ่ายกองทุน!CA72"")"),16250)</f>
        <v>16250</v>
      </c>
      <c r="S418" s="72">
        <f ca="1">IFERROR(__xludf.DUMMYFUNCTION("IMPORTRANGE(""https://docs.google.com/spreadsheets/d/1ItG2mGa2ceCfYo0BwxsXqNm01IGEUdYcSSLTEv9YCik/edit?usp=sharing"",""เบิกจ่ายกองทุน!CB72"")"),0)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IFERROR(__xludf.DUMMYFUNCTION("IMPORTRANGE(""https://docs.google.com/spreadsheets/d/1-uDff_7J0KD5mKrp0Vvzr7lt3OU09vwQwhkpOPPYv2Y/edit?usp=sharing"",""งบพรบ!IR72"")"),0)</f>
        <v>0</v>
      </c>
      <c r="M421" s="72">
        <f ca="1">IFERROR(__xludf.DUMMYFUNCTION("IMPORTRANGE(""https://docs.google.com/spreadsheets/d/1-uDff_7J0KD5mKrp0Vvzr7lt3OU09vwQwhkpOPPYv2Y/edit?usp=sharing"",""งบพรบ!IU72"")"),0)</f>
        <v>0</v>
      </c>
      <c r="N421" s="72">
        <f ca="1">IFERROR(__xludf.DUMMYFUNCTION("IMPORTRANGE(""https://docs.google.com/spreadsheets/d/1-uDff_7J0KD5mKrp0Vvzr7lt3OU09vwQwhkpOPPYv2Y/edit?usp=sharing"",""งบพรบ!IW72"")"),0)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797" t="s">
        <v>38</v>
      </c>
      <c r="E422" s="762"/>
      <c r="F422" s="762"/>
      <c r="G422" s="1293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IFERROR(__xludf.DUMMYFUNCTION("IMPORTRANGE(""https://docs.google.com/spreadsheets/d/1eHaY18a8A9IcSdp1K8H6x8fbOy06t2VsZHhMHf-1x7Y/edit?usp=sharing"",""แผน!HJ72"")"),0)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IFERROR(__xludf.DUMMYFUNCTION("IMPORTRANGE(""https://docs.google.com/spreadsheets/d/1eHaY18a8A9IcSdp1K8H6x8fbOy06t2VsZHhMHf-1x7Y/edit?usp=sharing"",""แผน!HK72"")"),0)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IFERROR(__xludf.DUMMYFUNCTION("IMPORTRANGE(""https://docs.google.com/spreadsheets/d/1eHaY18a8A9IcSdp1K8H6x8fbOy06t2VsZHhMHf-1x7Y/edit?usp=sharing"",""แผน!HJ72"")"),0)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IFERROR(__xludf.DUMMYFUNCTION("IMPORTRANGE(""https://docs.google.com/spreadsheets/d/1eHaY18a8A9IcSdp1K8H6x8fbOy06t2VsZHhMHf-1x7Y/edit?usp=sharing"",""แผน!HK72"")"),0)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IFERROR(__xludf.DUMMYFUNCTION("IMPORTRANGE(""https://docs.google.com/spreadsheets/d/1eHaY18a8A9IcSdp1K8H6x8fbOy06t2VsZHhMHf-1x7Y/edit?usp=sharing"",""แผน!HJ72"")"),0)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IFERROR(__xludf.DUMMYFUNCTION("IMPORTRANGE(""https://docs.google.com/spreadsheets/d/1eHaY18a8A9IcSdp1K8H6x8fbOy06t2VsZHhMHf-1x7Y/edit?usp=sharing"",""แผน!HK72"")"),0)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172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IFERROR(__xludf.DUMMYFUNCTION("IMPORTRANGE(""https://docs.google.com/spreadsheets/d/1eHaY18a8A9IcSdp1K8H6x8fbOy06t2VsZHhMHf-1x7Y/edit?usp=sharing"",""แผน!HL72"")"),172)</f>
        <v>172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IFERROR(__xludf.DUMMYFUNCTION("IMPORTRANGE(""https://docs.google.com/spreadsheets/d/1eHaY18a8A9IcSdp1K8H6x8fbOy06t2VsZHhMHf-1x7Y/edit?usp=sharing"",""แผน!HM72"")"),0)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IFERROR(__xludf.DUMMYFUNCTION("IMPORTRANGE(""https://docs.google.com/spreadsheets/d/1-uDff_7J0KD5mKrp0Vvzr7lt3OU09vwQwhkpOPPYv2Y/edit?usp=sharing"",""งบพรบ!HU72"")"),0)</f>
        <v>0</v>
      </c>
      <c r="M498" s="72">
        <f ca="1">IFERROR(__xludf.DUMMYFUNCTION("IMPORTRANGE(""https://docs.google.com/spreadsheets/d/1-uDff_7J0KD5mKrp0Vvzr7lt3OU09vwQwhkpOPPYv2Y/edit?usp=sharing"",""งบพรบ!HZ72"")"),0)</f>
        <v>0</v>
      </c>
      <c r="N498" s="72">
        <f ca="1">IFERROR(__xludf.DUMMYFUNCTION("IMPORTRANGE(""https://docs.google.com/spreadsheets/d/1-uDff_7J0KD5mKrp0Vvzr7lt3OU09vwQwhkpOPPYv2Y/edit?usp=sharing"",""งบพรบ!IB72"")"),0)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IFERROR(__xludf.DUMMYFUNCTION("IMPORTRANGE(""https://docs.google.com/spreadsheets/d/1ItG2mGa2ceCfYo0BwxsXqNm01IGEUdYcSSLTEv9YCik/edit?usp=sharing"",""เบิกจ่ายกองทุน!AD72"")"),0)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IFERROR(__xludf.DUMMYFUNCTION("IMPORTRANGE(""https://docs.google.com/spreadsheets/d/1ItG2mGa2ceCfYo0BwxsXqNm01IGEUdYcSSLTEv9YCik/edit?usp=sharing"",""เบิกจ่ายกองทุน!AE72"")"),0)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IFERROR(__xludf.DUMMYFUNCTION("IMPORTRANGE(""https://docs.google.com/spreadsheets/d/1ItG2mGa2ceCfYo0BwxsXqNm01IGEUdYcSSLTEv9YCik/edit?usp=sharing"",""เบิกจ่ายกองทุน!AF72"")"),0)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IFERROR(__xludf.DUMMYFUNCTION("IMPORTRANGE(""https://docs.google.com/spreadsheets/d/1-uDff_7J0KD5mKrp0Vvzr7lt3OU09vwQwhkpOPPYv2Y/edit?usp=sharing"",""งบพรบ!HX72"")"),0)</f>
        <v>0</v>
      </c>
      <c r="M501" s="72">
        <f ca="1">IFERROR(__xludf.DUMMYFUNCTION("IMPORTRANGE(""https://docs.google.com/spreadsheets/d/1-uDff_7J0KD5mKrp0Vvzr7lt3OU09vwQwhkpOPPYv2Y/edit?usp=sharing"",""งบพรบ!IA72"")"),0)</f>
        <v>0</v>
      </c>
      <c r="N501" s="72">
        <f ca="1">IFERROR(__xludf.DUMMYFUNCTION("IMPORTRANGE(""https://docs.google.com/spreadsheets/d/1-uDff_7J0KD5mKrp0Vvzr7lt3OU09vwQwhkpOPPYv2Y/edit?usp=sharing"",""งบพรบ!IC72"")"),0)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IFERROR(__xludf.DUMMYFUNCTION("IMPORTRANGE(""https://docs.google.com/spreadsheets/d/1eHaY18a8A9IcSdp1K8H6x8fbOy06t2VsZHhMHf-1x7Y/edit?usp=sharing"",""แผน!GX72"")"),0)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IFERROR(__xludf.DUMMYFUNCTION("IMPORTRANGE(""https://docs.google.com/spreadsheets/d/1eHaY18a8A9IcSdp1K8H6x8fbOy06t2VsZHhMHf-1x7Y/edit?usp=sharing"",""แผน!GY72"")"),0)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IFERROR(__xludf.DUMMYFUNCTION("IMPORTRANGE(""https://docs.google.com/spreadsheets/d/1eHaY18a8A9IcSdp1K8H6x8fbOy06t2VsZHhMHf-1x7Y/edit?usp=sharing"",""แผน!GZ72"")"),0)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IFERROR(__xludf.DUMMYFUNCTION("IMPORTRANGE(""https://docs.google.com/spreadsheets/d/1eHaY18a8A9IcSdp1K8H6x8fbOy06t2VsZHhMHf-1x7Y/edit?usp=sharing"",""แผน!HA72"")"),0)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IFERROR(__xludf.DUMMYFUNCTION("IMPORTRANGE(""https://docs.google.com/spreadsheets/d/1eHaY18a8A9IcSdp1K8H6x8fbOy06t2VsZHhMHf-1x7Y/edit?usp=sharing"",""แผน!HB72"")"),0)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IFERROR(__xludf.DUMMYFUNCTION("IMPORTRANGE(""https://docs.google.com/spreadsheets/d/1eHaY18a8A9IcSdp1K8H6x8fbOy06t2VsZHhMHf-1x7Y/edit?usp=sharing"",""แผน!HC72"")"),0)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098" t="s">
        <v>206</v>
      </c>
      <c r="B510" s="1097"/>
      <c r="C510" s="1097"/>
      <c r="D510" s="1097"/>
      <c r="E510" s="1096"/>
      <c r="F510" s="1096"/>
      <c r="G510" s="1096"/>
      <c r="H510" s="1096"/>
      <c r="I510" s="1095"/>
      <c r="J510" s="1095"/>
      <c r="K510" s="1094"/>
      <c r="L510" s="1093"/>
      <c r="M510" s="1092"/>
      <c r="N510" s="1092"/>
      <c r="O510" s="1092"/>
      <c r="P510" s="1092"/>
      <c r="Q510" s="1092"/>
      <c r="R510" s="1092"/>
      <c r="S510" s="1092"/>
      <c r="T510" s="1092"/>
      <c r="U510" s="1092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IFERROR(__xludf.DUMMYFUNCTION("IMPORTRANGE(""https://docs.google.com/spreadsheets/d/1-uDff_7J0KD5mKrp0Vvzr7lt3OU09vwQwhkpOPPYv2Y/edit?usp=sharing"",""งบพรบ!FM72"")"),0)</f>
        <v>0</v>
      </c>
      <c r="M518" s="72">
        <f ca="1">IFERROR(__xludf.DUMMYFUNCTION("IMPORTRANGE(""https://docs.google.com/spreadsheets/d/1-uDff_7J0KD5mKrp0Vvzr7lt3OU09vwQwhkpOPPYv2Y/edit?usp=sharing"",""งบพรบ!FR72"")"),0)</f>
        <v>0</v>
      </c>
      <c r="N518" s="72">
        <f ca="1">IFERROR(__xludf.DUMMYFUNCTION("IMPORTRANGE(""https://docs.google.com/spreadsheets/d/1-uDff_7J0KD5mKrp0Vvzr7lt3OU09vwQwhkpOPPYv2Y/edit?usp=sharing"",""งบพรบ!FT72"")"),0)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IFERROR(__xludf.DUMMYFUNCTION("IMPORTRANGE(""https://docs.google.com/spreadsheets/d/1-uDff_7J0KD5mKrp0Vvzr7lt3OU09vwQwhkpOPPYv2Y/edit?usp=sharing"",""งบพรบ!FP72"")"),0)</f>
        <v>0</v>
      </c>
      <c r="M521" s="72">
        <f ca="1">IFERROR(__xludf.DUMMYFUNCTION("IMPORTRANGE(""https://docs.google.com/spreadsheets/d/1-uDff_7J0KD5mKrp0Vvzr7lt3OU09vwQwhkpOPPYv2Y/edit?usp=sharing"",""งบพรบ!FS72"")"),0)</f>
        <v>0</v>
      </c>
      <c r="N521" s="72">
        <f ca="1">IFERROR(__xludf.DUMMYFUNCTION("IMPORTRANGE(""https://docs.google.com/spreadsheets/d/1-uDff_7J0KD5mKrp0Vvzr7lt3OU09vwQwhkpOPPYv2Y/edit?usp=sharing"",""งบพรบ!FU72"")"),0)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IFERROR(__xludf.DUMMYFUNCTION("IMPORTRANGE(""https://docs.google.com/spreadsheets/d/1-uDff_7J0KD5mKrp0Vvzr7lt3OU09vwQwhkpOPPYv2Y/edit?usp=sharing"",""งบพรบ!FW72"")"),0)</f>
        <v>0</v>
      </c>
      <c r="M539" s="72">
        <f ca="1">IFERROR(__xludf.DUMMYFUNCTION("IMPORTRANGE(""https://docs.google.com/spreadsheets/d/1-uDff_7J0KD5mKrp0Vvzr7lt3OU09vwQwhkpOPPYv2Y/edit?usp=sharing"",""งบพรบ!GB72"")"),0)</f>
        <v>0</v>
      </c>
      <c r="N539" s="72">
        <f ca="1">IFERROR(__xludf.DUMMYFUNCTION("IMPORTRANGE(""https://docs.google.com/spreadsheets/d/1-uDff_7J0KD5mKrp0Vvzr7lt3OU09vwQwhkpOPPYv2Y/edit?usp=sharing"",""งบพรบ!GD72"")"),0)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IFERROR(__xludf.DUMMYFUNCTION("IMPORTRANGE(""https://docs.google.com/spreadsheets/d/1-uDff_7J0KD5mKrp0Vvzr7lt3OU09vwQwhkpOPPYv2Y/edit?usp=sharing"",""งบพรบ!FZ72"")"),0)</f>
        <v>0</v>
      </c>
      <c r="M542" s="72">
        <f ca="1">IFERROR(__xludf.DUMMYFUNCTION("IMPORTRANGE(""https://docs.google.com/spreadsheets/d/1-uDff_7J0KD5mKrp0Vvzr7lt3OU09vwQwhkpOPPYv2Y/edit?usp=sharing"",""งบพรบ!GC72"")"),0)</f>
        <v>0</v>
      </c>
      <c r="N542" s="72">
        <f ca="1">IFERROR(__xludf.DUMMYFUNCTION("IMPORTRANGE(""https://docs.google.com/spreadsheets/d/1-uDff_7J0KD5mKrp0Vvzr7lt3OU09vwQwhkpOPPYv2Y/edit?usp=sharing"",""งบพรบ!GE72"")"),0)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IFERROR(__xludf.DUMMYFUNCTION("IMPORTRANGE(""https://docs.google.com/spreadsheets/d/1-uDff_7J0KD5mKrp0Vvzr7lt3OU09vwQwhkpOPPYv2Y/edit?usp=sharing"",""งบพรบ!GG72"")"),0)</f>
        <v>0</v>
      </c>
      <c r="M560" s="72">
        <f ca="1">IFERROR(__xludf.DUMMYFUNCTION("IMPORTRANGE(""https://docs.google.com/spreadsheets/d/1-uDff_7J0KD5mKrp0Vvzr7lt3OU09vwQwhkpOPPYv2Y/edit?usp=sharing"",""งบพรบ!GL72"")"),0)</f>
        <v>0</v>
      </c>
      <c r="N560" s="72">
        <f ca="1">IFERROR(__xludf.DUMMYFUNCTION("IMPORTRANGE(""https://docs.google.com/spreadsheets/d/1-uDff_7J0KD5mKrp0Vvzr7lt3OU09vwQwhkpOPPYv2Y/edit?usp=sharing"",""งบพรบ!GN72"")"),0)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IFERROR(__xludf.DUMMYFUNCTION("IMPORTRANGE(""https://docs.google.com/spreadsheets/d/1-uDff_7J0KD5mKrp0Vvzr7lt3OU09vwQwhkpOPPYv2Y/edit?usp=sharing"",""งบพรบ!GJ72"")"),0)</f>
        <v>0</v>
      </c>
      <c r="M563" s="72">
        <f ca="1">IFERROR(__xludf.DUMMYFUNCTION("IMPORTRANGE(""https://docs.google.com/spreadsheets/d/1-uDff_7J0KD5mKrp0Vvzr7lt3OU09vwQwhkpOPPYv2Y/edit?usp=sharing"",""งบพรบ!GM72"")"),0)</f>
        <v>0</v>
      </c>
      <c r="N563" s="72">
        <f ca="1">IFERROR(__xludf.DUMMYFUNCTION("IMPORTRANGE(""https://docs.google.com/spreadsheets/d/1-uDff_7J0KD5mKrp0Vvzr7lt3OU09vwQwhkpOPPYv2Y/edit?usp=sharing"",""งบพรบ!GO72"")"),0)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2</v>
      </c>
      <c r="J575" s="666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119378</v>
      </c>
      <c r="M576" s="262">
        <f ca="1">M577+M578</f>
        <v>119378</v>
      </c>
      <c r="N576" s="262">
        <f ca="1">N577+N578</f>
        <v>1000</v>
      </c>
      <c r="O576" s="262">
        <f t="shared" ref="O576:O584" ca="1" si="143">IF(L576&gt;0,N576*100/L576,0)</f>
        <v>0.83767528355308352</v>
      </c>
      <c r="P576" s="262">
        <f t="shared" ref="P576:P584" ca="1" si="144">IF(M576&gt;0,N576*100/M576,0)</f>
        <v>0.83767528355308352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119378</v>
      </c>
      <c r="M578" s="72">
        <f t="shared" ca="1" si="147"/>
        <v>119378</v>
      </c>
      <c r="N578" s="72">
        <f t="shared" ca="1" si="147"/>
        <v>1000</v>
      </c>
      <c r="O578" s="72">
        <f t="shared" ca="1" si="143"/>
        <v>0.83767528355308352</v>
      </c>
      <c r="P578" s="72">
        <f t="shared" ca="1" si="144"/>
        <v>0.83767528355308352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119378</v>
      </c>
      <c r="M579" s="72">
        <f ca="1">M580+M581</f>
        <v>119378</v>
      </c>
      <c r="N579" s="72">
        <f ca="1">N580+N581</f>
        <v>1000</v>
      </c>
      <c r="O579" s="72">
        <f t="shared" ca="1" si="143"/>
        <v>0.83767528355308352</v>
      </c>
      <c r="P579" s="72">
        <f t="shared" ca="1" si="144"/>
        <v>0.83767528355308352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IFERROR(__xludf.DUMMYFUNCTION("IMPORTRANGE(""https://docs.google.com/spreadsheets/d/1-uDff_7J0KD5mKrp0Vvzr7lt3OU09vwQwhkpOPPYv2Y/edit?usp=sharing"",""งบพรบ!GQ72"")"),119378)</f>
        <v>119378</v>
      </c>
      <c r="M581" s="72">
        <f ca="1">IFERROR(__xludf.DUMMYFUNCTION("IMPORTRANGE(""https://docs.google.com/spreadsheets/d/1-uDff_7J0KD5mKrp0Vvzr7lt3OU09vwQwhkpOPPYv2Y/edit?usp=sharing"",""งบพรบ!GV72"")"),119378)</f>
        <v>119378</v>
      </c>
      <c r="N581" s="72">
        <f ca="1">IFERROR(__xludf.DUMMYFUNCTION("IMPORTRANGE(""https://docs.google.com/spreadsheets/d/1-uDff_7J0KD5mKrp0Vvzr7lt3OU09vwQwhkpOPPYv2Y/edit?usp=sharing"",""งบพรบ!GX72"")"),1000)</f>
        <v>1000</v>
      </c>
      <c r="O581" s="72">
        <f t="shared" ca="1" si="143"/>
        <v>0.83767528355308352</v>
      </c>
      <c r="P581" s="72">
        <f t="shared" ca="1" si="144"/>
        <v>0.83767528355308352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IFERROR(__xludf.DUMMYFUNCTION("IMPORTRANGE(""https://docs.google.com/spreadsheets/d/1-uDff_7J0KD5mKrp0Vvzr7lt3OU09vwQwhkpOPPYv2Y/edit?usp=sharing"",""งบพรบ!GT72"")"),0)</f>
        <v>0</v>
      </c>
      <c r="M584" s="72">
        <f ca="1">IFERROR(__xludf.DUMMYFUNCTION("IMPORTRANGE(""https://docs.google.com/spreadsheets/d/1-uDff_7J0KD5mKrp0Vvzr7lt3OU09vwQwhkpOPPYv2Y/edit?usp=sharing"",""งบพรบ!GW72"")"),0)</f>
        <v>0</v>
      </c>
      <c r="N584" s="72">
        <f ca="1">IFERROR(__xludf.DUMMYFUNCTION("IMPORTRANGE(""https://docs.google.com/spreadsheets/d/1-uDff_7J0KD5mKrp0Vvzr7lt3OU09vwQwhkpOPPYv2Y/edit?usp=sharing"",""งบพรบ!GY72"")"),0)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2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2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826" t="s">
        <v>217</v>
      </c>
      <c r="B596" s="824"/>
      <c r="C596" s="825"/>
      <c r="D596" s="824"/>
      <c r="E596" s="824"/>
      <c r="F596" s="824"/>
      <c r="G596" s="824"/>
      <c r="H596" s="823"/>
      <c r="I596" s="822"/>
      <c r="J596" s="822"/>
      <c r="K596" s="821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820" t="s">
        <v>218</v>
      </c>
      <c r="C597" s="299"/>
      <c r="D597" s="251"/>
      <c r="E597" s="250"/>
      <c r="F597" s="250"/>
      <c r="G597" s="250"/>
      <c r="H597" s="819" t="s">
        <v>99</v>
      </c>
      <c r="I597" s="818"/>
      <c r="J597" s="814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817"/>
      <c r="B598" s="816" t="s">
        <v>219</v>
      </c>
      <c r="C598" s="251"/>
      <c r="D598" s="250"/>
      <c r="E598" s="250"/>
      <c r="F598" s="250"/>
      <c r="G598" s="252"/>
      <c r="H598" s="815" t="s">
        <v>35</v>
      </c>
      <c r="I598" s="814"/>
      <c r="J598" s="814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44" t="s">
        <v>19</v>
      </c>
      <c r="E599" s="1401"/>
      <c r="F599" s="1401"/>
      <c r="G599" s="1402"/>
      <c r="H599" s="753" t="s">
        <v>14</v>
      </c>
      <c r="I599" s="261"/>
      <c r="J599" s="261"/>
      <c r="K599" s="85"/>
      <c r="L599" s="389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262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4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5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1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2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99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1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2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5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IFERROR(__xludf.DUMMYFUNCTION("IMPORTRANGE(""https://docs.google.com/spreadsheets/d/1-uDff_7J0KD5mKrp0Vvzr7lt3OU09vwQwhkpOPPYv2Y/edit?usp=sharing"",""งบพรบ!HK72"")"),0)</f>
        <v>0</v>
      </c>
      <c r="M604" s="72">
        <f ca="1">IFERROR(__xludf.DUMMYFUNCTION("IMPORTRANGE(""https://docs.google.com/spreadsheets/d/1-uDff_7J0KD5mKrp0Vvzr7lt3OU09vwQwhkpOPPYv2Y/edit?usp=sharing"",""งบพรบ!HP72"")"),0)</f>
        <v>0</v>
      </c>
      <c r="N604" s="72">
        <f ca="1">IFERROR(__xludf.DUMMYFUNCTION("IMPORTRANGE(""https://docs.google.com/spreadsheets/d/1-uDff_7J0KD5mKrp0Vvzr7lt3OU09vwQwhkpOPPYv2Y/edit?usp=sharing"",""งบพรบ!HR72"")"),0)</f>
        <v>0</v>
      </c>
      <c r="O604" s="72">
        <f t="shared" ca="1" si="149"/>
        <v>0</v>
      </c>
      <c r="P604" s="72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IFERROR(__xludf.DUMMYFUNCTION("IMPORTRANGE(""https://docs.google.com/spreadsheets/d/1ItG2mGa2ceCfYo0BwxsXqNm01IGEUdYcSSLTEv9YCik/edit?usp=sharing"",""เบิกจ่ายกองทุน!AV72"")"),0)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IFERROR(__xludf.DUMMYFUNCTION("IMPORTRANGE(""https://docs.google.com/spreadsheets/d/1ItG2mGa2ceCfYo0BwxsXqNm01IGEUdYcSSLTEv9YCik/edit?usp=sharing"",""เบิกจ่ายกองทุน!AW72"")"),0)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IFERROR(__xludf.DUMMYFUNCTION("IMPORTRANGE(""https://docs.google.com/spreadsheets/d/1ItG2mGa2ceCfYo0BwxsXqNm01IGEUdYcSSLTEv9YCik/edit?usp=sharing"",""เบิกจ่ายกองทุน!AX72"")"),0)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99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1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2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5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IFERROR(__xludf.DUMMYFUNCTION("IMPORTRANGE(""https://docs.google.com/spreadsheets/d/1-uDff_7J0KD5mKrp0Vvzr7lt3OU09vwQwhkpOPPYv2Y/edit?usp=sharing"",""งบพรบ!HN72"")"),0)</f>
        <v>0</v>
      </c>
      <c r="M607" s="72">
        <f ca="1">IFERROR(__xludf.DUMMYFUNCTION("IMPORTRANGE(""https://docs.google.com/spreadsheets/d/1-uDff_7J0KD5mKrp0Vvzr7lt3OU09vwQwhkpOPPYv2Y/edit?usp=sharing"",""งบพรบ!HQ72"")"),0)</f>
        <v>0</v>
      </c>
      <c r="N607" s="72">
        <f ca="1">IFERROR(__xludf.DUMMYFUNCTION("IMPORTRANGE(""https://docs.google.com/spreadsheets/d/1-uDff_7J0KD5mKrp0Vvzr7lt3OU09vwQwhkpOPPYv2Y/edit?usp=sharing"",""งบพรบ!HS72"")"),0)</f>
        <v>0</v>
      </c>
      <c r="O607" s="72">
        <f t="shared" ca="1" si="149"/>
        <v>0</v>
      </c>
      <c r="P607" s="72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IFERROR(__xludf.DUMMYFUNCTION("IMPORTRANGE(""https://docs.google.com/spreadsheets/d/1ItG2mGa2ceCfYo0BwxsXqNm01IGEUdYcSSLTEv9YCik/edit?usp=sharing"",""เบิกจ่ายกองทุน!AY72"")"),0)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IFERROR(__xludf.DUMMYFUNCTION("IMPORTRANGE(""https://docs.google.com/spreadsheets/d/1ItG2mGa2ceCfYo0BwxsXqNm01IGEUdYcSSLTEv9YCik/edit?usp=sharing"",""เบิกจ่ายกองทุน!AZ72"")"),0)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IFERROR(__xludf.DUMMYFUNCTION("IMPORTRANGE(""https://docs.google.com/spreadsheets/d/1ItG2mGa2ceCfYo0BwxsXqNm01IGEUdYcSSLTEv9YCik/edit?usp=sharing"",""เบิกจ่ายกองทุน!BA72"")"),0)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13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812"/>
      <c r="B612" s="811"/>
      <c r="C612" s="811"/>
      <c r="D612" s="811"/>
      <c r="E612" s="810" t="s">
        <v>223</v>
      </c>
      <c r="F612" s="809"/>
      <c r="G612" s="808"/>
      <c r="H612" s="807" t="s">
        <v>35</v>
      </c>
      <c r="I612" s="806"/>
      <c r="J612" s="806"/>
      <c r="K612" s="805"/>
      <c r="L612" s="804"/>
      <c r="M612" s="803"/>
      <c r="N612" s="803"/>
      <c r="O612" s="803"/>
      <c r="P612" s="803"/>
      <c r="Q612" s="803"/>
      <c r="R612" s="803"/>
      <c r="S612" s="803"/>
      <c r="T612" s="803"/>
      <c r="U612" s="803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1250</v>
      </c>
      <c r="R616" s="262">
        <f ca="1">R617+R618</f>
        <v>9250</v>
      </c>
      <c r="S616" s="262">
        <f ca="1">S617+S618</f>
        <v>1780</v>
      </c>
      <c r="T616" s="262">
        <f t="shared" ref="T616:T624" ca="1" si="157">IF(Q616&gt;0,S616*100/Q616,0)</f>
        <v>142.4</v>
      </c>
      <c r="U616" s="262">
        <f t="shared" ref="U616:U624" ca="1" si="158">IF(R616&gt;0,S616*100/R616,0)</f>
        <v>19.243243243243242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1250</v>
      </c>
      <c r="R618" s="72">
        <f t="shared" ca="1" si="160"/>
        <v>9250</v>
      </c>
      <c r="S618" s="72">
        <f t="shared" ca="1" si="160"/>
        <v>1780</v>
      </c>
      <c r="T618" s="72">
        <f t="shared" ca="1" si="157"/>
        <v>142.4</v>
      </c>
      <c r="U618" s="72">
        <f t="shared" ca="1" si="158"/>
        <v>19.243243243243242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1250</v>
      </c>
      <c r="R619" s="72">
        <f ca="1">R620+R621</f>
        <v>9250</v>
      </c>
      <c r="S619" s="72">
        <f ca="1">S620+S621</f>
        <v>1780</v>
      </c>
      <c r="T619" s="72">
        <f t="shared" ca="1" si="157"/>
        <v>142.4</v>
      </c>
      <c r="U619" s="72">
        <f t="shared" ca="1" si="158"/>
        <v>19.243243243243242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IFERROR(__xludf.DUMMYFUNCTION("IMPORTRANGE(""https://docs.google.com/spreadsheets/d/1ItG2mGa2ceCfYo0BwxsXqNm01IGEUdYcSSLTEv9YCik/edit?usp=sharing"",""เบิกจ่ายกองทุน!F72"")"),1250)</f>
        <v>1250</v>
      </c>
      <c r="R621" s="72">
        <f ca="1">IFERROR(__xludf.DUMMYFUNCTION("IMPORTRANGE(""https://docs.google.com/spreadsheets/d/1ItG2mGa2ceCfYo0BwxsXqNm01IGEUdYcSSLTEv9YCik/edit?usp=sharing"",""เบิกจ่ายกองทุน!G72"")"),9250)</f>
        <v>9250</v>
      </c>
      <c r="S621" s="72">
        <f ca="1">IFERROR(__xludf.DUMMYFUNCTION("IMPORTRANGE(""https://docs.google.com/spreadsheets/d/1ItG2mGa2ceCfYo0BwxsXqNm01IGEUdYcSSLTEv9YCik/edit?usp=sharing"",""เบิกจ่ายกองทุน!H72"")"),1780)</f>
        <v>1780</v>
      </c>
      <c r="T621" s="72">
        <f t="shared" ca="1" si="157"/>
        <v>142.4</v>
      </c>
      <c r="U621" s="72">
        <f t="shared" ca="1" si="158"/>
        <v>19.243243243243242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IFERROR(__xludf.DUMMYFUNCTION("IMPORTRANGE(""https://docs.google.com/spreadsheets/d/1eHaY18a8A9IcSdp1K8H6x8fbOy06t2VsZHhMHf-1x7Y/edit?usp=sharing"",""แผน!ID72"")"),0)</f>
        <v>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IFERROR(__xludf.DUMMYFUNCTION("IMPORTRANGE(""https://docs.google.com/spreadsheets/d/1eHaY18a8A9IcSdp1K8H6x8fbOy06t2VsZHhMHf-1x7Y/edit?usp=sharing"",""แผน!IC72"")"),0)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IFERROR(__xludf.DUMMYFUNCTION("IMPORTRANGE(""https://docs.google.com/spreadsheets/d/1eHaY18a8A9IcSdp1K8H6x8fbOy06t2VsZHhMHf-1x7Y/edit?usp=sharing"",""แผน!IC72"")"),0)</f>
        <v>0</v>
      </c>
      <c r="J628" s="292">
        <v>10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80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80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IFERROR(__xludf.DUMMYFUNCTION("IMPORTRANGE(""https://docs.google.com/spreadsheets/d/1eHaY18a8A9IcSdp1K8H6x8fbOy06t2VsZHhMHf-1x7Y/edit?usp=sharing"",""แผน!IE72"")"),0)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14600</v>
      </c>
      <c r="R642" s="262">
        <f ca="1">R643+R644</f>
        <v>14600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14600</v>
      </c>
      <c r="R644" s="72">
        <f t="shared" ca="1" si="166"/>
        <v>14600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14600</v>
      </c>
      <c r="R645" s="72">
        <f ca="1">R646+R647</f>
        <v>14600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IFERROR(__xludf.DUMMYFUNCTION("IMPORTRANGE(""https://docs.google.com/spreadsheets/d/1ItG2mGa2ceCfYo0BwxsXqNm01IGEUdYcSSLTEv9YCik/edit?usp=sharing"",""เบิกจ่ายกองทุน!I72"")"),14600)</f>
        <v>14600</v>
      </c>
      <c r="R647" s="72">
        <f ca="1">IFERROR(__xludf.DUMMYFUNCTION("IMPORTRANGE(""https://docs.google.com/spreadsheets/d/1ItG2mGa2ceCfYo0BwxsXqNm01IGEUdYcSSLTEv9YCik/edit?usp=sharing"",""เบิกจ่ายกองทุน!J72"")"),14600)</f>
        <v>14600</v>
      </c>
      <c r="S647" s="72">
        <f ca="1">IFERROR(__xludf.DUMMYFUNCTION("IMPORTRANGE(""https://docs.google.com/spreadsheets/d/1ItG2mGa2ceCfYo0BwxsXqNm01IGEUdYcSSLTEv9YCik/edit?usp=sharing"",""เบิกจ่ายกองทุน!K72"")"),0)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IFERROR(__xludf.DUMMYFUNCTION("IMPORTRANGE(""https://docs.google.com/spreadsheets/d/1eHaY18a8A9IcSdp1K8H6x8fbOy06t2VsZHhMHf-1x7Y/edit?usp=sharing"",""แผน!IF72"")"),0)</f>
        <v>0</v>
      </c>
      <c r="J652" s="291">
        <f ca="1">IFERROR(__xludf.DUMMYFUNCTION("IMPORTRANGE(""https://docs.google.com/spreadsheets/d/1tdoBKaGub7dwA3U6UFTqxio9LNnvDCQjHKmttSEBsFQ/edit?usp=sharing"",""จัดที่ดิน!AU72"")"),73.3)</f>
        <v>73.3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IFERROR(__xludf.DUMMYFUNCTION("IMPORTRANGE(""https://docs.google.com/spreadsheets/d/1eHaY18a8A9IcSdp1K8H6x8fbOy06t2VsZHhMHf-1x7Y/edit?usp=sharing"",""แผน!IG72"")"),0)</f>
        <v>0</v>
      </c>
      <c r="J653" s="291">
        <f ca="1">IFERROR(__xludf.DUMMYFUNCTION("IMPORTRANGE(""https://docs.google.com/spreadsheets/d/1tdoBKaGub7dwA3U6UFTqxio9LNnvDCQjHKmttSEBsFQ/edit?usp=sharing"",""จัดที่ดิน!AW72"")"),0)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IFERROR(__xludf.DUMMYFUNCTION("IMPORTRANGE(""https://docs.google.com/spreadsheets/d/1eHaY18a8A9IcSdp1K8H6x8fbOy06t2VsZHhMHf-1x7Y/edit?usp=sharing"",""แผน!IH72"")"),0)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IFERROR(__xludf.DUMMYFUNCTION("IMPORTRANGE(""https://docs.google.com/spreadsheets/d/1eHaY18a8A9IcSdp1K8H6x8fbOy06t2VsZHhMHf-1x7Y/edit?usp=sharing"",""แผน!II72"")"),0)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IFERROR(__xludf.DUMMYFUNCTION("IMPORTRANGE(""https://docs.google.com/spreadsheets/d/1eHaY18a8A9IcSdp1K8H6x8fbOy06t2VsZHhMHf-1x7Y/edit?usp=sharing"",""แผน!IJ72"")"),0)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IFERROR(__xludf.DUMMYFUNCTION("IMPORTRANGE(""https://docs.google.com/spreadsheets/d/1eHaY18a8A9IcSdp1K8H6x8fbOy06t2VsZHhMHf-1x7Y/edit?usp=sharing"",""แผน!IK72"")"),80)</f>
        <v>80</v>
      </c>
      <c r="J661" s="601">
        <f>J667+J670</f>
        <v>79</v>
      </c>
      <c r="K661" s="262">
        <f ca="1">IF(I661&gt;0,J661*100/I661,0)</f>
        <v>98.75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5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79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IFERROR(__xludf.DUMMYFUNCTION("IMPORTRANGE(""https://docs.google.com/spreadsheets/d/1tdoBKaGub7dwA3U6UFTqxio9LNnvDCQjHKmttSEBsFQ/edit?usp=sharing"",""จัดที่ดิน!AY72"")"),4)</f>
        <v>4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IFERROR(__xludf.DUMMYFUNCTION("IMPORTRANGE(""https://docs.google.com/spreadsheets/d/1tdoBKaGub7dwA3U6UFTqxio9LNnvDCQjHKmttSEBsFQ/edit?usp=sharing"",""จัดที่ดิน!AZ72"")"),4)</f>
        <v>4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IFERROR(__xludf.DUMMYFUNCTION("IMPORTRANGE(""https://docs.google.com/spreadsheets/d/1eHaY18a8A9IcSdp1K8H6x8fbOy06t2VsZHhMHf-1x7Y/edit?usp=sharing"",""แผน!IL72"")"),120)</f>
        <v>120</v>
      </c>
      <c r="J673" s="291">
        <f ca="1">IFERROR(__xludf.DUMMYFUNCTION("IMPORTRANGE(""https://docs.google.com/spreadsheets/d/1tdoBKaGub7dwA3U6UFTqxio9LNnvDCQjHKmttSEBsFQ/edit?usp=sharing"",""จัดที่ดิน!BA72"")"),83.85)</f>
        <v>83.85</v>
      </c>
      <c r="K673" s="72">
        <f ca="1">IF(I673&gt;0,J673*100/I673,0)</f>
        <v>69.875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IFERROR(__xludf.DUMMYFUNCTION("IMPORTRANGE(""https://docs.google.com/spreadsheets/d/1eHaY18a8A9IcSdp1K8H6x8fbOy06t2VsZHhMHf-1x7Y/edit?usp=sharing"",""แผน!IM72"")"),10)</f>
        <v>10</v>
      </c>
      <c r="J674" s="601">
        <f ca="1">J676+J679</f>
        <v>4</v>
      </c>
      <c r="K674" s="262">
        <f ca="1">IF(I674&gt;0,J674*100/I674,0)</f>
        <v>40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IFERROR(__xludf.DUMMYFUNCTION("IMPORTRANGE(""https://docs.google.com/spreadsheets/d/1eHaY18a8A9IcSdp1K8H6x8fbOy06t2VsZHhMHf-1x7Y/edit?usp=sharing"",""แผน!IN72"")"),100)</f>
        <v>100</v>
      </c>
      <c r="J675" s="601">
        <f ca="1">J678+J681</f>
        <v>31.02</v>
      </c>
      <c r="K675" s="262">
        <f ca="1">IF(I675&gt;0,J675*100/I675,0)</f>
        <v>31.02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IFERROR(__xludf.DUMMYFUNCTION("IMPORTRANGE(""https://docs.google.com/spreadsheets/d/1eHaY18a8A9IcSdp1K8H6x8fbOy06t2VsZHhMHf-1x7Y/edit?usp=sharing"",""แผน!IO72"")"),10)</f>
        <v>10</v>
      </c>
      <c r="J676" s="291">
        <f ca="1">IFERROR(__xludf.DUMMYFUNCTION("IMPORTRANGE(""https://docs.google.com/spreadsheets/d/1tdoBKaGub7dwA3U6UFTqxio9LNnvDCQjHKmttSEBsFQ/edit?usp=sharing"",""จัดที่ดิน!BF72"")"),4)</f>
        <v>4</v>
      </c>
      <c r="K676" s="72">
        <f ca="1">IF(I676&gt;0,J676*100/I676,0)</f>
        <v>40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IFERROR(__xludf.DUMMYFUNCTION("IMPORTRANGE(""https://docs.google.com/spreadsheets/d/1tdoBKaGub7dwA3U6UFTqxio9LNnvDCQjHKmttSEBsFQ/edit?usp=sharing"",""จัดที่ดิน!BG72"")"),5)</f>
        <v>5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IFERROR(__xludf.DUMMYFUNCTION("IMPORTRANGE(""https://docs.google.com/spreadsheets/d/1eHaY18a8A9IcSdp1K8H6x8fbOy06t2VsZHhMHf-1x7Y/edit?usp=sharing"",""แผน!IP72"")"),100)</f>
        <v>100</v>
      </c>
      <c r="J678" s="291">
        <f ca="1">IFERROR(__xludf.DUMMYFUNCTION("IMPORTRANGE(""https://docs.google.com/spreadsheets/d/1tdoBKaGub7dwA3U6UFTqxio9LNnvDCQjHKmttSEBsFQ/edit?usp=sharing"",""จัดที่ดิน!BH72"")"),31.02)</f>
        <v>31.02</v>
      </c>
      <c r="K678" s="72">
        <f ca="1">IF(I678&gt;0,J678*100/I678,0)</f>
        <v>31.02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IFERROR(__xludf.DUMMYFUNCTION("IMPORTRANGE(""https://docs.google.com/spreadsheets/d/1eHaY18a8A9IcSdp1K8H6x8fbOy06t2VsZHhMHf-1x7Y/edit?usp=sharing"",""แผน!IQ72"")"),0)</f>
        <v>0</v>
      </c>
      <c r="J679" s="291">
        <f ca="1">IFERROR(__xludf.DUMMYFUNCTION("IMPORTRANGE(""https://docs.google.com/spreadsheets/d/1tdoBKaGub7dwA3U6UFTqxio9LNnvDCQjHKmttSEBsFQ/edit?usp=sharing"",""จัดที่ดิน!BK72"")"),0)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IFERROR(__xludf.DUMMYFUNCTION("IMPORTRANGE(""https://docs.google.com/spreadsheets/d/1tdoBKaGub7dwA3U6UFTqxio9LNnvDCQjHKmttSEBsFQ/edit?usp=sharing"",""จัดที่ดิน!BL72"")"),0)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IFERROR(__xludf.DUMMYFUNCTION("IMPORTRANGE(""https://docs.google.com/spreadsheets/d/1eHaY18a8A9IcSdp1K8H6x8fbOy06t2VsZHhMHf-1x7Y/edit?usp=sharing"",""แผน!IR72"")"),0)</f>
        <v>0</v>
      </c>
      <c r="J681" s="291">
        <f ca="1">IFERROR(__xludf.DUMMYFUNCTION("IMPORTRANGE(""https://docs.google.com/spreadsheets/d/1tdoBKaGub7dwA3U6UFTqxio9LNnvDCQjHKmttSEBsFQ/edit?usp=sharing"",""จัดที่ดิน!BM72"")"),0)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IFERROR(__xludf.DUMMYFUNCTION("IMPORTRANGE(""https://docs.google.com/spreadsheets/d/1eHaY18a8A9IcSdp1K8H6x8fbOy06t2VsZHhMHf-1x7Y/edit?usp=sharing"",""แผน!IS72"")"),20)</f>
        <v>20</v>
      </c>
      <c r="J682" s="601">
        <f>J685+J688</f>
        <v>20</v>
      </c>
      <c r="K682" s="262">
        <f ca="1">IF(I682&gt;0,J682*100/I682,0)</f>
        <v>100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1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1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20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80</v>
      </c>
      <c r="J689" s="1099">
        <f ca="1">J707</f>
        <v>55</v>
      </c>
      <c r="K689" s="744">
        <f ca="1">IF(I689&gt;0,J689*100/I689,0)</f>
        <v>68.75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196020</v>
      </c>
      <c r="R690" s="262">
        <f ca="1">R691+R692</f>
        <v>196020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196020</v>
      </c>
      <c r="R692" s="72">
        <f t="shared" ca="1" si="172"/>
        <v>196020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196020</v>
      </c>
      <c r="R693" s="72">
        <f ca="1">R694+R695</f>
        <v>196020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IFERROR(__xludf.DUMMYFUNCTION("IMPORTRANGE(""https://docs.google.com/spreadsheets/d/1ItG2mGa2ceCfYo0BwxsXqNm01IGEUdYcSSLTEv9YCik/edit?usp=sharing"",""เบิกจ่ายกองทุน!L72"")"),196020)</f>
        <v>196020</v>
      </c>
      <c r="R695" s="72">
        <f ca="1">IFERROR(__xludf.DUMMYFUNCTION("IMPORTRANGE(""https://docs.google.com/spreadsheets/d/1ItG2mGa2ceCfYo0BwxsXqNm01IGEUdYcSSLTEv9YCik/edit?usp=sharing"",""เบิกจ่ายกองทุน!M72"")"),196020)</f>
        <v>196020</v>
      </c>
      <c r="S695" s="72">
        <f ca="1">IFERROR(__xludf.DUMMYFUNCTION("IMPORTRANGE(""https://docs.google.com/spreadsheets/d/1ItG2mGa2ceCfYo0BwxsXqNm01IGEUdYcSSLTEv9YCik/edit?usp=sharing"",""เบิกจ่ายกองทุน!N72"")"),0)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IFERROR(__xludf.DUMMYFUNCTION("IMPORTRANGE(""https://docs.google.com/spreadsheets/d/1eHaY18a8A9IcSdp1K8H6x8fbOy06t2VsZHhMHf-1x7Y/edit?usp=sharing"",""แผน!LC72"")"),0)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80</v>
      </c>
      <c r="J701" s="601">
        <f ca="1">J703+J705</f>
        <v>55</v>
      </c>
      <c r="K701" s="262">
        <f t="shared" ca="1" si="173"/>
        <v>68.75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15.77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IFERROR(__xludf.DUMMYFUNCTION("IMPORTRANGE(""https://docs.google.com/spreadsheets/d/1eHaY18a8A9IcSdp1K8H6x8fbOy06t2VsZHhMHf-1x7Y/edit?usp=sharing"",""แผน!LJ72"")"),80)</f>
        <v>80</v>
      </c>
      <c r="J703" s="291">
        <f ca="1">IFERROR(__xludf.DUMMYFUNCTION("IMPORTRANGE(""https://docs.google.com/spreadsheets/d/1tdoBKaGub7dwA3U6UFTqxio9LNnvDCQjHKmttSEBsFQ/edit?usp=sharing"",""จัดที่ดิน!AP72"")"),55)</f>
        <v>55</v>
      </c>
      <c r="K703" s="72">
        <f t="shared" ca="1" si="173"/>
        <v>68.75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IFERROR(__xludf.DUMMYFUNCTION("IMPORTRANGE(""https://docs.google.com/spreadsheets/d/1tdoBKaGub7dwA3U6UFTqxio9LNnvDCQjHKmttSEBsFQ/edit?usp=sharing"",""จัดที่ดิน!AQ72"")"),15.77)</f>
        <v>15.77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IFERROR(__xludf.DUMMYFUNCTION("IMPORTRANGE(""https://docs.google.com/spreadsheets/d/1eHaY18a8A9IcSdp1K8H6x8fbOy06t2VsZHhMHf-1x7Y/edit?usp=sharing"",""แผน!LK72"")"),0)</f>
        <v>0</v>
      </c>
      <c r="J705" s="291">
        <f ca="1">IFERROR(__xludf.DUMMYFUNCTION("IMPORTRANGE(""https://docs.google.com/spreadsheets/d/1tdoBKaGub7dwA3U6UFTqxio9LNnvDCQjHKmttSEBsFQ/edit?usp=sharing"",""จัดที่ดิน!AR72"")"),0)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IFERROR(__xludf.DUMMYFUNCTION("IMPORTRANGE(""https://docs.google.com/spreadsheets/d/1tdoBKaGub7dwA3U6UFTqxio9LNnvDCQjHKmttSEBsFQ/edit?usp=sharing"",""จัดที่ดิน!AS72"")"),0)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IFERROR(__xludf.DUMMYFUNCTION("IMPORTRANGE(""https://docs.google.com/spreadsheets/d/1eHaY18a8A9IcSdp1K8H6x8fbOy06t2VsZHhMHf-1x7Y/edit?usp=sharing"",""แผน!LJ72"")"),80)</f>
        <v>80</v>
      </c>
      <c r="J707" s="291">
        <f ca="1">IFERROR(__xludf.DUMMYFUNCTION("IMPORTRANGE(""https://docs.google.com/spreadsheets/d/1tdoBKaGub7dwA3U6UFTqxio9LNnvDCQjHKmttSEBsFQ/edit?usp=sharing"",""จัดที่ดิน!BN72"")"),55)</f>
        <v>55</v>
      </c>
      <c r="K707" s="72">
        <f t="shared" ca="1" si="173"/>
        <v>68.75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IFERROR(__xludf.DUMMYFUNCTION("IMPORTRANGE(""https://docs.google.com/spreadsheets/d/1tdoBKaGub7dwA3U6UFTqxio9LNnvDCQjHKmttSEBsFQ/edit?usp=sharing"",""จัดที่ดิน!BO72"")"),16)</f>
        <v>16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IFERROR(__xludf.DUMMYFUNCTION("IMPORTRANGE(""https://docs.google.com/spreadsheets/d/1eHaY18a8A9IcSdp1K8H6x8fbOy06t2VsZHhMHf-1x7Y/edit?usp=sharing"",""แผน!LK72"")"),0)</f>
        <v>0</v>
      </c>
      <c r="J709" s="291">
        <f ca="1">IFERROR(__xludf.DUMMYFUNCTION("IMPORTRANGE(""https://docs.google.com/spreadsheets/d/1tdoBKaGub7dwA3U6UFTqxio9LNnvDCQjHKmttSEBsFQ/edit?usp=sharing"",""จัดที่ดิน!BP72"")"),0)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IFERROR(__xludf.DUMMYFUNCTION("IMPORTRANGE(""https://docs.google.com/spreadsheets/d/1tdoBKaGub7dwA3U6UFTqxio9LNnvDCQjHKmttSEBsFQ/edit?usp=sharing"",""จัดที่ดิน!BQ72"")"),0)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IFERROR(__xludf.DUMMYFUNCTION("IMPORTRANGE(""https://docs.google.com/spreadsheets/d/1eHaY18a8A9IcSdp1K8H6x8fbOy06t2VsZHhMHf-1x7Y/edit?usp=sharing"",""แผน!GA72"")"),31)</f>
        <v>31</v>
      </c>
      <c r="J726" s="743">
        <f>J742+J746+J749</f>
        <v>30</v>
      </c>
      <c r="K726" s="744">
        <f ca="1">IF(I726&gt;0,J726*100/I726,0)</f>
        <v>96.774193548387103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IFERROR(__xludf.DUMMYFUNCTION("IMPORTRANGE(""https://docs.google.com/spreadsheets/d/1eHaY18a8A9IcSdp1K8H6x8fbOy06t2VsZHhMHf-1x7Y/edit?usp=sharing"",""แผน!FZ72"")"),300)</f>
        <v>300</v>
      </c>
      <c r="J727" s="743">
        <f>J752+J755</f>
        <v>300</v>
      </c>
      <c r="K727" s="744">
        <f ca="1">IF(I727&gt;0,J727*100/I727,0)</f>
        <v>100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242546</v>
      </c>
      <c r="R728" s="262">
        <f ca="1">R729+R730</f>
        <v>242546</v>
      </c>
      <c r="S728" s="262">
        <f ca="1">S729+S730</f>
        <v>215816</v>
      </c>
      <c r="T728" s="262">
        <f t="shared" ref="T728:T736" ca="1" si="182">IF(Q728&gt;0,S728*100/Q728,0)</f>
        <v>88.97941009128165</v>
      </c>
      <c r="U728" s="262">
        <f t="shared" ref="U728:U736" ca="1" si="183">IF(R728&gt;0,S728*100/R728,0)</f>
        <v>88.97941009128165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242546</v>
      </c>
      <c r="R730" s="72">
        <f t="shared" ca="1" si="185"/>
        <v>242546</v>
      </c>
      <c r="S730" s="72">
        <f t="shared" ca="1" si="185"/>
        <v>215816</v>
      </c>
      <c r="T730" s="72">
        <f t="shared" ca="1" si="182"/>
        <v>88.97941009128165</v>
      </c>
      <c r="U730" s="72">
        <f t="shared" ca="1" si="183"/>
        <v>88.97941009128165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242546</v>
      </c>
      <c r="R731" s="72">
        <f ca="1">R732+R733</f>
        <v>242546</v>
      </c>
      <c r="S731" s="72">
        <f ca="1">S732+S733</f>
        <v>215816</v>
      </c>
      <c r="T731" s="72">
        <f t="shared" ca="1" si="182"/>
        <v>88.97941009128165</v>
      </c>
      <c r="U731" s="72">
        <f t="shared" ca="1" si="183"/>
        <v>88.97941009128165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IFERROR(__xludf.DUMMYFUNCTION("IMPORTRANGE(""https://docs.google.com/spreadsheets/d/1ItG2mGa2ceCfYo0BwxsXqNm01IGEUdYcSSLTEv9YCik/edit?usp=sharing"",""เบิกจ่ายกองทุน!O72"")"),242546)</f>
        <v>242546</v>
      </c>
      <c r="R733" s="72">
        <f ca="1">IFERROR(__xludf.DUMMYFUNCTION("IMPORTRANGE(""https://docs.google.com/spreadsheets/d/1ItG2mGa2ceCfYo0BwxsXqNm01IGEUdYcSSLTEv9YCik/edit?usp=sharing"",""เบิกจ่ายกองทุน!P72"")"),242546)</f>
        <v>242546</v>
      </c>
      <c r="S733" s="72">
        <f ca="1">IFERROR(__xludf.DUMMYFUNCTION("IMPORTRANGE(""https://docs.google.com/spreadsheets/d/1ItG2mGa2ceCfYo0BwxsXqNm01IGEUdYcSSLTEv9YCik/edit?usp=sharing"",""เบิกจ่ายกองทุน!Q72"")"),215816)</f>
        <v>215816</v>
      </c>
      <c r="T733" s="72">
        <f t="shared" ca="1" si="182"/>
        <v>88.97941009128165</v>
      </c>
      <c r="U733" s="72">
        <f t="shared" ca="1" si="183"/>
        <v>88.97941009128165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IFERROR(__xludf.DUMMYFUNCTION("IMPORTRANGE(""https://docs.google.com/spreadsheets/d/1eHaY18a8A9IcSdp1K8H6x8fbOy06t2VsZHhMHf-1x7Y/edit?usp=sharing"",""แผน!GB72"")"),240)</f>
        <v>240</v>
      </c>
      <c r="J740" s="794">
        <v>240</v>
      </c>
      <c r="K740" s="86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IFERROR(__xludf.DUMMYFUNCTION("IMPORTRANGE(""https://docs.google.com/spreadsheets/d/1eHaY18a8A9IcSdp1K8H6x8fbOy06t2VsZHhMHf-1x7Y/edit?usp=sharing"",""แผน!GC72"")"),24)</f>
        <v>24</v>
      </c>
      <c r="J742" s="794">
        <v>24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IFERROR(__xludf.DUMMYFUNCTION("IMPORTRANGE(""https://docs.google.com/spreadsheets/d/1eHaY18a8A9IcSdp1K8H6x8fbOy06t2VsZHhMHf-1x7Y/edit?usp=sharing"",""แผน!GD72"")"),60)</f>
        <v>60</v>
      </c>
      <c r="J744" s="794">
        <v>60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IFERROR(__xludf.DUMMYFUNCTION("IMPORTRANGE(""https://docs.google.com/spreadsheets/d/1eHaY18a8A9IcSdp1K8H6x8fbOy06t2VsZHhMHf-1x7Y/edit?usp=sharing"",""แผน!GE72"")"),6)</f>
        <v>6</v>
      </c>
      <c r="J746" s="794">
        <v>6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IFERROR(__xludf.DUMMYFUNCTION("IMPORTRANGE(""https://docs.google.com/spreadsheets/d/1eHaY18a8A9IcSdp1K8H6x8fbOy06t2VsZHhMHf-1x7Y/edit?usp=sharing"",""แผน!GF72"")"),1)</f>
        <v>1</v>
      </c>
      <c r="J749" s="794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IFERROR(__xludf.DUMMYFUNCTION("IMPORTRANGE(""https://docs.google.com/spreadsheets/d/1eHaY18a8A9IcSdp1K8H6x8fbOy06t2VsZHhMHf-1x7Y/edit?usp=sharing"",""แผน!GB72"")"),240)</f>
        <v>240</v>
      </c>
      <c r="J752" s="794">
        <v>240</v>
      </c>
      <c r="K752" s="86">
        <f ca="1">IF(I752&gt;0,J752*100/I752,0)</f>
        <v>100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IFERROR(__xludf.DUMMYFUNCTION("IMPORTRANGE(""https://docs.google.com/spreadsheets/d/1eHaY18a8A9IcSdp1K8H6x8fbOy06t2VsZHhMHf-1x7Y/edit?usp=sharing"",""แผน!GD72"")"),60)</f>
        <v>60</v>
      </c>
      <c r="J755" s="794">
        <v>60</v>
      </c>
      <c r="K755" s="86">
        <f ca="1">IF(I755&gt;0,J755*100/I755,0)</f>
        <v>100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794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60</v>
      </c>
      <c r="J758" s="743">
        <f>J772</f>
        <v>60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100</v>
      </c>
      <c r="J759" s="743">
        <f>J774</f>
        <v>100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413100</v>
      </c>
      <c r="R760" s="262">
        <f ca="1">R761+R762</f>
        <v>413100</v>
      </c>
      <c r="S760" s="262">
        <f ca="1">S761+S762</f>
        <v>336120</v>
      </c>
      <c r="T760" s="262">
        <f t="shared" ref="T760:T768" ca="1" si="188">IF(Q760&gt;0,S760*100/Q760,0)</f>
        <v>81.365286855482935</v>
      </c>
      <c r="U760" s="262">
        <f t="shared" ref="U760:U768" ca="1" si="189">IF(R760&gt;0,S760*100/R760,0)</f>
        <v>81.365286855482935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413100</v>
      </c>
      <c r="R762" s="72">
        <f t="shared" ca="1" si="191"/>
        <v>413100</v>
      </c>
      <c r="S762" s="72">
        <f t="shared" ca="1" si="191"/>
        <v>336120</v>
      </c>
      <c r="T762" s="72">
        <f t="shared" ca="1" si="188"/>
        <v>81.365286855482935</v>
      </c>
      <c r="U762" s="72">
        <f t="shared" ca="1" si="189"/>
        <v>81.365286855482935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413100</v>
      </c>
      <c r="R763" s="72">
        <f ca="1">R764+R765</f>
        <v>413100</v>
      </c>
      <c r="S763" s="72">
        <f ca="1">S764+S765</f>
        <v>336120</v>
      </c>
      <c r="T763" s="72">
        <f t="shared" ca="1" si="188"/>
        <v>81.365286855482935</v>
      </c>
      <c r="U763" s="72">
        <f t="shared" ca="1" si="189"/>
        <v>81.365286855482935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IFERROR(__xludf.DUMMYFUNCTION("IMPORTRANGE(""https://docs.google.com/spreadsheets/d/1ItG2mGa2ceCfYo0BwxsXqNm01IGEUdYcSSLTEv9YCik/edit?usp=sharing"",""เบิกจ่ายกองทุน!AA72"")"),413100)</f>
        <v>413100</v>
      </c>
      <c r="R765" s="72">
        <f ca="1">IFERROR(__xludf.DUMMYFUNCTION("IMPORTRANGE(""https://docs.google.com/spreadsheets/d/1ItG2mGa2ceCfYo0BwxsXqNm01IGEUdYcSSLTEv9YCik/edit?usp=sharing"",""เบิกจ่ายกองทุน!AB72"")"),413100)</f>
        <v>413100</v>
      </c>
      <c r="S765" s="72">
        <f ca="1">IFERROR(__xludf.DUMMYFUNCTION("IMPORTRANGE(""https://docs.google.com/spreadsheets/d/1ItG2mGa2ceCfYo0BwxsXqNm01IGEUdYcSSLTEv9YCik/edit?usp=sharing"",""เบิกจ่ายกองทุน!AC72"")"),336120)</f>
        <v>336120</v>
      </c>
      <c r="T765" s="72">
        <f t="shared" ca="1" si="188"/>
        <v>81.365286855482935</v>
      </c>
      <c r="U765" s="72">
        <f t="shared" ca="1" si="189"/>
        <v>81.365286855482935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IFERROR(__xludf.DUMMYFUNCTION("IMPORTRANGE(""https://docs.google.com/spreadsheets/d/1eHaY18a8A9IcSdp1K8H6x8fbOy06t2VsZHhMHf-1x7Y/edit?usp=sharing"",""แผน!FI72"")"),0)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IFERROR(__xludf.DUMMYFUNCTION("IMPORTRANGE(""https://docs.google.com/spreadsheets/d/1eHaY18a8A9IcSdp1K8H6x8fbOy06t2VsZHhMHf-1x7Y/edit?usp=sharing"",""แผน!FQ72"")"),60)</f>
        <v>60</v>
      </c>
      <c r="J772" s="292">
        <v>60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IFERROR(__xludf.DUMMYFUNCTION("IMPORTRANGE(""https://docs.google.com/spreadsheets/d/1eHaY18a8A9IcSdp1K8H6x8fbOy06t2VsZHhMHf-1x7Y/edit?usp=sharing"",""แผน!FR72"")"),100)</f>
        <v>100</v>
      </c>
      <c r="J774" s="292">
        <v>100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IFERROR(__xludf.DUMMYFUNCTION("IMPORTRANGE(""https://docs.google.com/spreadsheets/d/1eHaY18a8A9IcSdp1K8H6x8fbOy06t2VsZHhMHf-1x7Y/edit?usp=sharing"",""แผน!FS72"")"),100)</f>
        <v>100</v>
      </c>
      <c r="J775" s="292">
        <v>100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IFERROR(__xludf.DUMMYFUNCTION("IMPORTRANGE(""https://docs.google.com/spreadsheets/d/1eHaY18a8A9IcSdp1K8H6x8fbOy06t2VsZHhMHf-1x7Y/edit?usp=sharing"",""แผน!FT72"")"),60)</f>
        <v>60</v>
      </c>
      <c r="J776" s="739">
        <v>60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IFERROR(__xludf.DUMMYFUNCTION("IMPORTRANGE(""https://docs.google.com/spreadsheets/d/10OvvATaaLtwErnr3qtWFcTmtbfpFEt5Bsqel9sXx0uE/edit?usp=sharing"",""งานกองทุน!D72"")"),15155000)</f>
        <v>15155000</v>
      </c>
      <c r="J778" s="291">
        <f ca="1">IFERROR(__xludf.DUMMYFUNCTION("IMPORTRANGE(""https://docs.google.com/spreadsheets/d/10OvvATaaLtwErnr3qtWFcTmtbfpFEt5Bsqel9sXx0uE/edit?usp=sharing"",""งานกองทุน!F72"")"),14081640.14)</f>
        <v>14081640.140000001</v>
      </c>
      <c r="K778" s="72">
        <f t="shared" ref="K778:K785" ca="1" si="192">IF(I778&gt;0,J778*100/I778,0)</f>
        <v>92.917453909600795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IFERROR(__xludf.DUMMYFUNCTION("IMPORTRANGE(""https://docs.google.com/spreadsheets/d/10OvvATaaLtwErnr3qtWFcTmtbfpFEt5Bsqel9sXx0uE/edit?usp=sharing"",""งานกองทุน!C72"")"),360)</f>
        <v>360</v>
      </c>
      <c r="J779" s="291">
        <f ca="1">IFERROR(__xludf.DUMMYFUNCTION("IMPORTRANGE(""https://docs.google.com/spreadsheets/d/10OvvATaaLtwErnr3qtWFcTmtbfpFEt5Bsqel9sXx0uE/edit?usp=sharing"",""งานกองทุน!E72"")"),359)</f>
        <v>359</v>
      </c>
      <c r="K779" s="72">
        <f t="shared" ca="1" si="192"/>
        <v>99.722222222222229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IFERROR(__xludf.DUMMYFUNCTION("IMPORTRANGE(""https://docs.google.com/spreadsheets/d/10OvvATaaLtwErnr3qtWFcTmtbfpFEt5Bsqel9sXx0uE/edit?usp=sharing"",""งานกองทุน!I72"")"),4117594.02)</f>
        <v>4117594.02</v>
      </c>
      <c r="J780" s="291">
        <f ca="1">IFERROR(__xludf.DUMMYFUNCTION("IMPORTRANGE(""https://docs.google.com/spreadsheets/d/10OvvATaaLtwErnr3qtWFcTmtbfpFEt5Bsqel9sXx0uE/edit?usp=sharing"",""งานกองทุน!K72"")"),425225.57)</f>
        <v>425225.57</v>
      </c>
      <c r="K780" s="72">
        <f t="shared" ca="1" si="192"/>
        <v>10.327039721123356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IFERROR(__xludf.DUMMYFUNCTION("IMPORTRANGE(""https://docs.google.com/spreadsheets/d/10OvvATaaLtwErnr3qtWFcTmtbfpFEt5Bsqel9sXx0uE/edit?usp=sharing"",""งานกองทุน!H72"")"),91)</f>
        <v>91</v>
      </c>
      <c r="J781" s="291">
        <f ca="1">IFERROR(__xludf.DUMMYFUNCTION("IMPORTRANGE(""https://docs.google.com/spreadsheets/d/10OvvATaaLtwErnr3qtWFcTmtbfpFEt5Bsqel9sXx0uE/edit?usp=sharing"",""งานกองทุน!J72"")"),55)</f>
        <v>55</v>
      </c>
      <c r="K781" s="72">
        <f t="shared" ca="1" si="192"/>
        <v>60.439560439560438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IFERROR(__xludf.DUMMYFUNCTION("IMPORTRANGE(""https://docs.google.com/spreadsheets/d/10OvvATaaLtwErnr3qtWFcTmtbfpFEt5Bsqel9sXx0uE/edit?usp=sharing"",""งานกองทุน!N72"")"),1684537.85)</f>
        <v>1684537.85</v>
      </c>
      <c r="J782" s="291">
        <f ca="1">IFERROR(__xludf.DUMMYFUNCTION("IMPORTRANGE(""https://docs.google.com/spreadsheets/d/10OvvATaaLtwErnr3qtWFcTmtbfpFEt5Bsqel9sXx0uE/edit?usp=sharing"",""งานกองทุน!P72"")"),606061.57)</f>
        <v>606061.56999999995</v>
      </c>
      <c r="K782" s="72">
        <f t="shared" ca="1" si="192"/>
        <v>35.977913467483077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IFERROR(__xludf.DUMMYFUNCTION("IMPORTRANGE(""https://docs.google.com/spreadsheets/d/10OvvATaaLtwErnr3qtWFcTmtbfpFEt5Bsqel9sXx0uE/edit?usp=sharing"",""งานกองทุน!M72"")"),465)</f>
        <v>465</v>
      </c>
      <c r="J783" s="291">
        <f ca="1">IFERROR(__xludf.DUMMYFUNCTION("IMPORTRANGE(""https://docs.google.com/spreadsheets/d/10OvvATaaLtwErnr3qtWFcTmtbfpFEt5Bsqel9sXx0uE/edit?usp=sharing"",""งานกองทุน!O72"")"),63)</f>
        <v>63</v>
      </c>
      <c r="K783" s="72">
        <f t="shared" ca="1" si="192"/>
        <v>13.548387096774194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IFERROR(__xludf.DUMMYFUNCTION("IMPORTRANGE(""https://docs.google.com/spreadsheets/d/10OvvATaaLtwErnr3qtWFcTmtbfpFEt5Bsqel9sXx0uE/edit?usp=sharing"",""งานกองทุน!S72"")"),10696000)</f>
        <v>10696000</v>
      </c>
      <c r="J784" s="291">
        <f ca="1">IFERROR(__xludf.DUMMYFUNCTION("IMPORTRANGE(""https://docs.google.com/spreadsheets/d/10OvvATaaLtwErnr3qtWFcTmtbfpFEt5Bsqel9sXx0uE/edit?usp=sharing"",""งานกองทุน!U72"")"),10635000)</f>
        <v>10635000</v>
      </c>
      <c r="K784" s="72">
        <f t="shared" ca="1" si="192"/>
        <v>99.429693343305914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IFERROR(__xludf.DUMMYFUNCTION("IMPORTRANGE(""https://docs.google.com/spreadsheets/d/10OvvATaaLtwErnr3qtWFcTmtbfpFEt5Bsqel9sXx0uE/edit?usp=sharing"",""งานกองทุน!R72"")"),382)</f>
        <v>382</v>
      </c>
      <c r="J785" s="773">
        <f ca="1">IFERROR(__xludf.DUMMYFUNCTION("IMPORTRANGE(""https://docs.google.com/spreadsheets/d/10OvvATaaLtwErnr3qtWFcTmtbfpFEt5Bsqel9sXx0uE/edit?usp=sharing"",""งานกองทุน!T72"")"),235)</f>
        <v>235</v>
      </c>
      <c r="K785" s="181">
        <f t="shared" ca="1" si="192"/>
        <v>61.518324607329845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FEB38-F2ED-40D0-9122-115A6D962B4A}">
  <sheetPr>
    <outlinePr summaryBelow="0" summaryRight="0"/>
    <pageSetUpPr fitToPage="1"/>
  </sheetPr>
  <dimension ref="A1:U789"/>
  <sheetViews>
    <sheetView tabSelected="1"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18.7109375" bestFit="1" customWidth="1"/>
    <col min="19" max="19" width="16.855468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367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1689059</v>
      </c>
      <c r="M18" s="57">
        <f ca="1">M19+M20</f>
        <v>1695459</v>
      </c>
      <c r="N18" s="57">
        <f ca="1">N19+N20</f>
        <v>1299724.6499999999</v>
      </c>
      <c r="O18" s="57">
        <f t="shared" ref="O18:O26" ca="1" si="0">IF(L18&gt;0,N18*100/L18,0)</f>
        <v>76.949629941878868</v>
      </c>
      <c r="P18" s="57">
        <f t="shared" ref="P18:P26" ca="1" si="1">IF(M18&gt;0,N18*100/M18,0)</f>
        <v>76.659161324455496</v>
      </c>
      <c r="Q18" s="57">
        <f ca="1">Q19+Q20</f>
        <v>172105</v>
      </c>
      <c r="R18" s="57">
        <f ca="1">R19+R20</f>
        <v>172105</v>
      </c>
      <c r="S18" s="57">
        <f ca="1">S19+S20</f>
        <v>34549</v>
      </c>
      <c r="T18" s="57">
        <f t="shared" ref="T18:T26" ca="1" si="2">IF(Q18&gt;0,S18*100/Q18,0)</f>
        <v>20.074373202405507</v>
      </c>
      <c r="U18" s="57">
        <f t="shared" ref="U18:U26" ca="1" si="3">IF(R18&gt;0,S18*100/R18,0)</f>
        <v>20.074373202405507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1689059</v>
      </c>
      <c r="M20" s="63">
        <f t="shared" ca="1" si="4"/>
        <v>1695459</v>
      </c>
      <c r="N20" s="63">
        <f t="shared" ca="1" si="4"/>
        <v>1299724.6499999999</v>
      </c>
      <c r="O20" s="63">
        <f t="shared" ca="1" si="0"/>
        <v>76.949629941878868</v>
      </c>
      <c r="P20" s="63">
        <f t="shared" ca="1" si="1"/>
        <v>76.659161324455496</v>
      </c>
      <c r="Q20" s="63">
        <f t="shared" ca="1" si="5"/>
        <v>172105</v>
      </c>
      <c r="R20" s="63">
        <f t="shared" ca="1" si="5"/>
        <v>172105</v>
      </c>
      <c r="S20" s="63">
        <f t="shared" ca="1" si="5"/>
        <v>34549</v>
      </c>
      <c r="T20" s="63">
        <f t="shared" ca="1" si="2"/>
        <v>20.074373202405507</v>
      </c>
      <c r="U20" s="63">
        <f t="shared" ca="1" si="3"/>
        <v>20.074373202405507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1662059</v>
      </c>
      <c r="M21" s="72">
        <f ca="1">M22+M23</f>
        <v>1680559</v>
      </c>
      <c r="N21" s="72">
        <f ca="1">N22+N23</f>
        <v>1284824.6499999999</v>
      </c>
      <c r="O21" s="72">
        <f t="shared" ca="1" si="0"/>
        <v>77.303191402952592</v>
      </c>
      <c r="P21" s="72">
        <f t="shared" ca="1" si="1"/>
        <v>76.452219172311104</v>
      </c>
      <c r="Q21" s="72">
        <f ca="1">Q22+Q23</f>
        <v>172105</v>
      </c>
      <c r="R21" s="72">
        <f ca="1">R22+R23</f>
        <v>172105</v>
      </c>
      <c r="S21" s="72">
        <f ca="1">S22+S23</f>
        <v>34549</v>
      </c>
      <c r="T21" s="72">
        <f t="shared" ca="1" si="2"/>
        <v>20.074373202405507</v>
      </c>
      <c r="U21" s="72">
        <f t="shared" ca="1" si="3"/>
        <v>20.074373202405507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1662059</v>
      </c>
      <c r="M23" s="72">
        <f ca="1">M49+M64+M77+M99+M122+M144+M162+M191+M178+M271+M287+M308+M325+M338+M361+M380+M418+M498+M518+M539+M560+M581+M604+M621+M647+M695+M719+M733+M765</f>
        <v>1680559</v>
      </c>
      <c r="N23" s="72">
        <f ca="1">N49+N64+N77+N99+N122+N144+N162+N191+N178+N271+N287+N308+N325+N338+N361+N380+N418+N498+N518+N539+N560+N581+N604+N621+N647+N695+N719+N733+N765</f>
        <v>1284824.6499999999</v>
      </c>
      <c r="O23" s="72">
        <f t="shared" ca="1" si="0"/>
        <v>77.303191402952592</v>
      </c>
      <c r="P23" s="72">
        <f t="shared" ca="1" si="1"/>
        <v>76.452219172311104</v>
      </c>
      <c r="Q23" s="72">
        <f t="shared" ca="1" si="6"/>
        <v>172105</v>
      </c>
      <c r="R23" s="72">
        <f t="shared" ca="1" si="6"/>
        <v>172105</v>
      </c>
      <c r="S23" s="72">
        <f t="shared" ca="1" si="6"/>
        <v>34549</v>
      </c>
      <c r="T23" s="72">
        <f t="shared" ca="1" si="2"/>
        <v>20.074373202405507</v>
      </c>
      <c r="U23" s="72">
        <f t="shared" ca="1" si="3"/>
        <v>20.074373202405507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27000</v>
      </c>
      <c r="M24" s="72">
        <f ca="1">M25+M26</f>
        <v>14900</v>
      </c>
      <c r="N24" s="72">
        <f ca="1">N25+N26</f>
        <v>14900</v>
      </c>
      <c r="O24" s="72">
        <f t="shared" ca="1" si="0"/>
        <v>55.185185185185183</v>
      </c>
      <c r="P24" s="72">
        <f t="shared" ca="1" si="1"/>
        <v>100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27000</v>
      </c>
      <c r="M26" s="72">
        <f ca="1">M52+M67+M80+M102+M125+M147+M165+M194+M181+M274+M290+M311+M328+M341+M364+M383+M421+M501+M521+M542+M563+M584+M607+M624+M650+M698+M722+M736+M768</f>
        <v>14900</v>
      </c>
      <c r="N26" s="72">
        <f ca="1">N52+N67+N80+N102+N125+N147+N165+N194+N181+N274+N290+N311+N328+N341+N364+N383+N421+N501+N521+N542+N563+N584+N607+N624+N650+N698+N722+N736+N768</f>
        <v>14900</v>
      </c>
      <c r="O26" s="72">
        <f t="shared" ca="1" si="0"/>
        <v>55.185185185185183</v>
      </c>
      <c r="P26" s="72">
        <f t="shared" ca="1" si="1"/>
        <v>100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1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1683700</v>
      </c>
      <c r="M40" s="1050">
        <f ca="1">M44+M59+M72+M94+M125+M139+M157+M173+M186+M266+M282+M303+M320+M333+M356</f>
        <v>1690100</v>
      </c>
      <c r="N40" s="1050">
        <f ca="1">N44+N59+N72+N94+N125+N139+N157+N173+N186+N266+N282+N303+N320+N333+N356</f>
        <v>1299724.6499999999</v>
      </c>
      <c r="O40" s="1050">
        <f ca="1">IF(L40&gt;0,N40*100/L40,0)</f>
        <v>77.194550691928484</v>
      </c>
      <c r="P40" s="1050">
        <f ca="1">IF(M40&gt;0,N40*100/M40,0)</f>
        <v>76.902233595645214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132000</v>
      </c>
      <c r="M44" s="1031">
        <f ca="1">M45+M46</f>
        <v>138470</v>
      </c>
      <c r="N44" s="1031">
        <f ca="1">N45+N46</f>
        <v>131930</v>
      </c>
      <c r="O44" s="1031">
        <f t="shared" ref="O44:O52" ca="1" si="8">IF(L44&gt;0,N44*100/L44,0)</f>
        <v>99.946969696969703</v>
      </c>
      <c r="P44" s="1031">
        <f t="shared" ref="P44:P52" ca="1" si="9">IF(M44&gt;0,N44*100/M44,0)</f>
        <v>95.276955297176286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132000</v>
      </c>
      <c r="M46" s="1018">
        <f t="shared" ca="1" si="12"/>
        <v>138470</v>
      </c>
      <c r="N46" s="1018">
        <f t="shared" ca="1" si="12"/>
        <v>131930</v>
      </c>
      <c r="O46" s="1018">
        <f t="shared" ca="1" si="8"/>
        <v>99.946969696969703</v>
      </c>
      <c r="P46" s="1018">
        <f t="shared" ca="1" si="9"/>
        <v>95.276955297176286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132000</v>
      </c>
      <c r="M47" s="72">
        <f ca="1">M48+M49</f>
        <v>138470</v>
      </c>
      <c r="N47" s="72">
        <f ca="1">N48+N49</f>
        <v>131930</v>
      </c>
      <c r="O47" s="72">
        <f t="shared" ca="1" si="8"/>
        <v>99.946969696969703</v>
      </c>
      <c r="P47" s="72">
        <f t="shared" ca="1" si="9"/>
        <v>95.276955297176286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IFERROR(__xludf.DUMMYFUNCTION("IMPORTRANGE(""https://docs.google.com/spreadsheets/d/1-uDff_7J0KD5mKrp0Vvzr7lt3OU09vwQwhkpOPPYv2Y/edit?usp=sharing"",""งบพรบ!P73"")"),132000)</f>
        <v>132000</v>
      </c>
      <c r="M49" s="72">
        <f ca="1">IFERROR(__xludf.DUMMYFUNCTION("IMPORTRANGE(""https://docs.google.com/spreadsheets/d/1-uDff_7J0KD5mKrp0Vvzr7lt3OU09vwQwhkpOPPYv2Y/edit?usp=sharing"",""งบพรบ!V73"")"),138470)</f>
        <v>138470</v>
      </c>
      <c r="N49" s="72">
        <f ca="1">IFERROR(__xludf.DUMMYFUNCTION("IMPORTRANGE(""https://docs.google.com/spreadsheets/d/1-uDff_7J0KD5mKrp0Vvzr7lt3OU09vwQwhkpOPPYv2Y/edit?usp=sharing"",""งบพรบ!Y73"")"),131930)</f>
        <v>131930</v>
      </c>
      <c r="O49" s="72">
        <f t="shared" ca="1" si="8"/>
        <v>99.946969696969703</v>
      </c>
      <c r="P49" s="72">
        <f t="shared" ca="1" si="9"/>
        <v>95.276955297176286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IFERROR(__xludf.DUMMYFUNCTION("IMPORTRANGE(""https://docs.google.com/spreadsheets/d/1-uDff_7J0KD5mKrp0Vvzr7lt3OU09vwQwhkpOPPYv2Y/edit?usp=sharing"",""งบพรบ!S73"")"),0)</f>
        <v>0</v>
      </c>
      <c r="M52" s="72">
        <f ca="1">IFERROR(__xludf.DUMMYFUNCTION("IMPORTRANGE(""https://docs.google.com/spreadsheets/d/1-uDff_7J0KD5mKrp0Vvzr7lt3OU09vwQwhkpOPPYv2Y/edit?usp=sharing"",""งบพรบ!W73"")"),0)</f>
        <v>0</v>
      </c>
      <c r="N52" s="72">
        <f ca="1">IFERROR(__xludf.DUMMYFUNCTION("IMPORTRANGE(""https://docs.google.com/spreadsheets/d/1-uDff_7J0KD5mKrp0Vvzr7lt3OU09vwQwhkpOPPYv2Y/edit?usp=sharing"",""งบพรบ!Z73"")"),0)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874400</v>
      </c>
      <c r="M59" s="1001">
        <f ca="1">M60+M61</f>
        <v>862300</v>
      </c>
      <c r="N59" s="1001">
        <f ca="1">N60+N61</f>
        <v>724002.65</v>
      </c>
      <c r="O59" s="1001">
        <f t="shared" ref="O59:O67" ca="1" si="14">IF(L59&gt;0,N59*100/L59,0)</f>
        <v>82.799937099725526</v>
      </c>
      <c r="P59" s="1001">
        <f t="shared" ref="P59:P67" ca="1" si="15">IF(M59&gt;0,N59*100/M59,0)</f>
        <v>83.961805636089522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874400</v>
      </c>
      <c r="M61" s="988">
        <f t="shared" ca="1" si="18"/>
        <v>862300</v>
      </c>
      <c r="N61" s="988">
        <f t="shared" ca="1" si="18"/>
        <v>724002.65</v>
      </c>
      <c r="O61" s="988">
        <f t="shared" ca="1" si="14"/>
        <v>82.799937099725526</v>
      </c>
      <c r="P61" s="988">
        <f t="shared" ca="1" si="15"/>
        <v>83.961805636089522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789"/>
      <c r="B62" s="256"/>
      <c r="C62" s="256"/>
      <c r="D62" s="268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847400</v>
      </c>
      <c r="M62" s="72">
        <f ca="1">M63+M64</f>
        <v>847400</v>
      </c>
      <c r="N62" s="72">
        <f ca="1">N63+N64</f>
        <v>709102.65</v>
      </c>
      <c r="O62" s="72">
        <f t="shared" ca="1" si="14"/>
        <v>83.67980292659901</v>
      </c>
      <c r="P62" s="72">
        <f t="shared" ca="1" si="15"/>
        <v>83.67980292659901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789"/>
      <c r="B63" s="256"/>
      <c r="C63" s="256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789"/>
      <c r="B64" s="256"/>
      <c r="C64" s="256"/>
      <c r="D64" s="256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IFERROR(__xludf.DUMMYFUNCTION("IMPORTRANGE(""https://docs.google.com/spreadsheets/d/1-uDff_7J0KD5mKrp0Vvzr7lt3OU09vwQwhkpOPPYv2Y/edit?usp=sharing"",""งบพรบ!AC73"")"),847400)</f>
        <v>847400</v>
      </c>
      <c r="M64" s="72">
        <f ca="1">IFERROR(__xludf.DUMMYFUNCTION("IMPORTRANGE(""https://docs.google.com/spreadsheets/d/1-uDff_7J0KD5mKrp0Vvzr7lt3OU09vwQwhkpOPPYv2Y/edit?usp=sharing"",""งบพรบ!AH73"")"),847400)</f>
        <v>847400</v>
      </c>
      <c r="N64" s="72">
        <f ca="1">IFERROR(__xludf.DUMMYFUNCTION("IMPORTRANGE(""https://docs.google.com/spreadsheets/d/1-uDff_7J0KD5mKrp0Vvzr7lt3OU09vwQwhkpOPPYv2Y/edit?usp=sharing"",""งบพรบ!AJ73"")"),709102.65)</f>
        <v>709102.65</v>
      </c>
      <c r="O64" s="72">
        <f t="shared" ca="1" si="14"/>
        <v>83.67980292659901</v>
      </c>
      <c r="P64" s="72">
        <f t="shared" ca="1" si="15"/>
        <v>83.67980292659901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789"/>
      <c r="B65" s="256"/>
      <c r="C65" s="256"/>
      <c r="D65" s="268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27000</v>
      </c>
      <c r="M65" s="72">
        <f ca="1">M66+M67</f>
        <v>14900</v>
      </c>
      <c r="N65" s="72">
        <f ca="1">N66+N67</f>
        <v>14900</v>
      </c>
      <c r="O65" s="72">
        <f t="shared" ca="1" si="14"/>
        <v>55.185185185185183</v>
      </c>
      <c r="P65" s="72">
        <f t="shared" ca="1" si="15"/>
        <v>100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789"/>
      <c r="B66" s="256"/>
      <c r="C66" s="256"/>
      <c r="D66" s="256"/>
      <c r="E66" s="263" t="s">
        <v>20</v>
      </c>
      <c r="F66" s="256"/>
      <c r="G66" s="259"/>
      <c r="H66" s="987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788"/>
      <c r="B67" s="615"/>
      <c r="C67" s="615"/>
      <c r="D67" s="615"/>
      <c r="E67" s="986" t="s">
        <v>21</v>
      </c>
      <c r="F67" s="615"/>
      <c r="G67" s="616"/>
      <c r="H67" s="787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IFERROR(__xludf.DUMMYFUNCTION("IMPORTRANGE(""https://docs.google.com/spreadsheets/d/1-uDff_7J0KD5mKrp0Vvzr7lt3OU09vwQwhkpOPPYv2Y/edit?usp=sharing"",""งบพรบ!AF73"")"),27000)</f>
        <v>27000</v>
      </c>
      <c r="M67" s="181">
        <f ca="1">IFERROR(__xludf.DUMMYFUNCTION("IMPORTRANGE(""https://docs.google.com/spreadsheets/d/1-uDff_7J0KD5mKrp0Vvzr7lt3OU09vwQwhkpOPPYv2Y/edit?usp=sharing"",""งบพรบ!AI73"")"),14900)</f>
        <v>14900</v>
      </c>
      <c r="N67" s="181">
        <f ca="1">IFERROR(__xludf.DUMMYFUNCTION("IMPORTRANGE(""https://docs.google.com/spreadsheets/d/1-uDff_7J0KD5mKrp0Vvzr7lt3OU09vwQwhkpOPPYv2Y/edit?usp=sharing"",""งบพรบ!AK73"")"),14900)</f>
        <v>14900</v>
      </c>
      <c r="O67" s="181">
        <f t="shared" ca="1" si="14"/>
        <v>55.185185185185183</v>
      </c>
      <c r="P67" s="181">
        <f t="shared" ca="1" si="15"/>
        <v>100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hidden="1" x14ac:dyDescent="0.3">
      <c r="A68" s="985" t="s">
        <v>31</v>
      </c>
      <c r="B68" s="984"/>
      <c r="C68" s="984"/>
      <c r="D68" s="984"/>
      <c r="E68" s="983"/>
      <c r="F68" s="983"/>
      <c r="G68" s="983"/>
      <c r="H68" s="983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981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978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978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56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56"/>
      <c r="C76" s="256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56"/>
      <c r="C77" s="256"/>
      <c r="D77" s="256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IFERROR(__xludf.DUMMYFUNCTION("IMPORTRANGE(""https://docs.google.com/spreadsheets/d/1-uDff_7J0KD5mKrp0Vvzr7lt3OU09vwQwhkpOPPYv2Y/edit?usp=sharing"",""งบพรบ!AM73"")"),0)</f>
        <v>0</v>
      </c>
      <c r="M77" s="72">
        <f ca="1">IFERROR(__xludf.DUMMYFUNCTION("IMPORTRANGE(""https://docs.google.com/spreadsheets/d/1-uDff_7J0KD5mKrp0Vvzr7lt3OU09vwQwhkpOPPYv2Y/edit?usp=sharing"",""งบพรบ!AR73"")"),0)</f>
        <v>0</v>
      </c>
      <c r="N77" s="72">
        <f ca="1">IFERROR(__xludf.DUMMYFUNCTION("IMPORTRANGE(""https://docs.google.com/spreadsheets/d/1-uDff_7J0KD5mKrp0Vvzr7lt3OU09vwQwhkpOPPYv2Y/edit?usp=sharing"",""งบพรบ!AT73"")"),0)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IFERROR(__xludf.DUMMYFUNCTION("IMPORTRANGE(""https://docs.google.com/spreadsheets/d/1ItG2mGa2ceCfYo0BwxsXqNm01IGEUdYcSSLTEv9YCik/edit?usp=sharing"",""เบิกจ่ายกองทุน!BH73"")"),0)</f>
        <v>0</v>
      </c>
      <c r="R77" s="72">
        <f ca="1">IFERROR(__xludf.DUMMYFUNCTION("IMPORTRANGE(""https://docs.google.com/spreadsheets/d/1ItG2mGa2ceCfYo0BwxsXqNm01IGEUdYcSSLTEv9YCik/edit?usp=sharing"",""เบิกจ่ายกองทุน!BI73"")"),0)</f>
        <v>0</v>
      </c>
      <c r="S77" s="72">
        <f ca="1">IFERROR(__xludf.DUMMYFUNCTION("IMPORTRANGE(""https://docs.google.com/spreadsheets/d/1ItG2mGa2ceCfYo0BwxsXqNm01IGEUdYcSSLTEv9YCik/edit?usp=sharing"",""เบิกจ่ายกองทุน!BJ73"")"),0)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56"/>
      <c r="C78" s="256"/>
      <c r="D78" s="268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56"/>
      <c r="C79" s="256"/>
      <c r="D79" s="256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56"/>
      <c r="C80" s="256"/>
      <c r="D80" s="256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IFERROR(__xludf.DUMMYFUNCTION("IMPORTRANGE(""https://docs.google.com/spreadsheets/d/1-uDff_7J0KD5mKrp0Vvzr7lt3OU09vwQwhkpOPPYv2Y/edit?usp=sharing"",""งบพรบ!AP73"")"),0)</f>
        <v>0</v>
      </c>
      <c r="M80" s="72">
        <f ca="1">IFERROR(__xludf.DUMMYFUNCTION("IMPORTRANGE(""https://docs.google.com/spreadsheets/d/1-uDff_7J0KD5mKrp0Vvzr7lt3OU09vwQwhkpOPPYv2Y/edit?usp=sharing"",""งบพรบ!AS73"")"),0)</f>
        <v>0</v>
      </c>
      <c r="N80" s="72">
        <f ca="1">IFERROR(__xludf.DUMMYFUNCTION("IMPORTRANGE(""https://docs.google.com/spreadsheets/d/1-uDff_7J0KD5mKrp0Vvzr7lt3OU09vwQwhkpOPPYv2Y/edit?usp=sharing"",""งบพรบ!AU73"")"),0)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IFERROR(__xludf.DUMMYFUNCTION("IMPORTRANGE(""https://docs.google.com/spreadsheets/d/1ItG2mGa2ceCfYo0BwxsXqNm01IGEUdYcSSLTEv9YCik/edit?usp=sharing"",""เบิกจ่ายกองทุน!BK73"")"),0)</f>
        <v>0</v>
      </c>
      <c r="R80" s="72">
        <f ca="1">IFERROR(__xludf.DUMMYFUNCTION("IMPORTRANGE(""https://docs.google.com/spreadsheets/d/1ItG2mGa2ceCfYo0BwxsXqNm01IGEUdYcSSLTEv9YCik/edit?usp=sharing"",""เบิกจ่ายกองทุน!BL73"")"),0)</f>
        <v>0</v>
      </c>
      <c r="S80" s="72">
        <f ca="1">IFERROR(__xludf.DUMMYFUNCTION("IMPORTRANGE(""https://docs.google.com/spreadsheets/d/1ItG2mGa2ceCfYo0BwxsXqNm01IGEUdYcSSLTEv9YCik/edit?usp=sharing"",""เบิกจ่ายกองทุน!BM73"")"),0)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57" t="s">
        <v>18</v>
      </c>
      <c r="D81" s="800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745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IFERROR(__xludf.DUMMYFUNCTION("IMPORTRANGE(""https://docs.google.com/spreadsheets/d/1eHaY18a8A9IcSdp1K8H6x8fbOy06t2VsZHhMHf-1x7Y/edit?usp=sharing"",""แผน!H73"")"),0)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IFERROR(__xludf.DUMMYFUNCTION("IMPORTRANGE(""https://docs.google.com/spreadsheets/d/1eHaY18a8A9IcSdp1K8H6x8fbOy06t2VsZHhMHf-1x7Y/edit?usp=sharing"",""แผน!I73"")"),0)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IFERROR(__xludf.DUMMYFUNCTION("IMPORTRANGE(""https://docs.google.com/spreadsheets/d/1eHaY18a8A9IcSdp1K8H6x8fbOy06t2VsZHhMHf-1x7Y/edit?usp=sharing"",""แผน!F73"")"),0)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IFERROR(__xludf.DUMMYFUNCTION("IMPORTRANGE(""https://docs.google.com/spreadsheets/d/1eHaY18a8A9IcSdp1K8H6x8fbOy06t2VsZHhMHf-1x7Y/edit?usp=sharing"",""แผน!G73"")"),0)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93" t="s">
        <v>34</v>
      </c>
      <c r="I88" s="294">
        <f ca="1">IFERROR(__xludf.DUMMYFUNCTION("IMPORTRANGE(""https://docs.google.com/spreadsheets/d/1eHaY18a8A9IcSdp1K8H6x8fbOy06t2VsZHhMHf-1x7Y/edit?usp=sharing"",""แผน!D73"")"),0)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93" t="s">
        <v>35</v>
      </c>
      <c r="I89" s="294">
        <f ca="1">IFERROR(__xludf.DUMMYFUNCTION("IMPORTRANGE(""https://docs.google.com/spreadsheets/d/1eHaY18a8A9IcSdp1K8H6x8fbOy06t2VsZHhMHf-1x7Y/edit?usp=sharing"",""แผน!E73"")"),0)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880" t="s">
        <v>34</v>
      </c>
      <c r="I90" s="294">
        <f ca="1">IFERROR(__xludf.DUMMYFUNCTION("IMPORTRANGE(""https://docs.google.com/spreadsheets/d/1eHaY18a8A9IcSdp1K8H6x8fbOy06t2VsZHhMHf-1x7Y/edit?usp=sharing"",""แผน!J73"")"),0)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981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978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978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56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56"/>
      <c r="C98" s="256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56"/>
      <c r="C99" s="256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IFERROR(__xludf.DUMMYFUNCTION("IMPORTRANGE(""https://docs.google.com/spreadsheets/d/1-uDff_7J0KD5mKrp0Vvzr7lt3OU09vwQwhkpOPPYv2Y/edit?usp=sharing"",""งบพรบ!AW73"")"),0)</f>
        <v>0</v>
      </c>
      <c r="M99" s="72">
        <f ca="1">IFERROR(__xludf.DUMMYFUNCTION("IMPORTRANGE(""https://docs.google.com/spreadsheets/d/1-uDff_7J0KD5mKrp0Vvzr7lt3OU09vwQwhkpOPPYv2Y/edit?usp=sharing"",""งบพรบ!BB73"")"),0)</f>
        <v>0</v>
      </c>
      <c r="N99" s="72">
        <f ca="1">IFERROR(__xludf.DUMMYFUNCTION("IMPORTRANGE(""https://docs.google.com/spreadsheets/d/1-uDff_7J0KD5mKrp0Vvzr7lt3OU09vwQwhkpOPPYv2Y/edit?usp=sharing"",""งบพรบ!BD73"")"),0)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IFERROR(__xludf.DUMMYFUNCTION("IMPORTRANGE(""https://docs.google.com/spreadsheets/d/1ItG2mGa2ceCfYo0BwxsXqNm01IGEUdYcSSLTEv9YCik/edit?usp=sharing"",""เบิกจ่ายกองทุน!AJ73"")"),0)</f>
        <v>0</v>
      </c>
      <c r="R99" s="72">
        <f ca="1">IFERROR(__xludf.DUMMYFUNCTION("IMPORTRANGE(""https://docs.google.com/spreadsheets/d/1ItG2mGa2ceCfYo0BwxsXqNm01IGEUdYcSSLTEv9YCik/edit?usp=sharing"",""เบิกจ่ายกองทุน!AK73"")"),0)</f>
        <v>0</v>
      </c>
      <c r="S99" s="72">
        <f ca="1">IFERROR(__xludf.DUMMYFUNCTION("IMPORTRANGE(""https://docs.google.com/spreadsheets/d/1ItG2mGa2ceCfYo0BwxsXqNm01IGEUdYcSSLTEv9YCik/edit?usp=sharing"",""เบิกจ่ายกองทุน!AL73"")"),0)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56"/>
      <c r="C100" s="256"/>
      <c r="D100" s="268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56"/>
      <c r="C101" s="256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56"/>
      <c r="C102" s="256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IFERROR(__xludf.DUMMYFUNCTION("IMPORTRANGE(""https://docs.google.com/spreadsheets/d/1-uDff_7J0KD5mKrp0Vvzr7lt3OU09vwQwhkpOPPYv2Y/edit?usp=sharing"",""งบพรบ!AZ73"")"),0)</f>
        <v>0</v>
      </c>
      <c r="M102" s="72">
        <f ca="1">IFERROR(__xludf.DUMMYFUNCTION("IMPORTRANGE(""https://docs.google.com/spreadsheets/d/1-uDff_7J0KD5mKrp0Vvzr7lt3OU09vwQwhkpOPPYv2Y/edit?usp=sharing"",""งบพรบ!BC73"")"),0)</f>
        <v>0</v>
      </c>
      <c r="N102" s="72">
        <f ca="1">IFERROR(__xludf.DUMMYFUNCTION("IMPORTRANGE(""https://docs.google.com/spreadsheets/d/1-uDff_7J0KD5mKrp0Vvzr7lt3OU09vwQwhkpOPPYv2Y/edit?usp=sharing"",""งบพรบ!BE73"")"),0)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57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IFERROR(__xludf.DUMMYFUNCTION("IMPORTRANGE(""https://docs.google.com/spreadsheets/d/1eHaY18a8A9IcSdp1K8H6x8fbOy06t2VsZHhMHf-1x7Y/edit?usp=sharing"",""แผน!N73"")"),0)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IFERROR(__xludf.DUMMYFUNCTION("IMPORTRANGE(""https://docs.google.com/spreadsheets/d/1eHaY18a8A9IcSdp1K8H6x8fbOy06t2VsZHhMHf-1x7Y/edit?usp=sharing"",""แผน!O73"")"),0)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3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3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IFERROR(__xludf.DUMMYFUNCTION("IMPORTRANGE(""https://docs.google.com/spreadsheets/d/1eHaY18a8A9IcSdp1K8H6x8fbOy06t2VsZHhMHf-1x7Y/edit?usp=sharing"",""แผน!R73"")"),0)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hidden="1" x14ac:dyDescent="0.3">
      <c r="A115" s="241" t="s">
        <v>51</v>
      </c>
      <c r="B115" s="243"/>
      <c r="C115" s="295"/>
      <c r="D115" s="242"/>
      <c r="E115" s="242"/>
      <c r="F115" s="242"/>
      <c r="G115" s="242"/>
      <c r="H115" s="243"/>
      <c r="I115" s="296"/>
      <c r="J115" s="296"/>
      <c r="K115" s="297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hidden="1" x14ac:dyDescent="0.3">
      <c r="A116" s="248"/>
      <c r="B116" s="298" t="s">
        <v>52</v>
      </c>
      <c r="C116" s="299"/>
      <c r="D116" s="251"/>
      <c r="E116" s="250"/>
      <c r="F116" s="250"/>
      <c r="G116" s="252"/>
      <c r="H116" s="300" t="s">
        <v>35</v>
      </c>
      <c r="I116" s="254">
        <f ca="1">I127</f>
        <v>0</v>
      </c>
      <c r="J116" s="254">
        <f>J127</f>
        <v>0</v>
      </c>
      <c r="K116" s="57">
        <f ca="1">IF(I116&gt;0,J116*100/I116,0)</f>
        <v>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hidden="1" x14ac:dyDescent="0.3">
      <c r="A117" s="255"/>
      <c r="B117" s="267"/>
      <c r="C117" s="276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0</v>
      </c>
      <c r="R117" s="262">
        <f ca="1">R118+R119</f>
        <v>0</v>
      </c>
      <c r="S117" s="262">
        <f ca="1">S118+S119</f>
        <v>0</v>
      </c>
      <c r="T117" s="262">
        <f t="shared" ref="T117:T125" ca="1" si="35">IF(Q117&gt;0,S117*100/Q117,0)</f>
        <v>0</v>
      </c>
      <c r="U117" s="262">
        <f t="shared" ref="U117:U125" ca="1" si="36">IF(R117&gt;0,S117*100/R117,0)</f>
        <v>0</v>
      </c>
    </row>
    <row r="118" spans="1:21" ht="18.75" hidden="1" x14ac:dyDescent="0.25">
      <c r="A118" s="255"/>
      <c r="B118" s="267"/>
      <c r="C118" s="267"/>
      <c r="D118" s="267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67"/>
      <c r="C119" s="267"/>
      <c r="D119" s="267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0</v>
      </c>
      <c r="R119" s="72">
        <f t="shared" ca="1" si="38"/>
        <v>0</v>
      </c>
      <c r="S119" s="72">
        <f t="shared" ca="1" si="38"/>
        <v>0</v>
      </c>
      <c r="T119" s="72">
        <f t="shared" ca="1" si="35"/>
        <v>0</v>
      </c>
      <c r="U119" s="72">
        <f t="shared" ca="1" si="36"/>
        <v>0</v>
      </c>
    </row>
    <row r="120" spans="1:21" ht="18.75" hidden="1" x14ac:dyDescent="0.25">
      <c r="A120" s="255"/>
      <c r="B120" s="267"/>
      <c r="C120" s="301"/>
      <c r="D120" s="852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0</v>
      </c>
      <c r="R120" s="72">
        <f ca="1">R121+R122</f>
        <v>0</v>
      </c>
      <c r="S120" s="72">
        <f ca="1">S121+S122</f>
        <v>0</v>
      </c>
      <c r="T120" s="72">
        <f t="shared" ca="1" si="35"/>
        <v>0</v>
      </c>
      <c r="U120" s="72">
        <f t="shared" ca="1" si="36"/>
        <v>0</v>
      </c>
    </row>
    <row r="121" spans="1:21" ht="18.75" hidden="1" x14ac:dyDescent="0.25">
      <c r="A121" s="255"/>
      <c r="B121" s="267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67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IFERROR(__xludf.DUMMYFUNCTION("IMPORTRANGE(""https://docs.google.com/spreadsheets/d/1-uDff_7J0KD5mKrp0Vvzr7lt3OU09vwQwhkpOPPYv2Y/edit?usp=sharing"",""งบพรบ!BG73"")"),0)</f>
        <v>0</v>
      </c>
      <c r="M122" s="72">
        <f ca="1">IFERROR(__xludf.DUMMYFUNCTION("IMPORTRANGE(""https://docs.google.com/spreadsheets/d/1-uDff_7J0KD5mKrp0Vvzr7lt3OU09vwQwhkpOPPYv2Y/edit?usp=sharing"",""งบพรบ!BL73"")"),0)</f>
        <v>0</v>
      </c>
      <c r="N122" s="72">
        <f ca="1">IFERROR(__xludf.DUMMYFUNCTION("IMPORTRANGE(""https://docs.google.com/spreadsheets/d/1-uDff_7J0KD5mKrp0Vvzr7lt3OU09vwQwhkpOPPYv2Y/edit?usp=sharing"",""งบพรบ!BN73"")"),0)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IFERROR(__xludf.DUMMYFUNCTION("IMPORTRANGE(""https://docs.google.com/spreadsheets/d/1ItG2mGa2ceCfYo0BwxsXqNm01IGEUdYcSSLTEv9YCik/edit?usp=sharing"",""เบิกจ่ายกองทุน!U73"")"),0)</f>
        <v>0</v>
      </c>
      <c r="R122" s="72">
        <f ca="1">IFERROR(__xludf.DUMMYFUNCTION("IMPORTRANGE(""https://docs.google.com/spreadsheets/d/1ItG2mGa2ceCfYo0BwxsXqNm01IGEUdYcSSLTEv9YCik/edit?usp=sharing"",""เบิกจ่ายกองทุน!V73"")"),0)</f>
        <v>0</v>
      </c>
      <c r="S122" s="72">
        <f ca="1">IFERROR(__xludf.DUMMYFUNCTION("IMPORTRANGE(""https://docs.google.com/spreadsheets/d/1ItG2mGa2ceCfYo0BwxsXqNm01IGEUdYcSSLTEv9YCik/edit?usp=sharing"",""เบิกจ่ายกองทุน!W73"")"),0)</f>
        <v>0</v>
      </c>
      <c r="T122" s="72">
        <f t="shared" ca="1" si="35"/>
        <v>0</v>
      </c>
      <c r="U122" s="72">
        <f t="shared" ca="1" si="36"/>
        <v>0</v>
      </c>
    </row>
    <row r="123" spans="1:21" ht="18.75" hidden="1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IFERROR(__xludf.DUMMYFUNCTION("IMPORTRANGE(""https://docs.google.com/spreadsheets/d/1-uDff_7J0KD5mKrp0Vvzr7lt3OU09vwQwhkpOPPYv2Y/edit?usp=sharing"",""งบพรบ!BJ73"")"),0)</f>
        <v>0</v>
      </c>
      <c r="M125" s="72">
        <f ca="1">IFERROR(__xludf.DUMMYFUNCTION("IMPORTRANGE(""https://docs.google.com/spreadsheets/d/1-uDff_7J0KD5mKrp0Vvzr7lt3OU09vwQwhkpOPPYv2Y/edit?usp=sharing"",""งบพรบ!BM73"")"),0)</f>
        <v>0</v>
      </c>
      <c r="N125" s="72">
        <f ca="1">IFERROR(__xludf.DUMMYFUNCTION("IMPORTRANGE(""https://docs.google.com/spreadsheets/d/1-uDff_7J0KD5mKrp0Vvzr7lt3OU09vwQwhkpOPPYv2Y/edit?usp=sharing"",""งบพรบ!BO73"")"),0)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IFERROR(__xludf.DUMMYFUNCTION("IMPORTRANGE(""https://docs.google.com/spreadsheets/d/1ItG2mGa2ceCfYo0BwxsXqNm01IGEUdYcSSLTEv9YCik/edit?usp=sharing"",""เบิกจ่ายกองทุน!X73"")"),0)</f>
        <v>0</v>
      </c>
      <c r="R125" s="72">
        <f ca="1">IFERROR(__xludf.DUMMYFUNCTION("IMPORTRANGE(""https://docs.google.com/spreadsheets/d/1ItG2mGa2ceCfYo0BwxsXqNm01IGEUdYcSSLTEv9YCik/edit?usp=sharing"",""เบิกจ่ายกองทุน!Y73"")"),0)</f>
        <v>0</v>
      </c>
      <c r="S125" s="72">
        <f ca="1">IFERROR(__xludf.DUMMYFUNCTION("IMPORTRANGE(""https://docs.google.com/spreadsheets/d/1ItG2mGa2ceCfYo0BwxsXqNm01IGEUdYcSSLTEv9YCik/edit?usp=sharing"",""เบิกจ่ายกองทุน!Z73"")"),0)</f>
        <v>0</v>
      </c>
      <c r="T125" s="72">
        <f t="shared" ca="1" si="35"/>
        <v>0</v>
      </c>
      <c r="U125" s="72">
        <f t="shared" ca="1" si="36"/>
        <v>0</v>
      </c>
    </row>
    <row r="126" spans="1:21" ht="19.5" hidden="1" x14ac:dyDescent="0.3">
      <c r="A126" s="274"/>
      <c r="B126" s="275"/>
      <c r="C126" s="304" t="s">
        <v>18</v>
      </c>
      <c r="D126" s="800" t="s">
        <v>38</v>
      </c>
      <c r="E126" s="278"/>
      <c r="F126" s="278"/>
      <c r="G126" s="279"/>
      <c r="H126" s="305"/>
      <c r="I126" s="261"/>
      <c r="J126" s="261"/>
      <c r="K126" s="85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hidden="1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IFERROR(__xludf.DUMMYFUNCTION("IMPORTRANGE(""https://docs.google.com/spreadsheets/d/1eHaY18a8A9IcSdp1K8H6x8fbOy06t2VsZHhMHf-1x7Y/edit?usp=sharing"",""แผน!FF73"")"),0)</f>
        <v>0</v>
      </c>
      <c r="J127" s="292">
        <v>0</v>
      </c>
      <c r="K127" s="72">
        <f ca="1">IF(I127&gt;0,J127*100/I127,0)</f>
        <v>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hidden="1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IFERROR(__xludf.DUMMYFUNCTION("IMPORTRANGE(""https://docs.google.com/spreadsheets/d/1eHaY18a8A9IcSdp1K8H6x8fbOy06t2VsZHhMHf-1x7Y/edit?usp=sharing"",""แผน!FG73"")"),0)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hidden="1" x14ac:dyDescent="0.25">
      <c r="A129" s="274"/>
      <c r="B129" s="275"/>
      <c r="C129" s="275"/>
      <c r="D129" s="289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IFERROR(__xludf.DUMMYFUNCTION("IMPORTRANGE(""https://docs.google.com/spreadsheets/d/1eHaY18a8A9IcSdp1K8H6x8fbOy06t2VsZHhMHf-1x7Y/edit?usp=sharing"",""แผน!FH73"")"),0)</f>
        <v>0</v>
      </c>
      <c r="J129" s="292">
        <v>0</v>
      </c>
      <c r="K129" s="72">
        <f ca="1">IF(I129&gt;0,J129*100/I129,0)</f>
        <v>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hidden="1" x14ac:dyDescent="0.25">
      <c r="A130" s="274"/>
      <c r="B130" s="275"/>
      <c r="C130" s="275"/>
      <c r="D130" s="288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IFERROR(__xludf.DUMMYFUNCTION("IMPORTRANGE(""https://docs.google.com/spreadsheets/d/1eHaY18a8A9IcSdp1K8H6x8fbOy06t2VsZHhMHf-1x7Y/edit?usp=sharing"",""แผน!FI73"")"),0)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306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306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4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0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978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978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978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56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IFERROR(__xludf.DUMMYFUNCTION("IMPORTRANGE(""https://docs.google.com/spreadsheets/d/1-uDff_7J0KD5mKrp0Vvzr7lt3OU09vwQwhkpOPPYv2Y/edit?usp=sharing"",""งบพรบ!BQ73"")"),0)</f>
        <v>0</v>
      </c>
      <c r="M144" s="72">
        <f ca="1">IFERROR(__xludf.DUMMYFUNCTION("IMPORTRANGE(""https://docs.google.com/spreadsheets/d/1-uDff_7J0KD5mKrp0Vvzr7lt3OU09vwQwhkpOPPYv2Y/edit?usp=sharing"",""งบพรบ!BV73"")"),0)</f>
        <v>0</v>
      </c>
      <c r="N144" s="72">
        <f ca="1">IFERROR(__xludf.DUMMYFUNCTION("IMPORTRANGE(""https://docs.google.com/spreadsheets/d/1-uDff_7J0KD5mKrp0Vvzr7lt3OU09vwQwhkpOPPYv2Y/edit?usp=sharing"",""งบพรบ!BX73"")"),0)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IFERROR(__xludf.DUMMYFUNCTION("IMPORTRANGE(""https://docs.google.com/spreadsheets/d/1ItG2mGa2ceCfYo0BwxsXqNm01IGEUdYcSSLTEv9YCik/edit?usp=sharing"",""เบิกจ่ายกองทุน!CF73"")"),0)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IFERROR(__xludf.DUMMYFUNCTION("IMPORTRANGE(""https://docs.google.com/spreadsheets/d/1ItG2mGa2ceCfYo0BwxsXqNm01IGEUdYcSSLTEv9YCik/edit?usp=sharing"",""เบิกจ่ายกองทุน!CG73"")"),0)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IFERROR(__xludf.DUMMYFUNCTION("IMPORTRANGE(""https://docs.google.com/spreadsheets/d/1ItG2mGa2ceCfYo0BwxsXqNm01IGEUdYcSSLTEv9YCik/edit?usp=sharing"",""เบิกจ่ายกองทุน!CH73"")"),0)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IFERROR(__xludf.DUMMYFUNCTION("IMPORTRANGE(""https://docs.google.com/spreadsheets/d/1-uDff_7J0KD5mKrp0Vvzr7lt3OU09vwQwhkpOPPYv2Y/edit?usp=sharing"",""งบพรบ!BT73"")"),0)</f>
        <v>0</v>
      </c>
      <c r="M147" s="72">
        <f ca="1">IFERROR(__xludf.DUMMYFUNCTION("IMPORTRANGE(""https://docs.google.com/spreadsheets/d/1-uDff_7J0KD5mKrp0Vvzr7lt3OU09vwQwhkpOPPYv2Y/edit?usp=sharing"",""งบพรบ!BW73"")"),0)</f>
        <v>0</v>
      </c>
      <c r="N147" s="72">
        <f ca="1">IFERROR(__xludf.DUMMYFUNCTION("IMPORTRANGE(""https://docs.google.com/spreadsheets/d/1-uDff_7J0KD5mKrp0Vvzr7lt3OU09vwQwhkpOPPYv2Y/edit?usp=sharing"",""งบพรบ!BY73"")"),0)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IFERROR(__xludf.DUMMYFUNCTION("IMPORTRANGE(""https://docs.google.com/spreadsheets/d/1ItG2mGa2ceCfYo0BwxsXqNm01IGEUdYcSSLTEv9YCik/edit?usp=sharing"",""เบิกจ่ายกองทุน!CI73"")"),0)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IFERROR(__xludf.DUMMYFUNCTION("IMPORTRANGE(""https://docs.google.com/spreadsheets/d/1ItG2mGa2ceCfYo0BwxsXqNm01IGEUdYcSSLTEv9YCik/edit?usp=sharing"",""เบิกจ่ายกองทุน!CJ73"")"),0)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IFERROR(__xludf.DUMMYFUNCTION("IMPORTRANGE(""https://docs.google.com/spreadsheets/d/1ItG2mGa2ceCfYo0BwxsXqNm01IGEUdYcSSLTEv9YCik/edit?usp=sharing"",""เบิกจ่ายกองทุน!CK73"")"),0)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256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IFERROR(__xludf.DUMMYFUNCTION("IMPORTRANGE(""https://docs.google.com/spreadsheets/d/1eHaY18a8A9IcSdp1K8H6x8fbOy06t2VsZHhMHf-1x7Y/edit?usp=sharing"",""แผน!U73"")"),0)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IFERROR(__xludf.DUMMYFUNCTION("IMPORTRANGE(""https://docs.google.com/spreadsheets/d/1eHaY18a8A9IcSdp1K8H6x8fbOy06t2VsZHhMHf-1x7Y/edit?usp=sharing"",""แผน!V73"")"),0)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IFERROR(__xludf.DUMMYFUNCTION("IMPORTRANGE(""https://docs.google.com/spreadsheets/d/1eHaY18a8A9IcSdp1K8H6x8fbOy06t2VsZHhMHf-1x7Y/edit?usp=sharing"",""แผน!W73"")"),0)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IFERROR(__xludf.DUMMYFUNCTION("IMPORTRANGE(""https://docs.google.com/spreadsheets/d/1eHaY18a8A9IcSdp1K8H6x8fbOy06t2VsZHhMHf-1x7Y/edit?usp=sharing"",""แผน!X73"")"),0)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IFERROR(__xludf.DUMMYFUNCTION("IMPORTRANGE(""https://docs.google.com/spreadsheets/d/1eHaY18a8A9IcSdp1K8H6x8fbOy06t2VsZHhMHf-1x7Y/edit?usp=sharing"",""แผน!Y73"")"),0)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4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56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IFERROR(__xludf.DUMMYFUNCTION("IMPORTRANGE(""https://docs.google.com/spreadsheets/d/1-uDff_7J0KD5mKrp0Vvzr7lt3OU09vwQwhkpOPPYv2Y/edit?usp=sharing"",""งบพรบ!CA73"")"),0)</f>
        <v>0</v>
      </c>
      <c r="M162" s="72">
        <f ca="1">IFERROR(__xludf.DUMMYFUNCTION("IMPORTRANGE(""https://docs.google.com/spreadsheets/d/1-uDff_7J0KD5mKrp0Vvzr7lt3OU09vwQwhkpOPPYv2Y/edit?usp=sharing"",""งบพรบ!CF73"")"),0)</f>
        <v>0</v>
      </c>
      <c r="N162" s="72">
        <f ca="1">IFERROR(__xludf.DUMMYFUNCTION("IMPORTRANGE(""https://docs.google.com/spreadsheets/d/1-uDff_7J0KD5mKrp0Vvzr7lt3OU09vwQwhkpOPPYv2Y/edit?usp=sharing"",""งบพรบ!CH73"")"),0)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IFERROR(__xludf.DUMMYFUNCTION("IMPORTRANGE(""https://docs.google.com/spreadsheets/d/1ItG2mGa2ceCfYo0BwxsXqNm01IGEUdYcSSLTEv9YCik/edit?usp=sharing"",""เบิกจ่ายกองทุน!AM73"")"),0)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IFERROR(__xludf.DUMMYFUNCTION("IMPORTRANGE(""https://docs.google.com/spreadsheets/d/1ItG2mGa2ceCfYo0BwxsXqNm01IGEUdYcSSLTEv9YCik/edit?usp=sharing"",""เบิกจ่ายกองทุน!AN73"")"),0)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IFERROR(__xludf.DUMMYFUNCTION("IMPORTRANGE(""https://docs.google.com/spreadsheets/d/1ItG2mGa2ceCfYo0BwxsXqNm01IGEUdYcSSLTEv9YCik/edit?usp=sharing"",""เบิกจ่ายกองทุน!AO73"")"),0)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56"/>
      <c r="C164" s="256"/>
      <c r="D164" s="256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56"/>
      <c r="C165" s="256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IFERROR(__xludf.DUMMYFUNCTION("IMPORTRANGE(""https://docs.google.com/spreadsheets/d/1-uDff_7J0KD5mKrp0Vvzr7lt3OU09vwQwhkpOPPYv2Y/edit?usp=sharing"",""งบพรบ!CD73"")"),0)</f>
        <v>0</v>
      </c>
      <c r="M165" s="72">
        <f ca="1">IFERROR(__xludf.DUMMYFUNCTION("IMPORTRANGE(""https://docs.google.com/spreadsheets/d/1-uDff_7J0KD5mKrp0Vvzr7lt3OU09vwQwhkpOPPYv2Y/edit?usp=sharing"",""งบพรบ!CG73"")"),0)</f>
        <v>0</v>
      </c>
      <c r="N165" s="72">
        <f ca="1">IFERROR(__xludf.DUMMYFUNCTION("IMPORTRANGE(""https://docs.google.com/spreadsheets/d/1-uDff_7J0KD5mKrp0Vvzr7lt3OU09vwQwhkpOPPYv2Y/edit?usp=sharing"",""งบพรบ!CI73"")"),0)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57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IFERROR(__xludf.DUMMYFUNCTION("IMPORTRANGE(""https://docs.google.com/spreadsheets/d/1eHaY18a8A9IcSdp1K8H6x8fbOy06t2VsZHhMHf-1x7Y/edit?usp=sharing"",""แผน!Z73"")"),0)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IFERROR(__xludf.DUMMYFUNCTION("IMPORTRANGE(""https://docs.google.com/spreadsheets/d/1eHaY18a8A9IcSdp1K8H6x8fbOy06t2VsZHhMHf-1x7Y/edit?usp=sharing"",""แผน!Z73"")"),0)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IFERROR(__xludf.DUMMYFUNCTION("IMPORTRANGE(""https://docs.google.com/spreadsheets/d/1eHaY18a8A9IcSdp1K8H6x8fbOy06t2VsZHhMHf-1x7Y/edit?usp=sharing"",""แผน!Z73"")"),0)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2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967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964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29620</v>
      </c>
      <c r="N173" s="262">
        <f ca="1">N174+N175</f>
        <v>29620</v>
      </c>
      <c r="O173" s="262">
        <f t="shared" ref="O173:O181" ca="1" si="51">IF(L173&gt;0,N173*100/L173,0)</f>
        <v>151.19959162838182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29620</v>
      </c>
      <c r="N175" s="72">
        <f t="shared" ca="1" si="55"/>
        <v>29620</v>
      </c>
      <c r="O175" s="72">
        <f t="shared" ca="1" si="51"/>
        <v>151.19959162838182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56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29620</v>
      </c>
      <c r="N176" s="72">
        <f ca="1">N177+N178</f>
        <v>29620</v>
      </c>
      <c r="O176" s="72">
        <f t="shared" ca="1" si="51"/>
        <v>151.19959162838182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56"/>
      <c r="D177" s="256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56"/>
      <c r="C178" s="256"/>
      <c r="D178" s="256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IFERROR(__xludf.DUMMYFUNCTION("IMPORTRANGE(""https://docs.google.com/spreadsheets/d/1-uDff_7J0KD5mKrp0Vvzr7lt3OU09vwQwhkpOPPYv2Y/edit?usp=sharing"",""งบพรบ!CK73"")"),19590)</f>
        <v>19590</v>
      </c>
      <c r="M178" s="72">
        <f ca="1">IFERROR(__xludf.DUMMYFUNCTION("IMPORTRANGE(""https://docs.google.com/spreadsheets/d/1-uDff_7J0KD5mKrp0Vvzr7lt3OU09vwQwhkpOPPYv2Y/edit?usp=sharing"",""งบพรบ!CP73"")"),29620)</f>
        <v>29620</v>
      </c>
      <c r="N178" s="72">
        <f ca="1">IFERROR(__xludf.DUMMYFUNCTION("IMPORTRANGE(""https://docs.google.com/spreadsheets/d/1-uDff_7J0KD5mKrp0Vvzr7lt3OU09vwQwhkpOPPYv2Y/edit?usp=sharing"",""งบพรบ!CR73"")"),29620)</f>
        <v>29620</v>
      </c>
      <c r="O178" s="72">
        <f t="shared" ca="1" si="51"/>
        <v>151.19959162838182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IFERROR(__xludf.DUMMYFUNCTION("IMPORTRANGE(""https://docs.google.com/spreadsheets/d/1ItG2mGa2ceCfYo0BwxsXqNm01IGEUdYcSSLTEv9YCik/edit?usp=sharing"",""เบิกจ่ายกองทุน!DG73"")"),0)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IFERROR(__xludf.DUMMYFUNCTION("IMPORTRANGE(""https://docs.google.com/spreadsheets/d/1ItG2mGa2ceCfYo0BwxsXqNm01IGEUdYcSSLTEv9YCik/edit?usp=sharing"",""เบิกจ่ายกองทุน!DH73"")"),0)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IFERROR(__xludf.DUMMYFUNCTION("IMPORTRANGE(""https://docs.google.com/spreadsheets/d/1ItG2mGa2ceCfYo0BwxsXqNm01IGEUdYcSSLTEv9YCik/edit?usp=sharing"",""เบิกจ่ายกองทุน!DI73"")"),0)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56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IFERROR(__xludf.DUMMYFUNCTION("IMPORTRANGE(""https://docs.google.com/spreadsheets/d/1-uDff_7J0KD5mKrp0Vvzr7lt3OU09vwQwhkpOPPYv2Y/edit?usp=sharing"",""งบพรบ!CN73"")"),0)</f>
        <v>0</v>
      </c>
      <c r="M181" s="72">
        <f ca="1">IFERROR(__xludf.DUMMYFUNCTION("IMPORTRANGE(""https://docs.google.com/spreadsheets/d/1-uDff_7J0KD5mKrp0Vvzr7lt3OU09vwQwhkpOPPYv2Y/edit?usp=sharing"",""งบพรบ!CQ73"")"),0)</f>
        <v>0</v>
      </c>
      <c r="N181" s="72">
        <f ca="1">IFERROR(__xludf.DUMMYFUNCTION("IMPORTRANGE(""https://docs.google.com/spreadsheets/d/1-uDff_7J0KD5mKrp0Vvzr7lt3OU09vwQwhkpOPPYv2Y/edit?usp=sharing"",""งบพรบ!CS73"")"),0)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530" t="s">
        <v>35</v>
      </c>
      <c r="I183" s="291">
        <f ca="1">IFERROR(__xludf.DUMMYFUNCTION("IMPORTRANGE(""https://docs.google.com/spreadsheets/d/1eHaY18a8A9IcSdp1K8H6x8fbOy06t2VsZHhMHf-1x7Y/edit?usp=sharing"",""แผน!AA73"")"),7)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83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964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124800</v>
      </c>
      <c r="M186" s="262">
        <f ca="1">M187+M188</f>
        <v>126800</v>
      </c>
      <c r="N186" s="262">
        <f ca="1">N187+N188</f>
        <v>111157</v>
      </c>
      <c r="O186" s="262">
        <f t="shared" ref="O186:O194" ca="1" si="57">IF(L186&gt;0,N186*100/L186,0)</f>
        <v>89.068108974358978</v>
      </c>
      <c r="P186" s="262">
        <f t="shared" ref="P186:P194" ca="1" si="58">IF(M186&gt;0,N186*100/M186,0)</f>
        <v>87.663249211356472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124800</v>
      </c>
      <c r="M188" s="72">
        <f t="shared" ca="1" si="61"/>
        <v>126800</v>
      </c>
      <c r="N188" s="72">
        <f t="shared" ca="1" si="61"/>
        <v>111157</v>
      </c>
      <c r="O188" s="72">
        <f t="shared" ca="1" si="57"/>
        <v>89.068108974358978</v>
      </c>
      <c r="P188" s="72">
        <f t="shared" ca="1" si="58"/>
        <v>87.663249211356472</v>
      </c>
      <c r="Q188" s="72">
        <f t="shared" ca="1" si="62"/>
        <v>0</v>
      </c>
      <c r="R188" s="72">
        <f t="shared" ca="1" si="62"/>
        <v>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56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124800</v>
      </c>
      <c r="M189" s="72">
        <f ca="1">M190+M191</f>
        <v>126800</v>
      </c>
      <c r="N189" s="72">
        <f ca="1">N190+N191</f>
        <v>111157</v>
      </c>
      <c r="O189" s="72">
        <f t="shared" ca="1" si="57"/>
        <v>89.068108974358978</v>
      </c>
      <c r="P189" s="72">
        <f t="shared" ca="1" si="58"/>
        <v>87.663249211356472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56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IFERROR(__xludf.DUMMYFUNCTION("IMPORTRANGE(""https://docs.google.com/spreadsheets/d/1-uDff_7J0KD5mKrp0Vvzr7lt3OU09vwQwhkpOPPYv2Y/edit?usp=sharing"",""งบพรบ!CU73"")"),124800)</f>
        <v>124800</v>
      </c>
      <c r="M191" s="72">
        <f ca="1">IFERROR(__xludf.DUMMYFUNCTION("IMPORTRANGE(""https://docs.google.com/spreadsheets/d/1-uDff_7J0KD5mKrp0Vvzr7lt3OU09vwQwhkpOPPYv2Y/edit?usp=sharing"",""งบพรบ!CZ73"")"),126800)</f>
        <v>126800</v>
      </c>
      <c r="N191" s="72">
        <f ca="1">IFERROR(__xludf.DUMMYFUNCTION("IMPORTRANGE(""https://docs.google.com/spreadsheets/d/1-uDff_7J0KD5mKrp0Vvzr7lt3OU09vwQwhkpOPPYv2Y/edit?usp=sharing"",""งบพรบ!DB73"")"),111157)</f>
        <v>111157</v>
      </c>
      <c r="O191" s="72">
        <f t="shared" ca="1" si="57"/>
        <v>89.068108974358978</v>
      </c>
      <c r="P191" s="72">
        <f t="shared" ca="1" si="58"/>
        <v>87.663249211356472</v>
      </c>
      <c r="Q191" s="72">
        <f ca="1">IFERROR(__xludf.DUMMYFUNCTION("IMPORTRANGE(""https://docs.google.com/spreadsheets/d/1ItG2mGa2ceCfYo0BwxsXqNm01IGEUdYcSSLTEv9YCik/edit?usp=sharing"",""เบิกจ่ายกองทุน!BQ73"")"),0)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IFERROR(__xludf.DUMMYFUNCTION("IMPORTRANGE(""https://docs.google.com/spreadsheets/d/1ItG2mGa2ceCfYo0BwxsXqNm01IGEUdYcSSLTEv9YCik/edit?usp=sharing"",""เบิกจ่ายกองทุน!BR73"")"),0)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IFERROR(__xludf.DUMMYFUNCTION("IMPORTRANGE(""https://docs.google.com/spreadsheets/d/1ItG2mGa2ceCfYo0BwxsXqNm01IGEUdYcSSLTEv9YCik/edit?usp=sharing"",""เบิกจ่ายกองทุน!BS73"")"),0)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56"/>
      <c r="C192" s="256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56"/>
      <c r="C193" s="256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56"/>
      <c r="C194" s="256"/>
      <c r="D194" s="256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IFERROR(__xludf.DUMMYFUNCTION("IMPORTRANGE(""https://docs.google.com/spreadsheets/d/1-uDff_7J0KD5mKrp0Vvzr7lt3OU09vwQwhkpOPPYv2Y/edit?usp=sharing"",""งบพรบ!CX73"")"),0)</f>
        <v>0</v>
      </c>
      <c r="M194" s="72">
        <f ca="1">IFERROR(__xludf.DUMMYFUNCTION("IMPORTRANGE(""https://docs.google.com/spreadsheets/d/1-uDff_7J0KD5mKrp0Vvzr7lt3OU09vwQwhkpOPPYv2Y/edit?usp=sharing"",""งบพรบ!DA73"")"),0)</f>
        <v>0</v>
      </c>
      <c r="N194" s="72">
        <f ca="1">IFERROR(__xludf.DUMMYFUNCTION("IMPORTRANGE(""https://docs.google.com/spreadsheets/d/1-uDff_7J0KD5mKrp0Vvzr7lt3OU09vwQwhkpOPPYv2Y/edit?usp=sharing"",""งบพรบ!DC73"")"),0)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IFERROR(__xludf.DUMMYFUNCTION("IMPORTRANGE(""https://docs.google.com/spreadsheets/d/1ItG2mGa2ceCfYo0BwxsXqNm01IGEUdYcSSLTEv9YCik/edit?usp=sharing"",""เบิกจ่ายกองทุน!BT73"")"),0)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IFERROR(__xludf.DUMMYFUNCTION("IMPORTRANGE(""https://docs.google.com/spreadsheets/d/1ItG2mGa2ceCfYo0BwxsXqNm01IGEUdYcSSLTEv9YCik/edit?usp=sharing"",""เบิกจ่ายกองทุน!BU73"")"),0)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IFERROR(__xludf.DUMMYFUNCTION("IMPORTRANGE(""https://docs.google.com/spreadsheets/d/1ItG2mGa2ceCfYo0BwxsXqNm01IGEUdYcSSLTEv9YCik/edit?usp=sharing"",""เบิกจ่ายกองทุน!BV73"")"),0)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958" t="s">
        <v>78</v>
      </c>
      <c r="D195" s="533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56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IFERROR(__xludf.DUMMYFUNCTION("IMPORTRANGE(""https://docs.google.com/spreadsheets/d/1eHaY18a8A9IcSdp1K8H6x8fbOy06t2VsZHhMHf-1x7Y/edit?usp=sharing"",""แผน!AB73"")"),6000)</f>
        <v>6000</v>
      </c>
      <c r="M196" s="85"/>
      <c r="N196" s="961">
        <v>5000</v>
      </c>
      <c r="O196" s="262">
        <f ca="1">IF(L196&gt;0,N196*100/L196,0)</f>
        <v>83.333333333333329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280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93" t="s">
        <v>79</v>
      </c>
      <c r="I198" s="291">
        <f ca="1">IFERROR(__xludf.DUMMYFUNCTION("IMPORTRANGE(""https://docs.google.com/spreadsheets/d/1eHaY18a8A9IcSdp1K8H6x8fbOy06t2VsZHhMHf-1x7Y/edit?usp=sharing"",""แผน!AE73"")"),4)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30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30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56"/>
      <c r="C203" s="257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56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IFERROR(__xludf.DUMMYFUNCTION("IMPORTRANGE(""https://docs.google.com/spreadsheets/d/1eHaY18a8A9IcSdp1K8H6x8fbOy06t2VsZHhMHf-1x7Y/edit?usp=sharing"",""แผน!AG73"")"),0)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56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IFERROR(__xludf.DUMMYFUNCTION("IMPORTRANGE(""https://docs.google.com/spreadsheets/d/1eHaY18a8A9IcSdp1K8H6x8fbOy06t2VsZHhMHf-1x7Y/edit?usp=sharing"",""แผน!AH73"")"),0)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56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IFERROR(__xludf.DUMMYFUNCTION("IMPORTRANGE(""https://docs.google.com/spreadsheets/d/1eHaY18a8A9IcSdp1K8H6x8fbOy06t2VsZHhMHf-1x7Y/edit?usp=sharing"",""แผน!AI73"")"),0)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IFERROR(__xludf.DUMMYFUNCTION("IMPORTRANGE(""https://docs.google.com/spreadsheets/d/1eHaY18a8A9IcSdp1K8H6x8fbOy06t2VsZHhMHf-1x7Y/edit?usp=sharing"",""แผน!LV73"")"),0)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IFERROR(__xludf.DUMMYFUNCTION("IMPORTRANGE(""https://docs.google.com/spreadsheets/d/1eHaY18a8A9IcSdp1K8H6x8fbOy06t2VsZHhMHf-1x7Y/edit?usp=sharing"",""แผน!AJ73"")"),0)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00" t="s">
        <v>38</v>
      </c>
      <c r="E208" s="278"/>
      <c r="F208" s="278"/>
      <c r="G208" s="279"/>
      <c r="H208" s="280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960" t="s">
        <v>85</v>
      </c>
      <c r="I209" s="291">
        <f ca="1">IFERROR(__xludf.DUMMYFUNCTION("IMPORTRANGE(""https://docs.google.com/spreadsheets/d/1eHaY18a8A9IcSdp1K8H6x8fbOy06t2VsZHhMHf-1x7Y/edit?usp=sharing"",""แผน!AK73"")"),0)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280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960" t="s">
        <v>85</v>
      </c>
      <c r="I211" s="291">
        <f ca="1">IFERROR(__xludf.DUMMYFUNCTION("IMPORTRANGE(""https://docs.google.com/spreadsheets/d/1eHaY18a8A9IcSdp1K8H6x8fbOy06t2VsZHhMHf-1x7Y/edit?usp=sharing"",""แผน!AK73"")"),0)</f>
        <v>0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IFERROR(__xludf.DUMMYFUNCTION("IMPORTRANGE(""https://docs.google.com/spreadsheets/d/1eHaY18a8A9IcSdp1K8H6x8fbOy06t2VsZHhMHf-1x7Y/edit?usp=sharing"",""แผน!AK73"")"),0)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958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56"/>
      <c r="C214" s="257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IFERROR(__xludf.DUMMYFUNCTION("IMPORTRANGE(""https://docs.google.com/spreadsheets/d/1eHaY18a8A9IcSdp1K8H6x8fbOy06t2VsZHhMHf-1x7Y/edit?usp=sharing"",""แผน!AM73"")"),0)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IFERROR(__xludf.DUMMYFUNCTION("IMPORTRANGE(""https://docs.google.com/spreadsheets/d/1eHaY18a8A9IcSdp1K8H6x8fbOy06t2VsZHhMHf-1x7Y/edit?usp=sharing"",""แผน!AN73"")"),0)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IFERROR(__xludf.DUMMYFUNCTION("IMPORTRANGE(""https://docs.google.com/spreadsheets/d/1eHaY18a8A9IcSdp1K8H6x8fbOy06t2VsZHhMHf-1x7Y/edit?usp=sharing"",""แผน!AO73"")"),0)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IFERROR(__xludf.DUMMYFUNCTION("IMPORTRANGE(""https://docs.google.com/spreadsheets/d/1eHaY18a8A9IcSdp1K8H6x8fbOy06t2VsZHhMHf-1x7Y/edit?usp=sharing"",""แผน!LY73"")"),0)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280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960" t="s">
        <v>85</v>
      </c>
      <c r="I219" s="291">
        <f ca="1">IFERROR(__xludf.DUMMYFUNCTION("IMPORTRANGE(""https://docs.google.com/spreadsheets/d/1eHaY18a8A9IcSdp1K8H6x8fbOy06t2VsZHhMHf-1x7Y/edit?usp=sharing"",""แผน!AP73"")"),0)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IFERROR(__xludf.DUMMYFUNCTION("IMPORTRANGE(""https://docs.google.com/spreadsheets/d/1eHaY18a8A9IcSdp1K8H6x8fbOy06t2VsZHhMHf-1x7Y/edit?usp=sharing"",""แผน!AP73"")"),0)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958" t="s">
        <v>98</v>
      </c>
      <c r="D221" s="533"/>
      <c r="E221" s="533"/>
      <c r="F221" s="533"/>
      <c r="G221" s="536"/>
      <c r="H221" s="537" t="s">
        <v>99</v>
      </c>
      <c r="I221" s="538">
        <f ca="1">I229</f>
        <v>5000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56"/>
      <c r="C222" s="668" t="s">
        <v>18</v>
      </c>
      <c r="D222" s="959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800</v>
      </c>
      <c r="O222" s="262">
        <f ca="1">IF(L222&gt;0,N222*100/L222,0)</f>
        <v>17.777777777777779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56"/>
      <c r="D223" s="386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IFERROR(__xludf.DUMMYFUNCTION("IMPORTRANGE(""https://docs.google.com/spreadsheets/d/1eHaY18a8A9IcSdp1K8H6x8fbOy06t2VsZHhMHf-1x7Y/edit?usp=sharing"",""แผน!AR73"")"),2500)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IFERROR(__xludf.DUMMYFUNCTION("IMPORTRANGE(""https://docs.google.com/spreadsheets/d/1eHaY18a8A9IcSdp1K8H6x8fbOy06t2VsZHhMHf-1x7Y/edit?usp=sharing"",""แผน!AS73"")"),2000)</f>
        <v>2000</v>
      </c>
      <c r="M224" s="85"/>
      <c r="N224" s="387">
        <v>800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IFERROR(__xludf.DUMMYFUNCTION("IMPORTRANGE(""https://docs.google.com/spreadsheets/d/1eHaY18a8A9IcSdp1K8H6x8fbOy06t2VsZHhMHf-1x7Y/edit?usp=sharing"",""แผน!AT73"")"),0)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280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280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93" t="s">
        <v>99</v>
      </c>
      <c r="I228" s="291">
        <f ca="1">IFERROR(__xludf.DUMMYFUNCTION("IMPORTRANGE(""https://docs.google.com/spreadsheets/d/1eHaY18a8A9IcSdp1K8H6x8fbOy06t2VsZHhMHf-1x7Y/edit?usp=sharing"",""แผน!AV73"")"),5000)</f>
        <v>5000</v>
      </c>
      <c r="J228" s="292">
        <v>5000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93" t="s">
        <v>99</v>
      </c>
      <c r="I229" s="291">
        <f ca="1">IFERROR(__xludf.DUMMYFUNCTION("IMPORTRANGE(""https://docs.google.com/spreadsheets/d/1eHaY18a8A9IcSdp1K8H6x8fbOy06t2VsZHhMHf-1x7Y/edit?usp=sharing"",""แผน!AV73"")"),5000)</f>
        <v>5000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93" t="s">
        <v>35</v>
      </c>
      <c r="I230" s="291">
        <f ca="1">IFERROR(__xludf.DUMMYFUNCTION("IMPORTRANGE(""https://docs.google.com/spreadsheets/d/1eHaY18a8A9IcSdp1K8H6x8fbOy06t2VsZHhMHf-1x7Y/edit?usp=sharing"",""แผน!AU73"")"),0)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532"/>
      <c r="B231" s="534"/>
      <c r="C231" s="958" t="s">
        <v>105</v>
      </c>
      <c r="D231" s="533"/>
      <c r="E231" s="533"/>
      <c r="F231" s="533"/>
      <c r="G231" s="536"/>
      <c r="H231" s="537" t="s">
        <v>35</v>
      </c>
      <c r="I231" s="538">
        <f ca="1">I242+I253</f>
        <v>0</v>
      </c>
      <c r="J231" s="538">
        <f>J242+J253</f>
        <v>0</v>
      </c>
      <c r="K231" s="539">
        <f ca="1">IF(I231&gt;0,J231*100/I231,0)</f>
        <v>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255"/>
      <c r="B232" s="256"/>
      <c r="C232" s="257" t="s">
        <v>18</v>
      </c>
      <c r="D232" s="258" t="s">
        <v>19</v>
      </c>
      <c r="E232" s="256"/>
      <c r="F232" s="256"/>
      <c r="G232" s="259"/>
      <c r="H232" s="612" t="s">
        <v>14</v>
      </c>
      <c r="I232" s="270"/>
      <c r="J232" s="270"/>
      <c r="K232" s="227"/>
      <c r="L232" s="957">
        <f ca="1">L243+L254</f>
        <v>0</v>
      </c>
      <c r="M232" s="85"/>
      <c r="N232" s="956">
        <f>N243+N254</f>
        <v>0</v>
      </c>
      <c r="O232" s="85"/>
      <c r="P232" s="85"/>
      <c r="Q232" s="85"/>
      <c r="R232" s="85"/>
      <c r="S232" s="85"/>
      <c r="T232" s="85"/>
      <c r="U232" s="85"/>
    </row>
    <row r="233" spans="1:21" ht="18.75" hidden="1" x14ac:dyDescent="0.25">
      <c r="A233" s="255"/>
      <c r="B233" s="267"/>
      <c r="C233" s="256"/>
      <c r="D233" s="265" t="s">
        <v>86</v>
      </c>
      <c r="E233" s="256"/>
      <c r="F233" s="256"/>
      <c r="G233" s="259"/>
      <c r="H233" s="269" t="s">
        <v>14</v>
      </c>
      <c r="I233" s="270"/>
      <c r="J233" s="270"/>
      <c r="K233" s="227"/>
      <c r="L233" s="74">
        <f ca="1">L244+L255</f>
        <v>0</v>
      </c>
      <c r="M233" s="85"/>
      <c r="N233" s="75">
        <f>N244+N255</f>
        <v>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529"/>
      <c r="B234" s="267"/>
      <c r="C234" s="267"/>
      <c r="D234" s="265" t="s">
        <v>88</v>
      </c>
      <c r="E234" s="256"/>
      <c r="F234" s="256"/>
      <c r="G234" s="259"/>
      <c r="H234" s="269" t="s">
        <v>14</v>
      </c>
      <c r="I234" s="261"/>
      <c r="J234" s="261"/>
      <c r="K234" s="85"/>
      <c r="L234" s="74">
        <f ca="1">L245+L256</f>
        <v>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529"/>
      <c r="B235" s="267"/>
      <c r="C235" s="267"/>
      <c r="D235" s="265" t="s">
        <v>106</v>
      </c>
      <c r="E235" s="256"/>
      <c r="F235" s="256"/>
      <c r="G235" s="259"/>
      <c r="H235" s="269" t="s">
        <v>14</v>
      </c>
      <c r="I235" s="261"/>
      <c r="J235" s="261"/>
      <c r="K235" s="85"/>
      <c r="L235" s="74">
        <f ca="1">L246+L257</f>
        <v>0</v>
      </c>
      <c r="M235" s="85"/>
      <c r="N235" s="75">
        <f>N246+N257</f>
        <v>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529"/>
      <c r="B236" s="267"/>
      <c r="C236" s="267"/>
      <c r="D236" s="265" t="s">
        <v>107</v>
      </c>
      <c r="E236" s="256"/>
      <c r="F236" s="256"/>
      <c r="G236" s="259"/>
      <c r="H236" s="269" t="s">
        <v>14</v>
      </c>
      <c r="I236" s="261"/>
      <c r="J236" s="261"/>
      <c r="K236" s="85"/>
      <c r="L236" s="74">
        <f ca="1">L247+L258</f>
        <v>0</v>
      </c>
      <c r="M236" s="85"/>
      <c r="N236" s="75">
        <f>N247+N258</f>
        <v>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274"/>
      <c r="B237" s="275"/>
      <c r="C237" s="276" t="s">
        <v>18</v>
      </c>
      <c r="D237" s="800" t="s">
        <v>38</v>
      </c>
      <c r="E237" s="278"/>
      <c r="F237" s="278"/>
      <c r="G237" s="279"/>
      <c r="H237" s="280"/>
      <c r="I237" s="270"/>
      <c r="J237" s="261"/>
      <c r="K237" s="85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274"/>
      <c r="B238" s="275"/>
      <c r="C238" s="275"/>
      <c r="D238" s="289" t="s">
        <v>108</v>
      </c>
      <c r="E238" s="288"/>
      <c r="F238" s="288"/>
      <c r="G238" s="280"/>
      <c r="H238" s="293" t="s">
        <v>35</v>
      </c>
      <c r="I238" s="291">
        <f ca="1">I249+I260</f>
        <v>0</v>
      </c>
      <c r="J238" s="291">
        <f>J249+J260</f>
        <v>0</v>
      </c>
      <c r="K238" s="72">
        <f ca="1">IF(I238&gt;0,J238*100/I238,0)</f>
        <v>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274"/>
      <c r="B239" s="275"/>
      <c r="C239" s="275"/>
      <c r="D239" s="954" t="s">
        <v>43</v>
      </c>
      <c r="E239" s="288"/>
      <c r="F239" s="288"/>
      <c r="G239" s="280"/>
      <c r="H239" s="280"/>
      <c r="I239" s="261"/>
      <c r="J239" s="261"/>
      <c r="K239" s="85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274"/>
      <c r="B240" s="275"/>
      <c r="C240" s="275"/>
      <c r="D240" s="275"/>
      <c r="E240" s="745" t="s">
        <v>109</v>
      </c>
      <c r="F240" s="288"/>
      <c r="G240" s="280"/>
      <c r="H240" s="293" t="s">
        <v>35</v>
      </c>
      <c r="I240" s="291">
        <f>I251+I262</f>
        <v>0</v>
      </c>
      <c r="J240" s="291">
        <f>J251+J262</f>
        <v>0</v>
      </c>
      <c r="K240" s="72">
        <f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274"/>
      <c r="B241" s="275"/>
      <c r="C241" s="275"/>
      <c r="D241" s="275"/>
      <c r="E241" s="745" t="s">
        <v>110</v>
      </c>
      <c r="F241" s="288"/>
      <c r="G241" s="280"/>
      <c r="H241" s="293" t="s">
        <v>61</v>
      </c>
      <c r="I241" s="291">
        <f>I252+I263</f>
        <v>0</v>
      </c>
      <c r="J241" s="291">
        <f>J252+J263</f>
        <v>0</v>
      </c>
      <c r="K241" s="72">
        <f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hidden="1" x14ac:dyDescent="0.3">
      <c r="A242" s="532"/>
      <c r="B242" s="534"/>
      <c r="C242" s="953" t="s">
        <v>111</v>
      </c>
      <c r="D242" s="533"/>
      <c r="E242" s="533"/>
      <c r="F242" s="533"/>
      <c r="G242" s="536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hidden="1" x14ac:dyDescent="0.3">
      <c r="A243" s="255"/>
      <c r="B243" s="256"/>
      <c r="C243" s="834" t="s">
        <v>18</v>
      </c>
      <c r="D243" s="799" t="s">
        <v>19</v>
      </c>
      <c r="E243" s="256"/>
      <c r="F243" s="256"/>
      <c r="G243" s="259"/>
      <c r="H243" s="753" t="s">
        <v>14</v>
      </c>
      <c r="I243" s="270"/>
      <c r="J243" s="270"/>
      <c r="K243" s="227"/>
      <c r="L243" s="389">
        <f ca="1">L244+L245+L246+L247</f>
        <v>0</v>
      </c>
      <c r="M243" s="85"/>
      <c r="N243" s="262">
        <f>N244+N245+N246+N247</f>
        <v>0</v>
      </c>
      <c r="O243" s="262">
        <f ca="1">IF(L243&gt;0,N243*100/L243,0)</f>
        <v>0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hidden="1" x14ac:dyDescent="0.25">
      <c r="A244" s="255"/>
      <c r="B244" s="267"/>
      <c r="C244" s="256"/>
      <c r="D244" s="263" t="s">
        <v>86</v>
      </c>
      <c r="E244" s="256"/>
      <c r="F244" s="256"/>
      <c r="G244" s="259"/>
      <c r="H244" s="271" t="s">
        <v>14</v>
      </c>
      <c r="I244" s="270"/>
      <c r="J244" s="270"/>
      <c r="K244" s="227"/>
      <c r="L244" s="71">
        <f ca="1">IFERROR(__xludf.DUMMYFUNCTION("IMPORTRANGE(""https://docs.google.com/spreadsheets/d/1eHaY18a8A9IcSdp1K8H6x8fbOy06t2VsZHhMHf-1x7Y/edit?usp=sharing"",""แผน!AX73"")"),0)</f>
        <v>0</v>
      </c>
      <c r="M244" s="85"/>
      <c r="N244" s="387">
        <v>0</v>
      </c>
      <c r="O244" s="85"/>
      <c r="P244" s="85"/>
      <c r="Q244" s="85"/>
      <c r="R244" s="85"/>
      <c r="S244" s="85"/>
      <c r="T244" s="85"/>
      <c r="U244" s="85"/>
    </row>
    <row r="245" spans="1:21" ht="18.75" hidden="1" x14ac:dyDescent="0.25">
      <c r="A245" s="529"/>
      <c r="B245" s="267"/>
      <c r="C245" s="267"/>
      <c r="D245" s="263" t="s">
        <v>88</v>
      </c>
      <c r="E245" s="256"/>
      <c r="F245" s="256"/>
      <c r="G245" s="259"/>
      <c r="H245" s="271" t="s">
        <v>14</v>
      </c>
      <c r="I245" s="261"/>
      <c r="J245" s="261"/>
      <c r="K245" s="85"/>
      <c r="L245" s="71">
        <f ca="1">IFERROR(__xludf.DUMMYFUNCTION("IMPORTRANGE(""https://docs.google.com/spreadsheets/d/1eHaY18a8A9IcSdp1K8H6x8fbOy06t2VsZHhMHf-1x7Y/edit?usp=sharing"",""แผน!AY73"")"),0)</f>
        <v>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hidden="1" x14ac:dyDescent="0.25">
      <c r="A246" s="529"/>
      <c r="B246" s="267"/>
      <c r="C246" s="267"/>
      <c r="D246" s="263" t="s">
        <v>106</v>
      </c>
      <c r="E246" s="256"/>
      <c r="F246" s="256"/>
      <c r="G246" s="259"/>
      <c r="H246" s="271" t="s">
        <v>14</v>
      </c>
      <c r="I246" s="261"/>
      <c r="J246" s="261"/>
      <c r="K246" s="85"/>
      <c r="L246" s="71">
        <f ca="1">IFERROR(__xludf.DUMMYFUNCTION("IMPORTRANGE(""https://docs.google.com/spreadsheets/d/1eHaY18a8A9IcSdp1K8H6x8fbOy06t2VsZHhMHf-1x7Y/edit?usp=sharing"",""แผน!AZ73"")"),0)</f>
        <v>0</v>
      </c>
      <c r="M246" s="85"/>
      <c r="N246" s="387">
        <v>0</v>
      </c>
      <c r="O246" s="85"/>
      <c r="P246" s="85"/>
      <c r="Q246" s="85"/>
      <c r="R246" s="85"/>
      <c r="S246" s="85"/>
      <c r="T246" s="85"/>
      <c r="U246" s="85"/>
    </row>
    <row r="247" spans="1:21" ht="18.75" hidden="1" x14ac:dyDescent="0.25">
      <c r="A247" s="529"/>
      <c r="B247" s="267"/>
      <c r="C247" s="267"/>
      <c r="D247" s="263" t="s">
        <v>107</v>
      </c>
      <c r="E247" s="256"/>
      <c r="F247" s="256"/>
      <c r="G247" s="259"/>
      <c r="H247" s="271" t="s">
        <v>14</v>
      </c>
      <c r="I247" s="261"/>
      <c r="J247" s="261"/>
      <c r="K247" s="85"/>
      <c r="L247" s="71">
        <f ca="1">IFERROR(__xludf.DUMMYFUNCTION("IMPORTRANGE(""https://docs.google.com/spreadsheets/d/1eHaY18a8A9IcSdp1K8H6x8fbOy06t2VsZHhMHf-1x7Y/edit?usp=sharing"",""แผน!BA73"")"),0)</f>
        <v>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hidden="1" x14ac:dyDescent="0.3">
      <c r="A248" s="274"/>
      <c r="B248" s="275"/>
      <c r="C248" s="948" t="s">
        <v>18</v>
      </c>
      <c r="D248" s="813" t="s">
        <v>38</v>
      </c>
      <c r="E248" s="278"/>
      <c r="F248" s="278"/>
      <c r="G248" s="279"/>
      <c r="H248" s="280"/>
      <c r="I248" s="270"/>
      <c r="J248" s="261"/>
      <c r="K248" s="85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hidden="1" x14ac:dyDescent="0.25">
      <c r="A249" s="274"/>
      <c r="B249" s="275"/>
      <c r="C249" s="275"/>
      <c r="D249" s="306" t="s">
        <v>108</v>
      </c>
      <c r="E249" s="288"/>
      <c r="F249" s="288"/>
      <c r="G249" s="280"/>
      <c r="H249" s="945" t="s">
        <v>35</v>
      </c>
      <c r="I249" s="570">
        <f ca="1">IFERROR(__xludf.DUMMYFUNCTION("IMPORTRANGE(""https://docs.google.com/spreadsheets/d/1eHaY18a8A9IcSdp1K8H6x8fbOy06t2VsZHhMHf-1x7Y/edit?usp=sharing"",""แผน!BG73"")"),0)</f>
        <v>0</v>
      </c>
      <c r="J249" s="832">
        <v>0</v>
      </c>
      <c r="K249" s="75">
        <f ca="1">IF(I249&gt;0,J249*100/I249,0)</f>
        <v>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hidden="1" x14ac:dyDescent="0.25">
      <c r="A250" s="274"/>
      <c r="B250" s="275"/>
      <c r="C250" s="275"/>
      <c r="D250" s="947" t="s">
        <v>43</v>
      </c>
      <c r="E250" s="288"/>
      <c r="F250" s="288"/>
      <c r="G250" s="280"/>
      <c r="H250" s="280"/>
      <c r="I250" s="261"/>
      <c r="J250" s="261"/>
      <c r="K250" s="85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hidden="1" x14ac:dyDescent="0.25">
      <c r="A251" s="274"/>
      <c r="B251" s="275"/>
      <c r="C251" s="275"/>
      <c r="D251" s="275"/>
      <c r="E251" s="946" t="s">
        <v>109</v>
      </c>
      <c r="F251" s="288"/>
      <c r="G251" s="280"/>
      <c r="H251" s="945" t="s">
        <v>35</v>
      </c>
      <c r="I251" s="570">
        <v>0</v>
      </c>
      <c r="J251" s="832">
        <v>0</v>
      </c>
      <c r="K251" s="75">
        <f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hidden="1" x14ac:dyDescent="0.25">
      <c r="A252" s="274"/>
      <c r="B252" s="275"/>
      <c r="C252" s="275"/>
      <c r="D252" s="275"/>
      <c r="E252" s="946" t="s">
        <v>110</v>
      </c>
      <c r="F252" s="288"/>
      <c r="G252" s="280"/>
      <c r="H252" s="945" t="s">
        <v>61</v>
      </c>
      <c r="I252" s="570">
        <v>0</v>
      </c>
      <c r="J252" s="832">
        <v>0</v>
      </c>
      <c r="K252" s="75">
        <f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953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56"/>
      <c r="C254" s="834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56"/>
      <c r="D255" s="263" t="s">
        <v>86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IFERROR(__xludf.DUMMYFUNCTION("IMPORTRANGE(""https://docs.google.com/spreadsheets/d/1eHaY18a8A9IcSdp1K8H6x8fbOy06t2VsZHhMHf-1x7Y/edit?usp=sharing"",""แผน!BB73"")"),0)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263" t="s">
        <v>88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IFERROR(__xludf.DUMMYFUNCTION("IMPORTRANGE(""https://docs.google.com/spreadsheets/d/1eHaY18a8A9IcSdp1K8H6x8fbOy06t2VsZHhMHf-1x7Y/edit?usp=sharing"",""แผน!BC73"")"),0)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263" t="s">
        <v>106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IFERROR(__xludf.DUMMYFUNCTION("IMPORTRANGE(""https://docs.google.com/spreadsheets/d/1eHaY18a8A9IcSdp1K8H6x8fbOy06t2VsZHhMHf-1x7Y/edit?usp=sharing"",""แผน!BD73"")"),0)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3" t="s">
        <v>107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IFERROR(__xludf.DUMMYFUNCTION("IMPORTRANGE(""https://docs.google.com/spreadsheets/d/1eHaY18a8A9IcSdp1K8H6x8fbOy06t2VsZHhMHf-1x7Y/edit?usp=sharing"",""แผน!BE73"")"),0)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945" t="s">
        <v>35</v>
      </c>
      <c r="I260" s="570">
        <f ca="1">IFERROR(__xludf.DUMMYFUNCTION("IMPORTRANGE(""https://docs.google.com/spreadsheets/d/1eHaY18a8A9IcSdp1K8H6x8fbOy06t2VsZHhMHf-1x7Y/edit?usp=sharing"",""แผน!BH73"")"),0)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280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945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945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350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358" t="s">
        <v>35</v>
      </c>
      <c r="I265" s="943">
        <f ca="1">I276</f>
        <v>12</v>
      </c>
      <c r="J265" s="943">
        <f>J276</f>
        <v>12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36760</v>
      </c>
      <c r="R266" s="211">
        <f ca="1">R267+R268</f>
        <v>36760</v>
      </c>
      <c r="S266" s="211">
        <f ca="1">S267+S268</f>
        <v>15234</v>
      </c>
      <c r="T266" s="211">
        <f t="shared" ref="T266:T274" ca="1" si="65">IF(Q266&gt;0,S266*100/Q266,0)</f>
        <v>41.441784548422198</v>
      </c>
      <c r="U266" s="211">
        <f t="shared" ref="U266:U274" ca="1" si="66">IF(R266&gt;0,S266*100/R266,0)</f>
        <v>41.441784548422198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36760</v>
      </c>
      <c r="R268" s="86">
        <f t="shared" ca="1" si="68"/>
        <v>36760</v>
      </c>
      <c r="S268" s="86">
        <f t="shared" ca="1" si="68"/>
        <v>15234</v>
      </c>
      <c r="T268" s="86">
        <f t="shared" ca="1" si="65"/>
        <v>41.441784548422198</v>
      </c>
      <c r="U268" s="86">
        <f t="shared" ca="1" si="66"/>
        <v>41.441784548422198</v>
      </c>
    </row>
    <row r="269" spans="1:21" ht="18.75" x14ac:dyDescent="0.25">
      <c r="A269" s="207"/>
      <c r="B269" s="65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36760</v>
      </c>
      <c r="R269" s="86">
        <f ca="1">R270+R271</f>
        <v>36760</v>
      </c>
      <c r="S269" s="86">
        <f ca="1">S270+S271</f>
        <v>15234</v>
      </c>
      <c r="T269" s="86">
        <f t="shared" ca="1" si="65"/>
        <v>41.441784548422198</v>
      </c>
      <c r="U269" s="86">
        <f t="shared" ca="1" si="66"/>
        <v>41.441784548422198</v>
      </c>
    </row>
    <row r="270" spans="1:21" ht="18.75" hidden="1" x14ac:dyDescent="0.25">
      <c r="A270" s="936"/>
      <c r="B270" s="935"/>
      <c r="C270" s="935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65"/>
      <c r="C271" s="65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IFERROR(__xludf.DUMMYFUNCTION("IMPORTRANGE(""https://docs.google.com/spreadsheets/d/1-uDff_7J0KD5mKrp0Vvzr7lt3OU09vwQwhkpOPPYv2Y/edit?usp=sharing"",""งบพรบ!DE73"")"),5000)</f>
        <v>5000</v>
      </c>
      <c r="M271" s="86">
        <f ca="1">IFERROR(__xludf.DUMMYFUNCTION("IMPORTRANGE(""https://docs.google.com/spreadsheets/d/1-uDff_7J0KD5mKrp0Vvzr7lt3OU09vwQwhkpOPPYv2Y/edit?usp=sharing"",""งบพรบ!DJ73"")"),5000)</f>
        <v>5000</v>
      </c>
      <c r="N271" s="86">
        <f ca="1">IFERROR(__xludf.DUMMYFUNCTION("IMPORTRANGE(""https://docs.google.com/spreadsheets/d/1-uDff_7J0KD5mKrp0Vvzr7lt3OU09vwQwhkpOPPYv2Y/edit?usp=sharing"",""งบพรบ!DL73"")"),5000)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IFERROR(__xludf.DUMMYFUNCTION("IMPORTRANGE(""https://docs.google.com/spreadsheets/d/1ItG2mGa2ceCfYo0BwxsXqNm01IGEUdYcSSLTEv9YCik/edit?usp=sharing"",""เบิกจ่ายกองทุน!AP73"")"),36760)</f>
        <v>36760</v>
      </c>
      <c r="R271" s="86">
        <f ca="1">IFERROR(__xludf.DUMMYFUNCTION("IMPORTRANGE(""https://docs.google.com/spreadsheets/d/1ItG2mGa2ceCfYo0BwxsXqNm01IGEUdYcSSLTEv9YCik/edit?usp=sharing"",""เบิกจ่ายกองทุน!AQ73"")"),36760)</f>
        <v>36760</v>
      </c>
      <c r="S271" s="86">
        <f ca="1">IFERROR(__xludf.DUMMYFUNCTION("IMPORTRANGE(""https://docs.google.com/spreadsheets/d/1ItG2mGa2ceCfYo0BwxsXqNm01IGEUdYcSSLTEv9YCik/edit?usp=sharing"",""เบิกจ่ายกองทุน!AR73"")"),15234)</f>
        <v>15234</v>
      </c>
      <c r="T271" s="86">
        <f t="shared" ca="1" si="65"/>
        <v>41.441784548422198</v>
      </c>
      <c r="U271" s="86">
        <f t="shared" ca="1" si="66"/>
        <v>41.441784548422198</v>
      </c>
    </row>
    <row r="272" spans="1:21" ht="18.75" x14ac:dyDescent="0.25">
      <c r="A272" s="207"/>
      <c r="B272" s="65"/>
      <c r="C272" s="65"/>
      <c r="D272" s="937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935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65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IFERROR(__xludf.DUMMYFUNCTION("IMPORTRANGE(""https://docs.google.com/spreadsheets/d/1-uDff_7J0KD5mKrp0Vvzr7lt3OU09vwQwhkpOPPYv2Y/edit?usp=sharing"",""งบพรบ!DH73"")"),0)</f>
        <v>0</v>
      </c>
      <c r="M274" s="86">
        <f ca="1">IFERROR(__xludf.DUMMYFUNCTION("IMPORTRANGE(""https://docs.google.com/spreadsheets/d/1-uDff_7J0KD5mKrp0Vvzr7lt3OU09vwQwhkpOPPYv2Y/edit?usp=sharing"",""งบพรบ!DK73"")"),0)</f>
        <v>0</v>
      </c>
      <c r="N274" s="86">
        <f ca="1">IFERROR(__xludf.DUMMYFUNCTION("IMPORTRANGE(""https://docs.google.com/spreadsheets/d/1-uDff_7J0KD5mKrp0Vvzr7lt3OU09vwQwhkpOPPYv2Y/edit?usp=sharing"",""งบพรบ!DM73"")"),0)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931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21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IFERROR(__xludf.DUMMYFUNCTION("IMPORTRANGE(""https://docs.google.com/spreadsheets/d/1eHaY18a8A9IcSdp1K8H6x8fbOy06t2VsZHhMHf-1x7Y/edit?usp=sharing"",""แผน!EC73"")"),12)</f>
        <v>12</v>
      </c>
      <c r="J276" s="1117">
        <v>12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928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4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0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912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912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56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56"/>
      <c r="C286" s="256"/>
      <c r="D286" s="256"/>
      <c r="E286" s="263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56"/>
      <c r="C287" s="256"/>
      <c r="D287" s="256"/>
      <c r="E287" s="265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IFERROR(__xludf.DUMMYFUNCTION("IMPORTRANGE(""https://docs.google.com/spreadsheets/d/1-uDff_7J0KD5mKrp0Vvzr7lt3OU09vwQwhkpOPPYv2Y/edit?usp=sharing"",""งบพรบ!DO73"")"),0)</f>
        <v>0</v>
      </c>
      <c r="M287" s="72">
        <f ca="1">IFERROR(__xludf.DUMMYFUNCTION("IMPORTRANGE(""https://docs.google.com/spreadsheets/d/1-uDff_7J0KD5mKrp0Vvzr7lt3OU09vwQwhkpOPPYv2Y/edit?usp=sharing"",""งบพรบ!DT73"")"),0)</f>
        <v>0</v>
      </c>
      <c r="N287" s="72">
        <f ca="1">IFERROR(__xludf.DUMMYFUNCTION("IMPORTRANGE(""https://docs.google.com/spreadsheets/d/1-uDff_7J0KD5mKrp0Vvzr7lt3OU09vwQwhkpOPPYv2Y/edit?usp=sharing"",""งบพรบ!DV73"")"),0)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56"/>
      <c r="C288" s="256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56"/>
      <c r="C289" s="256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56"/>
      <c r="C290" s="256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IFERROR(__xludf.DUMMYFUNCTION("IMPORTRANGE(""https://docs.google.com/spreadsheets/d/1-uDff_7J0KD5mKrp0Vvzr7lt3OU09vwQwhkpOPPYv2Y/edit?usp=sharing"",""งบพรบ!DR73"")"),0)</f>
        <v>0</v>
      </c>
      <c r="M290" s="72">
        <f ca="1">IFERROR(__xludf.DUMMYFUNCTION("IMPORTRANGE(""https://docs.google.com/spreadsheets/d/1-uDff_7J0KD5mKrp0Vvzr7lt3OU09vwQwhkpOPPYv2Y/edit?usp=sharing"",""งบพรบ!DU73"")"),0)</f>
        <v>0</v>
      </c>
      <c r="N290" s="72">
        <f ca="1">IFERROR(__xludf.DUMMYFUNCTION("IMPORTRANGE(""https://docs.google.com/spreadsheets/d/1-uDff_7J0KD5mKrp0Vvzr7lt3OU09vwQwhkpOPPYv2Y/edit?usp=sharing"",""งบพรบ!DW73"")"),0)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57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IFERROR(__xludf.DUMMYFUNCTION("IMPORTRANGE(""https://docs.google.com/spreadsheets/d/1eHaY18a8A9IcSdp1K8H6x8fbOy06t2VsZHhMHf-1x7Y/edit?usp=sharing"",""แผน!EE73"")"),0)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IFERROR(__xludf.DUMMYFUNCTION("IMPORTRANGE(""https://docs.google.com/spreadsheets/d/1eHaY18a8A9IcSdp1K8H6x8fbOy06t2VsZHhMHf-1x7Y/edit?usp=sharing"",""แผน!ED73"")"),0)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88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IFERROR(__xludf.DUMMYFUNCTION("IMPORTRANGE(""https://docs.google.com/spreadsheets/d/1eHaY18a8A9IcSdp1K8H6x8fbOy06t2VsZHhMHf-1x7Y/edit?usp=sharing"",""แผน!ED73"")"),0)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IFERROR(__xludf.DUMMYFUNCTION("IMPORTRANGE(""https://docs.google.com/spreadsheets/d/1eHaY18a8A9IcSdp1K8H6x8fbOy06t2VsZHhMHf-1x7Y/edit?usp=sharing"",""แผน!ED73"")"),0)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284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284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904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1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890" t="s">
        <v>126</v>
      </c>
      <c r="B301" s="889"/>
      <c r="C301" s="889"/>
      <c r="D301" s="888"/>
      <c r="E301" s="888"/>
      <c r="F301" s="888"/>
      <c r="G301" s="899"/>
      <c r="H301" s="899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876"/>
      <c r="B302" s="883" t="s">
        <v>127</v>
      </c>
      <c r="C302" s="585"/>
      <c r="D302" s="585"/>
      <c r="E302" s="585"/>
      <c r="F302" s="585"/>
      <c r="G302" s="586"/>
      <c r="H302" s="886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56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56"/>
      <c r="C307" s="256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56"/>
      <c r="C308" s="256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IFERROR(__xludf.DUMMYFUNCTION("IMPORTRANGE(""https://docs.google.com/spreadsheets/d/1-uDff_7J0KD5mKrp0Vvzr7lt3OU09vwQwhkpOPPYv2Y/edit?usp=sharing"",""งบพรบ!DY73"")"),0)</f>
        <v>0</v>
      </c>
      <c r="M308" s="72">
        <f ca="1">IFERROR(__xludf.DUMMYFUNCTION("IMPORTRANGE(""https://docs.google.com/spreadsheets/d/1-uDff_7J0KD5mKrp0Vvzr7lt3OU09vwQwhkpOPPYv2Y/edit?usp=sharing"",""งบพรบ!ED73"")"),0)</f>
        <v>0</v>
      </c>
      <c r="N308" s="72">
        <f ca="1">IFERROR(__xludf.DUMMYFUNCTION("IMPORTRANGE(""https://docs.google.com/spreadsheets/d/1-uDff_7J0KD5mKrp0Vvzr7lt3OU09vwQwhkpOPPYv2Y/edit?usp=sharing"",""งบพรบ!EF73"")"),0)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IFERROR(__xludf.DUMMYFUNCTION("IMPORTRANGE(""https://docs.google.com/spreadsheets/d/1ItG2mGa2ceCfYo0BwxsXqNm01IGEUdYcSSLTEv9YCik/edit?usp=sharing"",""เบิกจ่ายกองทุน!BB73"")"),0)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IFERROR(__xludf.DUMMYFUNCTION("IMPORTRANGE(""https://docs.google.com/spreadsheets/d/1ItG2mGa2ceCfYo0BwxsXqNm01IGEUdYcSSLTEv9YCik/edit?usp=sharing"",""เบิกจ่ายกองทุน!BC73"")"),0)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IFERROR(__xludf.DUMMYFUNCTION("IMPORTRANGE(""https://docs.google.com/spreadsheets/d/1ItG2mGa2ceCfYo0BwxsXqNm01IGEUdYcSSLTEv9YCik/edit?usp=sharing"",""เบิกจ่ายกองทุน!BD73"")"),0)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56"/>
      <c r="C309" s="256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56"/>
      <c r="C310" s="256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56"/>
      <c r="C311" s="256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IFERROR(__xludf.DUMMYFUNCTION("IMPORTRANGE(""https://docs.google.com/spreadsheets/d/1-uDff_7J0KD5mKrp0Vvzr7lt3OU09vwQwhkpOPPYv2Y/edit?usp=sharing"",""งบพรบ!EB73"")"),0)</f>
        <v>0</v>
      </c>
      <c r="M311" s="72">
        <f ca="1">IFERROR(__xludf.DUMMYFUNCTION("IMPORTRANGE(""https://docs.google.com/spreadsheets/d/1-uDff_7J0KD5mKrp0Vvzr7lt3OU09vwQwhkpOPPYv2Y/edit?usp=sharing"",""งบพรบ!EE73"")"),0)</f>
        <v>0</v>
      </c>
      <c r="N311" s="72">
        <f ca="1">IFERROR(__xludf.DUMMYFUNCTION("IMPORTRANGE(""https://docs.google.com/spreadsheets/d/1-uDff_7J0KD5mKrp0Vvzr7lt3OU09vwQwhkpOPPYv2Y/edit?usp=sharing"",""งบพรบ!EG73"")"),0)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57" t="s">
        <v>18</v>
      </c>
      <c r="D312" s="800" t="s">
        <v>38</v>
      </c>
      <c r="E312" s="278"/>
      <c r="F312" s="278"/>
      <c r="G312" s="279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898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93" t="s">
        <v>35</v>
      </c>
      <c r="I314" s="291">
        <f ca="1">IFERROR(__xludf.DUMMYFUNCTION("IMPORTRANGE(""https://docs.google.com/spreadsheets/d/1eHaY18a8A9IcSdp1K8H6x8fbOy06t2VsZHhMHf-1x7Y/edit?usp=sharing"",""แผน!EF73"")"),0)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897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897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893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8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886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56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56"/>
      <c r="C324" s="256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56"/>
      <c r="C325" s="256"/>
      <c r="D325" s="256"/>
      <c r="E325" s="265" t="s">
        <v>37</v>
      </c>
      <c r="F325" s="256"/>
      <c r="G325" s="259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IFERROR(__xludf.DUMMYFUNCTION("IMPORTRANGE(""https://docs.google.com/spreadsheets/d/1-uDff_7J0KD5mKrp0Vvzr7lt3OU09vwQwhkpOPPYv2Y/edit?usp=sharing"",""งบพรบ!EI73"")"),0)</f>
        <v>0</v>
      </c>
      <c r="M325" s="72">
        <f ca="1">IFERROR(__xludf.DUMMYFUNCTION("IMPORTRANGE(""https://docs.google.com/spreadsheets/d/1-uDff_7J0KD5mKrp0Vvzr7lt3OU09vwQwhkpOPPYv2Y/edit?usp=sharing"",""งบพรบ!EN73"")"),0)</f>
        <v>0</v>
      </c>
      <c r="N325" s="72">
        <f ca="1">IFERROR(__xludf.DUMMYFUNCTION("IMPORTRANGE(""https://docs.google.com/spreadsheets/d/1-uDff_7J0KD5mKrp0Vvzr7lt3OU09vwQwhkpOPPYv2Y/edit?usp=sharing"",""งบพรบ!EP73"")"),0)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56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IFERROR(__xludf.DUMMYFUNCTION("IMPORTRANGE(""https://docs.google.com/spreadsheets/d/1-uDff_7J0KD5mKrp0Vvzr7lt3OU09vwQwhkpOPPYv2Y/edit?usp=sharing"",""งบพรบ!EL73"")"),0)</f>
        <v>0</v>
      </c>
      <c r="M328" s="72">
        <f ca="1">IFERROR(__xludf.DUMMYFUNCTION("IMPORTRANGE(""https://docs.google.com/spreadsheets/d/1-uDff_7J0KD5mKrp0Vvzr7lt3OU09vwQwhkpOPPYv2Y/edit?usp=sharing"",""งบพรบ!EO73"")"),0)</f>
        <v>0</v>
      </c>
      <c r="N328" s="72">
        <f ca="1">IFERROR(__xludf.DUMMYFUNCTION("IMPORTRANGE(""https://docs.google.com/spreadsheets/d/1-uDff_7J0KD5mKrp0Vvzr7lt3OU09vwQwhkpOPPYv2Y/edit?usp=sharing"",""งบพรบ!EQ73"")"),0)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280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90" t="s">
        <v>133</v>
      </c>
      <c r="I330" s="291">
        <f ca="1">IFERROR(__xludf.DUMMYFUNCTION("IMPORTRANGE(""https://docs.google.com/spreadsheets/d/1eHaY18a8A9IcSdp1K8H6x8fbOy06t2VsZHhMHf-1x7Y/edit?usp=sharing"",""แผน!EJ73"")"),0)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8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886" t="s">
        <v>35</v>
      </c>
      <c r="I332" s="514">
        <f ca="1">I344</f>
        <v>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336800</v>
      </c>
      <c r="M333" s="262">
        <f ca="1">M334+M335</f>
        <v>336800</v>
      </c>
      <c r="N333" s="262">
        <f ca="1">N334+N335</f>
        <v>220355</v>
      </c>
      <c r="O333" s="262">
        <f t="shared" ref="O333:O341" ca="1" si="87">IF(L333&gt;0,N333*100/L333,0)</f>
        <v>65.426068883610455</v>
      </c>
      <c r="P333" s="262">
        <f t="shared" ref="P333:P341" ca="1" si="88">IF(M333&gt;0,N333*100/M333,0)</f>
        <v>65.426068883610455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336800</v>
      </c>
      <c r="M335" s="72">
        <f t="shared" ca="1" si="91"/>
        <v>336800</v>
      </c>
      <c r="N335" s="72">
        <f t="shared" ca="1" si="91"/>
        <v>220355</v>
      </c>
      <c r="O335" s="72">
        <f t="shared" ca="1" si="87"/>
        <v>65.426068883610455</v>
      </c>
      <c r="P335" s="72">
        <f t="shared" ca="1" si="88"/>
        <v>65.426068883610455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56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336800</v>
      </c>
      <c r="M336" s="72">
        <f ca="1">M337+M338</f>
        <v>336800</v>
      </c>
      <c r="N336" s="72">
        <f ca="1">N337+N338</f>
        <v>220355</v>
      </c>
      <c r="O336" s="72">
        <f t="shared" ca="1" si="87"/>
        <v>65.426068883610455</v>
      </c>
      <c r="P336" s="72">
        <f t="shared" ca="1" si="88"/>
        <v>65.426068883610455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56"/>
      <c r="D337" s="256"/>
      <c r="E337" s="263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56"/>
      <c r="D338" s="256"/>
      <c r="E338" s="265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IFERROR(__xludf.DUMMYFUNCTION("IMPORTRANGE(""https://docs.google.com/spreadsheets/d/1-uDff_7J0KD5mKrp0Vvzr7lt3OU09vwQwhkpOPPYv2Y/edit?usp=sharing"",""งบพรบ!ES73"")"),336800)</f>
        <v>336800</v>
      </c>
      <c r="M338" s="72">
        <f ca="1">IFERROR(__xludf.DUMMYFUNCTION("IMPORTRANGE(""https://docs.google.com/spreadsheets/d/1-uDff_7J0KD5mKrp0Vvzr7lt3OU09vwQwhkpOPPYv2Y/edit?usp=sharing"",""งบพรบ!EX73"")"),336800)</f>
        <v>336800</v>
      </c>
      <c r="N338" s="72">
        <f ca="1">IFERROR(__xludf.DUMMYFUNCTION("IMPORTRANGE(""https://docs.google.com/spreadsheets/d/1-uDff_7J0KD5mKrp0Vvzr7lt3OU09vwQwhkpOPPYv2Y/edit?usp=sharing"",""งบพรบ!EZ73"")"),220355)</f>
        <v>220355</v>
      </c>
      <c r="O338" s="72">
        <f t="shared" ca="1" si="87"/>
        <v>65.426068883610455</v>
      </c>
      <c r="P338" s="72">
        <f t="shared" ca="1" si="88"/>
        <v>65.426068883610455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56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56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56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IFERROR(__xludf.DUMMYFUNCTION("IMPORTRANGE(""https://docs.google.com/spreadsheets/d/1-uDff_7J0KD5mKrp0Vvzr7lt3OU09vwQwhkpOPPYv2Y/edit?usp=sharing"",""งบพรบ!EV73"")"),0)</f>
        <v>0</v>
      </c>
      <c r="M341" s="72">
        <f ca="1">IFERROR(__xludf.DUMMYFUNCTION("IMPORTRANGE(""https://docs.google.com/spreadsheets/d/1-uDff_7J0KD5mKrp0Vvzr7lt3OU09vwQwhkpOPPYv2Y/edit?usp=sharing"",""งบพรบ!EY73"")"),0)</f>
        <v>0</v>
      </c>
      <c r="N341" s="72">
        <f ca="1">IFERROR(__xludf.DUMMYFUNCTION("IMPORTRANGE(""https://docs.google.com/spreadsheets/d/1-uDff_7J0KD5mKrp0Vvzr7lt3OU09vwQwhkpOPPYv2Y/edit?usp=sharing"",""งบพรบ!FA73"")"),0)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101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IFERROR(__xludf.DUMMYFUNCTION("IMPORTRANGE(""https://docs.google.com/spreadsheets/d/1eHaY18a8A9IcSdp1K8H6x8fbOy06t2VsZHhMHf-1x7Y/edit?usp=sharing"",""แผน!EK73"")"),40)</f>
        <v>40</v>
      </c>
      <c r="J344" s="291">
        <f ca="1">IFERROR(__xludf.DUMMYFUNCTION("IMPORTRANGE(""https://docs.google.com/spreadsheets/d/1awYsYK3VOup2i3Pq_Yjnu8DRu_mYwSBnCR2QPthd0rU/edit?usp=sharing"",""ศูนย์ยกเว้นโฉนด!D73"")"),46)</f>
        <v>46</v>
      </c>
      <c r="K344" s="72">
        <f ca="1">IF(I344&gt;0,J344*100/I344,0)</f>
        <v>115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IFERROR(__xludf.DUMMYFUNCTION("IMPORTRANGE(""https://docs.google.com/spreadsheets/d/1eHaY18a8A9IcSdp1K8H6x8fbOy06t2VsZHhMHf-1x7Y/edit?usp=sharing"",""แผน!EL73"")"),1)</f>
        <v>1</v>
      </c>
      <c r="J346" s="291">
        <f ca="1">IFERROR(__xludf.DUMMYFUNCTION("IMPORTRANGE(""https://docs.google.com/spreadsheets/d/1awYsYK3VOup2i3Pq_Yjnu8DRu_mYwSBnCR2QPthd0rU/edit?usp=sharing"",""ศูนย์รวม!E73"")"),2)</f>
        <v>2</v>
      </c>
      <c r="K346" s="72">
        <f ca="1">IF(I346&gt;0,J346*100/I346,0)</f>
        <v>200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IFERROR(__xludf.DUMMYFUNCTION("IMPORTRANGE(""https://docs.google.com/spreadsheets/d/1awYsYK3VOup2i3Pq_Yjnu8DRu_mYwSBnCR2QPthd0rU/edit?usp=sharing"",""ศูนย์ยกเว้นโฉนด!F73"")"),46)</f>
        <v>46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IFERROR(__xludf.DUMMYFUNCTION("IMPORTRANGE(""https://docs.google.com/spreadsheets/d/1awYsYK3VOup2i3Pq_Yjnu8DRu_mYwSBnCR2QPthd0rU/edit?usp=sharing"",""ศูนย์ยกเว้นโฉนด!G73"")"),2)</f>
        <v>2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IFERROR(__xludf.DUMMYFUNCTION("IMPORTRANGE(""https://docs.google.com/spreadsheets/d/1awYsYK3VOup2i3Pq_Yjnu8DRu_mYwSBnCR2QPthd0rU/edit?usp=sharing"",""ศูนย์ยกเว้นโฉนด!H73"")"),7)</f>
        <v>7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537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IFERROR(__xludf.DUMMYFUNCTION("IMPORTRANGE(""https://docs.google.com/spreadsheets/d/1awYsYK3VOup2i3Pq_Yjnu8DRu_mYwSBnCR2QPthd0rU/edit?usp=sharing"",""โฉนดM3!G73"")"),"")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IFERROR(__xludf.DUMMYFUNCTION("IMPORTRANGE(""https://docs.google.com/spreadsheets/d/1awYsYK3VOup2i3Pq_Yjnu8DRu_mYwSBnCR2QPthd0rU/edit?usp=sharing"",""โฉนดM3!H73"")"),"")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IFERROR(__xludf.DUMMYFUNCTION("IMPORTRANGE(""https://docs.google.com/spreadsheets/d/1awYsYK3VOup2i3Pq_Yjnu8DRu_mYwSBnCR2QPthd0rU/edit?usp=sharing"",""โฉนดM3!I73"")"),"")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86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77660</v>
      </c>
      <c r="O356" s="262">
        <f t="shared" ref="O356:O364" ca="1" si="93">IF(L356&gt;0,N356*100/L356,0)</f>
        <v>40.636282769085867</v>
      </c>
      <c r="P356" s="262">
        <f t="shared" ref="P356:P364" ca="1" si="94">IF(M356&gt;0,N356*100/M356,0)</f>
        <v>40.636282769085867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56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191110</v>
      </c>
      <c r="M358" s="72">
        <f t="shared" ca="1" si="97"/>
        <v>191110</v>
      </c>
      <c r="N358" s="72">
        <f t="shared" ca="1" si="97"/>
        <v>77660</v>
      </c>
      <c r="O358" s="72">
        <f t="shared" ca="1" si="93"/>
        <v>40.636282769085867</v>
      </c>
      <c r="P358" s="72">
        <f t="shared" ca="1" si="94"/>
        <v>40.636282769085867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56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77660</v>
      </c>
      <c r="O359" s="72">
        <f t="shared" ca="1" si="93"/>
        <v>40.636282769085867</v>
      </c>
      <c r="P359" s="72">
        <f t="shared" ca="1" si="94"/>
        <v>40.636282769085867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56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56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IFERROR(__xludf.DUMMYFUNCTION("IMPORTRANGE(""https://docs.google.com/spreadsheets/d/1-uDff_7J0KD5mKrp0Vvzr7lt3OU09vwQwhkpOPPYv2Y/edit?usp=sharing"",""งบพรบ!FC73"")"),191110)</f>
        <v>191110</v>
      </c>
      <c r="M361" s="72">
        <f ca="1">IFERROR(__xludf.DUMMYFUNCTION("IMPORTRANGE(""https://docs.google.com/spreadsheets/d/1-uDff_7J0KD5mKrp0Vvzr7lt3OU09vwQwhkpOPPYv2Y/edit?usp=sharing"",""งบพรบ!FH73"")"),191110)</f>
        <v>191110</v>
      </c>
      <c r="N361" s="72">
        <f ca="1">IFERROR(__xludf.DUMMYFUNCTION("IMPORTRANGE(""https://docs.google.com/spreadsheets/d/1-uDff_7J0KD5mKrp0Vvzr7lt3OU09vwQwhkpOPPYv2Y/edit?usp=sharing"",""งบพรบ!FJ73"")"),77660)</f>
        <v>77660</v>
      </c>
      <c r="O361" s="72">
        <f t="shared" ca="1" si="93"/>
        <v>40.636282769085867</v>
      </c>
      <c r="P361" s="72">
        <f t="shared" ca="1" si="94"/>
        <v>40.636282769085867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56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56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56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IFERROR(__xludf.DUMMYFUNCTION("IMPORTRANGE(""https://docs.google.com/spreadsheets/d/1-uDff_7J0KD5mKrp0Vvzr7lt3OU09vwQwhkpOPPYv2Y/edit?usp=sharing"",""งบพรบ!FF73"")"),0)</f>
        <v>0</v>
      </c>
      <c r="M364" s="72">
        <f ca="1">IFERROR(__xludf.DUMMYFUNCTION("IMPORTRANGE(""https://docs.google.com/spreadsheets/d/1-uDff_7J0KD5mKrp0Vvzr7lt3OU09vwQwhkpOPPYv2Y/edit?usp=sharing"",""งบพรบ!FI73"")"),0)</f>
        <v>0</v>
      </c>
      <c r="N364" s="72">
        <f ca="1">IFERROR(__xludf.DUMMYFUNCTION("IMPORTRANGE(""https://docs.google.com/spreadsheets/d/1-uDff_7J0KD5mKrp0Vvzr7lt3OU09vwQwhkpOPPYv2Y/edit?usp=sharing"",""งบพรบ!FK73"")"),0)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32"/>
      <c r="B365" s="534"/>
      <c r="C365" s="533"/>
      <c r="D365" s="882" t="s">
        <v>150</v>
      </c>
      <c r="E365" s="533"/>
      <c r="F365" s="533"/>
      <c r="G365" s="536"/>
      <c r="H365" s="881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57" t="s">
        <v>18</v>
      </c>
      <c r="D366" s="800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88"/>
      <c r="C367" s="275"/>
      <c r="D367" s="288"/>
      <c r="E367" s="745" t="s">
        <v>151</v>
      </c>
      <c r="F367" s="288"/>
      <c r="G367" s="280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IFERROR(__xludf.DUMMYFUNCTION("IMPORTRANGE(""https://docs.google.com/spreadsheets/d/1tdoBKaGub7dwA3U6UFTqxio9LNnvDCQjHKmttSEBsFQ/edit?usp=sharing"",""จัดที่ดิน!AB73"")"),0)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IFERROR(__xludf.DUMMYFUNCTION("IMPORTRANGE(""https://docs.google.com/spreadsheets/d/1eHaY18a8A9IcSdp1K8H6x8fbOy06t2VsZHhMHf-1x7Y/edit?usp=sharing"",""แผน!EW73"")"),0)</f>
        <v>0</v>
      </c>
      <c r="J368" s="879">
        <f ca="1">IFERROR(__xludf.DUMMYFUNCTION("IMPORTRANGE(""https://docs.google.com/spreadsheets/d/1tdoBKaGub7dwA3U6UFTqxio9LNnvDCQjHKmttSEBsFQ/edit?usp=sharing"",""จัดที่ดิน!AC73"")"),0)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93" t="s">
        <v>35</v>
      </c>
      <c r="I369" s="291">
        <f ca="1">IFERROR(__xludf.DUMMYFUNCTION("IMPORTRANGE(""https://docs.google.com/spreadsheets/d/1eHaY18a8A9IcSdp1K8H6x8fbOy06t2VsZHhMHf-1x7Y/edit?usp=sharing"",""แผน!EX73"")"),0)</f>
        <v>0</v>
      </c>
      <c r="J369" s="291">
        <f ca="1">IFERROR(__xludf.DUMMYFUNCTION("IMPORTRANGE(""https://docs.google.com/spreadsheets/d/1tdoBKaGub7dwA3U6UFTqxio9LNnvDCQjHKmttSEBsFQ/edit?usp=sharing"",""จัดที่ดิน!AD73"")"),0)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9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IFERROR(__xludf.DUMMYFUNCTION("IMPORTRANGE(""https://docs.google.com/spreadsheets/d/1tdoBKaGub7dwA3U6UFTqxio9LNnvDCQjHKmttSEBsFQ/edit?usp=sharing"",""จัดที่ดิน!AE73"")"),0)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93" t="s">
        <v>35</v>
      </c>
      <c r="I371" s="291">
        <f ca="1">IFERROR(__xludf.DUMMYFUNCTION("IMPORTRANGE(""https://docs.google.com/spreadsheets/d/1eHaY18a8A9IcSdp1K8H6x8fbOy06t2VsZHhMHf-1x7Y/edit?usp=sharing"",""แผน!EY73"")"),0)</f>
        <v>0</v>
      </c>
      <c r="J371" s="291">
        <f ca="1">IFERROR(__xludf.DUMMYFUNCTION("IMPORTRANGE(""https://docs.google.com/spreadsheets/d/1tdoBKaGub7dwA3U6UFTqxio9LNnvDCQjHKmttSEBsFQ/edit?usp=sharing"",""จัดที่ดิน!AF73"")"),0)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9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IFERROR(__xludf.DUMMYFUNCTION("IMPORTRANGE(""https://docs.google.com/spreadsheets/d/1tdoBKaGub7dwA3U6UFTqxio9LNnvDCQjHKmttSEBsFQ/edit?usp=sharing"",""จัดที่ดิน!AG73"")"),0)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16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IFERROR(__xludf.DUMMYFUNCTION("IMPORTRANGE(""https://docs.google.com/spreadsheets/d/1-uDff_7J0KD5mKrp0Vvzr7lt3OU09vwQwhkpOPPYv2Y/edit?usp=sharing"",""งบพรบ!IE73"")"),0)</f>
        <v>0</v>
      </c>
      <c r="M380" s="72">
        <f ca="1">IFERROR(__xludf.DUMMYFUNCTION("IMPORTRANGE(""https://docs.google.com/spreadsheets/d/1-uDff_7J0KD5mKrp0Vvzr7lt3OU09vwQwhkpOPPYv2Y/edit?usp=sharing"",""งบพรบ!IJ73"")"),0)</f>
        <v>0</v>
      </c>
      <c r="N380" s="72">
        <f ca="1">IFERROR(__xludf.DUMMYFUNCTION("IMPORTRANGE(""https://docs.google.com/spreadsheets/d/1-uDff_7J0KD5mKrp0Vvzr7lt3OU09vwQwhkpOPPYv2Y/edit?usp=sharing"",""งบพรบ!IL73"")"),0)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IFERROR(__xludf.DUMMYFUNCTION("IMPORTRANGE(""https://docs.google.com/spreadsheets/d/1ItG2mGa2ceCfYo0BwxsXqNm01IGEUdYcSSLTEv9YCik/edit?usp=sharing"",""เบิกจ่ายกองทุน!BW73"")"),0)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IFERROR(__xludf.DUMMYFUNCTION("IMPORTRANGE(""https://docs.google.com/spreadsheets/d/1ItG2mGa2ceCfYo0BwxsXqNm01IGEUdYcSSLTEv9YCik/edit?usp=sharing"",""เบิกจ่ายกองทุน!BX73"")"),0)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IFERROR(__xludf.DUMMYFUNCTION("IMPORTRANGE(""https://docs.google.com/spreadsheets/d/1ItG2mGa2ceCfYo0BwxsXqNm01IGEUdYcSSLTEv9YCik/edit?usp=sharing"",""เบิกจ่ายกองทุน!BY73"")"),0)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IFERROR(__xludf.DUMMYFUNCTION("IMPORTRANGE(""https://docs.google.com/spreadsheets/d/1-uDff_7J0KD5mKrp0Vvzr7lt3OU09vwQwhkpOPPYv2Y/edit?usp=sharing"",""งบพรบ!IH73"")"),0)</f>
        <v>0</v>
      </c>
      <c r="M383" s="72">
        <f ca="1">IFERROR(__xludf.DUMMYFUNCTION("IMPORTRANGE(""https://docs.google.com/spreadsheets/d/1-uDff_7J0KD5mKrp0Vvzr7lt3OU09vwQwhkpOPPYv2Y/edit?usp=sharing"",""งบพรบ!IK73"")"),0)</f>
        <v>0</v>
      </c>
      <c r="N383" s="72">
        <f ca="1">IFERROR(__xludf.DUMMYFUNCTION("IMPORTRANGE(""https://docs.google.com/spreadsheets/d/1-uDff_7J0KD5mKrp0Vvzr7lt3OU09vwQwhkpOPPYv2Y/edit?usp=sharing"",""งบพรบ!IM73"")"),0)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IFERROR(__xludf.DUMMYFUNCTION("IMPORTRANGE(""https://docs.google.com/spreadsheets/d/1eHaY18a8A9IcSdp1K8H6x8fbOy06t2VsZHhMHf-1x7Y/edit?usp=sharing"",""แผน!JQ73"")"),0)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IFERROR(__xludf.DUMMYFUNCTION("IMPORTRANGE(""https://docs.google.com/spreadsheets/d/1eHaY18a8A9IcSdp1K8H6x8fbOy06t2VsZHhMHf-1x7Y/edit?usp=sharing"",""แผน!JQ73"")"),0)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IFERROR(__xludf.DUMMYFUNCTION("IMPORTRANGE(""https://docs.google.com/spreadsheets/d/1ItG2mGa2ceCfYo0BwxsXqNm01IGEUdYcSSLTEv9YCik/edit?usp=sharing"",""เบิกจ่ายกองทุน!CL73"")"),0)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IFERROR(__xludf.DUMMYFUNCTION("IMPORTRANGE(""https://docs.google.com/spreadsheets/d/1ItG2mGa2ceCfYo0BwxsXqNm01IGEUdYcSSLTEv9YCik/edit?usp=sharing"",""เบิกจ่ายกองทุน!CM73"")"),0)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IFERROR(__xludf.DUMMYFUNCTION("IMPORTRANGE(""https://docs.google.com/spreadsheets/d/1ItG2mGa2ceCfYo0BwxsXqNm01IGEUdYcSSLTEv9YCik/edit?usp=sharing"",""เบิกจ่ายกองทุน!CN73"")"),0)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IFERROR(__xludf.DUMMYFUNCTION("IMPORTRANGE(""https://docs.google.com/spreadsheets/d/1-uDff_7J0KD5mKrp0Vvzr7lt3OU09vwQwhkpOPPYv2Y/edit?usp=sharing"",""งบพรบ!IO73"")"),0)</f>
        <v>0</v>
      </c>
      <c r="M418" s="72">
        <f ca="1">IFERROR(__xludf.DUMMYFUNCTION("IMPORTRANGE(""https://docs.google.com/spreadsheets/d/1-uDff_7J0KD5mKrp0Vvzr7lt3OU09vwQwhkpOPPYv2Y/edit?usp=sharing"",""งบพรบ!IT73"")"),0)</f>
        <v>0</v>
      </c>
      <c r="N418" s="72">
        <f ca="1">IFERROR(__xludf.DUMMYFUNCTION("IMPORTRANGE(""https://docs.google.com/spreadsheets/d/1-uDff_7J0KD5mKrp0Vvzr7lt3OU09vwQwhkpOPPYv2Y/edit?usp=sharing"",""งบพรบ!IV73"")"),0)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IFERROR(__xludf.DUMMYFUNCTION("IMPORTRANGE(""https://docs.google.com/spreadsheets/d/1ItG2mGa2ceCfYo0BwxsXqNm01IGEUdYcSSLTEv9YCik/edit?usp=sharing"",""เบิกจ่ายกองทุน!BZ73"")"),0)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IFERROR(__xludf.DUMMYFUNCTION("IMPORTRANGE(""https://docs.google.com/spreadsheets/d/1ItG2mGa2ceCfYo0BwxsXqNm01IGEUdYcSSLTEv9YCik/edit?usp=sharing"",""เบิกจ่ายกองทุน!CA73"")"),0)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IFERROR(__xludf.DUMMYFUNCTION("IMPORTRANGE(""https://docs.google.com/spreadsheets/d/1ItG2mGa2ceCfYo0BwxsXqNm01IGEUdYcSSLTEv9YCik/edit?usp=sharing"",""เบิกจ่ายกองทุน!CB73"")"),0)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IFERROR(__xludf.DUMMYFUNCTION("IMPORTRANGE(""https://docs.google.com/spreadsheets/d/1-uDff_7J0KD5mKrp0Vvzr7lt3OU09vwQwhkpOPPYv2Y/edit?usp=sharing"",""งบพรบ!IR73"")"),0)</f>
        <v>0</v>
      </c>
      <c r="M421" s="72">
        <f ca="1">IFERROR(__xludf.DUMMYFUNCTION("IMPORTRANGE(""https://docs.google.com/spreadsheets/d/1-uDff_7J0KD5mKrp0Vvzr7lt3OU09vwQwhkpOPPYv2Y/edit?usp=sharing"",""งบพรบ!IU73"")"),0)</f>
        <v>0</v>
      </c>
      <c r="N421" s="72">
        <f ca="1">IFERROR(__xludf.DUMMYFUNCTION("IMPORTRANGE(""https://docs.google.com/spreadsheets/d/1-uDff_7J0KD5mKrp0Vvzr7lt3OU09vwQwhkpOPPYv2Y/edit?usp=sharing"",""งบพรบ!IW73"")"),0)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IFERROR(__xludf.DUMMYFUNCTION("IMPORTRANGE(""https://docs.google.com/spreadsheets/d/1eHaY18a8A9IcSdp1K8H6x8fbOy06t2VsZHhMHf-1x7Y/edit?usp=sharing"",""แผน!HJ73"")"),0)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IFERROR(__xludf.DUMMYFUNCTION("IMPORTRANGE(""https://docs.google.com/spreadsheets/d/1eHaY18a8A9IcSdp1K8H6x8fbOy06t2VsZHhMHf-1x7Y/edit?usp=sharing"",""แผน!HK73"")"),0)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IFERROR(__xludf.DUMMYFUNCTION("IMPORTRANGE(""https://docs.google.com/spreadsheets/d/1eHaY18a8A9IcSdp1K8H6x8fbOy06t2VsZHhMHf-1x7Y/edit?usp=sharing"",""แผน!HJ73"")"),0)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IFERROR(__xludf.DUMMYFUNCTION("IMPORTRANGE(""https://docs.google.com/spreadsheets/d/1eHaY18a8A9IcSdp1K8H6x8fbOy06t2VsZHhMHf-1x7Y/edit?usp=sharing"",""แผน!HK73"")"),0)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IFERROR(__xludf.DUMMYFUNCTION("IMPORTRANGE(""https://docs.google.com/spreadsheets/d/1eHaY18a8A9IcSdp1K8H6x8fbOy06t2VsZHhMHf-1x7Y/edit?usp=sharing"",""แผน!HJ73"")"),0)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IFERROR(__xludf.DUMMYFUNCTION("IMPORTRANGE(""https://docs.google.com/spreadsheets/d/1eHaY18a8A9IcSdp1K8H6x8fbOy06t2VsZHhMHf-1x7Y/edit?usp=sharing"",""แผน!HK73"")"),0)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0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IFERROR(__xludf.DUMMYFUNCTION("IMPORTRANGE(""https://docs.google.com/spreadsheets/d/1eHaY18a8A9IcSdp1K8H6x8fbOy06t2VsZHhMHf-1x7Y/edit?usp=sharing"",""แผน!HL73"")"),0)</f>
        <v>0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IFERROR(__xludf.DUMMYFUNCTION("IMPORTRANGE(""https://docs.google.com/spreadsheets/d/1eHaY18a8A9IcSdp1K8H6x8fbOy06t2VsZHhMHf-1x7Y/edit?usp=sharing"",""แผน!HM73"")"),0)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IFERROR(__xludf.DUMMYFUNCTION("IMPORTRANGE(""https://docs.google.com/spreadsheets/d/1-uDff_7J0KD5mKrp0Vvzr7lt3OU09vwQwhkpOPPYv2Y/edit?usp=sharing"",""งบพรบ!HU73"")"),0)</f>
        <v>0</v>
      </c>
      <c r="M498" s="72">
        <f ca="1">IFERROR(__xludf.DUMMYFUNCTION("IMPORTRANGE(""https://docs.google.com/spreadsheets/d/1-uDff_7J0KD5mKrp0Vvzr7lt3OU09vwQwhkpOPPYv2Y/edit?usp=sharing"",""งบพรบ!HZ73"")"),0)</f>
        <v>0</v>
      </c>
      <c r="N498" s="72">
        <f ca="1">IFERROR(__xludf.DUMMYFUNCTION("IMPORTRANGE(""https://docs.google.com/spreadsheets/d/1-uDff_7J0KD5mKrp0Vvzr7lt3OU09vwQwhkpOPPYv2Y/edit?usp=sharing"",""งบพรบ!IB73"")"),0)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IFERROR(__xludf.DUMMYFUNCTION("IMPORTRANGE(""https://docs.google.com/spreadsheets/d/1ItG2mGa2ceCfYo0BwxsXqNm01IGEUdYcSSLTEv9YCik/edit?usp=sharing"",""เบิกจ่ายกองทุน!AD73"")"),0)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IFERROR(__xludf.DUMMYFUNCTION("IMPORTRANGE(""https://docs.google.com/spreadsheets/d/1ItG2mGa2ceCfYo0BwxsXqNm01IGEUdYcSSLTEv9YCik/edit?usp=sharing"",""เบิกจ่ายกองทุน!AE73"")"),0)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IFERROR(__xludf.DUMMYFUNCTION("IMPORTRANGE(""https://docs.google.com/spreadsheets/d/1ItG2mGa2ceCfYo0BwxsXqNm01IGEUdYcSSLTEv9YCik/edit?usp=sharing"",""เบิกจ่ายกองทุน!AF73"")"),0)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IFERROR(__xludf.DUMMYFUNCTION("IMPORTRANGE(""https://docs.google.com/spreadsheets/d/1-uDff_7J0KD5mKrp0Vvzr7lt3OU09vwQwhkpOPPYv2Y/edit?usp=sharing"",""งบพรบ!HX73"")"),0)</f>
        <v>0</v>
      </c>
      <c r="M501" s="72">
        <f ca="1">IFERROR(__xludf.DUMMYFUNCTION("IMPORTRANGE(""https://docs.google.com/spreadsheets/d/1-uDff_7J0KD5mKrp0Vvzr7lt3OU09vwQwhkpOPPYv2Y/edit?usp=sharing"",""งบพรบ!IA73"")"),0)</f>
        <v>0</v>
      </c>
      <c r="N501" s="72">
        <f ca="1">IFERROR(__xludf.DUMMYFUNCTION("IMPORTRANGE(""https://docs.google.com/spreadsheets/d/1-uDff_7J0KD5mKrp0Vvzr7lt3OU09vwQwhkpOPPYv2Y/edit?usp=sharing"",""งบพรบ!IC73"")"),0)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IFERROR(__xludf.DUMMYFUNCTION("IMPORTRANGE(""https://docs.google.com/spreadsheets/d/1eHaY18a8A9IcSdp1K8H6x8fbOy06t2VsZHhMHf-1x7Y/edit?usp=sharing"",""แผน!GX73"")"),0)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IFERROR(__xludf.DUMMYFUNCTION("IMPORTRANGE(""https://docs.google.com/spreadsheets/d/1eHaY18a8A9IcSdp1K8H6x8fbOy06t2VsZHhMHf-1x7Y/edit?usp=sharing"",""แผน!GY73"")"),0)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IFERROR(__xludf.DUMMYFUNCTION("IMPORTRANGE(""https://docs.google.com/spreadsheets/d/1eHaY18a8A9IcSdp1K8H6x8fbOy06t2VsZHhMHf-1x7Y/edit?usp=sharing"",""แผน!GZ73"")"),0)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IFERROR(__xludf.DUMMYFUNCTION("IMPORTRANGE(""https://docs.google.com/spreadsheets/d/1eHaY18a8A9IcSdp1K8H6x8fbOy06t2VsZHhMHf-1x7Y/edit?usp=sharing"",""แผน!HA73"")"),0)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IFERROR(__xludf.DUMMYFUNCTION("IMPORTRANGE(""https://docs.google.com/spreadsheets/d/1eHaY18a8A9IcSdp1K8H6x8fbOy06t2VsZHhMHf-1x7Y/edit?usp=sharing"",""แผน!HB73"")"),0)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IFERROR(__xludf.DUMMYFUNCTION("IMPORTRANGE(""https://docs.google.com/spreadsheets/d/1eHaY18a8A9IcSdp1K8H6x8fbOy06t2VsZHhMHf-1x7Y/edit?usp=sharing"",""แผน!HC73"")"),0)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49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843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8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56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56"/>
      <c r="D515" s="256"/>
      <c r="E515" s="263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56"/>
      <c r="D516" s="835" t="s">
        <v>22</v>
      </c>
      <c r="E516" s="256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IFERROR(__xludf.DUMMYFUNCTION("IMPORTRANGE(""https://docs.google.com/spreadsheets/d/1-uDff_7J0KD5mKrp0Vvzr7lt3OU09vwQwhkpOPPYv2Y/edit?usp=sharing"",""งบพรบ!FM73"")"),0)</f>
        <v>0</v>
      </c>
      <c r="M518" s="72">
        <f ca="1">IFERROR(__xludf.DUMMYFUNCTION("IMPORTRANGE(""https://docs.google.com/spreadsheets/d/1-uDff_7J0KD5mKrp0Vvzr7lt3OU09vwQwhkpOPPYv2Y/edit?usp=sharing"",""งบพรบ!FR73"")"),0)</f>
        <v>0</v>
      </c>
      <c r="N518" s="72">
        <f ca="1">IFERROR(__xludf.DUMMYFUNCTION("IMPORTRANGE(""https://docs.google.com/spreadsheets/d/1-uDff_7J0KD5mKrp0Vvzr7lt3OU09vwQwhkpOPPYv2Y/edit?usp=sharing"",""งบพรบ!FT73"")"),0)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IFERROR(__xludf.DUMMYFUNCTION("IMPORTRANGE(""https://docs.google.com/spreadsheets/d/1-uDff_7J0KD5mKrp0Vvzr7lt3OU09vwQwhkpOPPYv2Y/edit?usp=sharing"",""งบพรบ!FP73"")"),0)</f>
        <v>0</v>
      </c>
      <c r="M521" s="72">
        <f ca="1">IFERROR(__xludf.DUMMYFUNCTION("IMPORTRANGE(""https://docs.google.com/spreadsheets/d/1-uDff_7J0KD5mKrp0Vvzr7lt3OU09vwQwhkpOPPYv2Y/edit?usp=sharing"",""งบพรบ!FS73"")"),0)</f>
        <v>0</v>
      </c>
      <c r="N521" s="72">
        <f ca="1">IFERROR(__xludf.DUMMYFUNCTION("IMPORTRANGE(""https://docs.google.com/spreadsheets/d/1-uDff_7J0KD5mKrp0Vvzr7lt3OU09vwQwhkpOPPYv2Y/edit?usp=sharing"",""งบพรบ!FU73"")"),0)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IFERROR(__xludf.DUMMYFUNCTION("IMPORTRANGE(""https://docs.google.com/spreadsheets/d/1-uDff_7J0KD5mKrp0Vvzr7lt3OU09vwQwhkpOPPYv2Y/edit?usp=sharing"",""งบพรบ!FW73"")"),0)</f>
        <v>0</v>
      </c>
      <c r="M539" s="72">
        <f ca="1">IFERROR(__xludf.DUMMYFUNCTION("IMPORTRANGE(""https://docs.google.com/spreadsheets/d/1-uDff_7J0KD5mKrp0Vvzr7lt3OU09vwQwhkpOPPYv2Y/edit?usp=sharing"",""งบพรบ!GB73"")"),0)</f>
        <v>0</v>
      </c>
      <c r="N539" s="72">
        <f ca="1">IFERROR(__xludf.DUMMYFUNCTION("IMPORTRANGE(""https://docs.google.com/spreadsheets/d/1-uDff_7J0KD5mKrp0Vvzr7lt3OU09vwQwhkpOPPYv2Y/edit?usp=sharing"",""งบพรบ!GD73"")"),0)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IFERROR(__xludf.DUMMYFUNCTION("IMPORTRANGE(""https://docs.google.com/spreadsheets/d/1-uDff_7J0KD5mKrp0Vvzr7lt3OU09vwQwhkpOPPYv2Y/edit?usp=sharing"",""งบพรบ!FZ73"")"),0)</f>
        <v>0</v>
      </c>
      <c r="M542" s="72">
        <f ca="1">IFERROR(__xludf.DUMMYFUNCTION("IMPORTRANGE(""https://docs.google.com/spreadsheets/d/1-uDff_7J0KD5mKrp0Vvzr7lt3OU09vwQwhkpOPPYv2Y/edit?usp=sharing"",""งบพรบ!GC73"")"),0)</f>
        <v>0</v>
      </c>
      <c r="N542" s="72">
        <f ca="1">IFERROR(__xludf.DUMMYFUNCTION("IMPORTRANGE(""https://docs.google.com/spreadsheets/d/1-uDff_7J0KD5mKrp0Vvzr7lt3OU09vwQwhkpOPPYv2Y/edit?usp=sharing"",""งบพรบ!GE73"")"),0)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IFERROR(__xludf.DUMMYFUNCTION("IMPORTRANGE(""https://docs.google.com/spreadsheets/d/1-uDff_7J0KD5mKrp0Vvzr7lt3OU09vwQwhkpOPPYv2Y/edit?usp=sharing"",""งบพรบ!GG73"")"),0)</f>
        <v>0</v>
      </c>
      <c r="M560" s="72">
        <f ca="1">IFERROR(__xludf.DUMMYFUNCTION("IMPORTRANGE(""https://docs.google.com/spreadsheets/d/1-uDff_7J0KD5mKrp0Vvzr7lt3OU09vwQwhkpOPPYv2Y/edit?usp=sharing"",""งบพรบ!GL73"")"),0)</f>
        <v>0</v>
      </c>
      <c r="N560" s="72">
        <f ca="1">IFERROR(__xludf.DUMMYFUNCTION("IMPORTRANGE(""https://docs.google.com/spreadsheets/d/1-uDff_7J0KD5mKrp0Vvzr7lt3OU09vwQwhkpOPPYv2Y/edit?usp=sharing"",""งบพรบ!GN73"")"),0)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IFERROR(__xludf.DUMMYFUNCTION("IMPORTRANGE(""https://docs.google.com/spreadsheets/d/1-uDff_7J0KD5mKrp0Vvzr7lt3OU09vwQwhkpOPPYv2Y/edit?usp=sharing"",""งบพรบ!GJ73"")"),0)</f>
        <v>0</v>
      </c>
      <c r="M563" s="72">
        <f ca="1">IFERROR(__xludf.DUMMYFUNCTION("IMPORTRANGE(""https://docs.google.com/spreadsheets/d/1-uDff_7J0KD5mKrp0Vvzr7lt3OU09vwQwhkpOPPYv2Y/edit?usp=sharing"",""งบพรบ!GM73"")"),0)</f>
        <v>0</v>
      </c>
      <c r="N563" s="72">
        <f ca="1">IFERROR(__xludf.DUMMYFUNCTION("IMPORTRANGE(""https://docs.google.com/spreadsheets/d/1-uDff_7J0KD5mKrp0Vvzr7lt3OU09vwQwhkpOPPYv2Y/edit?usp=sharing"",""งบพรบ!GO73"")"),0)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IFERROR(__xludf.DUMMYFUNCTION("IMPORTRANGE(""https://docs.google.com/spreadsheets/d/1-uDff_7J0KD5mKrp0Vvzr7lt3OU09vwQwhkpOPPYv2Y/edit?usp=sharing"",""งบพรบ!GQ73"")"),0)</f>
        <v>0</v>
      </c>
      <c r="M581" s="72">
        <f ca="1">IFERROR(__xludf.DUMMYFUNCTION("IMPORTRANGE(""https://docs.google.com/spreadsheets/d/1-uDff_7J0KD5mKrp0Vvzr7lt3OU09vwQwhkpOPPYv2Y/edit?usp=sharing"",""งบพรบ!GV73"")"),0)</f>
        <v>0</v>
      </c>
      <c r="N581" s="72">
        <f ca="1">IFERROR(__xludf.DUMMYFUNCTION("IMPORTRANGE(""https://docs.google.com/spreadsheets/d/1-uDff_7J0KD5mKrp0Vvzr7lt3OU09vwQwhkpOPPYv2Y/edit?usp=sharing"",""งบพรบ!GX73"")"),0)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IFERROR(__xludf.DUMMYFUNCTION("IMPORTRANGE(""https://docs.google.com/spreadsheets/d/1-uDff_7J0KD5mKrp0Vvzr7lt3OU09vwQwhkpOPPYv2Y/edit?usp=sharing"",""งบพรบ!GT73"")"),0)</f>
        <v>0</v>
      </c>
      <c r="M584" s="72">
        <f ca="1">IFERROR(__xludf.DUMMYFUNCTION("IMPORTRANGE(""https://docs.google.com/spreadsheets/d/1-uDff_7J0KD5mKrp0Vvzr7lt3OU09vwQwhkpOPPYv2Y/edit?usp=sharing"",""งบพรบ!GW73"")"),0)</f>
        <v>0</v>
      </c>
      <c r="N584" s="72">
        <f ca="1">IFERROR(__xludf.DUMMYFUNCTION("IMPORTRANGE(""https://docs.google.com/spreadsheets/d/1-uDff_7J0KD5mKrp0Vvzr7lt3OU09vwQwhkpOPPYv2Y/edit?usp=sharing"",""งบพรบ!GY73"")"),0)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5359</v>
      </c>
      <c r="M599" s="211">
        <f ca="1">M600+M601</f>
        <v>5359</v>
      </c>
      <c r="N599" s="211">
        <f ca="1">N600+N601</f>
        <v>0</v>
      </c>
      <c r="O599" s="211">
        <f t="shared" ref="O599:O607" ca="1" si="149">IF(L599&gt;0,N599*100/L599,0)</f>
        <v>0</v>
      </c>
      <c r="P599" s="211">
        <f t="shared" ref="P599:P607" ca="1" si="150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5359</v>
      </c>
      <c r="M601" s="86">
        <f t="shared" ca="1" si="153"/>
        <v>5359</v>
      </c>
      <c r="N601" s="86">
        <f t="shared" ca="1" si="153"/>
        <v>0</v>
      </c>
      <c r="O601" s="86">
        <f t="shared" ca="1" si="149"/>
        <v>0</v>
      </c>
      <c r="P601" s="86">
        <f t="shared" ca="1" si="150"/>
        <v>0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9.5" x14ac:dyDescent="0.3">
      <c r="A602" s="207"/>
      <c r="B602" s="367"/>
      <c r="C602" s="367"/>
      <c r="D602" s="941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5">
        <f ca="1">L603+L604</f>
        <v>5359</v>
      </c>
      <c r="M602" s="86">
        <f ca="1">M603+M604</f>
        <v>5359</v>
      </c>
      <c r="N602" s="86">
        <f ca="1">N603+N604</f>
        <v>0</v>
      </c>
      <c r="O602" s="86">
        <f t="shared" ca="1" si="149"/>
        <v>0</v>
      </c>
      <c r="P602" s="86">
        <f t="shared" ca="1" si="150"/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IFERROR(__xludf.DUMMYFUNCTION("IMPORTRANGE(""https://docs.google.com/spreadsheets/d/1-uDff_7J0KD5mKrp0Vvzr7lt3OU09vwQwhkpOPPYv2Y/edit?usp=sharing"",""งบพรบ!HK73"")"),5359)</f>
        <v>5359</v>
      </c>
      <c r="M604" s="86">
        <f ca="1">IFERROR(__xludf.DUMMYFUNCTION("IMPORTRANGE(""https://docs.google.com/spreadsheets/d/1-uDff_7J0KD5mKrp0Vvzr7lt3OU09vwQwhkpOPPYv2Y/edit?usp=sharing"",""งบพรบ!HP73"")"),5359)</f>
        <v>5359</v>
      </c>
      <c r="N604" s="86">
        <f ca="1">IFERROR(__xludf.DUMMYFUNCTION("IMPORTRANGE(""https://docs.google.com/spreadsheets/d/1-uDff_7J0KD5mKrp0Vvzr7lt3OU09vwQwhkpOPPYv2Y/edit?usp=sharing"",""งบพรบ!HR73"")"),0)</f>
        <v>0</v>
      </c>
      <c r="O604" s="86">
        <f t="shared" ca="1" si="149"/>
        <v>0</v>
      </c>
      <c r="P604" s="86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IFERROR(__xludf.DUMMYFUNCTION("IMPORTRANGE(""https://docs.google.com/spreadsheets/d/1ItG2mGa2ceCfYo0BwxsXqNm01IGEUdYcSSLTEv9YCik/edit?usp=sharing"",""เบิกจ่ายกองทุน!AV73"")"),0)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IFERROR(__xludf.DUMMYFUNCTION("IMPORTRANGE(""https://docs.google.com/spreadsheets/d/1ItG2mGa2ceCfYo0BwxsXqNm01IGEUdYcSSLTEv9YCik/edit?usp=sharing"",""เบิกจ่ายกองทุน!AW73"")"),0)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IFERROR(__xludf.DUMMYFUNCTION("IMPORTRANGE(""https://docs.google.com/spreadsheets/d/1ItG2mGa2ceCfYo0BwxsXqNm01IGEUdYcSSLTEv9YCik/edit?usp=sharing"",""เบิกจ่ายกองทุน!AX73"")"),0)</f>
        <v>0</v>
      </c>
      <c r="T604" s="86">
        <f t="shared" ca="1" si="151"/>
        <v>0</v>
      </c>
      <c r="U604" s="86">
        <f t="shared" ca="1" si="152"/>
        <v>0</v>
      </c>
    </row>
    <row r="605" spans="1:21" ht="19.5" x14ac:dyDescent="0.3">
      <c r="A605" s="207"/>
      <c r="B605" s="367"/>
      <c r="C605" s="367"/>
      <c r="D605" s="941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IFERROR(__xludf.DUMMYFUNCTION("IMPORTRANGE(""https://docs.google.com/spreadsheets/d/1-uDff_7J0KD5mKrp0Vvzr7lt3OU09vwQwhkpOPPYv2Y/edit?usp=sharing"",""งบพรบ!HN73"")"),0)</f>
        <v>0</v>
      </c>
      <c r="M607" s="86">
        <f ca="1">IFERROR(__xludf.DUMMYFUNCTION("IMPORTRANGE(""https://docs.google.com/spreadsheets/d/1-uDff_7J0KD5mKrp0Vvzr7lt3OU09vwQwhkpOPPYv2Y/edit?usp=sharing"",""งบพรบ!HQ73"")"),0)</f>
        <v>0</v>
      </c>
      <c r="N607" s="86">
        <f ca="1">IFERROR(__xludf.DUMMYFUNCTION("IMPORTRANGE(""https://docs.google.com/spreadsheets/d/1-uDff_7J0KD5mKrp0Vvzr7lt3OU09vwQwhkpOPPYv2Y/edit?usp=sharing"",""งบพรบ!HS73"")"),0)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IFERROR(__xludf.DUMMYFUNCTION("IMPORTRANGE(""https://docs.google.com/spreadsheets/d/1ItG2mGa2ceCfYo0BwxsXqNm01IGEUdYcSSLTEv9YCik/edit?usp=sharing"",""เบิกจ่ายกองทุน!AY73"")"),0)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IFERROR(__xludf.DUMMYFUNCTION("IMPORTRANGE(""https://docs.google.com/spreadsheets/d/1ItG2mGa2ceCfYo0BwxsXqNm01IGEUdYcSSLTEv9YCik/edit?usp=sharing"",""เบิกจ่ายกองทุน!AZ73"")"),0)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IFERROR(__xludf.DUMMYFUNCTION("IMPORTRANGE(""https://docs.google.com/spreadsheets/d/1ItG2mGa2ceCfYo0BwxsXqNm01IGEUdYcSSLTEv9YCik/edit?usp=sharing"",""เบิกจ่ายกองทุน!BA73"")"),0)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30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4675</v>
      </c>
      <c r="R616" s="262">
        <f ca="1">R617+R618</f>
        <v>4675</v>
      </c>
      <c r="S616" s="262">
        <f ca="1">S617+S618</f>
        <v>1000</v>
      </c>
      <c r="T616" s="262">
        <f t="shared" ref="T616:T624" ca="1" si="157">IF(Q616&gt;0,S616*100/Q616,0)</f>
        <v>21.390374331550802</v>
      </c>
      <c r="U616" s="262">
        <f t="shared" ref="U616:U624" ca="1" si="158">IF(R616&gt;0,S616*100/R616,0)</f>
        <v>21.390374331550802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4675</v>
      </c>
      <c r="R618" s="72">
        <f t="shared" ca="1" si="160"/>
        <v>4675</v>
      </c>
      <c r="S618" s="72">
        <f t="shared" ca="1" si="160"/>
        <v>1000</v>
      </c>
      <c r="T618" s="72">
        <f t="shared" ca="1" si="157"/>
        <v>21.390374331550802</v>
      </c>
      <c r="U618" s="72">
        <f t="shared" ca="1" si="158"/>
        <v>21.390374331550802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4675</v>
      </c>
      <c r="R619" s="72">
        <f ca="1">R620+R621</f>
        <v>4675</v>
      </c>
      <c r="S619" s="72">
        <f ca="1">S620+S621</f>
        <v>1000</v>
      </c>
      <c r="T619" s="72">
        <f t="shared" ca="1" si="157"/>
        <v>21.390374331550802</v>
      </c>
      <c r="U619" s="72">
        <f t="shared" ca="1" si="158"/>
        <v>21.390374331550802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IFERROR(__xludf.DUMMYFUNCTION("IMPORTRANGE(""https://docs.google.com/spreadsheets/d/1ItG2mGa2ceCfYo0BwxsXqNm01IGEUdYcSSLTEv9YCik/edit?usp=sharing"",""เบิกจ่ายกองทุน!F73"")"),4675)</f>
        <v>4675</v>
      </c>
      <c r="R621" s="72">
        <f ca="1">IFERROR(__xludf.DUMMYFUNCTION("IMPORTRANGE(""https://docs.google.com/spreadsheets/d/1ItG2mGa2ceCfYo0BwxsXqNm01IGEUdYcSSLTEv9YCik/edit?usp=sharing"",""เบิกจ่ายกองทุน!G73"")"),4675)</f>
        <v>4675</v>
      </c>
      <c r="S621" s="72">
        <f ca="1">IFERROR(__xludf.DUMMYFUNCTION("IMPORTRANGE(""https://docs.google.com/spreadsheets/d/1ItG2mGa2ceCfYo0BwxsXqNm01IGEUdYcSSLTEv9YCik/edit?usp=sharing"",""เบิกจ่ายกองทุน!H73"")"),1000)</f>
        <v>1000</v>
      </c>
      <c r="T621" s="72">
        <f t="shared" ca="1" si="157"/>
        <v>21.390374331550802</v>
      </c>
      <c r="U621" s="72">
        <f t="shared" ca="1" si="158"/>
        <v>21.390374331550802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IFERROR(__xludf.DUMMYFUNCTION("IMPORTRANGE(""https://docs.google.com/spreadsheets/d/1eHaY18a8A9IcSdp1K8H6x8fbOy06t2VsZHhMHf-1x7Y/edit?usp=sharing"",""แผน!ID73"")"),30)</f>
        <v>30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IFERROR(__xludf.DUMMYFUNCTION("IMPORTRANGE(""https://docs.google.com/spreadsheets/d/1eHaY18a8A9IcSdp1K8H6x8fbOy06t2VsZHhMHf-1x7Y/edit?usp=sharing"",""แผน!IC73"")"),0)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IFERROR(__xludf.DUMMYFUNCTION("IMPORTRANGE(""https://docs.google.com/spreadsheets/d/1eHaY18a8A9IcSdp1K8H6x8fbOy06t2VsZHhMHf-1x7Y/edit?usp=sharing"",""แผน!IC73"")"),0)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60</v>
      </c>
      <c r="K629" s="72">
        <f ca="1">IF(I$626&gt;0,J629*100/I$626,0)</f>
        <v>200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IFERROR(__xludf.DUMMYFUNCTION("IMPORTRANGE(""https://docs.google.com/spreadsheets/d/1eHaY18a8A9IcSdp1K8H6x8fbOy06t2VsZHhMHf-1x7Y/edit?usp=sharing"",""แผน!IE73"")"),0)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15160</v>
      </c>
      <c r="R642" s="262">
        <f ca="1">R643+R644</f>
        <v>15160</v>
      </c>
      <c r="S642" s="262">
        <f ca="1">S643+S644</f>
        <v>1000</v>
      </c>
      <c r="T642" s="262">
        <f t="shared" ref="T642:T650" ca="1" si="163">IF(Q642&gt;0,S642*100/Q642,0)</f>
        <v>6.5963060686015833</v>
      </c>
      <c r="U642" s="262">
        <f t="shared" ref="U642:U650" ca="1" si="164">IF(R642&gt;0,S642*100/R642,0)</f>
        <v>6.5963060686015833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15160</v>
      </c>
      <c r="R644" s="72">
        <f t="shared" ca="1" si="166"/>
        <v>15160</v>
      </c>
      <c r="S644" s="72">
        <f t="shared" ca="1" si="166"/>
        <v>1000</v>
      </c>
      <c r="T644" s="72">
        <f t="shared" ca="1" si="163"/>
        <v>6.5963060686015833</v>
      </c>
      <c r="U644" s="72">
        <f t="shared" ca="1" si="164"/>
        <v>6.5963060686015833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15160</v>
      </c>
      <c r="R645" s="72">
        <f ca="1">R646+R647</f>
        <v>15160</v>
      </c>
      <c r="S645" s="72">
        <f ca="1">S646+S647</f>
        <v>1000</v>
      </c>
      <c r="T645" s="72">
        <f t="shared" ca="1" si="163"/>
        <v>6.5963060686015833</v>
      </c>
      <c r="U645" s="72">
        <f t="shared" ca="1" si="164"/>
        <v>6.5963060686015833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IFERROR(__xludf.DUMMYFUNCTION("IMPORTRANGE(""https://docs.google.com/spreadsheets/d/1ItG2mGa2ceCfYo0BwxsXqNm01IGEUdYcSSLTEv9YCik/edit?usp=sharing"",""เบิกจ่ายกองทุน!I73"")"),15160)</f>
        <v>15160</v>
      </c>
      <c r="R647" s="72">
        <f ca="1">IFERROR(__xludf.DUMMYFUNCTION("IMPORTRANGE(""https://docs.google.com/spreadsheets/d/1ItG2mGa2ceCfYo0BwxsXqNm01IGEUdYcSSLTEv9YCik/edit?usp=sharing"",""เบิกจ่ายกองทุน!J73"")"),15160)</f>
        <v>15160</v>
      </c>
      <c r="S647" s="72">
        <f ca="1">IFERROR(__xludf.DUMMYFUNCTION("IMPORTRANGE(""https://docs.google.com/spreadsheets/d/1ItG2mGa2ceCfYo0BwxsXqNm01IGEUdYcSSLTEv9YCik/edit?usp=sharing"",""เบิกจ่ายกองทุน!K73"")"),1000)</f>
        <v>1000</v>
      </c>
      <c r="T647" s="72">
        <f t="shared" ca="1" si="163"/>
        <v>6.5963060686015833</v>
      </c>
      <c r="U647" s="72">
        <f t="shared" ca="1" si="164"/>
        <v>6.5963060686015833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IFERROR(__xludf.DUMMYFUNCTION("IMPORTRANGE(""https://docs.google.com/spreadsheets/d/1eHaY18a8A9IcSdp1K8H6x8fbOy06t2VsZHhMHf-1x7Y/edit?usp=sharing"",""แผน!IF73"")"),0)</f>
        <v>0</v>
      </c>
      <c r="J652" s="291">
        <f ca="1">IFERROR(__xludf.DUMMYFUNCTION("IMPORTRANGE(""https://docs.google.com/spreadsheets/d/1tdoBKaGub7dwA3U6UFTqxio9LNnvDCQjHKmttSEBsFQ/edit?usp=sharing"",""จัดที่ดิน!AU73"")"),0)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IFERROR(__xludf.DUMMYFUNCTION("IMPORTRANGE(""https://docs.google.com/spreadsheets/d/1eHaY18a8A9IcSdp1K8H6x8fbOy06t2VsZHhMHf-1x7Y/edit?usp=sharing"",""แผน!IG73"")"),41)</f>
        <v>41</v>
      </c>
      <c r="J653" s="291">
        <f ca="1">IFERROR(__xludf.DUMMYFUNCTION("IMPORTRANGE(""https://docs.google.com/spreadsheets/d/1tdoBKaGub7dwA3U6UFTqxio9LNnvDCQjHKmttSEBsFQ/edit?usp=sharing"",""จัดที่ดิน!AW73"")"),0)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IFERROR(__xludf.DUMMYFUNCTION("IMPORTRANGE(""https://docs.google.com/spreadsheets/d/1eHaY18a8A9IcSdp1K8H6x8fbOy06t2VsZHhMHf-1x7Y/edit?usp=sharing"",""แผน!IH73"")"),0)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IFERROR(__xludf.DUMMYFUNCTION("IMPORTRANGE(""https://docs.google.com/spreadsheets/d/1eHaY18a8A9IcSdp1K8H6x8fbOy06t2VsZHhMHf-1x7Y/edit?usp=sharing"",""แผน!II73"")"),0)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IFERROR(__xludf.DUMMYFUNCTION("IMPORTRANGE(""https://docs.google.com/spreadsheets/d/1eHaY18a8A9IcSdp1K8H6x8fbOy06t2VsZHhMHf-1x7Y/edit?usp=sharing"",""แผน!IJ73"")"),0)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IFERROR(__xludf.DUMMYFUNCTION("IMPORTRANGE(""https://docs.google.com/spreadsheets/d/1eHaY18a8A9IcSdp1K8H6x8fbOy06t2VsZHhMHf-1x7Y/edit?usp=sharing"",""แผน!IK73"")"),228)</f>
        <v>228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IFERROR(__xludf.DUMMYFUNCTION("IMPORTRANGE(""https://docs.google.com/spreadsheets/d/1tdoBKaGub7dwA3U6UFTqxio9LNnvDCQjHKmttSEBsFQ/edit?usp=sharing"",""จัดที่ดิน!AY73"")"),0)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IFERROR(__xludf.DUMMYFUNCTION("IMPORTRANGE(""https://docs.google.com/spreadsheets/d/1tdoBKaGub7dwA3U6UFTqxio9LNnvDCQjHKmttSEBsFQ/edit?usp=sharing"",""จัดที่ดิน!AZ73"")"),0)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IFERROR(__xludf.DUMMYFUNCTION("IMPORTRANGE(""https://docs.google.com/spreadsheets/d/1eHaY18a8A9IcSdp1K8H6x8fbOy06t2VsZHhMHf-1x7Y/edit?usp=sharing"",""แผน!IL73"")"),0)</f>
        <v>0</v>
      </c>
      <c r="J673" s="291">
        <f ca="1">IFERROR(__xludf.DUMMYFUNCTION("IMPORTRANGE(""https://docs.google.com/spreadsheets/d/1tdoBKaGub7dwA3U6UFTqxio9LNnvDCQjHKmttSEBsFQ/edit?usp=sharing"",""จัดที่ดิน!BA73"")"),0)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IFERROR(__xludf.DUMMYFUNCTION("IMPORTRANGE(""https://docs.google.com/spreadsheets/d/1eHaY18a8A9IcSdp1K8H6x8fbOy06t2VsZHhMHf-1x7Y/edit?usp=sharing"",""แผน!IM73"")"),1)</f>
        <v>1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IFERROR(__xludf.DUMMYFUNCTION("IMPORTRANGE(""https://docs.google.com/spreadsheets/d/1eHaY18a8A9IcSdp1K8H6x8fbOy06t2VsZHhMHf-1x7Y/edit?usp=sharing"",""แผน!IN73"")"),6)</f>
        <v>6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IFERROR(__xludf.DUMMYFUNCTION("IMPORTRANGE(""https://docs.google.com/spreadsheets/d/1eHaY18a8A9IcSdp1K8H6x8fbOy06t2VsZHhMHf-1x7Y/edit?usp=sharing"",""แผน!IO73"")"),1)</f>
        <v>1</v>
      </c>
      <c r="J676" s="291">
        <f ca="1">IFERROR(__xludf.DUMMYFUNCTION("IMPORTRANGE(""https://docs.google.com/spreadsheets/d/1tdoBKaGub7dwA3U6UFTqxio9LNnvDCQjHKmttSEBsFQ/edit?usp=sharing"",""จัดที่ดิน!BF73"")"),0)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IFERROR(__xludf.DUMMYFUNCTION("IMPORTRANGE(""https://docs.google.com/spreadsheets/d/1tdoBKaGub7dwA3U6UFTqxio9LNnvDCQjHKmttSEBsFQ/edit?usp=sharing"",""จัดที่ดิน!BG73"")"),0)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IFERROR(__xludf.DUMMYFUNCTION("IMPORTRANGE(""https://docs.google.com/spreadsheets/d/1eHaY18a8A9IcSdp1K8H6x8fbOy06t2VsZHhMHf-1x7Y/edit?usp=sharing"",""แผน!IP73"")"),6)</f>
        <v>6</v>
      </c>
      <c r="J678" s="291">
        <f ca="1">IFERROR(__xludf.DUMMYFUNCTION("IMPORTRANGE(""https://docs.google.com/spreadsheets/d/1tdoBKaGub7dwA3U6UFTqxio9LNnvDCQjHKmttSEBsFQ/edit?usp=sharing"",""จัดที่ดิน!BH73"")"),0)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IFERROR(__xludf.DUMMYFUNCTION("IMPORTRANGE(""https://docs.google.com/spreadsheets/d/1eHaY18a8A9IcSdp1K8H6x8fbOy06t2VsZHhMHf-1x7Y/edit?usp=sharing"",""แผน!IQ73"")"),0)</f>
        <v>0</v>
      </c>
      <c r="J679" s="291">
        <f ca="1">IFERROR(__xludf.DUMMYFUNCTION("IMPORTRANGE(""https://docs.google.com/spreadsheets/d/1tdoBKaGub7dwA3U6UFTqxio9LNnvDCQjHKmttSEBsFQ/edit?usp=sharing"",""จัดที่ดิน!BK73"")"),0)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IFERROR(__xludf.DUMMYFUNCTION("IMPORTRANGE(""https://docs.google.com/spreadsheets/d/1tdoBKaGub7dwA3U6UFTqxio9LNnvDCQjHKmttSEBsFQ/edit?usp=sharing"",""จัดที่ดิน!BL73"")"),0)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IFERROR(__xludf.DUMMYFUNCTION("IMPORTRANGE(""https://docs.google.com/spreadsheets/d/1eHaY18a8A9IcSdp1K8H6x8fbOy06t2VsZHhMHf-1x7Y/edit?usp=sharing"",""แผน!IR73"")"),0)</f>
        <v>0</v>
      </c>
      <c r="J681" s="291">
        <f ca="1">IFERROR(__xludf.DUMMYFUNCTION("IMPORTRANGE(""https://docs.google.com/spreadsheets/d/1tdoBKaGub7dwA3U6UFTqxio9LNnvDCQjHKmttSEBsFQ/edit?usp=sharing"",""จัดที่ดิน!BM73"")"),0)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IFERROR(__xludf.DUMMYFUNCTION("IMPORTRANGE(""https://docs.google.com/spreadsheets/d/1eHaY18a8A9IcSdp1K8H6x8fbOy06t2VsZHhMHf-1x7Y/edit?usp=sharing"",""แผน!IS73"")"),0)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hidden="1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hidden="1" x14ac:dyDescent="0.3">
      <c r="A690" s="255"/>
      <c r="B690" s="267"/>
      <c r="C690" s="304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0</v>
      </c>
      <c r="R692" s="72">
        <f t="shared" ca="1" si="172"/>
        <v>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IFERROR(__xludf.DUMMYFUNCTION("IMPORTRANGE(""https://docs.google.com/spreadsheets/d/1ItG2mGa2ceCfYo0BwxsXqNm01IGEUdYcSSLTEv9YCik/edit?usp=sharing"",""เบิกจ่ายกองทุน!L73"")"),0)</f>
        <v>0</v>
      </c>
      <c r="R695" s="72">
        <f ca="1">IFERROR(__xludf.DUMMYFUNCTION("IMPORTRANGE(""https://docs.google.com/spreadsheets/d/1ItG2mGa2ceCfYo0BwxsXqNm01IGEUdYcSSLTEv9YCik/edit?usp=sharing"",""เบิกจ่ายกองทุน!M73"")"),0)</f>
        <v>0</v>
      </c>
      <c r="S695" s="72">
        <f ca="1">IFERROR(__xludf.DUMMYFUNCTION("IMPORTRANGE(""https://docs.google.com/spreadsheets/d/1ItG2mGa2ceCfYo0BwxsXqNm01IGEUdYcSSLTEv9YCik/edit?usp=sharing"",""เบิกจ่ายกองทุน!N73"")"),0)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hidden="1" x14ac:dyDescent="0.3">
      <c r="A699" s="274"/>
      <c r="B699" s="275"/>
      <c r="C699" s="304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IFERROR(__xludf.DUMMYFUNCTION("IMPORTRANGE(""https://docs.google.com/spreadsheets/d/1eHaY18a8A9IcSdp1K8H6x8fbOy06t2VsZHhMHf-1x7Y/edit?usp=sharing"",""แผน!LC73"")"),0)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0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IFERROR(__xludf.DUMMYFUNCTION("IMPORTRANGE(""https://docs.google.com/spreadsheets/d/1eHaY18a8A9IcSdp1K8H6x8fbOy06t2VsZHhMHf-1x7Y/edit?usp=sharing"",""แผน!LJ73"")"),0)</f>
        <v>0</v>
      </c>
      <c r="J703" s="291">
        <f ca="1">IFERROR(__xludf.DUMMYFUNCTION("IMPORTRANGE(""https://docs.google.com/spreadsheets/d/1tdoBKaGub7dwA3U6UFTqxio9LNnvDCQjHKmttSEBsFQ/edit?usp=sharing"",""จัดที่ดิน!AP73"")"),0)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IFERROR(__xludf.DUMMYFUNCTION("IMPORTRANGE(""https://docs.google.com/spreadsheets/d/1tdoBKaGub7dwA3U6UFTqxio9LNnvDCQjHKmttSEBsFQ/edit?usp=sharing"",""จัดที่ดิน!AQ73"")"),0)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IFERROR(__xludf.DUMMYFUNCTION("IMPORTRANGE(""https://docs.google.com/spreadsheets/d/1eHaY18a8A9IcSdp1K8H6x8fbOy06t2VsZHhMHf-1x7Y/edit?usp=sharing"",""แผน!LK73"")"),0)</f>
        <v>0</v>
      </c>
      <c r="J705" s="291">
        <f ca="1">IFERROR(__xludf.DUMMYFUNCTION("IMPORTRANGE(""https://docs.google.com/spreadsheets/d/1tdoBKaGub7dwA3U6UFTqxio9LNnvDCQjHKmttSEBsFQ/edit?usp=sharing"",""จัดที่ดิน!AR73"")"),0)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IFERROR(__xludf.DUMMYFUNCTION("IMPORTRANGE(""https://docs.google.com/spreadsheets/d/1tdoBKaGub7dwA3U6UFTqxio9LNnvDCQjHKmttSEBsFQ/edit?usp=sharing"",""จัดที่ดิน!AS73"")"),0)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IFERROR(__xludf.DUMMYFUNCTION("IMPORTRANGE(""https://docs.google.com/spreadsheets/d/1eHaY18a8A9IcSdp1K8H6x8fbOy06t2VsZHhMHf-1x7Y/edit?usp=sharing"",""แผน!LJ73"")"),0)</f>
        <v>0</v>
      </c>
      <c r="J707" s="291">
        <f ca="1">IFERROR(__xludf.DUMMYFUNCTION("IMPORTRANGE(""https://docs.google.com/spreadsheets/d/1tdoBKaGub7dwA3U6UFTqxio9LNnvDCQjHKmttSEBsFQ/edit?usp=sharing"",""จัดที่ดิน!BN73"")"),0)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IFERROR(__xludf.DUMMYFUNCTION("IMPORTRANGE(""https://docs.google.com/spreadsheets/d/1tdoBKaGub7dwA3U6UFTqxio9LNnvDCQjHKmttSEBsFQ/edit?usp=sharing"",""จัดที่ดิน!BO73"")"),0)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IFERROR(__xludf.DUMMYFUNCTION("IMPORTRANGE(""https://docs.google.com/spreadsheets/d/1eHaY18a8A9IcSdp1K8H6x8fbOy06t2VsZHhMHf-1x7Y/edit?usp=sharing"",""แผน!LK73"")"),0)</f>
        <v>0</v>
      </c>
      <c r="J709" s="291">
        <f ca="1">IFERROR(__xludf.DUMMYFUNCTION("IMPORTRANGE(""https://docs.google.com/spreadsheets/d/1tdoBKaGub7dwA3U6UFTqxio9LNnvDCQjHKmttSEBsFQ/edit?usp=sharing"",""จัดที่ดิน!BP73"")"),0)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IFERROR(__xludf.DUMMYFUNCTION("IMPORTRANGE(""https://docs.google.com/spreadsheets/d/1tdoBKaGub7dwA3U6UFTqxio9LNnvDCQjHKmttSEBsFQ/edit?usp=sharing"",""จัดที่ดิน!BQ73"")"),0)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IFERROR(__xludf.DUMMYFUNCTION("IMPORTRANGE(""https://docs.google.com/spreadsheets/d/1eHaY18a8A9IcSdp1K8H6x8fbOy06t2VsZHhMHf-1x7Y/edit?usp=sharing"",""แผน!FZ73"")"),0)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IFERROR(__xludf.DUMMYFUNCTION("IMPORTRANGE(""https://docs.google.com/spreadsheets/d/1eHaY18a8A9IcSdp1K8H6x8fbOy06t2VsZHhMHf-1x7Y/edit?usp=sharing"",""แผน!GA73"")"),0)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IFERROR(__xludf.DUMMYFUNCTION("IMPORTRANGE(""https://docs.google.com/spreadsheets/d/1ItG2mGa2ceCfYo0BwxsXqNm01IGEUdYcSSLTEv9YCik/edit?usp=sharing"",""เบิกจ่ายกองทุน!O73"")"),0)</f>
        <v>0</v>
      </c>
      <c r="R733" s="72">
        <f ca="1">IFERROR(__xludf.DUMMYFUNCTION("IMPORTRANGE(""https://docs.google.com/spreadsheets/d/1ItG2mGa2ceCfYo0BwxsXqNm01IGEUdYcSSLTEv9YCik/edit?usp=sharing"",""เบิกจ่ายกองทุน!P73"")"),0)</f>
        <v>0</v>
      </c>
      <c r="S733" s="72">
        <f ca="1">IFERROR(__xludf.DUMMYFUNCTION("IMPORTRANGE(""https://docs.google.com/spreadsheets/d/1ItG2mGa2ceCfYo0BwxsXqNm01IGEUdYcSSLTEv9YCik/edit?usp=sharing"",""เบิกจ่ายกองทุน!Q73"")"),0)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IFERROR(__xludf.DUMMYFUNCTION("IMPORTRANGE(""https://docs.google.com/spreadsheets/d/1eHaY18a8A9IcSdp1K8H6x8fbOy06t2VsZHhMHf-1x7Y/edit?usp=sharing"",""แผน!GB73"")"),0)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IFERROR(__xludf.DUMMYFUNCTION("IMPORTRANGE(""https://docs.google.com/spreadsheets/d/1eHaY18a8A9IcSdp1K8H6x8fbOy06t2VsZHhMHf-1x7Y/edit?usp=sharing"",""แผน!GC73"")"),0)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IFERROR(__xludf.DUMMYFUNCTION("IMPORTRANGE(""https://docs.google.com/spreadsheets/d/1eHaY18a8A9IcSdp1K8H6x8fbOy06t2VsZHhMHf-1x7Y/edit?usp=sharing"",""แผน!GD73"")"),0)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IFERROR(__xludf.DUMMYFUNCTION("IMPORTRANGE(""https://docs.google.com/spreadsheets/d/1eHaY18a8A9IcSdp1K8H6x8fbOy06t2VsZHhMHf-1x7Y/edit?usp=sharing"",""แผน!GE73"")"),0)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IFERROR(__xludf.DUMMYFUNCTION("IMPORTRANGE(""https://docs.google.com/spreadsheets/d/1eHaY18a8A9IcSdp1K8H6x8fbOy06t2VsZHhMHf-1x7Y/edit?usp=sharing"",""แผน!GF73"")"),0)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IFERROR(__xludf.DUMMYFUNCTION("IMPORTRANGE(""https://docs.google.com/spreadsheets/d/1eHaY18a8A9IcSdp1K8H6x8fbOy06t2VsZHhMHf-1x7Y/edit?usp=sharing"",""แผน!GC73"")"),0)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IFERROR(__xludf.DUMMYFUNCTION("IMPORTRANGE(""https://docs.google.com/spreadsheets/d/1eHaY18a8A9IcSdp1K8H6x8fbOy06t2VsZHhMHf-1x7Y/edit?usp=sharing"",""แผน!GE73"")"),0)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15</v>
      </c>
      <c r="J758" s="743">
        <f>J772</f>
        <v>15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30</v>
      </c>
      <c r="J759" s="743">
        <f>J774</f>
        <v>30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115510</v>
      </c>
      <c r="R760" s="262">
        <f ca="1">R761+R762</f>
        <v>115510</v>
      </c>
      <c r="S760" s="262">
        <f ca="1">S761+S762</f>
        <v>17315</v>
      </c>
      <c r="T760" s="262">
        <f t="shared" ref="T760:T768" ca="1" si="188">IF(Q760&gt;0,S760*100/Q760,0)</f>
        <v>14.99004415202147</v>
      </c>
      <c r="U760" s="262">
        <f t="shared" ref="U760:U768" ca="1" si="189">IF(R760&gt;0,S760*100/R760,0)</f>
        <v>14.99004415202147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115510</v>
      </c>
      <c r="R762" s="72">
        <f t="shared" ca="1" si="191"/>
        <v>115510</v>
      </c>
      <c r="S762" s="72">
        <f t="shared" ca="1" si="191"/>
        <v>17315</v>
      </c>
      <c r="T762" s="72">
        <f t="shared" ca="1" si="188"/>
        <v>14.99004415202147</v>
      </c>
      <c r="U762" s="72">
        <f t="shared" ca="1" si="189"/>
        <v>14.99004415202147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115510</v>
      </c>
      <c r="R763" s="72">
        <f ca="1">R764+R765</f>
        <v>115510</v>
      </c>
      <c r="S763" s="72">
        <f ca="1">S764+S765</f>
        <v>17315</v>
      </c>
      <c r="T763" s="72">
        <f t="shared" ca="1" si="188"/>
        <v>14.99004415202147</v>
      </c>
      <c r="U763" s="72">
        <f t="shared" ca="1" si="189"/>
        <v>14.99004415202147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IFERROR(__xludf.DUMMYFUNCTION("IMPORTRANGE(""https://docs.google.com/spreadsheets/d/1ItG2mGa2ceCfYo0BwxsXqNm01IGEUdYcSSLTEv9YCik/edit?usp=sharing"",""เบิกจ่ายกองทุน!AA73"")"),115510)</f>
        <v>115510</v>
      </c>
      <c r="R765" s="72">
        <f ca="1">IFERROR(__xludf.DUMMYFUNCTION("IMPORTRANGE(""https://docs.google.com/spreadsheets/d/1ItG2mGa2ceCfYo0BwxsXqNm01IGEUdYcSSLTEv9YCik/edit?usp=sharing"",""เบิกจ่ายกองทุน!AB73"")"),115510)</f>
        <v>115510</v>
      </c>
      <c r="S765" s="72">
        <f ca="1">IFERROR(__xludf.DUMMYFUNCTION("IMPORTRANGE(""https://docs.google.com/spreadsheets/d/1ItG2mGa2ceCfYo0BwxsXqNm01IGEUdYcSSLTEv9YCik/edit?usp=sharing"",""เบิกจ่ายกองทุน!AC73"")"),17315)</f>
        <v>17315</v>
      </c>
      <c r="T765" s="72">
        <f t="shared" ca="1" si="188"/>
        <v>14.99004415202147</v>
      </c>
      <c r="U765" s="72">
        <f t="shared" ca="1" si="189"/>
        <v>14.99004415202147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IFERROR(__xludf.DUMMYFUNCTION("IMPORTRANGE(""https://docs.google.com/spreadsheets/d/1eHaY18a8A9IcSdp1K8H6x8fbOy06t2VsZHhMHf-1x7Y/edit?usp=sharing"",""แผน!FI73"")"),0)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IFERROR(__xludf.DUMMYFUNCTION("IMPORTRANGE(""https://docs.google.com/spreadsheets/d/1eHaY18a8A9IcSdp1K8H6x8fbOy06t2VsZHhMHf-1x7Y/edit?usp=sharing"",""แผน!FQ73"")"),15)</f>
        <v>15</v>
      </c>
      <c r="J772" s="292">
        <v>15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IFERROR(__xludf.DUMMYFUNCTION("IMPORTRANGE(""https://docs.google.com/spreadsheets/d/1eHaY18a8A9IcSdp1K8H6x8fbOy06t2VsZHhMHf-1x7Y/edit?usp=sharing"",""แผน!FR73"")"),30)</f>
        <v>30</v>
      </c>
      <c r="J774" s="292">
        <v>30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IFERROR(__xludf.DUMMYFUNCTION("IMPORTRANGE(""https://docs.google.com/spreadsheets/d/1eHaY18a8A9IcSdp1K8H6x8fbOy06t2VsZHhMHf-1x7Y/edit?usp=sharing"",""แผน!FS73"")"),30)</f>
        <v>30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IFERROR(__xludf.DUMMYFUNCTION("IMPORTRANGE(""https://docs.google.com/spreadsheets/d/1eHaY18a8A9IcSdp1K8H6x8fbOy06t2VsZHhMHf-1x7Y/edit?usp=sharing"",""แผน!FT73"")"),15)</f>
        <v>15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IFERROR(__xludf.DUMMYFUNCTION("IMPORTRANGE(""https://docs.google.com/spreadsheets/d/10OvvATaaLtwErnr3qtWFcTmtbfpFEt5Bsqel9sXx0uE/edit?usp=sharing"",""งานกองทุน!D73"")"),0)</f>
        <v>0</v>
      </c>
      <c r="J778" s="291">
        <f ca="1">IFERROR(__xludf.DUMMYFUNCTION("IMPORTRANGE(""https://docs.google.com/spreadsheets/d/10OvvATaaLtwErnr3qtWFcTmtbfpFEt5Bsqel9sXx0uE/edit?usp=sharing"",""งานกองทุน!F73"")"),0)</f>
        <v>0</v>
      </c>
      <c r="K778" s="72">
        <f t="shared" ref="K778:K785" ca="1" si="192">IF(I778&gt;0,J778*100/I778,0)</f>
        <v>0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IFERROR(__xludf.DUMMYFUNCTION("IMPORTRANGE(""https://docs.google.com/spreadsheets/d/10OvvATaaLtwErnr3qtWFcTmtbfpFEt5Bsqel9sXx0uE/edit?usp=sharing"",""งานกองทุน!C73"")"),0)</f>
        <v>0</v>
      </c>
      <c r="J779" s="291">
        <f ca="1">IFERROR(__xludf.DUMMYFUNCTION("IMPORTRANGE(""https://docs.google.com/spreadsheets/d/10OvvATaaLtwErnr3qtWFcTmtbfpFEt5Bsqel9sXx0uE/edit?usp=sharing"",""งานกองทุน!E73"")"),0)</f>
        <v>0</v>
      </c>
      <c r="K779" s="72">
        <f t="shared" ca="1" si="192"/>
        <v>0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IFERROR(__xludf.DUMMYFUNCTION("IMPORTRANGE(""https://docs.google.com/spreadsheets/d/10OvvATaaLtwErnr3qtWFcTmtbfpFEt5Bsqel9sXx0uE/edit?usp=sharing"",""งานกองทุน!I73"")"),0)</f>
        <v>0</v>
      </c>
      <c r="J780" s="291">
        <f ca="1">IFERROR(__xludf.DUMMYFUNCTION("IMPORTRANGE(""https://docs.google.com/spreadsheets/d/10OvvATaaLtwErnr3qtWFcTmtbfpFEt5Bsqel9sXx0uE/edit?usp=sharing"",""งานกองทุน!K73"")"),0)</f>
        <v>0</v>
      </c>
      <c r="K780" s="72">
        <f t="shared" ca="1" si="192"/>
        <v>0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IFERROR(__xludf.DUMMYFUNCTION("IMPORTRANGE(""https://docs.google.com/spreadsheets/d/10OvvATaaLtwErnr3qtWFcTmtbfpFEt5Bsqel9sXx0uE/edit?usp=sharing"",""งานกองทุน!H73"")"),0)</f>
        <v>0</v>
      </c>
      <c r="J781" s="291">
        <f ca="1">IFERROR(__xludf.DUMMYFUNCTION("IMPORTRANGE(""https://docs.google.com/spreadsheets/d/10OvvATaaLtwErnr3qtWFcTmtbfpFEt5Bsqel9sXx0uE/edit?usp=sharing"",""งานกองทุน!J73"")"),0)</f>
        <v>0</v>
      </c>
      <c r="K781" s="72">
        <f t="shared" ca="1" si="192"/>
        <v>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IFERROR(__xludf.DUMMYFUNCTION("IMPORTRANGE(""https://docs.google.com/spreadsheets/d/10OvvATaaLtwErnr3qtWFcTmtbfpFEt5Bsqel9sXx0uE/edit?usp=sharing"",""งานกองทุน!N73"")"),37048.31)</f>
        <v>37048.31</v>
      </c>
      <c r="J782" s="291">
        <f ca="1">IFERROR(__xludf.DUMMYFUNCTION("IMPORTRANGE(""https://docs.google.com/spreadsheets/d/10OvvATaaLtwErnr3qtWFcTmtbfpFEt5Bsqel9sXx0uE/edit?usp=sharing"",""งานกองทุน!P73"")"),37675.81)</f>
        <v>37675.81</v>
      </c>
      <c r="K782" s="72">
        <f t="shared" ca="1" si="192"/>
        <v>101.69373447803693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IFERROR(__xludf.DUMMYFUNCTION("IMPORTRANGE(""https://docs.google.com/spreadsheets/d/10OvvATaaLtwErnr3qtWFcTmtbfpFEt5Bsqel9sXx0uE/edit?usp=sharing"",""งานกองทุน!M73"")"),50)</f>
        <v>50</v>
      </c>
      <c r="J783" s="291">
        <f ca="1">IFERROR(__xludf.DUMMYFUNCTION("IMPORTRANGE(""https://docs.google.com/spreadsheets/d/10OvvATaaLtwErnr3qtWFcTmtbfpFEt5Bsqel9sXx0uE/edit?usp=sharing"",""งานกองทุน!O73"")"),1)</f>
        <v>1</v>
      </c>
      <c r="K783" s="72">
        <f t="shared" ca="1" si="192"/>
        <v>2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IFERROR(__xludf.DUMMYFUNCTION("IMPORTRANGE(""https://docs.google.com/spreadsheets/d/10OvvATaaLtwErnr3qtWFcTmtbfpFEt5Bsqel9sXx0uE/edit?usp=sharing"",""งานกองทุน!S73"")"),168000)</f>
        <v>168000</v>
      </c>
      <c r="J784" s="291">
        <f ca="1">IFERROR(__xludf.DUMMYFUNCTION("IMPORTRANGE(""https://docs.google.com/spreadsheets/d/10OvvATaaLtwErnr3qtWFcTmtbfpFEt5Bsqel9sXx0uE/edit?usp=sharing"",""งานกองทุน!U73"")"),0)</f>
        <v>0</v>
      </c>
      <c r="K784" s="72">
        <f t="shared" ca="1" si="192"/>
        <v>0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IFERROR(__xludf.DUMMYFUNCTION("IMPORTRANGE(""https://docs.google.com/spreadsheets/d/10OvvATaaLtwErnr3qtWFcTmtbfpFEt5Bsqel9sXx0uE/edit?usp=sharing"",""งานกองทุน!R73"")"),6)</f>
        <v>6</v>
      </c>
      <c r="J785" s="773">
        <f ca="1">IFERROR(__xludf.DUMMYFUNCTION("IMPORTRANGE(""https://docs.google.com/spreadsheets/d/10OvvATaaLtwErnr3qtWFcTmtbfpFEt5Bsqel9sXx0uE/edit?usp=sharing"",""งานกองทุน!T73"")"),0)</f>
        <v>0</v>
      </c>
      <c r="K785" s="181">
        <f t="shared" ca="1" si="192"/>
        <v>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8AED9-7C86-4935-AEED-60ADA12BBD7C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337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2">
      <c r="A4" s="1445" t="s">
        <v>2</v>
      </c>
      <c r="B4" s="1405"/>
      <c r="C4" s="1405"/>
      <c r="D4" s="1405"/>
      <c r="E4" s="1405"/>
      <c r="F4" s="1405"/>
      <c r="G4" s="1406"/>
      <c r="H4" s="1437" t="s">
        <v>3</v>
      </c>
      <c r="I4" s="1450" t="s">
        <v>4</v>
      </c>
      <c r="J4" s="1405"/>
      <c r="K4" s="1406"/>
      <c r="L4" s="1438" t="s">
        <v>5</v>
      </c>
      <c r="M4" s="1414"/>
      <c r="N4" s="1414"/>
      <c r="O4" s="1414"/>
      <c r="P4" s="1415"/>
      <c r="Q4" s="1439" t="s">
        <v>6</v>
      </c>
      <c r="R4" s="1414"/>
      <c r="S4" s="1414"/>
      <c r="T4" s="1414"/>
      <c r="U4" s="1415"/>
    </row>
    <row r="5" spans="1:21" ht="19.5" x14ac:dyDescent="0.2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34" t="s">
        <v>7</v>
      </c>
      <c r="M5" s="1412"/>
      <c r="N5" s="1435" t="s">
        <v>8</v>
      </c>
      <c r="O5" s="1411"/>
      <c r="P5" s="1412"/>
      <c r="Q5" s="1436" t="s">
        <v>7</v>
      </c>
      <c r="R5" s="1412"/>
      <c r="S5" s="1435" t="s">
        <v>8</v>
      </c>
      <c r="T5" s="1411"/>
      <c r="U5" s="1412"/>
    </row>
    <row r="6" spans="1:21" ht="19.5" x14ac:dyDescent="0.2">
      <c r="A6" s="1410"/>
      <c r="B6" s="1411"/>
      <c r="C6" s="1411"/>
      <c r="D6" s="1411"/>
      <c r="E6" s="1411"/>
      <c r="F6" s="1411"/>
      <c r="G6" s="1412"/>
      <c r="H6" s="1430"/>
      <c r="I6" s="1068" t="s">
        <v>9</v>
      </c>
      <c r="J6" s="1069" t="s">
        <v>10</v>
      </c>
      <c r="K6" s="1068" t="s">
        <v>11</v>
      </c>
      <c r="L6" s="1263" t="s">
        <v>12</v>
      </c>
      <c r="M6" s="1261" t="s">
        <v>13</v>
      </c>
      <c r="N6" s="1260" t="s">
        <v>14</v>
      </c>
      <c r="O6" s="1259" t="s">
        <v>15</v>
      </c>
      <c r="P6" s="1258" t="s">
        <v>16</v>
      </c>
      <c r="Q6" s="1262" t="s">
        <v>12</v>
      </c>
      <c r="R6" s="1261" t="s">
        <v>13</v>
      </c>
      <c r="S6" s="1260" t="s">
        <v>14</v>
      </c>
      <c r="T6" s="1259" t="s">
        <v>15</v>
      </c>
      <c r="U6" s="1258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1252">
        <f ca="1">L19+L20</f>
        <v>2221472</v>
      </c>
      <c r="M18" s="1251">
        <f ca="1">M19+M20</f>
        <v>2394758</v>
      </c>
      <c r="N18" s="1251">
        <f ca="1">N19+N20</f>
        <v>1544249.76</v>
      </c>
      <c r="O18" s="1251">
        <f t="shared" ref="O18:O26" ca="1" si="0">IF(L18&gt;0,N18*100/L18,0)</f>
        <v>69.51470736520649</v>
      </c>
      <c r="P18" s="1251">
        <f t="shared" ref="P18:P26" ca="1" si="1">IF(M18&gt;0,N18*100/M18,0)</f>
        <v>64.484585081248298</v>
      </c>
      <c r="Q18" s="1251">
        <f ca="1">Q19+Q20</f>
        <v>1228809.3900000001</v>
      </c>
      <c r="R18" s="1251">
        <f ca="1">R19+R20</f>
        <v>1228809</v>
      </c>
      <c r="S18" s="1251">
        <f ca="1">S19+S20</f>
        <v>541077.91</v>
      </c>
      <c r="T18" s="1251">
        <f t="shared" ref="T18:T26" ca="1" si="2">IF(Q18&gt;0,S18*100/Q18,0)</f>
        <v>44.032696560041742</v>
      </c>
      <c r="U18" s="1251">
        <f t="shared" ref="U18:U26" ca="1" si="3">IF(R18&gt;0,S18*100/R18,0)</f>
        <v>44.032710535160469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1245">
        <f t="shared" ref="L19:N20" si="4">L22+L25</f>
        <v>0</v>
      </c>
      <c r="M19" s="1244">
        <f t="shared" si="4"/>
        <v>0</v>
      </c>
      <c r="N19" s="1244">
        <f t="shared" si="4"/>
        <v>0</v>
      </c>
      <c r="O19" s="1244">
        <f t="shared" si="0"/>
        <v>0</v>
      </c>
      <c r="P19" s="1244">
        <f t="shared" si="1"/>
        <v>0</v>
      </c>
      <c r="Q19" s="1244">
        <f t="shared" ref="Q19:S20" si="5">Q22+Q25</f>
        <v>0</v>
      </c>
      <c r="R19" s="1244">
        <f t="shared" si="5"/>
        <v>0</v>
      </c>
      <c r="S19" s="1244">
        <f t="shared" si="5"/>
        <v>0</v>
      </c>
      <c r="T19" s="1244">
        <f t="shared" si="2"/>
        <v>0</v>
      </c>
      <c r="U19" s="1244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1243">
        <f t="shared" ca="1" si="4"/>
        <v>2221472</v>
      </c>
      <c r="M20" s="1242">
        <f t="shared" ca="1" si="4"/>
        <v>2394758</v>
      </c>
      <c r="N20" s="1242">
        <f t="shared" ca="1" si="4"/>
        <v>1544249.76</v>
      </c>
      <c r="O20" s="1242">
        <f t="shared" ca="1" si="0"/>
        <v>69.51470736520649</v>
      </c>
      <c r="P20" s="1242">
        <f t="shared" ca="1" si="1"/>
        <v>64.484585081248298</v>
      </c>
      <c r="Q20" s="1242">
        <f t="shared" ca="1" si="5"/>
        <v>1228809.3900000001</v>
      </c>
      <c r="R20" s="1242">
        <f t="shared" ca="1" si="5"/>
        <v>1228809</v>
      </c>
      <c r="S20" s="1242">
        <f t="shared" ca="1" si="5"/>
        <v>541077.91</v>
      </c>
      <c r="T20" s="1242">
        <f t="shared" ca="1" si="2"/>
        <v>44.032696560041742</v>
      </c>
      <c r="U20" s="1242">
        <f t="shared" ca="1" si="3"/>
        <v>44.032710535160469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2221472</v>
      </c>
      <c r="M21" s="130">
        <f ca="1">M22+M23</f>
        <v>2394758</v>
      </c>
      <c r="N21" s="130">
        <f ca="1">N22+N23</f>
        <v>1544249.76</v>
      </c>
      <c r="O21" s="130">
        <f t="shared" ca="1" si="0"/>
        <v>69.51470736520649</v>
      </c>
      <c r="P21" s="130">
        <f t="shared" ca="1" si="1"/>
        <v>64.484585081248298</v>
      </c>
      <c r="Q21" s="130">
        <f ca="1">Q22+Q23</f>
        <v>1228809.3900000001</v>
      </c>
      <c r="R21" s="130">
        <f ca="1">R22+R23</f>
        <v>1228809</v>
      </c>
      <c r="S21" s="130">
        <f ca="1">S22+S23</f>
        <v>541077.91</v>
      </c>
      <c r="T21" s="130">
        <f t="shared" ca="1" si="2"/>
        <v>44.032696560041742</v>
      </c>
      <c r="U21" s="130">
        <f t="shared" ca="1" si="3"/>
        <v>44.032710535160469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2221472</v>
      </c>
      <c r="M23" s="130">
        <f ca="1">M49+M64+M77+M99+M122+M144+M162+M191+M178+M271+M287+M308+M325+M338+M361+M380+M418+M498+M518+M539+M560+M581+M604+M621+M647+M695+M719+M733+M765</f>
        <v>2394758</v>
      </c>
      <c r="N23" s="130">
        <f ca="1">N49+N64+N77+N99+N122+N144+N162+N191+N178+N271+N287+N308+N325+N338+N361+N380+N418+N498+N518+N539+N560+N581+N604+N621+N647+N695+N719+N733+N765</f>
        <v>1544249.76</v>
      </c>
      <c r="O23" s="130">
        <f t="shared" ca="1" si="0"/>
        <v>69.51470736520649</v>
      </c>
      <c r="P23" s="130">
        <f t="shared" ca="1" si="1"/>
        <v>64.484585081248298</v>
      </c>
      <c r="Q23" s="130">
        <f t="shared" ca="1" si="6"/>
        <v>1228809.3900000001</v>
      </c>
      <c r="R23" s="130">
        <f t="shared" ca="1" si="6"/>
        <v>1228809</v>
      </c>
      <c r="S23" s="130">
        <f t="shared" ca="1" si="6"/>
        <v>541077.91</v>
      </c>
      <c r="T23" s="130">
        <f t="shared" ca="1" si="2"/>
        <v>44.032696560041742</v>
      </c>
      <c r="U23" s="130">
        <f t="shared" ca="1" si="3"/>
        <v>44.032710535160469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0</v>
      </c>
      <c r="M24" s="130">
        <f ca="1">M25+M26</f>
        <v>0</v>
      </c>
      <c r="N24" s="130">
        <f ca="1">N25+N26</f>
        <v>0</v>
      </c>
      <c r="O24" s="130">
        <f t="shared" ca="1" si="0"/>
        <v>0</v>
      </c>
      <c r="P24" s="130">
        <f t="shared" ca="1" si="1"/>
        <v>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0</v>
      </c>
      <c r="M26" s="130">
        <f ca="1">M52+M67+M80+M102+M125+M147+M165+M194+M181+M274+M290+M311+M328+M341+M364+M383+M421+M501+M521+M542+M563+M584+M607+M624+M650+M698+M722+M736+M768</f>
        <v>0</v>
      </c>
      <c r="N26" s="130">
        <f ca="1">N52+N67+N80+N102+N125+N147+N165+N194+N181+N274+N290+N311+N328+N341+N364+N383+N421+N501+N521+N542+N563+N584+N607+N624+N650+N698+N722+N736+N768</f>
        <v>0</v>
      </c>
      <c r="O26" s="130">
        <f t="shared" ca="1" si="0"/>
        <v>0</v>
      </c>
      <c r="P26" s="130">
        <f t="shared" ca="1" si="1"/>
        <v>0</v>
      </c>
      <c r="Q26" s="131">
        <f t="shared" ca="1" si="7"/>
        <v>0</v>
      </c>
      <c r="R26" s="131">
        <f t="shared" ca="1" si="7"/>
        <v>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230">
        <f ca="1">L44+L59+L72+L94+L125+L139+L157+L173+L186+L266+L282+L303+L320+L333+L356</f>
        <v>2200132</v>
      </c>
      <c r="M40" s="1229">
        <f ca="1">M44+M59+M72+M94+M125+M139+M157+M173+M186+M266+M282+M303+M320+M333+M356</f>
        <v>2373418</v>
      </c>
      <c r="N40" s="1229">
        <f ca="1">N44+N59+N72+N94+N125+N139+N157+N173+N186+N266+N282+N303+N320+N333+N356</f>
        <v>1538129.76</v>
      </c>
      <c r="O40" s="1229">
        <f ca="1">IF(L40&gt;0,N40*100/L40,0)</f>
        <v>69.910794443242494</v>
      </c>
      <c r="P40" s="1229">
        <f ca="1">IF(M40&gt;0,N40*100/M40,0)</f>
        <v>64.806526284034248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225">
        <f ca="1">L45+L46</f>
        <v>309212</v>
      </c>
      <c r="M44" s="1224">
        <f ca="1">M45+M46</f>
        <v>401558</v>
      </c>
      <c r="N44" s="1224">
        <f ca="1">N45+N46</f>
        <v>323153</v>
      </c>
      <c r="O44" s="1224">
        <f t="shared" ref="O44:O52" ca="1" si="8">IF(L44&gt;0,N44*100/L44,0)</f>
        <v>104.50855723581232</v>
      </c>
      <c r="P44" s="1224">
        <f t="shared" ref="P44:P52" ca="1" si="9">IF(M44&gt;0,N44*100/M44,0)</f>
        <v>80.474800651462559</v>
      </c>
      <c r="Q44" s="1224">
        <f>Q45+Q46</f>
        <v>0</v>
      </c>
      <c r="R44" s="1224">
        <f>R45+R46</f>
        <v>0</v>
      </c>
      <c r="S44" s="1224">
        <f>S45+S46</f>
        <v>0</v>
      </c>
      <c r="T44" s="1224">
        <f t="shared" ref="T44:T52" si="10">IF(Q44&gt;0,S44*100/Q44,0)</f>
        <v>0</v>
      </c>
      <c r="U44" s="1224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27">
        <f t="shared" ca="1" si="12"/>
        <v>309212</v>
      </c>
      <c r="M46" s="128">
        <f t="shared" ca="1" si="12"/>
        <v>401558</v>
      </c>
      <c r="N46" s="128">
        <f t="shared" ca="1" si="12"/>
        <v>323153</v>
      </c>
      <c r="O46" s="128">
        <f t="shared" ca="1" si="8"/>
        <v>104.50855723581232</v>
      </c>
      <c r="P46" s="128">
        <f t="shared" ca="1" si="9"/>
        <v>80.474800651462559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309212</v>
      </c>
      <c r="M47" s="130">
        <f ca="1">M48+M49</f>
        <v>401558</v>
      </c>
      <c r="N47" s="130">
        <f ca="1">N48+N49</f>
        <v>323153</v>
      </c>
      <c r="O47" s="130">
        <f t="shared" ca="1" si="8"/>
        <v>104.50855723581232</v>
      </c>
      <c r="P47" s="130">
        <f t="shared" ca="1" si="9"/>
        <v>80.474800651462559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IFERROR(__xludf.DUMMYFUNCTION("IMPORTRANGE(""https://docs.google.com/spreadsheets/d/1-uDff_7J0KD5mKrp0Vvzr7lt3OU09vwQwhkpOPPYv2Y/edit?usp=sharing"",""งบพรบ!P54"")"),309212)</f>
        <v>309212</v>
      </c>
      <c r="M49" s="130">
        <f ca="1">IFERROR(__xludf.DUMMYFUNCTION("IMPORTRANGE(""https://docs.google.com/spreadsheets/d/1-uDff_7J0KD5mKrp0Vvzr7lt3OU09vwQwhkpOPPYv2Y/edit?usp=sharing"",""งบพรบ!V54"")"),401558)</f>
        <v>401558</v>
      </c>
      <c r="N49" s="130">
        <f ca="1">IFERROR(__xludf.DUMMYFUNCTION("IMPORTRANGE(""https://docs.google.com/spreadsheets/d/1-uDff_7J0KD5mKrp0Vvzr7lt3OU09vwQwhkpOPPYv2Y/edit?usp=sharing"",""งบพรบ!Y54"")"),323153)</f>
        <v>323153</v>
      </c>
      <c r="O49" s="130">
        <f t="shared" ca="1" si="8"/>
        <v>104.50855723581232</v>
      </c>
      <c r="P49" s="130">
        <f t="shared" ca="1" si="9"/>
        <v>80.474800651462559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IFERROR(__xludf.DUMMYFUNCTION("IMPORTRANGE(""https://docs.google.com/spreadsheets/d/1-uDff_7J0KD5mKrp0Vvzr7lt3OU09vwQwhkpOPPYv2Y/edit?usp=sharing"",""งบพรบ!S54"")"),0)</f>
        <v>0</v>
      </c>
      <c r="M52" s="130">
        <f ca="1">IFERROR(__xludf.DUMMYFUNCTION("IMPORTRANGE(""https://docs.google.com/spreadsheets/d/1-uDff_7J0KD5mKrp0Vvzr7lt3OU09vwQwhkpOPPYv2Y/edit?usp=sharing"",""งบพรบ!W54"")"),0)</f>
        <v>0</v>
      </c>
      <c r="N52" s="130">
        <f ca="1">IFERROR(__xludf.DUMMYFUNCTION("IMPORTRANGE(""https://docs.google.com/spreadsheets/d/1-uDff_7J0KD5mKrp0Vvzr7lt3OU09vwQwhkpOPPYv2Y/edit?usp=sharing"",""งบพรบ!Z54"")"),0)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63">
        <f ca="1">L60+L61</f>
        <v>625000</v>
      </c>
      <c r="M59" s="164">
        <f ca="1">M60+M61</f>
        <v>625000</v>
      </c>
      <c r="N59" s="164">
        <f ca="1">N60+N61</f>
        <v>439630.02</v>
      </c>
      <c r="O59" s="164">
        <f t="shared" ref="O59:O67" ca="1" si="14">IF(L59&gt;0,N59*100/L59,0)</f>
        <v>70.340803199999996</v>
      </c>
      <c r="P59" s="164">
        <f t="shared" ref="P59:P67" ca="1" si="15">IF(M59&gt;0,N59*100/M59,0)</f>
        <v>70.340803199999996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170">
        <f t="shared" ca="1" si="18"/>
        <v>625000</v>
      </c>
      <c r="M61" s="171">
        <f t="shared" ca="1" si="18"/>
        <v>625000</v>
      </c>
      <c r="N61" s="171">
        <f t="shared" ca="1" si="18"/>
        <v>439630.02</v>
      </c>
      <c r="O61" s="171">
        <f t="shared" ca="1" si="14"/>
        <v>70.340803199999996</v>
      </c>
      <c r="P61" s="171">
        <f t="shared" ca="1" si="15"/>
        <v>70.340803199999996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625000</v>
      </c>
      <c r="M62" s="130">
        <f ca="1">M63+M64</f>
        <v>625000</v>
      </c>
      <c r="N62" s="130">
        <f ca="1">N63+N64</f>
        <v>439630.02</v>
      </c>
      <c r="O62" s="130">
        <f t="shared" ca="1" si="14"/>
        <v>70.340803199999996</v>
      </c>
      <c r="P62" s="130">
        <f t="shared" ca="1" si="15"/>
        <v>70.340803199999996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IFERROR(__xludf.DUMMYFUNCTION("IMPORTRANGE(""https://docs.google.com/spreadsheets/d/1-uDff_7J0KD5mKrp0Vvzr7lt3OU09vwQwhkpOPPYv2Y/edit?usp=sharing"",""งบพรบ!AC54"")"),625000)</f>
        <v>625000</v>
      </c>
      <c r="M64" s="130">
        <f ca="1">IFERROR(__xludf.DUMMYFUNCTION("IMPORTRANGE(""https://docs.google.com/spreadsheets/d/1-uDff_7J0KD5mKrp0Vvzr7lt3OU09vwQwhkpOPPYv2Y/edit?usp=sharing"",""งบพรบ!AH54"")"),625000)</f>
        <v>625000</v>
      </c>
      <c r="N64" s="130">
        <f ca="1">IFERROR(__xludf.DUMMYFUNCTION("IMPORTRANGE(""https://docs.google.com/spreadsheets/d/1-uDff_7J0KD5mKrp0Vvzr7lt3OU09vwQwhkpOPPYv2Y/edit?usp=sharing"",""งบพรบ!AJ54"")"),439630.02)</f>
        <v>439630.02</v>
      </c>
      <c r="O64" s="130">
        <f t="shared" ca="1" si="14"/>
        <v>70.340803199999996</v>
      </c>
      <c r="P64" s="130">
        <f t="shared" ca="1" si="15"/>
        <v>70.340803199999996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0</v>
      </c>
      <c r="M65" s="130">
        <f ca="1">M66+M67</f>
        <v>0</v>
      </c>
      <c r="N65" s="130">
        <f ca="1">N66+N67</f>
        <v>0</v>
      </c>
      <c r="O65" s="130">
        <f t="shared" ca="1" si="14"/>
        <v>0</v>
      </c>
      <c r="P65" s="130">
        <f t="shared" ca="1" si="15"/>
        <v>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208">
        <f ca="1">IFERROR(__xludf.DUMMYFUNCTION("IMPORTRANGE(""https://docs.google.com/spreadsheets/d/1-uDff_7J0KD5mKrp0Vvzr7lt3OU09vwQwhkpOPPYv2Y/edit?usp=sharing"",""งบพรบ!AF54"")"),0)</f>
        <v>0</v>
      </c>
      <c r="M67" s="182">
        <f ca="1">IFERROR(__xludf.DUMMYFUNCTION("IMPORTRANGE(""https://docs.google.com/spreadsheets/d/1-uDff_7J0KD5mKrp0Vvzr7lt3OU09vwQwhkpOPPYv2Y/edit?usp=sharing"",""งบพรบ!AI54"")"),0)</f>
        <v>0</v>
      </c>
      <c r="N67" s="182">
        <f ca="1">IFERROR(__xludf.DUMMYFUNCTION("IMPORTRANGE(""https://docs.google.com/spreadsheets/d/1-uDff_7J0KD5mKrp0Vvzr7lt3OU09vwQwhkpOPPYv2Y/edit?usp=sharing"",""งบพรบ!AK54"")"),0)</f>
        <v>0</v>
      </c>
      <c r="O67" s="182">
        <f t="shared" ca="1" si="14"/>
        <v>0</v>
      </c>
      <c r="P67" s="182">
        <f t="shared" ca="1" si="15"/>
        <v>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IFERROR(__xludf.DUMMYFUNCTION("IMPORTRANGE(""https://docs.google.com/spreadsheets/d/1-uDff_7J0KD5mKrp0Vvzr7lt3OU09vwQwhkpOPPYv2Y/edit?usp=sharing"",""งบพรบ!AM54"")"),0)</f>
        <v>0</v>
      </c>
      <c r="M77" s="130">
        <f ca="1">IFERROR(__xludf.DUMMYFUNCTION("IMPORTRANGE(""https://docs.google.com/spreadsheets/d/1-uDff_7J0KD5mKrp0Vvzr7lt3OU09vwQwhkpOPPYv2Y/edit?usp=sharing"",""งบพรบ!AR54"")"),0)</f>
        <v>0</v>
      </c>
      <c r="N77" s="130">
        <f ca="1">IFERROR(__xludf.DUMMYFUNCTION("IMPORTRANGE(""https://docs.google.com/spreadsheets/d/1-uDff_7J0KD5mKrp0Vvzr7lt3OU09vwQwhkpOPPYv2Y/edit?usp=sharing"",""งบพรบ!AT54"")"),0)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IFERROR(__xludf.DUMMYFUNCTION("IMPORTRANGE(""https://docs.google.com/spreadsheets/d/1ItG2mGa2ceCfYo0BwxsXqNm01IGEUdYcSSLTEv9YCik/edit?usp=sharing"",""เบิกจ่ายกองทุน!BH54"")"),0)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IFERROR(__xludf.DUMMYFUNCTION("IMPORTRANGE(""https://docs.google.com/spreadsheets/d/1ItG2mGa2ceCfYo0BwxsXqNm01IGEUdYcSSLTEv9YCik/edit?usp=sharing"",""เบิกจ่ายกองทุน!BI54"")"),0)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IFERROR(__xludf.DUMMYFUNCTION("IMPORTRANGE(""https://docs.google.com/spreadsheets/d/1ItG2mGa2ceCfYo0BwxsXqNm01IGEUdYcSSLTEv9YCik/edit?usp=sharing"",""เบิกจ่ายกองทุน!BJ54"")"),0)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2">
        <v>0</v>
      </c>
      <c r="S79" s="72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IFERROR(__xludf.DUMMYFUNCTION("IMPORTRANGE(""https://docs.google.com/spreadsheets/d/1-uDff_7J0KD5mKrp0Vvzr7lt3OU09vwQwhkpOPPYv2Y/edit?usp=sharing"",""งบพรบ!AP54"")"),0)</f>
        <v>0</v>
      </c>
      <c r="M80" s="130">
        <f ca="1">IFERROR(__xludf.DUMMYFUNCTION("IMPORTRANGE(""https://docs.google.com/spreadsheets/d/1-uDff_7J0KD5mKrp0Vvzr7lt3OU09vwQwhkpOPPYv2Y/edit?usp=sharing"",""งบพรบ!AS54"")"),0)</f>
        <v>0</v>
      </c>
      <c r="N80" s="130">
        <f ca="1">IFERROR(__xludf.DUMMYFUNCTION("IMPORTRANGE(""https://docs.google.com/spreadsheets/d/1-uDff_7J0KD5mKrp0Vvzr7lt3OU09vwQwhkpOPPYv2Y/edit?usp=sharing"",""งบพรบ!AU54"")"),0)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IFERROR(__xludf.DUMMYFUNCTION("IMPORTRANGE(""https://docs.google.com/spreadsheets/d/1ItG2mGa2ceCfYo0BwxsXqNm01IGEUdYcSSLTEv9YCik/edit?usp=sharing"",""เบิกจ่ายกองทุน!BK54"")"),0)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IFERROR(__xludf.DUMMYFUNCTION("IMPORTRANGE(""https://docs.google.com/spreadsheets/d/1ItG2mGa2ceCfYo0BwxsXqNm01IGEUdYcSSLTEv9YCik/edit?usp=sharing"",""เบิกจ่ายกองทุน!BL54"")"),0)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IFERROR(__xludf.DUMMYFUNCTION("IMPORTRANGE(""https://docs.google.com/spreadsheets/d/1ItG2mGa2ceCfYo0BwxsXqNm01IGEUdYcSSLTEv9YCik/edit?usp=sharing"",""เบิกจ่ายกองทุน!BM54"")"),0)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IFERROR(__xludf.DUMMYFUNCTION("IMPORTRANGE(""https://docs.google.com/spreadsheets/d/1eHaY18a8A9IcSdp1K8H6x8fbOy06t2VsZHhMHf-1x7Y/edit?usp=sharing"",""แผน!H54"")"),0)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IFERROR(__xludf.DUMMYFUNCTION("IMPORTRANGE(""https://docs.google.com/spreadsheets/d/1eHaY18a8A9IcSdp1K8H6x8fbOy06t2VsZHhMHf-1x7Y/edit?usp=sharing"",""แผน!I54"")"),0)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IFERROR(__xludf.DUMMYFUNCTION("IMPORTRANGE(""https://docs.google.com/spreadsheets/d/1eHaY18a8A9IcSdp1K8H6x8fbOy06t2VsZHhMHf-1x7Y/edit?usp=sharing"",""แผน!F54"")"),0)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IFERROR(__xludf.DUMMYFUNCTION("IMPORTRANGE(""https://docs.google.com/spreadsheets/d/1eHaY18a8A9IcSdp1K8H6x8fbOy06t2VsZHhMHf-1x7Y/edit?usp=sharing"",""แผน!G54"")"),0)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IFERROR(__xludf.DUMMYFUNCTION("IMPORTRANGE(""https://docs.google.com/spreadsheets/d/1eHaY18a8A9IcSdp1K8H6x8fbOy06t2VsZHhMHf-1x7Y/edit?usp=sharing"",""แผน!D54"")"),0)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IFERROR(__xludf.DUMMYFUNCTION("IMPORTRANGE(""https://docs.google.com/spreadsheets/d/1eHaY18a8A9IcSdp1K8H6x8fbOy06t2VsZHhMHf-1x7Y/edit?usp=sharing"",""แผน!E54"")"),0)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IFERROR(__xludf.DUMMYFUNCTION("IMPORTRANGE(""https://docs.google.com/spreadsheets/d/1eHaY18a8A9IcSdp1K8H6x8fbOy06t2VsZHhMHf-1x7Y/edit?usp=sharing"",""แผน!J54"")"),0)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7200</v>
      </c>
      <c r="M94" s="213">
        <f ca="1">M95+M96</f>
        <v>7200</v>
      </c>
      <c r="N94" s="213">
        <f ca="1">N95+N96</f>
        <v>7200</v>
      </c>
      <c r="O94" s="213">
        <f t="shared" ref="O94:O102" ca="1" si="27">IF(L94&gt;0,N94*100/L94,0)</f>
        <v>100</v>
      </c>
      <c r="P94" s="213">
        <f t="shared" ref="P94:P102" ca="1" si="28">IF(M94&gt;0,N94*100/M94,0)</f>
        <v>100</v>
      </c>
      <c r="Q94" s="213">
        <f ca="1">Q95+Q96</f>
        <v>101304</v>
      </c>
      <c r="R94" s="213">
        <f ca="1">R95+R96</f>
        <v>101304</v>
      </c>
      <c r="S94" s="213">
        <f ca="1">S95+S96</f>
        <v>58740</v>
      </c>
      <c r="T94" s="213">
        <f t="shared" ref="T94:T102" ca="1" si="29">IF(Q94&gt;0,S94*100/Q94,0)</f>
        <v>57.983890073442311</v>
      </c>
      <c r="U94" s="213">
        <f t="shared" ref="U94:U102" ca="1" si="30">IF(R94&gt;0,S94*100/R94,0)</f>
        <v>57.983890073442311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t="shared" ca="1" si="31"/>
        <v>7200</v>
      </c>
      <c r="M96" s="130">
        <f t="shared" ca="1" si="31"/>
        <v>7200</v>
      </c>
      <c r="N96" s="130">
        <f t="shared" ca="1" si="31"/>
        <v>7200</v>
      </c>
      <c r="O96" s="130">
        <f t="shared" ca="1" si="27"/>
        <v>100</v>
      </c>
      <c r="P96" s="130">
        <f t="shared" ca="1" si="28"/>
        <v>100</v>
      </c>
      <c r="Q96" s="130">
        <f t="shared" ca="1" si="32"/>
        <v>101304</v>
      </c>
      <c r="R96" s="130">
        <f t="shared" ca="1" si="32"/>
        <v>101304</v>
      </c>
      <c r="S96" s="130">
        <f t="shared" ca="1" si="32"/>
        <v>58740</v>
      </c>
      <c r="T96" s="130">
        <f t="shared" ca="1" si="29"/>
        <v>57.983890073442311</v>
      </c>
      <c r="U96" s="130">
        <f t="shared" ca="1" si="30"/>
        <v>57.983890073442311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7200</v>
      </c>
      <c r="M97" s="130">
        <f ca="1">M98+M99</f>
        <v>7200</v>
      </c>
      <c r="N97" s="130">
        <f ca="1">N98+N99</f>
        <v>7200</v>
      </c>
      <c r="O97" s="130">
        <f t="shared" ca="1" si="27"/>
        <v>100</v>
      </c>
      <c r="P97" s="130">
        <f t="shared" ca="1" si="28"/>
        <v>100</v>
      </c>
      <c r="Q97" s="130">
        <f ca="1">Q98+Q99</f>
        <v>101304</v>
      </c>
      <c r="R97" s="130">
        <f ca="1">R98+R99</f>
        <v>101304</v>
      </c>
      <c r="S97" s="130">
        <f ca="1">S98+S99</f>
        <v>58740</v>
      </c>
      <c r="T97" s="130">
        <f t="shared" ca="1" si="29"/>
        <v>57.983890073442311</v>
      </c>
      <c r="U97" s="130">
        <f t="shared" ca="1" si="30"/>
        <v>57.983890073442311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IFERROR(__xludf.DUMMYFUNCTION("IMPORTRANGE(""https://docs.google.com/spreadsheets/d/1-uDff_7J0KD5mKrp0Vvzr7lt3OU09vwQwhkpOPPYv2Y/edit?usp=sharing"",""งบพรบ!AW54"")"),7200)</f>
        <v>7200</v>
      </c>
      <c r="M99" s="130">
        <f ca="1">IFERROR(__xludf.DUMMYFUNCTION("IMPORTRANGE(""https://docs.google.com/spreadsheets/d/1-uDff_7J0KD5mKrp0Vvzr7lt3OU09vwQwhkpOPPYv2Y/edit?usp=sharing"",""งบพรบ!BB54"")"),7200)</f>
        <v>7200</v>
      </c>
      <c r="N99" s="130">
        <f ca="1">IFERROR(__xludf.DUMMYFUNCTION("IMPORTRANGE(""https://docs.google.com/spreadsheets/d/1-uDff_7J0KD5mKrp0Vvzr7lt3OU09vwQwhkpOPPYv2Y/edit?usp=sharing"",""งบพรบ!BD54"")"),7200)</f>
        <v>7200</v>
      </c>
      <c r="O99" s="130">
        <f t="shared" ca="1" si="27"/>
        <v>100</v>
      </c>
      <c r="P99" s="130">
        <f t="shared" ca="1" si="28"/>
        <v>100</v>
      </c>
      <c r="Q99" s="130">
        <f ca="1">IFERROR(__xludf.DUMMYFUNCTION("IMPORTRANGE(""https://docs.google.com/spreadsheets/d/1ItG2mGa2ceCfYo0BwxsXqNm01IGEUdYcSSLTEv9YCik/edit?usp=sharing"",""เบิกจ่ายกองทุน!AJ54"")"),101304)</f>
        <v>101304</v>
      </c>
      <c r="R99" s="130">
        <f ca="1">IFERROR(__xludf.DUMMYFUNCTION("IMPORTRANGE(""https://docs.google.com/spreadsheets/d/1ItG2mGa2ceCfYo0BwxsXqNm01IGEUdYcSSLTEv9YCik/edit?usp=sharing"",""เบิกจ่ายกองทุน!AK54"")"),101304)</f>
        <v>101304</v>
      </c>
      <c r="S99" s="130">
        <f ca="1">IFERROR(__xludf.DUMMYFUNCTION("IMPORTRANGE(""https://docs.google.com/spreadsheets/d/1ItG2mGa2ceCfYo0BwxsXqNm01IGEUdYcSSLTEv9YCik/edit?usp=sharing"",""เบิกจ่ายกองทุน!AL54"")"),58740)</f>
        <v>58740</v>
      </c>
      <c r="T99" s="130">
        <f t="shared" ca="1" si="29"/>
        <v>57.983890073442311</v>
      </c>
      <c r="U99" s="130">
        <f t="shared" ca="1" si="30"/>
        <v>57.983890073442311</v>
      </c>
    </row>
    <row r="100" spans="1:21" ht="18.75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IFERROR(__xludf.DUMMYFUNCTION("IMPORTRANGE(""https://docs.google.com/spreadsheets/d/1-uDff_7J0KD5mKrp0Vvzr7lt3OU09vwQwhkpOPPYv2Y/edit?usp=sharing"",""งบพรบ!AZ54"")"),0)</f>
        <v>0</v>
      </c>
      <c r="M102" s="130">
        <f ca="1">IFERROR(__xludf.DUMMYFUNCTION("IMPORTRANGE(""https://docs.google.com/spreadsheets/d/1-uDff_7J0KD5mKrp0Vvzr7lt3OU09vwQwhkpOPPYv2Y/edit?usp=sharing"",""งบพรบ!BC54"")"),0)</f>
        <v>0</v>
      </c>
      <c r="N102" s="130">
        <f ca="1">IFERROR(__xludf.DUMMYFUNCTION("IMPORTRANGE(""https://docs.google.com/spreadsheets/d/1-uDff_7J0KD5mKrp0Vvzr7lt3OU09vwQwhkpOPPYv2Y/edit?usp=sharing"",""งบพรบ!BE54"")"),0)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IFERROR(__xludf.DUMMYFUNCTION("IMPORTRANGE(""https://docs.google.com/spreadsheets/d/1eHaY18a8A9IcSdp1K8H6x8fbOy06t2VsZHhMHf-1x7Y/edit?usp=sharing"",""แผน!N54"")"),36)</f>
        <v>36</v>
      </c>
      <c r="J108" s="292">
        <v>36</v>
      </c>
      <c r="K108" s="72">
        <f ca="1">IF(I108&gt;0,J108*100/I108,0)</f>
        <v>100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IFERROR(__xludf.DUMMYFUNCTION("IMPORTRANGE(""https://docs.google.com/spreadsheets/d/1eHaY18a8A9IcSdp1K8H6x8fbOy06t2VsZHhMHf-1x7Y/edit?usp=sharing"",""แผน!O54"")"),12)</f>
        <v>12</v>
      </c>
      <c r="J109" s="292">
        <v>12</v>
      </c>
      <c r="K109" s="72">
        <f ca="1">IF(I109&gt;0,J109*100/I109,0)</f>
        <v>100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766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IFERROR(__xludf.DUMMYFUNCTION("IMPORTRANGE(""https://docs.google.com/spreadsheets/d/1eHaY18a8A9IcSdp1K8H6x8fbOy06t2VsZHhMHf-1x7Y/edit?usp=sharing"",""แผน!N54"")"),36)</f>
        <v>36</v>
      </c>
      <c r="J113" s="672">
        <v>36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IFERROR(__xludf.DUMMYFUNCTION("IMPORTRANGE(""https://docs.google.com/spreadsheets/d/1eHaY18a8A9IcSdp1K8H6x8fbOy06t2VsZHhMHf-1x7Y/edit?usp=sharing"",""แผน!O54"")"),12)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2"/>
      <c r="H116" s="1314"/>
      <c r="I116" s="1203">
        <f ca="1">I127</f>
        <v>20</v>
      </c>
      <c r="J116" s="1202">
        <f>J127</f>
        <v>20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152639.91</v>
      </c>
      <c r="T117" s="213">
        <f t="shared" ref="T117:T125" ca="1" si="35">IF(Q117&gt;0,S117*100/Q117,0)</f>
        <v>72.907866832250676</v>
      </c>
      <c r="U117" s="213">
        <f t="shared" ref="U117:U125" ca="1" si="36">IF(R117&gt;0,S117*100/R117,0)</f>
        <v>72.907866832250676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209360</v>
      </c>
      <c r="R119" s="130">
        <f t="shared" ca="1" si="38"/>
        <v>209360</v>
      </c>
      <c r="S119" s="130">
        <f t="shared" ca="1" si="38"/>
        <v>152639.91</v>
      </c>
      <c r="T119" s="130">
        <f t="shared" ca="1" si="35"/>
        <v>72.907866832250676</v>
      </c>
      <c r="U119" s="130">
        <f t="shared" ca="1" si="36"/>
        <v>72.907866832250676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152639.91</v>
      </c>
      <c r="T120" s="130">
        <f t="shared" ca="1" si="35"/>
        <v>72.907866832250676</v>
      </c>
      <c r="U120" s="130">
        <f t="shared" ca="1" si="36"/>
        <v>72.907866832250676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IFERROR(__xludf.DUMMYFUNCTION("IMPORTRANGE(""https://docs.google.com/spreadsheets/d/1-uDff_7J0KD5mKrp0Vvzr7lt3OU09vwQwhkpOPPYv2Y/edit?usp=sharing"",""งบพรบ!BG54"")"),0)</f>
        <v>0</v>
      </c>
      <c r="M122" s="130">
        <f ca="1">IFERROR(__xludf.DUMMYFUNCTION("IMPORTRANGE(""https://docs.google.com/spreadsheets/d/1-uDff_7J0KD5mKrp0Vvzr7lt3OU09vwQwhkpOPPYv2Y/edit?usp=sharing"",""งบพรบ!BL54"")"),0)</f>
        <v>0</v>
      </c>
      <c r="N122" s="130">
        <f ca="1">IFERROR(__xludf.DUMMYFUNCTION("IMPORTRANGE(""https://docs.google.com/spreadsheets/d/1-uDff_7J0KD5mKrp0Vvzr7lt3OU09vwQwhkpOPPYv2Y/edit?usp=sharing"",""งบพรบ!BN54"")"),0)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IFERROR(__xludf.DUMMYFUNCTION("IMPORTRANGE(""https://docs.google.com/spreadsheets/d/1ItG2mGa2ceCfYo0BwxsXqNm01IGEUdYcSSLTEv9YCik/edit?usp=sharing"",""เบิกจ่ายกองทุน!U54"")"),209360)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IFERROR(__xludf.DUMMYFUNCTION("IMPORTRANGE(""https://docs.google.com/spreadsheets/d/1ItG2mGa2ceCfYo0BwxsXqNm01IGEUdYcSSLTEv9YCik/edit?usp=sharing"",""เบิกจ่ายกองทุน!V54"")"),209360)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IFERROR(__xludf.DUMMYFUNCTION("IMPORTRANGE(""https://docs.google.com/spreadsheets/d/1ItG2mGa2ceCfYo0BwxsXqNm01IGEUdYcSSLTEv9YCik/edit?usp=sharing"",""เบิกจ่ายกองทุน!W54"")"),152639.91)</f>
        <v>152639.91</v>
      </c>
      <c r="T122" s="130">
        <f t="shared" ca="1" si="35"/>
        <v>72.907866832250676</v>
      </c>
      <c r="U122" s="130">
        <f t="shared" ca="1" si="36"/>
        <v>72.907866832250676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IFERROR(__xludf.DUMMYFUNCTION("IMPORTRANGE(""https://docs.google.com/spreadsheets/d/1-uDff_7J0KD5mKrp0Vvzr7lt3OU09vwQwhkpOPPYv2Y/edit?usp=sharing"",""งบพรบ!BJ54"")"),0)</f>
        <v>0</v>
      </c>
      <c r="M125" s="130">
        <f ca="1">IFERROR(__xludf.DUMMYFUNCTION("IMPORTRANGE(""https://docs.google.com/spreadsheets/d/1-uDff_7J0KD5mKrp0Vvzr7lt3OU09vwQwhkpOPPYv2Y/edit?usp=sharing"",""งบพรบ!BM54"")"),0)</f>
        <v>0</v>
      </c>
      <c r="N125" s="130">
        <f ca="1">IFERROR(__xludf.DUMMYFUNCTION("IMPORTRANGE(""https://docs.google.com/spreadsheets/d/1-uDff_7J0KD5mKrp0Vvzr7lt3OU09vwQwhkpOPPYv2Y/edit?usp=sharing"",""งบพรบ!BO54"")"),0)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IFERROR(__xludf.DUMMYFUNCTION("IMPORTRANGE(""https://docs.google.com/spreadsheets/d/1ItG2mGa2ceCfYo0BwxsXqNm01IGEUdYcSSLTEv9YCik/edit?usp=sharing"",""เบิกจ่ายกองทุน!X54"")"),0)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IFERROR(__xludf.DUMMYFUNCTION("IMPORTRANGE(""https://docs.google.com/spreadsheets/d/1ItG2mGa2ceCfYo0BwxsXqNm01IGEUdYcSSLTEv9YCik/edit?usp=sharing"",""เบิกจ่ายกองทุน!Y54"")"),0)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IFERROR(__xludf.DUMMYFUNCTION("IMPORTRANGE(""https://docs.google.com/spreadsheets/d/1ItG2mGa2ceCfYo0BwxsXqNm01IGEUdYcSSLTEv9YCik/edit?usp=sharing"",""เบิกจ่ายกองทุน!Z54"")"),0)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602">
        <f ca="1">IFERROR(__xludf.DUMMYFUNCTION("IMPORTRANGE(""https://docs.google.com/spreadsheets/d/1eHaY18a8A9IcSdp1K8H6x8fbOy06t2VsZHhMHf-1x7Y/edit?usp=sharing"",""แผน!FF54"")"),20)</f>
        <v>20</v>
      </c>
      <c r="J127" s="292">
        <v>20</v>
      </c>
      <c r="K127" s="130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602">
        <f ca="1">IFERROR(__xludf.DUMMYFUNCTION("IMPORTRANGE(""https://docs.google.com/spreadsheets/d/1eHaY18a8A9IcSdp1K8H6x8fbOy06t2VsZHhMHf-1x7Y/edit?usp=sharing"",""แผน!FG54"")"),0)</f>
        <v>0</v>
      </c>
      <c r="J128" s="292">
        <v>0</v>
      </c>
      <c r="K128" s="130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602">
        <f ca="1">IFERROR(__xludf.DUMMYFUNCTION("IMPORTRANGE(""https://docs.google.com/spreadsheets/d/1eHaY18a8A9IcSdp1K8H6x8fbOy06t2VsZHhMHf-1x7Y/edit?usp=sharing"",""แผน!FH54"")"),20)</f>
        <v>20</v>
      </c>
      <c r="J129" s="292">
        <v>20</v>
      </c>
      <c r="K129" s="130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602">
        <f ca="1">IFERROR(__xludf.DUMMYFUNCTION("IMPORTRANGE(""https://docs.google.com/spreadsheets/d/1eHaY18a8A9IcSdp1K8H6x8fbOy06t2VsZHhMHf-1x7Y/edit?usp=sharing"",""แผน!FI54"")"),0)</f>
        <v>0</v>
      </c>
      <c r="J130" s="292">
        <v>0</v>
      </c>
      <c r="K130" s="130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0</v>
      </c>
      <c r="M139" s="213">
        <f ca="1">M140+M141</f>
        <v>0</v>
      </c>
      <c r="N139" s="213">
        <f ca="1">N140+N141</f>
        <v>0</v>
      </c>
      <c r="O139" s="213">
        <f t="shared" ref="O139:O147" ca="1" si="39">IF(L139&gt;0,N139*100/L139,0)</f>
        <v>0</v>
      </c>
      <c r="P139" s="213">
        <f t="shared" ref="P139:P147" ca="1" si="40">IF(M139&gt;0,N139*100/M139,0)</f>
        <v>0</v>
      </c>
      <c r="Q139" s="213">
        <f ca="1">Q140+Q141</f>
        <v>0</v>
      </c>
      <c r="R139" s="213">
        <f ca="1">R140+R141</f>
        <v>0</v>
      </c>
      <c r="S139" s="213">
        <f ca="1">S140+S141</f>
        <v>0</v>
      </c>
      <c r="T139" s="213">
        <f t="shared" ref="T139:T147" ca="1" si="41">IF(Q139&gt;0,S139*100/Q139,0)</f>
        <v>0</v>
      </c>
      <c r="U139" s="213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t="shared" ca="1" si="43"/>
        <v>0</v>
      </c>
      <c r="M141" s="130">
        <f t="shared" ca="1" si="43"/>
        <v>0</v>
      </c>
      <c r="N141" s="130">
        <f t="shared" ca="1" si="43"/>
        <v>0</v>
      </c>
      <c r="O141" s="130">
        <f t="shared" ca="1" si="39"/>
        <v>0</v>
      </c>
      <c r="P141" s="130">
        <f t="shared" ca="1" si="40"/>
        <v>0</v>
      </c>
      <c r="Q141" s="130">
        <f t="shared" ca="1" si="44"/>
        <v>0</v>
      </c>
      <c r="R141" s="130">
        <f t="shared" ca="1" si="44"/>
        <v>0</v>
      </c>
      <c r="S141" s="130">
        <f t="shared" ca="1" si="44"/>
        <v>0</v>
      </c>
      <c r="T141" s="130">
        <f t="shared" ca="1" si="41"/>
        <v>0</v>
      </c>
      <c r="U141" s="130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0</v>
      </c>
      <c r="M142" s="130">
        <f ca="1">M143+M144</f>
        <v>0</v>
      </c>
      <c r="N142" s="130">
        <f ca="1">N143+N144</f>
        <v>0</v>
      </c>
      <c r="O142" s="130">
        <f t="shared" ca="1" si="39"/>
        <v>0</v>
      </c>
      <c r="P142" s="130">
        <f t="shared" ca="1" si="40"/>
        <v>0</v>
      </c>
      <c r="Q142" s="130">
        <f ca="1">Q143+Q144</f>
        <v>0</v>
      </c>
      <c r="R142" s="130">
        <f ca="1">R143+R144</f>
        <v>0</v>
      </c>
      <c r="S142" s="130">
        <f ca="1">S143+S144</f>
        <v>0</v>
      </c>
      <c r="T142" s="130">
        <f t="shared" ca="1" si="41"/>
        <v>0</v>
      </c>
      <c r="U142" s="130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IFERROR(__xludf.DUMMYFUNCTION("IMPORTRANGE(""https://docs.google.com/spreadsheets/d/1-uDff_7J0KD5mKrp0Vvzr7lt3OU09vwQwhkpOPPYv2Y/edit?usp=sharing"",""งบพรบ!BQ54"")"),0)</f>
        <v>0</v>
      </c>
      <c r="M144" s="130">
        <f ca="1">IFERROR(__xludf.DUMMYFUNCTION("IMPORTRANGE(""https://docs.google.com/spreadsheets/d/1-uDff_7J0KD5mKrp0Vvzr7lt3OU09vwQwhkpOPPYv2Y/edit?usp=sharing"",""งบพรบ!BV54"")"),0)</f>
        <v>0</v>
      </c>
      <c r="N144" s="130">
        <f ca="1">IFERROR(__xludf.DUMMYFUNCTION("IMPORTRANGE(""https://docs.google.com/spreadsheets/d/1-uDff_7J0KD5mKrp0Vvzr7lt3OU09vwQwhkpOPPYv2Y/edit?usp=sharing"",""งบพรบ!BX54"")"),0)</f>
        <v>0</v>
      </c>
      <c r="O144" s="130">
        <f t="shared" ca="1" si="39"/>
        <v>0</v>
      </c>
      <c r="P144" s="130">
        <f t="shared" ca="1" si="40"/>
        <v>0</v>
      </c>
      <c r="Q144" s="130">
        <f ca="1">IFERROR(__xludf.DUMMYFUNCTION("IMPORTRANGE(""https://docs.google.com/spreadsheets/d/1ItG2mGa2ceCfYo0BwxsXqNm01IGEUdYcSSLTEv9YCik/edit?usp=sharing"",""เบิกจ่ายกองทุน!CF54"")"),0)</f>
        <v>0</v>
      </c>
      <c r="R144" s="130">
        <f ca="1">IFERROR(__xludf.DUMMYFUNCTION("IMPORTRANGE(""https://docs.google.com/spreadsheets/d/1ItG2mGa2ceCfYo0BwxsXqNm01IGEUdYcSSLTEv9YCik/edit?usp=sharing"",""เบิกจ่ายกองทุน!CG54"")"),0)</f>
        <v>0</v>
      </c>
      <c r="S144" s="130">
        <f ca="1">IFERROR(__xludf.DUMMYFUNCTION("IMPORTRANGE(""https://docs.google.com/spreadsheets/d/1ItG2mGa2ceCfYo0BwxsXqNm01IGEUdYcSSLTEv9YCik/edit?usp=sharing"",""เบิกจ่ายกองทุน!CH54"")"),0)</f>
        <v>0</v>
      </c>
      <c r="T144" s="130">
        <f t="shared" ca="1" si="41"/>
        <v>0</v>
      </c>
      <c r="U144" s="130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IFERROR(__xludf.DUMMYFUNCTION("IMPORTRANGE(""https://docs.google.com/spreadsheets/d/1-uDff_7J0KD5mKrp0Vvzr7lt3OU09vwQwhkpOPPYv2Y/edit?usp=sharing"",""งบพรบ!BT54"")"),0)</f>
        <v>0</v>
      </c>
      <c r="M147" s="130">
        <f ca="1">IFERROR(__xludf.DUMMYFUNCTION("IMPORTRANGE(""https://docs.google.com/spreadsheets/d/1-uDff_7J0KD5mKrp0Vvzr7lt3OU09vwQwhkpOPPYv2Y/edit?usp=sharing"",""งบพรบ!BW54"")"),0)</f>
        <v>0</v>
      </c>
      <c r="N147" s="130">
        <f ca="1">IFERROR(__xludf.DUMMYFUNCTION("IMPORTRANGE(""https://docs.google.com/spreadsheets/d/1-uDff_7J0KD5mKrp0Vvzr7lt3OU09vwQwhkpOPPYv2Y/edit?usp=sharing"",""งบพรบ!BY54"")"),0)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IFERROR(__xludf.DUMMYFUNCTION("IMPORTRANGE(""https://docs.google.com/spreadsheets/d/1ItG2mGa2ceCfYo0BwxsXqNm01IGEUdYcSSLTEv9YCik/edit?usp=sharing"",""เบิกจ่ายกองทุน!CI54"")"),0)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IFERROR(__xludf.DUMMYFUNCTION("IMPORTRANGE(""https://docs.google.com/spreadsheets/d/1ItG2mGa2ceCfYo0BwxsXqNm01IGEUdYcSSLTEv9YCik/edit?usp=sharing"",""เบิกจ่ายกองทุน!CJ54"")"),0)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IFERROR(__xludf.DUMMYFUNCTION("IMPORTRANGE(""https://docs.google.com/spreadsheets/d/1ItG2mGa2ceCfYo0BwxsXqNm01IGEUdYcSSLTEv9YCik/edit?usp=sharing"",""เบิกจ่ายกองทุน!CK54"")"),0)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IFERROR(__xludf.DUMMYFUNCTION("IMPORTRANGE(""https://docs.google.com/spreadsheets/d/1eHaY18a8A9IcSdp1K8H6x8fbOy06t2VsZHhMHf-1x7Y/edit?usp=sharing"",""แผน!U54"")"),0)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IFERROR(__xludf.DUMMYFUNCTION("IMPORTRANGE(""https://docs.google.com/spreadsheets/d/1eHaY18a8A9IcSdp1K8H6x8fbOy06t2VsZHhMHf-1x7Y/edit?usp=sharing"",""แผน!V54"")"),0)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IFERROR(__xludf.DUMMYFUNCTION("IMPORTRANGE(""https://docs.google.com/spreadsheets/d/1eHaY18a8A9IcSdp1K8H6x8fbOy06t2VsZHhMHf-1x7Y/edit?usp=sharing"",""แผน!W54"")"),0)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IFERROR(__xludf.DUMMYFUNCTION("IMPORTRANGE(""https://docs.google.com/spreadsheets/d/1eHaY18a8A9IcSdp1K8H6x8fbOy06t2VsZHhMHf-1x7Y/edit?usp=sharing"",""แผน!X54"")"),0)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IFERROR(__xludf.DUMMYFUNCTION("IMPORTRANGE(""https://docs.google.com/spreadsheets/d/1eHaY18a8A9IcSdp1K8H6x8fbOy06t2VsZHhMHf-1x7Y/edit?usp=sharing"",""แผน!Y54"")"),0)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0</v>
      </c>
      <c r="M157" s="213">
        <f ca="1">M158+M159</f>
        <v>0</v>
      </c>
      <c r="N157" s="213">
        <f ca="1">N158+N159</f>
        <v>0</v>
      </c>
      <c r="O157" s="213">
        <f t="shared" ref="O157:O165" ca="1" si="45">IF(L157&gt;0,N157*100/L157,0)</f>
        <v>0</v>
      </c>
      <c r="P157" s="213">
        <f t="shared" ref="P157:P165" ca="1" si="46">IF(M157&gt;0,N157*100/M157,0)</f>
        <v>0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t="shared" ca="1" si="49"/>
        <v>0</v>
      </c>
      <c r="M159" s="130">
        <f t="shared" ca="1" si="49"/>
        <v>0</v>
      </c>
      <c r="N159" s="130">
        <f t="shared" ca="1" si="49"/>
        <v>0</v>
      </c>
      <c r="O159" s="130">
        <f t="shared" ca="1" si="45"/>
        <v>0</v>
      </c>
      <c r="P159" s="130">
        <f t="shared" ca="1" si="46"/>
        <v>0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0</v>
      </c>
      <c r="M160" s="130">
        <f ca="1">M161+M162</f>
        <v>0</v>
      </c>
      <c r="N160" s="130">
        <f ca="1">N161+N162</f>
        <v>0</v>
      </c>
      <c r="O160" s="130">
        <f t="shared" ca="1" si="45"/>
        <v>0</v>
      </c>
      <c r="P160" s="130">
        <f t="shared" ca="1" si="46"/>
        <v>0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IFERROR(__xludf.DUMMYFUNCTION("IMPORTRANGE(""https://docs.google.com/spreadsheets/d/1-uDff_7J0KD5mKrp0Vvzr7lt3OU09vwQwhkpOPPYv2Y/edit?usp=sharing"",""งบพรบ!CA54"")"),0)</f>
        <v>0</v>
      </c>
      <c r="M162" s="130">
        <f ca="1">IFERROR(__xludf.DUMMYFUNCTION("IMPORTRANGE(""https://docs.google.com/spreadsheets/d/1-uDff_7J0KD5mKrp0Vvzr7lt3OU09vwQwhkpOPPYv2Y/edit?usp=sharing"",""งบพรบ!CF54"")"),0)</f>
        <v>0</v>
      </c>
      <c r="N162" s="130">
        <f ca="1">IFERROR(__xludf.DUMMYFUNCTION("IMPORTRANGE(""https://docs.google.com/spreadsheets/d/1-uDff_7J0KD5mKrp0Vvzr7lt3OU09vwQwhkpOPPYv2Y/edit?usp=sharing"",""งบพรบ!CH54"")"),0)</f>
        <v>0</v>
      </c>
      <c r="O162" s="130">
        <f t="shared" ca="1" si="45"/>
        <v>0</v>
      </c>
      <c r="P162" s="130">
        <f t="shared" ca="1" si="46"/>
        <v>0</v>
      </c>
      <c r="Q162" s="130">
        <f ca="1">IFERROR(__xludf.DUMMYFUNCTION("IMPORTRANGE(""https://docs.google.com/spreadsheets/d/1ItG2mGa2ceCfYo0BwxsXqNm01IGEUdYcSSLTEv9YCik/edit?usp=sharing"",""เบิกจ่ายกองทุน!AM54"")"),0)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IFERROR(__xludf.DUMMYFUNCTION("IMPORTRANGE(""https://docs.google.com/spreadsheets/d/1ItG2mGa2ceCfYo0BwxsXqNm01IGEUdYcSSLTEv9YCik/edit?usp=sharing"",""เบิกจ่ายกองทุน!AN54"")"),0)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IFERROR(__xludf.DUMMYFUNCTION("IMPORTRANGE(""https://docs.google.com/spreadsheets/d/1ItG2mGa2ceCfYo0BwxsXqNm01IGEUdYcSSLTEv9YCik/edit?usp=sharing"",""เบิกจ่ายกองทุน!AO54"")"),0)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IFERROR(__xludf.DUMMYFUNCTION("IMPORTRANGE(""https://docs.google.com/spreadsheets/d/1-uDff_7J0KD5mKrp0Vvzr7lt3OU09vwQwhkpOPPYv2Y/edit?usp=sharing"",""งบพรบ!CD54"")"),0)</f>
        <v>0</v>
      </c>
      <c r="M165" s="130">
        <f ca="1">IFERROR(__xludf.DUMMYFUNCTION("IMPORTRANGE(""https://docs.google.com/spreadsheets/d/1-uDff_7J0KD5mKrp0Vvzr7lt3OU09vwQwhkpOPPYv2Y/edit?usp=sharing"",""งบพรบ!CG54"")"),0)</f>
        <v>0</v>
      </c>
      <c r="N165" s="130">
        <f ca="1">IFERROR(__xludf.DUMMYFUNCTION("IMPORTRANGE(""https://docs.google.com/spreadsheets/d/1-uDff_7J0KD5mKrp0Vvzr7lt3OU09vwQwhkpOPPYv2Y/edit?usp=sharing"",""งบพรบ!CI54"")"),0)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IFERROR(__xludf.DUMMYFUNCTION("IMPORTRANGE(""https://docs.google.com/spreadsheets/d/1eHaY18a8A9IcSdp1K8H6x8fbOy06t2VsZHhMHf-1x7Y/edit?usp=sharing"",""แผน!Z54"")"),0)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IFERROR(__xludf.DUMMYFUNCTION("IMPORTRANGE(""https://docs.google.com/spreadsheets/d/1eHaY18a8A9IcSdp1K8H6x8fbOy06t2VsZHhMHf-1x7Y/edit?usp=sharing"",""แผน!Z54"")"),0)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IFERROR(__xludf.DUMMYFUNCTION("IMPORTRANGE(""https://docs.google.com/spreadsheets/d/1eHaY18a8A9IcSdp1K8H6x8fbOy06t2VsZHhMHf-1x7Y/edit?usp=sharing"",""แผน!Z54"")"),0)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15</v>
      </c>
      <c r="J172" s="963">
        <f>J183+J184</f>
        <v>7</v>
      </c>
      <c r="K172" s="962">
        <f ca="1">IF(I172&gt;0,J172*100/I172,0)</f>
        <v>46.666666666666664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19590</v>
      </c>
      <c r="M173" s="213">
        <f ca="1">M174+M175</f>
        <v>30530</v>
      </c>
      <c r="N173" s="213">
        <f ca="1">N174+N175</f>
        <v>30530</v>
      </c>
      <c r="O173" s="213">
        <f t="shared" ref="O173:O181" ca="1" si="51">IF(L173&gt;0,N173*100/L173,0)</f>
        <v>155.84481878509445</v>
      </c>
      <c r="P173" s="213">
        <f t="shared" ref="P173:P181" ca="1" si="52">IF(M173&gt;0,N173*100/M173,0)</f>
        <v>100</v>
      </c>
      <c r="Q173" s="213">
        <f ca="1">Q174+Q175</f>
        <v>21200</v>
      </c>
      <c r="R173" s="213">
        <f ca="1">R174+R175</f>
        <v>21200</v>
      </c>
      <c r="S173" s="213">
        <f ca="1">S174+S175</f>
        <v>0</v>
      </c>
      <c r="T173" s="213">
        <f t="shared" ref="T173:T181" ca="1" si="53">IF(Q173&gt;0,S173*100/Q173,0)</f>
        <v>0</v>
      </c>
      <c r="U173" s="213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t="shared" ca="1" si="55"/>
        <v>19590</v>
      </c>
      <c r="M175" s="130">
        <f t="shared" ca="1" si="55"/>
        <v>30530</v>
      </c>
      <c r="N175" s="130">
        <f t="shared" ca="1" si="55"/>
        <v>30530</v>
      </c>
      <c r="O175" s="130">
        <f t="shared" ca="1" si="51"/>
        <v>155.84481878509445</v>
      </c>
      <c r="P175" s="130">
        <f t="shared" ca="1" si="52"/>
        <v>100</v>
      </c>
      <c r="Q175" s="130">
        <f t="shared" ca="1" si="56"/>
        <v>21200</v>
      </c>
      <c r="R175" s="130">
        <f t="shared" ca="1" si="56"/>
        <v>21200</v>
      </c>
      <c r="S175" s="130">
        <f t="shared" ca="1" si="56"/>
        <v>0</v>
      </c>
      <c r="T175" s="130">
        <f t="shared" ca="1" si="53"/>
        <v>0</v>
      </c>
      <c r="U175" s="130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19590</v>
      </c>
      <c r="M176" s="130">
        <f ca="1">M177+M178</f>
        <v>30530</v>
      </c>
      <c r="N176" s="130">
        <f ca="1">N177+N178</f>
        <v>30530</v>
      </c>
      <c r="O176" s="130">
        <f t="shared" ca="1" si="51"/>
        <v>155.84481878509445</v>
      </c>
      <c r="P176" s="130">
        <f t="shared" ca="1" si="52"/>
        <v>100</v>
      </c>
      <c r="Q176" s="130">
        <f ca="1">Q177+Q178</f>
        <v>21200</v>
      </c>
      <c r="R176" s="130">
        <f ca="1">R177+R178</f>
        <v>21200</v>
      </c>
      <c r="S176" s="130">
        <f ca="1">S177+S178</f>
        <v>0</v>
      </c>
      <c r="T176" s="130">
        <f t="shared" ca="1" si="53"/>
        <v>0</v>
      </c>
      <c r="U176" s="130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IFERROR(__xludf.DUMMYFUNCTION("IMPORTRANGE(""https://docs.google.com/spreadsheets/d/1-uDff_7J0KD5mKrp0Vvzr7lt3OU09vwQwhkpOPPYv2Y/edit?usp=sharing"",""งบพรบ!CK54"")"),19590)</f>
        <v>19590</v>
      </c>
      <c r="M178" s="130">
        <f ca="1">IFERROR(__xludf.DUMMYFUNCTION("IMPORTRANGE(""https://docs.google.com/spreadsheets/d/1-uDff_7J0KD5mKrp0Vvzr7lt3OU09vwQwhkpOPPYv2Y/edit?usp=sharing"",""งบพรบ!CP54"")"),30530)</f>
        <v>30530</v>
      </c>
      <c r="N178" s="130">
        <f ca="1">IFERROR(__xludf.DUMMYFUNCTION("IMPORTRANGE(""https://docs.google.com/spreadsheets/d/1-uDff_7J0KD5mKrp0Vvzr7lt3OU09vwQwhkpOPPYv2Y/edit?usp=sharing"",""งบพรบ!CR54"")"),30530)</f>
        <v>30530</v>
      </c>
      <c r="O178" s="130">
        <f t="shared" ca="1" si="51"/>
        <v>155.84481878509445</v>
      </c>
      <c r="P178" s="130">
        <f t="shared" ca="1" si="52"/>
        <v>100</v>
      </c>
      <c r="Q178" s="130">
        <f ca="1">IFERROR(__xludf.DUMMYFUNCTION("IMPORTRANGE(""https://docs.google.com/spreadsheets/d/1ItG2mGa2ceCfYo0BwxsXqNm01IGEUdYcSSLTEv9YCik/edit?usp=sharing"",""เบิกจ่ายกองทุน!DG54"")"),21200)</f>
        <v>21200</v>
      </c>
      <c r="R178" s="130">
        <f ca="1">IFERROR(__xludf.DUMMYFUNCTION("IMPORTRANGE(""https://docs.google.com/spreadsheets/d/1ItG2mGa2ceCfYo0BwxsXqNm01IGEUdYcSSLTEv9YCik/edit?usp=sharing"",""เบิกจ่ายกองทุน!DH54"")"),21200)</f>
        <v>21200</v>
      </c>
      <c r="S178" s="130">
        <f ca="1">IFERROR(__xludf.DUMMYFUNCTION("IMPORTRANGE(""https://docs.google.com/spreadsheets/d/1ItG2mGa2ceCfYo0BwxsXqNm01IGEUdYcSSLTEv9YCik/edit?usp=sharing"",""เบิกจ่ายกองทุน!DI54"")"),0)</f>
        <v>0</v>
      </c>
      <c r="T178" s="130">
        <f t="shared" ca="1" si="53"/>
        <v>0</v>
      </c>
      <c r="U178" s="130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IFERROR(__xludf.DUMMYFUNCTION("IMPORTRANGE(""https://docs.google.com/spreadsheets/d/1-uDff_7J0KD5mKrp0Vvzr7lt3OU09vwQwhkpOPPYv2Y/edit?usp=sharing"",""งบพรบ!CN54"")"),0)</f>
        <v>0</v>
      </c>
      <c r="M181" s="130">
        <f ca="1">IFERROR(__xludf.DUMMYFUNCTION("IMPORTRANGE(""https://docs.google.com/spreadsheets/d/1-uDff_7J0KD5mKrp0Vvzr7lt3OU09vwQwhkpOPPYv2Y/edit?usp=sharing"",""งบพรบ!CQ54"")"),0)</f>
        <v>0</v>
      </c>
      <c r="N181" s="130">
        <f ca="1">IFERROR(__xludf.DUMMYFUNCTION("IMPORTRANGE(""https://docs.google.com/spreadsheets/d/1-uDff_7J0KD5mKrp0Vvzr7lt3OU09vwQwhkpOPPYv2Y/edit?usp=sharing"",""งบพรบ!CS54"")"),0)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IFERROR(__xludf.DUMMYFUNCTION("IMPORTRANGE(""https://docs.google.com/spreadsheets/d/1eHaY18a8A9IcSdp1K8H6x8fbOy06t2VsZHhMHf-1x7Y/edit?usp=sharing"",""แผน!AA54"")"),15)</f>
        <v>15</v>
      </c>
      <c r="J183" s="292">
        <v>7</v>
      </c>
      <c r="K183" s="72">
        <f ca="1">IF(I183&gt;0,J183*100/I183,0)</f>
        <v>46.666666666666664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10</v>
      </c>
      <c r="J185" s="963">
        <f>J230+J231</f>
        <v>10</v>
      </c>
      <c r="K185" s="962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360900</v>
      </c>
      <c r="M186" s="213">
        <f ca="1">M187+M188</f>
        <v>367900</v>
      </c>
      <c r="N186" s="213">
        <f ca="1">N187+N188</f>
        <v>223858.02</v>
      </c>
      <c r="O186" s="213">
        <f t="shared" ref="O186:O194" ca="1" si="57">IF(L186&gt;0,N186*100/L186,0)</f>
        <v>62.0277140482128</v>
      </c>
      <c r="P186" s="213">
        <f t="shared" ref="P186:P194" ca="1" si="58">IF(M186&gt;0,N186*100/M186,0)</f>
        <v>60.847518347377004</v>
      </c>
      <c r="Q186" s="213">
        <f ca="1">Q187+Q188</f>
        <v>63700</v>
      </c>
      <c r="R186" s="213">
        <f ca="1">R187+R188</f>
        <v>63700</v>
      </c>
      <c r="S186" s="213">
        <f ca="1">S187+S188</f>
        <v>62700</v>
      </c>
      <c r="T186" s="213">
        <f t="shared" ref="T186:T194" ca="1" si="59">IF(Q186&gt;0,S186*100/Q186,0)</f>
        <v>98.430141287284144</v>
      </c>
      <c r="U186" s="213">
        <f t="shared" ref="U186:U194" ca="1" si="60">IF(R186&gt;0,S186*100/R186,0)</f>
        <v>98.430141287284144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t="shared" ca="1" si="61"/>
        <v>360900</v>
      </c>
      <c r="M188" s="130">
        <f t="shared" ca="1" si="61"/>
        <v>367900</v>
      </c>
      <c r="N188" s="130">
        <f t="shared" ca="1" si="61"/>
        <v>223858.02</v>
      </c>
      <c r="O188" s="130">
        <f t="shared" ca="1" si="57"/>
        <v>62.0277140482128</v>
      </c>
      <c r="P188" s="130">
        <f t="shared" ca="1" si="58"/>
        <v>60.847518347377004</v>
      </c>
      <c r="Q188" s="130">
        <f t="shared" ca="1" si="62"/>
        <v>63700</v>
      </c>
      <c r="R188" s="130">
        <f t="shared" ca="1" si="62"/>
        <v>63700</v>
      </c>
      <c r="S188" s="130">
        <f t="shared" ca="1" si="62"/>
        <v>62700</v>
      </c>
      <c r="T188" s="130">
        <f t="shared" ca="1" si="59"/>
        <v>98.430141287284144</v>
      </c>
      <c r="U188" s="130">
        <f t="shared" ca="1" si="60"/>
        <v>98.430141287284144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360900</v>
      </c>
      <c r="M189" s="130">
        <f ca="1">M190+M191</f>
        <v>367900</v>
      </c>
      <c r="N189" s="130">
        <f ca="1">N190+N191</f>
        <v>223858.02</v>
      </c>
      <c r="O189" s="130">
        <f t="shared" ca="1" si="57"/>
        <v>62.0277140482128</v>
      </c>
      <c r="P189" s="130">
        <f t="shared" ca="1" si="58"/>
        <v>60.847518347377004</v>
      </c>
      <c r="Q189" s="130">
        <f ca="1">Q190+Q191</f>
        <v>63700</v>
      </c>
      <c r="R189" s="130">
        <f ca="1">R190+R191</f>
        <v>63700</v>
      </c>
      <c r="S189" s="130">
        <f ca="1">S190+S191</f>
        <v>62700</v>
      </c>
      <c r="T189" s="130">
        <f t="shared" ca="1" si="59"/>
        <v>98.430141287284144</v>
      </c>
      <c r="U189" s="130">
        <f t="shared" ca="1" si="60"/>
        <v>98.430141287284144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IFERROR(__xludf.DUMMYFUNCTION("IMPORTRANGE(""https://docs.google.com/spreadsheets/d/1-uDff_7J0KD5mKrp0Vvzr7lt3OU09vwQwhkpOPPYv2Y/edit?usp=sharing"",""งบพรบ!CU54"")"),360900)</f>
        <v>360900</v>
      </c>
      <c r="M191" s="130">
        <f ca="1">IFERROR(__xludf.DUMMYFUNCTION("IMPORTRANGE(""https://docs.google.com/spreadsheets/d/1-uDff_7J0KD5mKrp0Vvzr7lt3OU09vwQwhkpOPPYv2Y/edit?usp=sharing"",""งบพรบ!CZ54"")"),367900)</f>
        <v>367900</v>
      </c>
      <c r="N191" s="130">
        <f ca="1">IFERROR(__xludf.DUMMYFUNCTION("IMPORTRANGE(""https://docs.google.com/spreadsheets/d/1-uDff_7J0KD5mKrp0Vvzr7lt3OU09vwQwhkpOPPYv2Y/edit?usp=sharing"",""งบพรบ!DB54"")"),223858.02)</f>
        <v>223858.02</v>
      </c>
      <c r="O191" s="130">
        <f t="shared" ca="1" si="57"/>
        <v>62.0277140482128</v>
      </c>
      <c r="P191" s="130">
        <f t="shared" ca="1" si="58"/>
        <v>60.847518347377004</v>
      </c>
      <c r="Q191" s="130">
        <f ca="1">IFERROR(__xludf.DUMMYFUNCTION("IMPORTRANGE(""https://docs.google.com/spreadsheets/d/1ItG2mGa2ceCfYo0BwxsXqNm01IGEUdYcSSLTEv9YCik/edit?usp=sharing"",""เบิกจ่ายกองทุน!BQ54"")"),63700)</f>
        <v>63700</v>
      </c>
      <c r="R191" s="130">
        <f ca="1">IFERROR(__xludf.DUMMYFUNCTION("IMPORTRANGE(""https://docs.google.com/spreadsheets/d/1ItG2mGa2ceCfYo0BwxsXqNm01IGEUdYcSSLTEv9YCik/edit?usp=sharing"",""เบิกจ่ายกองทุน!BR54"")"),63700)</f>
        <v>63700</v>
      </c>
      <c r="S191" s="130">
        <f ca="1">IFERROR(__xludf.DUMMYFUNCTION("IMPORTRANGE(""https://docs.google.com/spreadsheets/d/1ItG2mGa2ceCfYo0BwxsXqNm01IGEUdYcSSLTEv9YCik/edit?usp=sharing"",""เบิกจ่ายกองทุน!BS54"")"),62700)</f>
        <v>62700</v>
      </c>
      <c r="T191" s="130">
        <f t="shared" ca="1" si="59"/>
        <v>98.430141287284144</v>
      </c>
      <c r="U191" s="130">
        <f t="shared" ca="1" si="60"/>
        <v>98.430141287284144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IFERROR(__xludf.DUMMYFUNCTION("IMPORTRANGE(""https://docs.google.com/spreadsheets/d/1-uDff_7J0KD5mKrp0Vvzr7lt3OU09vwQwhkpOPPYv2Y/edit?usp=sharing"",""งบพรบ!CX54"")"),0)</f>
        <v>0</v>
      </c>
      <c r="M194" s="130">
        <f ca="1">IFERROR(__xludf.DUMMYFUNCTION("IMPORTRANGE(""https://docs.google.com/spreadsheets/d/1-uDff_7J0KD5mKrp0Vvzr7lt3OU09vwQwhkpOPPYv2Y/edit?usp=sharing"",""งบพรบ!DA54"")"),0)</f>
        <v>0</v>
      </c>
      <c r="N194" s="130">
        <f ca="1">IFERROR(__xludf.DUMMYFUNCTION("IMPORTRANGE(""https://docs.google.com/spreadsheets/d/1-uDff_7J0KD5mKrp0Vvzr7lt3OU09vwQwhkpOPPYv2Y/edit?usp=sharing"",""งบพรบ!DC54"")"),0)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IFERROR(__xludf.DUMMYFUNCTION("IMPORTRANGE(""https://docs.google.com/spreadsheets/d/1ItG2mGa2ceCfYo0BwxsXqNm01IGEUdYcSSLTEv9YCik/edit?usp=sharing"",""เบิกจ่ายกองทุน!BT54"")"),0)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IFERROR(__xludf.DUMMYFUNCTION("IMPORTRANGE(""https://docs.google.com/spreadsheets/d/1ItG2mGa2ceCfYo0BwxsXqNm01IGEUdYcSSLTEv9YCik/edit?usp=sharing"",""เบิกจ่ายกองทุน!BU54"")"),0)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IFERROR(__xludf.DUMMYFUNCTION("IMPORTRANGE(""https://docs.google.com/spreadsheets/d/1ItG2mGa2ceCfYo0BwxsXqNm01IGEUdYcSSLTEv9YCik/edit?usp=sharing"",""เบิกจ่ายกองทุน!BV54"")"),0)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IFERROR(__xludf.DUMMYFUNCTION("IMPORTRANGE(""https://docs.google.com/spreadsheets/d/1eHaY18a8A9IcSdp1K8H6x8fbOy06t2VsZHhMHf-1x7Y/edit?usp=sharing"",""แผน!AB54"")"),6000)</f>
        <v>6000</v>
      </c>
      <c r="M196" s="85"/>
      <c r="N196" s="961">
        <v>3000</v>
      </c>
      <c r="O196" s="213">
        <f ca="1">IF(L196&gt;0,N196*100/L196,0)</f>
        <v>50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IFERROR(__xludf.DUMMYFUNCTION("IMPORTRANGE(""https://docs.google.com/spreadsheets/d/1eHaY18a8A9IcSdp1K8H6x8fbOy06t2VsZHhMHf-1x7Y/edit?usp=sharing"",""แผน!AE54"")"),4)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237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237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2</v>
      </c>
      <c r="J202" s="538">
        <f>J209</f>
        <v>2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12">
        <f ca="1">L204+L205+L206+L207</f>
        <v>18000</v>
      </c>
      <c r="M203" s="85"/>
      <c r="N203" s="213">
        <f>N204+N205+N206+N207</f>
        <v>13000</v>
      </c>
      <c r="O203" s="213">
        <f ca="1">IF(L203&gt;0,N203*100/L203,0)</f>
        <v>72.222222222222229</v>
      </c>
      <c r="P203" s="213">
        <f>IF(M203&gt;0,N203*100/M203,0)</f>
        <v>0</v>
      </c>
      <c r="Q203" s="383">
        <f ca="1">Q204+Q205+Q206+Q207</f>
        <v>14000</v>
      </c>
      <c r="R203" s="384"/>
      <c r="S203" s="385">
        <f>S204+S205+S206+S207</f>
        <v>13007</v>
      </c>
      <c r="T203" s="385">
        <f ca="1">IF(Q203&gt;0,S203*100/Q203,0)</f>
        <v>92.907142857142858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IFERROR(__xludf.DUMMYFUNCTION("IMPORTRANGE(""https://docs.google.com/spreadsheets/d/1eHaY18a8A9IcSdp1K8H6x8fbOy06t2VsZHhMHf-1x7Y/edit?usp=sharing"",""แผน!AG54"")"),2000)</f>
        <v>2000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IFERROR(__xludf.DUMMYFUNCTION("IMPORTRANGE(""https://docs.google.com/spreadsheets/d/1eHaY18a8A9IcSdp1K8H6x8fbOy06t2VsZHhMHf-1x7Y/edit?usp=sharing"",""แผน!AH54"")"),0)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IFERROR(__xludf.DUMMYFUNCTION("IMPORTRANGE(""https://docs.google.com/spreadsheets/d/1eHaY18a8A9IcSdp1K8H6x8fbOy06t2VsZHhMHf-1x7Y/edit?usp=sharing"",""แผน!AI54"")"),8000)</f>
        <v>8000</v>
      </c>
      <c r="M206" s="85"/>
      <c r="N206" s="387">
        <v>8000</v>
      </c>
      <c r="O206" s="227"/>
      <c r="P206" s="85"/>
      <c r="Q206" s="71">
        <f ca="1">IFERROR(__xludf.DUMMYFUNCTION("IMPORTRANGE(""https://docs.google.com/spreadsheets/d/1eHaY18a8A9IcSdp1K8H6x8fbOy06t2VsZHhMHf-1x7Y/edit?usp=sharing"",""แผน!LV54"")"),14000)</f>
        <v>14000</v>
      </c>
      <c r="R206" s="85"/>
      <c r="S206" s="387">
        <v>13007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IFERROR(__xludf.DUMMYFUNCTION("IMPORTRANGE(""https://docs.google.com/spreadsheets/d/1eHaY18a8A9IcSdp1K8H6x8fbOy06t2VsZHhMHf-1x7Y/edit?usp=sharing"",""แผน!AJ54"")"),8000)</f>
        <v>8000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IFERROR(__xludf.DUMMYFUNCTION("IMPORTRANGE(""https://docs.google.com/spreadsheets/d/1eHaY18a8A9IcSdp1K8H6x8fbOy06t2VsZHhMHf-1x7Y/edit?usp=sharing"",""แผน!AK54"")"),2)</f>
        <v>2</v>
      </c>
      <c r="J209" s="292">
        <v>2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IFERROR(__xludf.DUMMYFUNCTION("IMPORTRANGE(""https://docs.google.com/spreadsheets/d/1eHaY18a8A9IcSdp1K8H6x8fbOy06t2VsZHhMHf-1x7Y/edit?usp=sharing"",""แผน!JX54"")"),1)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IFERROR(__xludf.DUMMYFUNCTION("IMPORTRANGE(""https://docs.google.com/spreadsheets/d/1eHaY18a8A9IcSdp1K8H6x8fbOy06t2VsZHhMHf-1x7Y/edit?usp=sharing"",""แผน!JY54"")"),0)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1</v>
      </c>
      <c r="J213" s="538">
        <f>J220</f>
        <v>1</v>
      </c>
      <c r="K213" s="539">
        <f ca="1">IF(I213&gt;0,J213*100/I213,0)</f>
        <v>100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668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12">
        <f ca="1">L215+L216+L217</f>
        <v>6000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49700</v>
      </c>
      <c r="R214" s="85"/>
      <c r="S214" s="262">
        <f>S215+S216+S217</f>
        <v>48700</v>
      </c>
      <c r="T214" s="262">
        <f ca="1">IF(Q214&gt;0,S214*100/Q214,0)</f>
        <v>97.987927565392354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IFERROR(__xludf.DUMMYFUNCTION("IMPORTRANGE(""https://docs.google.com/spreadsheets/d/1eHaY18a8A9IcSdp1K8H6x8fbOy06t2VsZHhMHf-1x7Y/edit?usp=sharing"",""แผน!AM54"")"),1000)</f>
        <v>1000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IFERROR(__xludf.DUMMYFUNCTION("IMPORTRANGE(""https://docs.google.com/spreadsheets/d/1eHaY18a8A9IcSdp1K8H6x8fbOy06t2VsZHhMHf-1x7Y/edit?usp=sharing"",""แผน!AN54"")"),5000)</f>
        <v>5000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IFERROR(__xludf.DUMMYFUNCTION("IMPORTRANGE(""https://docs.google.com/spreadsheets/d/1eHaY18a8A9IcSdp1K8H6x8fbOy06t2VsZHhMHf-1x7Y/edit?usp=sharing"",""แผน!AO54"")"),0)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IFERROR(__xludf.DUMMYFUNCTION("IMPORTRANGE(""https://docs.google.com/spreadsheets/d/1eHaY18a8A9IcSdp1K8H6x8fbOy06t2VsZHhMHf-1x7Y/edit?usp=sharing"",""แผน!LY54"")"),49700)</f>
        <v>49700</v>
      </c>
      <c r="R217" s="85"/>
      <c r="S217" s="387">
        <v>48700</v>
      </c>
      <c r="T217" s="227"/>
      <c r="U217" s="85"/>
    </row>
    <row r="218" spans="1:21" ht="19.5" x14ac:dyDescent="0.3">
      <c r="A218" s="274"/>
      <c r="B218" s="275"/>
      <c r="C218" s="668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IFERROR(__xludf.DUMMYFUNCTION("IMPORTRANGE(""https://docs.google.com/spreadsheets/d/1eHaY18a8A9IcSdp1K8H6x8fbOy06t2VsZHhMHf-1x7Y/edit?usp=sharing"",""แผน!AP54"")"),1)</f>
        <v>1</v>
      </c>
      <c r="J219" s="292">
        <v>1</v>
      </c>
      <c r="K219" s="72">
        <f ca="1">IF(I219&gt;0,J219*100/I219,0)</f>
        <v>100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IFERROR(__xludf.DUMMYFUNCTION("IMPORTRANGE(""https://docs.google.com/spreadsheets/d/1eHaY18a8A9IcSdp1K8H6x8fbOy06t2VsZHhMHf-1x7Y/edit?usp=sharing"",""แผน!AP54"")"),1)</f>
        <v>1</v>
      </c>
      <c r="J220" s="292">
        <v>1</v>
      </c>
      <c r="K220" s="72">
        <f ca="1">IF(I220&gt;0,J220*100/I220,0)</f>
        <v>100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12800</v>
      </c>
      <c r="J221" s="538">
        <f>J229</f>
        <v>12800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12">
        <f ca="1">L223+L224+L225</f>
        <v>4500</v>
      </c>
      <c r="M222" s="85"/>
      <c r="N222" s="213">
        <f>N223+N224+N225</f>
        <v>0</v>
      </c>
      <c r="O222" s="213">
        <f ca="1">IF(L222&gt;0,N222*100/L222,0)</f>
        <v>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IFERROR(__xludf.DUMMYFUNCTION("IMPORTRANGE(""https://docs.google.com/spreadsheets/d/1eHaY18a8A9IcSdp1K8H6x8fbOy06t2VsZHhMHf-1x7Y/edit?usp=sharing"",""แผน!AR54"")"),2500)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IFERROR(__xludf.DUMMYFUNCTION("IMPORTRANGE(""https://docs.google.com/spreadsheets/d/1eHaY18a8A9IcSdp1K8H6x8fbOy06t2VsZHhMHf-1x7Y/edit?usp=sharing"",""แผน!AS54"")"),2000)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IFERROR(__xludf.DUMMYFUNCTION("IMPORTRANGE(""https://docs.google.com/spreadsheets/d/1eHaY18a8A9IcSdp1K8H6x8fbOy06t2VsZHhMHf-1x7Y/edit?usp=sharing"",""แผน!AT54"")"),0)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IFERROR(__xludf.DUMMYFUNCTION("IMPORTRANGE(""https://docs.google.com/spreadsheets/d/1eHaY18a8A9IcSdp1K8H6x8fbOy06t2VsZHhMHf-1x7Y/edit?usp=sharing"",""แผน!AV54"")"),12800)</f>
        <v>12800</v>
      </c>
      <c r="J228" s="292">
        <v>12800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IFERROR(__xludf.DUMMYFUNCTION("IMPORTRANGE(""https://docs.google.com/spreadsheets/d/1eHaY18a8A9IcSdp1K8H6x8fbOy06t2VsZHhMHf-1x7Y/edit?usp=sharing"",""แผน!AV54"")"),12800)</f>
        <v>12800</v>
      </c>
      <c r="J229" s="292">
        <v>12800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IFERROR(__xludf.DUMMYFUNCTION("IMPORTRANGE(""https://docs.google.com/spreadsheets/d/1eHaY18a8A9IcSdp1K8H6x8fbOy06t2VsZHhMHf-1x7Y/edit?usp=sharing"",""แผน!AU54"")"),0)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10</v>
      </c>
      <c r="J231" s="951">
        <f>J242+J253</f>
        <v>10</v>
      </c>
      <c r="K231" s="950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1187">
        <f ca="1">L243+L254</f>
        <v>63700</v>
      </c>
      <c r="M232" s="85"/>
      <c r="N232" s="1186">
        <f>N243+N254</f>
        <v>50595</v>
      </c>
      <c r="O232" s="85"/>
      <c r="P232" s="85"/>
      <c r="Q232" s="130">
        <f>Q243+Q254</f>
        <v>0</v>
      </c>
      <c r="R232" s="130"/>
      <c r="S232" s="130">
        <f>S243+S254</f>
        <v>0</v>
      </c>
      <c r="T232" s="130">
        <f>IF(Q232&gt;0,S232*100/Q232,0)</f>
        <v>0</v>
      </c>
      <c r="U232" s="130">
        <f>IF(R232&gt;0,S232*100/R232,0)</f>
        <v>0</v>
      </c>
    </row>
    <row r="233" spans="1:21" ht="18.75" hidden="1" x14ac:dyDescent="0.25">
      <c r="A233" s="936"/>
      <c r="B233" s="1082"/>
      <c r="C233" s="1082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215">
        <f ca="1">L244+L255</f>
        <v>14000</v>
      </c>
      <c r="M233" s="85"/>
      <c r="N233" s="131">
        <f>N244+N255</f>
        <v>2895</v>
      </c>
      <c r="O233" s="85"/>
      <c r="P233" s="85"/>
      <c r="Q233" s="1302">
        <v>0</v>
      </c>
      <c r="R233" s="671"/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215">
        <f ca="1">L245+L256</f>
        <v>2000</v>
      </c>
      <c r="M234" s="85"/>
      <c r="N234" s="131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215">
        <f ca="1">L246+L257</f>
        <v>27700</v>
      </c>
      <c r="M235" s="85"/>
      <c r="N235" s="131">
        <f>N246+N257</f>
        <v>27700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215">
        <f ca="1">L247+L258</f>
        <v>20000</v>
      </c>
      <c r="M236" s="85"/>
      <c r="N236" s="131">
        <f>N247+N258</f>
        <v>20000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10</v>
      </c>
      <c r="J238" s="570">
        <f>J249+J260</f>
        <v>10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 ca="1">I251+I262</f>
        <v>10</v>
      </c>
      <c r="J240" s="570">
        <f>J251+J262</f>
        <v>10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305" t="s">
        <v>336</v>
      </c>
      <c r="D242" s="371"/>
      <c r="E242" s="371"/>
      <c r="F242" s="371"/>
      <c r="G242" s="372"/>
      <c r="H242" s="373" t="s">
        <v>35</v>
      </c>
      <c r="I242" s="374">
        <f ca="1">I249</f>
        <v>10</v>
      </c>
      <c r="J242" s="374">
        <f>J249</f>
        <v>10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63700</v>
      </c>
      <c r="M243" s="85"/>
      <c r="N243" s="213">
        <f>N244+N245+N246+N247</f>
        <v>50595</v>
      </c>
      <c r="O243" s="213">
        <f ca="1">IF(L243&gt;0,N243*100/L243,0)</f>
        <v>79.427001569858717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>
        <f>IF(Q243&gt;0,S243*100/Q243,0)</f>
        <v>0</v>
      </c>
      <c r="U243" s="130">
        <f>IF(R243&gt;0,S243*100/R243,0)</f>
        <v>0</v>
      </c>
    </row>
    <row r="244" spans="1:21" ht="18.75" x14ac:dyDescent="0.25">
      <c r="A244" s="207"/>
      <c r="B244" s="367"/>
      <c r="C244" s="367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IFERROR(__xludf.DUMMYFUNCTION("IMPORTRANGE(""https://docs.google.com/spreadsheets/d/1eHaY18a8A9IcSdp1K8H6x8fbOy06t2VsZHhMHf-1x7Y/edit?usp=sharing"",""แผน!AX54"")"),14000)</f>
        <v>14000</v>
      </c>
      <c r="M244" s="85"/>
      <c r="N244" s="387">
        <v>2895</v>
      </c>
      <c r="O244" s="85"/>
      <c r="P244" s="85"/>
      <c r="Q244" s="1302">
        <v>0</v>
      </c>
      <c r="R244" s="671"/>
      <c r="S244" s="671">
        <v>0</v>
      </c>
      <c r="T244" s="85"/>
      <c r="U244" s="85"/>
    </row>
    <row r="245" spans="1:21" ht="18.75" x14ac:dyDescent="0.25">
      <c r="A245" s="364"/>
      <c r="B245" s="367"/>
      <c r="C245" s="367"/>
      <c r="D245" s="56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IFERROR(__xludf.DUMMYFUNCTION("IMPORTRANGE(""https://docs.google.com/spreadsheets/d/1eHaY18a8A9IcSdp1K8H6x8fbOy06t2VsZHhMHf-1x7Y/edit?usp=sharing"",""แผน!dg54"")"),2000)</f>
        <v>2000</v>
      </c>
      <c r="M245" s="85"/>
      <c r="N245" s="387">
        <v>0</v>
      </c>
      <c r="O245" s="85"/>
      <c r="P245" s="85"/>
      <c r="Q245" s="71">
        <v>0</v>
      </c>
      <c r="R245" s="72"/>
      <c r="S245" s="72">
        <v>0</v>
      </c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IFERROR(__xludf.DUMMYFUNCTION("IMPORTRANGE(""https://docs.google.com/spreadsheets/d/1eHaY18a8A9IcSdp1K8H6x8fbOy06t2VsZHhMHf-1x7Y/edit?usp=sharing"",""แผน!AZ54"")"),27700)</f>
        <v>27700</v>
      </c>
      <c r="M246" s="85"/>
      <c r="N246" s="387">
        <v>27700</v>
      </c>
      <c r="O246" s="85"/>
      <c r="P246" s="85"/>
      <c r="Q246" s="71">
        <v>0</v>
      </c>
      <c r="R246" s="72"/>
      <c r="S246" s="72">
        <v>0</v>
      </c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IFERROR(__xludf.DUMMYFUNCTION("IMPORTRANGE(""https://docs.google.com/spreadsheets/d/1eHaY18a8A9IcSdp1K8H6x8fbOy06t2VsZHhMHf-1x7Y/edit?usp=sharing"",""แผน!BA54"")"),20000)</f>
        <v>20000</v>
      </c>
      <c r="M247" s="85"/>
      <c r="N247" s="387">
        <v>20000</v>
      </c>
      <c r="O247" s="85"/>
      <c r="P247" s="85"/>
      <c r="Q247" s="71">
        <v>0</v>
      </c>
      <c r="R247" s="72"/>
      <c r="S247" s="72">
        <v>0</v>
      </c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IFERROR(__xludf.DUMMYFUNCTION("IMPORTRANGE(""https://docs.google.com/spreadsheets/d/1eHaY18a8A9IcSdp1K8H6x8fbOy06t2VsZHhMHf-1x7Y/edit?usp=sharing"",""แผน!BG54"")"),10)</f>
        <v>10</v>
      </c>
      <c r="J249" s="794">
        <v>10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IFERROR(__xludf.DUMMYFUNCTION("IMPORTRANGE(""https://docs.google.com/spreadsheets/d/1eHaY18a8A9IcSdp1K8H6x8fbOy06t2VsZHhMHf-1x7Y/edit?usp=sharing"",""แผน!KD54"")"),10)</f>
        <v>10</v>
      </c>
      <c r="J251" s="794">
        <v>10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19" t="s">
        <v>61</v>
      </c>
      <c r="I252" s="237">
        <f ca="1">IFERROR(__xludf.DUMMYFUNCTION("IMPORTRANGE(""https://docs.google.com/spreadsheets/d/1eHaY18a8A9IcSdp1K8H6x8fbOy06t2VsZHhMHf-1x7Y/edit?usp=sharing"",""แผน!KE54"")"),1)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304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48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>
        <f>IF(Q254&gt;0,S254*100/Q254,0)</f>
        <v>0</v>
      </c>
      <c r="U254" s="130">
        <f>IF(R254&gt;0,S254*100/R254,0)</f>
        <v>0</v>
      </c>
    </row>
    <row r="255" spans="1:21" ht="18.75" hidden="1" x14ac:dyDescent="0.25">
      <c r="A255" s="255"/>
      <c r="B255" s="267"/>
      <c r="C255" s="267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129">
        <f ca="1">IFERROR(__xludf.DUMMYFUNCTION("IMPORTRANGE(""https://docs.google.com/spreadsheets/d/1eHaY18a8A9IcSdp1K8H6x8fbOy06t2VsZHhMHf-1x7Y/edit?usp=sharing"",""แผน!BB54"")"),0)</f>
        <v>0</v>
      </c>
      <c r="M255" s="85"/>
      <c r="N255" s="387">
        <v>0</v>
      </c>
      <c r="O255" s="85"/>
      <c r="P255" s="85"/>
      <c r="Q255" s="1302">
        <v>0</v>
      </c>
      <c r="R255" s="671"/>
      <c r="S255" s="671">
        <v>0</v>
      </c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129">
        <f ca="1">IFERROR(__xludf.DUMMYFUNCTION("IMPORTRANGE(""https://docs.google.com/spreadsheets/d/1eHaY18a8A9IcSdp1K8H6x8fbOy06t2VsZHhMHf-1x7Y/edit?usp=sharing"",""แผน!BC54"")"),0)</f>
        <v>0</v>
      </c>
      <c r="M256" s="85"/>
      <c r="N256" s="387">
        <v>0</v>
      </c>
      <c r="O256" s="85"/>
      <c r="P256" s="85"/>
      <c r="Q256" s="71">
        <v>0</v>
      </c>
      <c r="R256" s="72"/>
      <c r="S256" s="72">
        <v>0</v>
      </c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129">
        <f ca="1">IFERROR(__xludf.DUMMYFUNCTION("IMPORTRANGE(""https://docs.google.com/spreadsheets/d/1eHaY18a8A9IcSdp1K8H6x8fbOy06t2VsZHhMHf-1x7Y/edit?usp=sharing"",""แผน!BD54"")"),0)</f>
        <v>0</v>
      </c>
      <c r="M257" s="85"/>
      <c r="N257" s="387">
        <v>0</v>
      </c>
      <c r="O257" s="85"/>
      <c r="P257" s="85"/>
      <c r="Q257" s="71">
        <v>0</v>
      </c>
      <c r="R257" s="72"/>
      <c r="S257" s="72">
        <v>0</v>
      </c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129">
        <f ca="1">IFERROR(__xludf.DUMMYFUNCTION("IMPORTRANGE(""https://docs.google.com/spreadsheets/d/1eHaY18a8A9IcSdp1K8H6x8fbOy06t2VsZHhMHf-1x7Y/edit?usp=sharing"",""แผน!BE54"")"),0)</f>
        <v>0</v>
      </c>
      <c r="M258" s="85"/>
      <c r="N258" s="387">
        <v>0</v>
      </c>
      <c r="O258" s="85"/>
      <c r="P258" s="85"/>
      <c r="Q258" s="71">
        <v>0</v>
      </c>
      <c r="R258" s="72"/>
      <c r="S258" s="72">
        <v>0</v>
      </c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IFERROR(__xludf.DUMMYFUNCTION("IMPORTRANGE(""https://docs.google.com/spreadsheets/d/1eHaY18a8A9IcSdp1K8H6x8fbOy06t2VsZHhMHf-1x7Y/edit?usp=sharing"",""แผน!BH54"")"),0)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756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756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5000</v>
      </c>
      <c r="N266" s="213">
        <f ca="1">N267+N268</f>
        <v>5000</v>
      </c>
      <c r="O266" s="213">
        <f t="shared" ref="O266:O274" ca="1" si="63">IF(L266&gt;0,N266*100/L266,0)</f>
        <v>100</v>
      </c>
      <c r="P266" s="213">
        <f t="shared" ref="P266:P274" ca="1" si="64">IF(M266&gt;0,N266*100/M266,0)</f>
        <v>100</v>
      </c>
      <c r="Q266" s="213">
        <f ca="1">Q267+Q268</f>
        <v>50660</v>
      </c>
      <c r="R266" s="213">
        <f ca="1">R267+R268</f>
        <v>50660</v>
      </c>
      <c r="S266" s="213">
        <f ca="1">S267+S268</f>
        <v>43790</v>
      </c>
      <c r="T266" s="213">
        <f t="shared" ref="T266:T274" ca="1" si="65">IF(Q266&gt;0,S266*100/Q266,0)</f>
        <v>86.439005132254238</v>
      </c>
      <c r="U266" s="213">
        <f t="shared" ref="U266:U274" ca="1" si="66">IF(R266&gt;0,S266*100/R266,0)</f>
        <v>86.439005132254238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t="shared" ca="1" si="67"/>
        <v>5000</v>
      </c>
      <c r="M268" s="130">
        <f t="shared" ca="1" si="67"/>
        <v>5000</v>
      </c>
      <c r="N268" s="130">
        <f t="shared" ca="1" si="67"/>
        <v>5000</v>
      </c>
      <c r="O268" s="130">
        <f t="shared" ca="1" si="63"/>
        <v>100</v>
      </c>
      <c r="P268" s="130">
        <f t="shared" ca="1" si="64"/>
        <v>100</v>
      </c>
      <c r="Q268" s="130">
        <f t="shared" ca="1" si="68"/>
        <v>50660</v>
      </c>
      <c r="R268" s="130">
        <f t="shared" ca="1" si="68"/>
        <v>50660</v>
      </c>
      <c r="S268" s="130">
        <f t="shared" ca="1" si="68"/>
        <v>43790</v>
      </c>
      <c r="T268" s="130">
        <f t="shared" ca="1" si="65"/>
        <v>86.439005132254238</v>
      </c>
      <c r="U268" s="130">
        <f t="shared" ca="1" si="66"/>
        <v>86.439005132254238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5000</v>
      </c>
      <c r="N269" s="130">
        <f ca="1">N270+N271</f>
        <v>5000</v>
      </c>
      <c r="O269" s="130">
        <f t="shared" ca="1" si="63"/>
        <v>100</v>
      </c>
      <c r="P269" s="130">
        <f t="shared" ca="1" si="64"/>
        <v>100</v>
      </c>
      <c r="Q269" s="130">
        <f ca="1">Q270+Q271</f>
        <v>50660</v>
      </c>
      <c r="R269" s="130">
        <f ca="1">R270+R271</f>
        <v>50660</v>
      </c>
      <c r="S269" s="130">
        <f ca="1">S270+S271</f>
        <v>43790</v>
      </c>
      <c r="T269" s="130">
        <f t="shared" ca="1" si="65"/>
        <v>86.439005132254238</v>
      </c>
      <c r="U269" s="130">
        <f t="shared" ca="1" si="66"/>
        <v>86.439005132254238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IFERROR(__xludf.DUMMYFUNCTION("IMPORTRANGE(""https://docs.google.com/spreadsheets/d/1-uDff_7J0KD5mKrp0Vvzr7lt3OU09vwQwhkpOPPYv2Y/edit?usp=sharing"",""งบพรบ!DE54"")"),5000)</f>
        <v>5000</v>
      </c>
      <c r="M271" s="130">
        <f ca="1">IFERROR(__xludf.DUMMYFUNCTION("IMPORTRANGE(""https://docs.google.com/spreadsheets/d/1-uDff_7J0KD5mKrp0Vvzr7lt3OU09vwQwhkpOPPYv2Y/edit?usp=sharing"",""งบพรบ!DJ54"")"),5000)</f>
        <v>5000</v>
      </c>
      <c r="N271" s="130">
        <f ca="1">IFERROR(__xludf.DUMMYFUNCTION("IMPORTRANGE(""https://docs.google.com/spreadsheets/d/1-uDff_7J0KD5mKrp0Vvzr7lt3OU09vwQwhkpOPPYv2Y/edit?usp=sharing"",""งบพรบ!DL54"")"),5000)</f>
        <v>5000</v>
      </c>
      <c r="O271" s="130">
        <f t="shared" ca="1" si="63"/>
        <v>100</v>
      </c>
      <c r="P271" s="130">
        <f t="shared" ca="1" si="64"/>
        <v>100</v>
      </c>
      <c r="Q271" s="130">
        <f ca="1">IFERROR(__xludf.DUMMYFUNCTION("IMPORTRANGE(""https://docs.google.com/spreadsheets/d/1ItG2mGa2ceCfYo0BwxsXqNm01IGEUdYcSSLTEv9YCik/edit?usp=sharing"",""เบิกจ่ายกองทุน!AP54"")"),50660)</f>
        <v>50660</v>
      </c>
      <c r="R271" s="130">
        <f ca="1">IFERROR(__xludf.DUMMYFUNCTION("IMPORTRANGE(""https://docs.google.com/spreadsheets/d/1ItG2mGa2ceCfYo0BwxsXqNm01IGEUdYcSSLTEv9YCik/edit?usp=sharing"",""เบิกจ่ายกองทุน!AQ54"")"),50660)</f>
        <v>50660</v>
      </c>
      <c r="S271" s="130">
        <f ca="1">IFERROR(__xludf.DUMMYFUNCTION("IMPORTRANGE(""https://docs.google.com/spreadsheets/d/1ItG2mGa2ceCfYo0BwxsXqNm01IGEUdYcSSLTEv9YCik/edit?usp=sharing"",""เบิกจ่ายกองทุน!AR54"")"),43790)</f>
        <v>43790</v>
      </c>
      <c r="T271" s="130">
        <f t="shared" ca="1" si="65"/>
        <v>86.439005132254238</v>
      </c>
      <c r="U271" s="130">
        <f t="shared" ca="1" si="66"/>
        <v>86.439005132254238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t="shared" ca="1" si="63"/>
        <v>0</v>
      </c>
      <c r="P272" s="130">
        <f t="shared" ca="1" si="64"/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 t="shared" si="65"/>
        <v>0</v>
      </c>
      <c r="U272" s="130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IFERROR(__xludf.DUMMYFUNCTION("IMPORTRANGE(""https://docs.google.com/spreadsheets/d/1-uDff_7J0KD5mKrp0Vvzr7lt3OU09vwQwhkpOPPYv2Y/edit?usp=sharing"",""งบพรบ!DH54"")"),0)</f>
        <v>0</v>
      </c>
      <c r="M274" s="130">
        <f ca="1">IFERROR(__xludf.DUMMYFUNCTION("IMPORTRANGE(""https://docs.google.com/spreadsheets/d/1-uDff_7J0KD5mKrp0Vvzr7lt3OU09vwQwhkpOPPYv2Y/edit?usp=sharing"",""งบพรบ!DK54"")"),0)</f>
        <v>0</v>
      </c>
      <c r="N274" s="130">
        <f ca="1">IFERROR(__xludf.DUMMYFUNCTION("IMPORTRANGE(""https://docs.google.com/spreadsheets/d/1-uDff_7J0KD5mKrp0Vvzr7lt3OU09vwQwhkpOPPYv2Y/edit?usp=sharing"",""งบพรบ!DM54"")"),0)</f>
        <v>0</v>
      </c>
      <c r="O274" s="130">
        <f t="shared" ca="1" si="63"/>
        <v>0</v>
      </c>
      <c r="P274" s="130">
        <f t="shared" ca="1" si="64"/>
        <v>0</v>
      </c>
      <c r="Q274" s="72">
        <v>0</v>
      </c>
      <c r="R274" s="72">
        <v>0</v>
      </c>
      <c r="S274" s="72">
        <v>0</v>
      </c>
      <c r="T274" s="130">
        <f t="shared" si="65"/>
        <v>0</v>
      </c>
      <c r="U274" s="130">
        <f t="shared" si="66"/>
        <v>0</v>
      </c>
    </row>
    <row r="275" spans="1:21" ht="19.5" x14ac:dyDescent="0.3">
      <c r="A275" s="220"/>
      <c r="B275" s="221"/>
      <c r="C275" s="668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226"/>
      <c r="M275" s="227"/>
      <c r="N275" s="227"/>
      <c r="O275" s="227"/>
      <c r="P275" s="227"/>
      <c r="Q275" s="227"/>
      <c r="R275" s="227"/>
      <c r="S275" s="227"/>
      <c r="T275" s="227"/>
      <c r="U275" s="227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1299">
        <f ca="1">IFERROR(__xludf.DUMMYFUNCTION("IMPORTRANGE(""https://docs.google.com/spreadsheets/d/1eHaY18a8A9IcSdp1K8H6x8fbOy06t2VsZHhMHf-1x7Y/edit?usp=sharing"",""แผน!EC54"")"),22)</f>
        <v>22</v>
      </c>
      <c r="J276" s="1117">
        <v>22</v>
      </c>
      <c r="K276" s="1298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929" t="s">
        <v>116</v>
      </c>
      <c r="E277" s="736"/>
      <c r="F277" s="736"/>
      <c r="G277" s="737"/>
      <c r="H277" s="1297" t="s">
        <v>35</v>
      </c>
      <c r="I277" s="760">
        <v>0</v>
      </c>
      <c r="J277" s="760">
        <v>0</v>
      </c>
      <c r="K277" s="927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0</v>
      </c>
      <c r="M282" s="213">
        <f ca="1">M283+M284</f>
        <v>0</v>
      </c>
      <c r="N282" s="213">
        <f ca="1">N283+N284</f>
        <v>0</v>
      </c>
      <c r="O282" s="213">
        <f t="shared" ref="O282:O290" ca="1" si="69">IF(L282&gt;0,N282*100/L282,0)</f>
        <v>0</v>
      </c>
      <c r="P282" s="213">
        <f t="shared" ref="P282:P290" ca="1" si="70">IF(M282&gt;0,N282*100/M282,0)</f>
        <v>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t="shared" ca="1" si="73"/>
        <v>0</v>
      </c>
      <c r="M284" s="130">
        <f t="shared" ca="1" si="73"/>
        <v>0</v>
      </c>
      <c r="N284" s="130">
        <f t="shared" ca="1" si="73"/>
        <v>0</v>
      </c>
      <c r="O284" s="130">
        <f t="shared" ca="1" si="69"/>
        <v>0</v>
      </c>
      <c r="P284" s="130">
        <f t="shared" ca="1" si="70"/>
        <v>0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0</v>
      </c>
      <c r="M285" s="130">
        <f ca="1">M286+M287</f>
        <v>0</v>
      </c>
      <c r="N285" s="130">
        <f ca="1">N286+N287</f>
        <v>0</v>
      </c>
      <c r="O285" s="130">
        <f t="shared" ca="1" si="69"/>
        <v>0</v>
      </c>
      <c r="P285" s="130">
        <f t="shared" ca="1" si="70"/>
        <v>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IFERROR(__xludf.DUMMYFUNCTION("IMPORTRANGE(""https://docs.google.com/spreadsheets/d/1-uDff_7J0KD5mKrp0Vvzr7lt3OU09vwQwhkpOPPYv2Y/edit?usp=sharing"",""งบพรบ!DO54"")"),0)</f>
        <v>0</v>
      </c>
      <c r="M287" s="130">
        <f ca="1">IFERROR(__xludf.DUMMYFUNCTION("IMPORTRANGE(""https://docs.google.com/spreadsheets/d/1-uDff_7J0KD5mKrp0Vvzr7lt3OU09vwQwhkpOPPYv2Y/edit?usp=sharing"",""งบพรบ!DT54"")"),0)</f>
        <v>0</v>
      </c>
      <c r="N287" s="130">
        <f ca="1">IFERROR(__xludf.DUMMYFUNCTION("IMPORTRANGE(""https://docs.google.com/spreadsheets/d/1-uDff_7J0KD5mKrp0Vvzr7lt3OU09vwQwhkpOPPYv2Y/edit?usp=sharing"",""งบพรบ!DV54"")"),0)</f>
        <v>0</v>
      </c>
      <c r="O287" s="130">
        <f t="shared" ca="1" si="69"/>
        <v>0</v>
      </c>
      <c r="P287" s="130">
        <f t="shared" ca="1" si="70"/>
        <v>0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IFERROR(__xludf.DUMMYFUNCTION("IMPORTRANGE(""https://docs.google.com/spreadsheets/d/1-uDff_7J0KD5mKrp0Vvzr7lt3OU09vwQwhkpOPPYv2Y/edit?usp=sharing"",""งบพรบ!DR54"")"),0)</f>
        <v>0</v>
      </c>
      <c r="M290" s="130">
        <f ca="1">IFERROR(__xludf.DUMMYFUNCTION("IMPORTRANGE(""https://docs.google.com/spreadsheets/d/1-uDff_7J0KD5mKrp0Vvzr7lt3OU09vwQwhkpOPPYv2Y/edit?usp=sharing"",""งบพรบ!DU54"")"),0)</f>
        <v>0</v>
      </c>
      <c r="N290" s="130">
        <f ca="1">IFERROR(__xludf.DUMMYFUNCTION("IMPORTRANGE(""https://docs.google.com/spreadsheets/d/1-uDff_7J0KD5mKrp0Vvzr7lt3OU09vwQwhkpOPPYv2Y/edit?usp=sharing"",""งบพรบ!DW54"")"),0)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IFERROR(__xludf.DUMMYFUNCTION("IMPORTRANGE(""https://docs.google.com/spreadsheets/d/1eHaY18a8A9IcSdp1K8H6x8fbOy06t2VsZHhMHf-1x7Y/edit?usp=sharing"",""แผน!EE54"")"),0)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IFERROR(__xludf.DUMMYFUNCTION("IMPORTRANGE(""https://docs.google.com/spreadsheets/d/1eHaY18a8A9IcSdp1K8H6x8fbOy06t2VsZHhMHf-1x7Y/edit?usp=sharing"",""แผน!ED54"")"),0)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IFERROR(__xludf.DUMMYFUNCTION("IMPORTRANGE(""https://docs.google.com/spreadsheets/d/1eHaY18a8A9IcSdp1K8H6x8fbOy06t2VsZHhMHf-1x7Y/edit?usp=sharing"",""แผน!ED54"")"),0)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IFERROR(__xludf.DUMMYFUNCTION("IMPORTRANGE(""https://docs.google.com/spreadsheets/d/1eHaY18a8A9IcSdp1K8H6x8fbOy06t2VsZHhMHf-1x7Y/edit?usp=sharing"",""แผน!ED54"")"),0)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0</v>
      </c>
      <c r="M303" s="213">
        <f ca="1">M304+M305</f>
        <v>0</v>
      </c>
      <c r="N303" s="213">
        <f ca="1">N304+N305</f>
        <v>0</v>
      </c>
      <c r="O303" s="213">
        <f t="shared" ref="O303:O311" ca="1" si="75">IF(L303&gt;0,N303*100/L303,0)</f>
        <v>0</v>
      </c>
      <c r="P303" s="213">
        <f t="shared" ref="P303:P311" ca="1" si="76">IF(M303&gt;0,N303*100/M303,0)</f>
        <v>0</v>
      </c>
      <c r="Q303" s="213">
        <f ca="1">Q304+Q305</f>
        <v>228095.39</v>
      </c>
      <c r="R303" s="213">
        <f ca="1">R304+R305</f>
        <v>228095</v>
      </c>
      <c r="S303" s="213">
        <f ca="1">S304+S305</f>
        <v>80998</v>
      </c>
      <c r="T303" s="213">
        <f t="shared" ref="T303:T311" ca="1" si="77">IF(Q303&gt;0,S303*100/Q303,0)</f>
        <v>35.510581778965367</v>
      </c>
      <c r="U303" s="213">
        <f t="shared" ref="U303:U311" ca="1" si="78">IF(R303&gt;0,S303*100/R303,0)</f>
        <v>35.510642495451457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t="shared" ca="1" si="79"/>
        <v>0</v>
      </c>
      <c r="M305" s="130">
        <f t="shared" ca="1" si="79"/>
        <v>0</v>
      </c>
      <c r="N305" s="130">
        <f t="shared" ca="1" si="79"/>
        <v>0</v>
      </c>
      <c r="O305" s="130">
        <f t="shared" ca="1" si="75"/>
        <v>0</v>
      </c>
      <c r="P305" s="130">
        <f t="shared" ca="1" si="76"/>
        <v>0</v>
      </c>
      <c r="Q305" s="130">
        <f t="shared" ca="1" si="80"/>
        <v>228095.39</v>
      </c>
      <c r="R305" s="130">
        <f t="shared" ca="1" si="80"/>
        <v>228095</v>
      </c>
      <c r="S305" s="130">
        <f t="shared" ca="1" si="80"/>
        <v>80998</v>
      </c>
      <c r="T305" s="130">
        <f t="shared" ca="1" si="77"/>
        <v>35.510581778965367</v>
      </c>
      <c r="U305" s="130">
        <f t="shared" ca="1" si="78"/>
        <v>35.510642495451457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0</v>
      </c>
      <c r="M306" s="130">
        <f ca="1">M307+M308</f>
        <v>0</v>
      </c>
      <c r="N306" s="130">
        <f ca="1">N307+N308</f>
        <v>0</v>
      </c>
      <c r="O306" s="130">
        <f t="shared" ca="1" si="75"/>
        <v>0</v>
      </c>
      <c r="P306" s="130">
        <f t="shared" ca="1" si="76"/>
        <v>0</v>
      </c>
      <c r="Q306" s="130">
        <f ca="1">Q307+Q308</f>
        <v>228095.39</v>
      </c>
      <c r="R306" s="130">
        <f ca="1">R307+R308</f>
        <v>228095</v>
      </c>
      <c r="S306" s="130">
        <f ca="1">S307+S308</f>
        <v>80998</v>
      </c>
      <c r="T306" s="130">
        <f t="shared" ca="1" si="77"/>
        <v>35.510581778965367</v>
      </c>
      <c r="U306" s="130">
        <f t="shared" ca="1" si="78"/>
        <v>35.510642495451457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IFERROR(__xludf.DUMMYFUNCTION("IMPORTRANGE(""https://docs.google.com/spreadsheets/d/1-uDff_7J0KD5mKrp0Vvzr7lt3OU09vwQwhkpOPPYv2Y/edit?usp=sharing"",""งบพรบ!DY54"")"),0)</f>
        <v>0</v>
      </c>
      <c r="M308" s="130">
        <f ca="1">IFERROR(__xludf.DUMMYFUNCTION("IMPORTRANGE(""https://docs.google.com/spreadsheets/d/1-uDff_7J0KD5mKrp0Vvzr7lt3OU09vwQwhkpOPPYv2Y/edit?usp=sharing"",""งบพรบ!ED54"")"),0)</f>
        <v>0</v>
      </c>
      <c r="N308" s="130">
        <f ca="1">IFERROR(__xludf.DUMMYFUNCTION("IMPORTRANGE(""https://docs.google.com/spreadsheets/d/1-uDff_7J0KD5mKrp0Vvzr7lt3OU09vwQwhkpOPPYv2Y/edit?usp=sharing"",""งบพรบ!EF54"")"),0)</f>
        <v>0</v>
      </c>
      <c r="O308" s="130">
        <f t="shared" ca="1" si="75"/>
        <v>0</v>
      </c>
      <c r="P308" s="130">
        <f t="shared" ca="1" si="76"/>
        <v>0</v>
      </c>
      <c r="Q308" s="130">
        <f ca="1">IFERROR(__xludf.DUMMYFUNCTION("IMPORTRANGE(""https://docs.google.com/spreadsheets/d/1ItG2mGa2ceCfYo0BwxsXqNm01IGEUdYcSSLTEv9YCik/edit?usp=sharing"",""เบิกจ่ายกองทุน!BB54"")"),228095.39)</f>
        <v>228095.39</v>
      </c>
      <c r="R308" s="130">
        <f ca="1">IFERROR(__xludf.DUMMYFUNCTION("IMPORTRANGE(""https://docs.google.com/spreadsheets/d/1ItG2mGa2ceCfYo0BwxsXqNm01IGEUdYcSSLTEv9YCik/edit?usp=sharing"",""เบิกจ่ายกองทุน!BC54"")"),228095)</f>
        <v>228095</v>
      </c>
      <c r="S308" s="130">
        <f ca="1">IFERROR(__xludf.DUMMYFUNCTION("IMPORTRANGE(""https://docs.google.com/spreadsheets/d/1ItG2mGa2ceCfYo0BwxsXqNm01IGEUdYcSSLTEv9YCik/edit?usp=sharing"",""เบิกจ่ายกองทุน!BD54"")"),80998)</f>
        <v>80998</v>
      </c>
      <c r="T308" s="130">
        <f t="shared" ca="1" si="77"/>
        <v>35.510581778965367</v>
      </c>
      <c r="U308" s="130">
        <f t="shared" ca="1" si="78"/>
        <v>35.510642495451457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IFERROR(__xludf.DUMMYFUNCTION("IMPORTRANGE(""https://docs.google.com/spreadsheets/d/1-uDff_7J0KD5mKrp0Vvzr7lt3OU09vwQwhkpOPPYv2Y/edit?usp=sharing"",""งบพรบ!EB54"")"),0)</f>
        <v>0</v>
      </c>
      <c r="M311" s="130">
        <f ca="1">IFERROR(__xludf.DUMMYFUNCTION("IMPORTRANGE(""https://docs.google.com/spreadsheets/d/1-uDff_7J0KD5mKrp0Vvzr7lt3OU09vwQwhkpOPPYv2Y/edit?usp=sharing"",""งบพรบ!EE54"")"),0)</f>
        <v>0</v>
      </c>
      <c r="N311" s="130">
        <f ca="1">IFERROR(__xludf.DUMMYFUNCTION("IMPORTRANGE(""https://docs.google.com/spreadsheets/d/1-uDff_7J0KD5mKrp0Vvzr7lt3OU09vwQwhkpOPPYv2Y/edit?usp=sharing"",""งบพรบ!EG54"")"),0)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590"/>
      <c r="B313" s="571"/>
      <c r="C313" s="571"/>
      <c r="D313" s="1292"/>
      <c r="E313" s="591"/>
      <c r="F313" s="591"/>
      <c r="G313" s="592"/>
      <c r="H313" s="592"/>
      <c r="I313" s="573"/>
      <c r="J313" s="1289"/>
      <c r="K313" s="574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IFERROR(__xludf.DUMMYFUNCTION("IMPORTRANGE(""https://docs.google.com/spreadsheets/d/1eHaY18a8A9IcSdp1K8H6x8fbOy06t2VsZHhMHf-1x7Y/edit?usp=sharing"",""แผน!EF54"")"),25)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590"/>
      <c r="B315" s="571"/>
      <c r="C315" s="571"/>
      <c r="D315" s="1291"/>
      <c r="E315" s="591"/>
      <c r="F315" s="591"/>
      <c r="G315" s="592"/>
      <c r="H315" s="1290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590"/>
      <c r="B316" s="571"/>
      <c r="C316" s="571"/>
      <c r="D316" s="1291"/>
      <c r="E316" s="591"/>
      <c r="F316" s="591"/>
      <c r="G316" s="592"/>
      <c r="H316" s="1290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590"/>
      <c r="B317" s="571"/>
      <c r="C317" s="571"/>
      <c r="D317" s="415"/>
      <c r="E317" s="591"/>
      <c r="F317" s="591"/>
      <c r="G317" s="592"/>
      <c r="H317" s="1287"/>
      <c r="I317" s="420"/>
      <c r="J317" s="420"/>
      <c r="K317" s="42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0</v>
      </c>
      <c r="M320" s="213">
        <f ca="1">M321+M322</f>
        <v>0</v>
      </c>
      <c r="N320" s="213">
        <f ca="1">N321+N322</f>
        <v>0</v>
      </c>
      <c r="O320" s="213">
        <f t="shared" ref="O320:O328" ca="1" si="81">IF(L320&gt;0,N320*100/L320,0)</f>
        <v>0</v>
      </c>
      <c r="P320" s="213">
        <f t="shared" ref="P320:P328" ca="1" si="82">IF(M320&gt;0,N320*100/M320,0)</f>
        <v>0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t="shared" ca="1" si="85"/>
        <v>0</v>
      </c>
      <c r="M322" s="130">
        <f t="shared" ca="1" si="85"/>
        <v>0</v>
      </c>
      <c r="N322" s="130">
        <f t="shared" ca="1" si="85"/>
        <v>0</v>
      </c>
      <c r="O322" s="130">
        <f t="shared" ca="1" si="81"/>
        <v>0</v>
      </c>
      <c r="P322" s="130">
        <f t="shared" ca="1" si="82"/>
        <v>0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0</v>
      </c>
      <c r="M323" s="130">
        <f ca="1">M324+M325</f>
        <v>0</v>
      </c>
      <c r="N323" s="130">
        <f ca="1">N324+N325</f>
        <v>0</v>
      </c>
      <c r="O323" s="130">
        <f t="shared" ca="1" si="81"/>
        <v>0</v>
      </c>
      <c r="P323" s="130">
        <f t="shared" ca="1" si="82"/>
        <v>0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IFERROR(__xludf.DUMMYFUNCTION("IMPORTRANGE(""https://docs.google.com/spreadsheets/d/1-uDff_7J0KD5mKrp0Vvzr7lt3OU09vwQwhkpOPPYv2Y/edit?usp=sharing"",""งบพรบ!EI54"")"),0)</f>
        <v>0</v>
      </c>
      <c r="M325" s="130">
        <f ca="1">IFERROR(__xludf.DUMMYFUNCTION("IMPORTRANGE(""https://docs.google.com/spreadsheets/d/1-uDff_7J0KD5mKrp0Vvzr7lt3OU09vwQwhkpOPPYv2Y/edit?usp=sharing"",""งบพรบ!EN54"")"),0)</f>
        <v>0</v>
      </c>
      <c r="N325" s="130">
        <f ca="1">IFERROR(__xludf.DUMMYFUNCTION("IMPORTRANGE(""https://docs.google.com/spreadsheets/d/1-uDff_7J0KD5mKrp0Vvzr7lt3OU09vwQwhkpOPPYv2Y/edit?usp=sharing"",""งบพรบ!EP54"")"),0)</f>
        <v>0</v>
      </c>
      <c r="O325" s="130">
        <f t="shared" ca="1" si="81"/>
        <v>0</v>
      </c>
      <c r="P325" s="130">
        <f t="shared" ca="1" si="82"/>
        <v>0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t="shared" ca="1" si="81"/>
        <v>0</v>
      </c>
      <c r="P326" s="130">
        <f t="shared" ca="1" si="82"/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IFERROR(__xludf.DUMMYFUNCTION("IMPORTRANGE(""https://docs.google.com/spreadsheets/d/1-uDff_7J0KD5mKrp0Vvzr7lt3OU09vwQwhkpOPPYv2Y/edit?usp=sharing"",""งบพรบ!EL54"")"),0)</f>
        <v>0</v>
      </c>
      <c r="M328" s="130">
        <f ca="1">IFERROR(__xludf.DUMMYFUNCTION("IMPORTRANGE(""https://docs.google.com/spreadsheets/d/1-uDff_7J0KD5mKrp0Vvzr7lt3OU09vwQwhkpOPPYv2Y/edit?usp=sharing"",""งบพรบ!EO54"")"),0)</f>
        <v>0</v>
      </c>
      <c r="N328" s="130">
        <f ca="1">IFERROR(__xludf.DUMMYFUNCTION("IMPORTRANGE(""https://docs.google.com/spreadsheets/d/1-uDff_7J0KD5mKrp0Vvzr7lt3OU09vwQwhkpOPPYv2Y/edit?usp=sharing"",""งบพรบ!EQ54"")"),0)</f>
        <v>0</v>
      </c>
      <c r="O328" s="130">
        <f t="shared" ca="1" si="81"/>
        <v>0</v>
      </c>
      <c r="P328" s="130">
        <f t="shared" ca="1" si="82"/>
        <v>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IFERROR(__xludf.DUMMYFUNCTION("IMPORTRANGE(""https://docs.google.com/spreadsheets/d/1eHaY18a8A9IcSdp1K8H6x8fbOy06t2VsZHhMHf-1x7Y/edit?usp=sharing"",""แผน!EJ54"")"),0)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1060</v>
      </c>
      <c r="J332" s="515">
        <f ca="1">J344+J347+J348+J349+J353+J354</f>
        <v>10030</v>
      </c>
      <c r="K332" s="516">
        <f ca="1">IF(I332&gt;0,J332*100/I332,0)</f>
        <v>946.22641509433959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185000</v>
      </c>
      <c r="M333" s="213">
        <f ca="1">M334+M335</f>
        <v>185000</v>
      </c>
      <c r="N333" s="213">
        <f ca="1">N334+N335</f>
        <v>103023.4</v>
      </c>
      <c r="O333" s="213">
        <f t="shared" ref="O333:O341" ca="1" si="87">IF(L333&gt;0,N333*100/L333,0)</f>
        <v>55.688324324324327</v>
      </c>
      <c r="P333" s="213">
        <f t="shared" ref="P333:P341" ca="1" si="88">IF(M333&gt;0,N333*100/M333,0)</f>
        <v>55.688324324324327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t="shared" ca="1" si="91"/>
        <v>185000</v>
      </c>
      <c r="M335" s="130">
        <f t="shared" ca="1" si="91"/>
        <v>185000</v>
      </c>
      <c r="N335" s="130">
        <f t="shared" ca="1" si="91"/>
        <v>103023.4</v>
      </c>
      <c r="O335" s="130">
        <f t="shared" ca="1" si="87"/>
        <v>55.688324324324327</v>
      </c>
      <c r="P335" s="130">
        <f t="shared" ca="1" si="88"/>
        <v>55.688324324324327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185000</v>
      </c>
      <c r="M336" s="130">
        <f ca="1">M337+M338</f>
        <v>185000</v>
      </c>
      <c r="N336" s="130">
        <f ca="1">N337+N338</f>
        <v>103023.4</v>
      </c>
      <c r="O336" s="130">
        <f t="shared" ca="1" si="87"/>
        <v>55.688324324324327</v>
      </c>
      <c r="P336" s="130">
        <f t="shared" ca="1" si="88"/>
        <v>55.688324324324327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IFERROR(__xludf.DUMMYFUNCTION("IMPORTRANGE(""https://docs.google.com/spreadsheets/d/1-uDff_7J0KD5mKrp0Vvzr7lt3OU09vwQwhkpOPPYv2Y/edit?usp=sharing"",""งบพรบ!ES54"")"),185000)</f>
        <v>185000</v>
      </c>
      <c r="M338" s="130">
        <f ca="1">IFERROR(__xludf.DUMMYFUNCTION("IMPORTRANGE(""https://docs.google.com/spreadsheets/d/1-uDff_7J0KD5mKrp0Vvzr7lt3OU09vwQwhkpOPPYv2Y/edit?usp=sharing"",""งบพรบ!EX54"")"),185000)</f>
        <v>185000</v>
      </c>
      <c r="N338" s="130">
        <f ca="1">IFERROR(__xludf.DUMMYFUNCTION("IMPORTRANGE(""https://docs.google.com/spreadsheets/d/1-uDff_7J0KD5mKrp0Vvzr7lt3OU09vwQwhkpOPPYv2Y/edit?usp=sharing"",""งบพรบ!EZ54"")"),103023.4)</f>
        <v>103023.4</v>
      </c>
      <c r="O338" s="130">
        <f t="shared" ca="1" si="87"/>
        <v>55.688324324324327</v>
      </c>
      <c r="P338" s="130">
        <f t="shared" ca="1" si="88"/>
        <v>55.688324324324327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IFERROR(__xludf.DUMMYFUNCTION("IMPORTRANGE(""https://docs.google.com/spreadsheets/d/1-uDff_7J0KD5mKrp0Vvzr7lt3OU09vwQwhkpOPPYv2Y/edit?usp=sharing"",""งบพรบ!EV54"")"),0)</f>
        <v>0</v>
      </c>
      <c r="M341" s="130">
        <f ca="1">IFERROR(__xludf.DUMMYFUNCTION("IMPORTRANGE(""https://docs.google.com/spreadsheets/d/1-uDff_7J0KD5mKrp0Vvzr7lt3OU09vwQwhkpOPPYv2Y/edit?usp=sharing"",""งบพรบ!EY54"")"),0)</f>
        <v>0</v>
      </c>
      <c r="N341" s="130">
        <f ca="1">IFERROR(__xludf.DUMMYFUNCTION("IMPORTRANGE(""https://docs.google.com/spreadsheets/d/1-uDff_7J0KD5mKrp0Vvzr7lt3OU09vwQwhkpOPPYv2Y/edit?usp=sharing"",""งบพรบ!FA54"")"),0)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7395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IFERROR(__xludf.DUMMYFUNCTION("IMPORTRANGE(""https://docs.google.com/spreadsheets/d/1eHaY18a8A9IcSdp1K8H6x8fbOy06t2VsZHhMHf-1x7Y/edit?usp=sharing"",""แผน!EK54"")"),1060)</f>
        <v>1060</v>
      </c>
      <c r="J344" s="291">
        <f ca="1">IFERROR(__xludf.DUMMYFUNCTION("IMPORTRANGE(""https://docs.google.com/spreadsheets/d/1awYsYK3VOup2i3Pq_Yjnu8DRu_mYwSBnCR2QPthd0rU/edit?usp=sharing"",""ศูนย์ยกเว้นโฉนด!D54"")"),5677)</f>
        <v>5677</v>
      </c>
      <c r="K344" s="72">
        <f ca="1">IF(I344&gt;0,J344*100/I344,0)</f>
        <v>535.56603773584902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IFERROR(__xludf.DUMMYFUNCTION("IMPORTRANGE(""https://docs.google.com/spreadsheets/d/1eHaY18a8A9IcSdp1K8H6x8fbOy06t2VsZHhMHf-1x7Y/edit?usp=sharing"",""แผน!EL54"")"),4)</f>
        <v>4</v>
      </c>
      <c r="J346" s="291">
        <f ca="1">IFERROR(__xludf.DUMMYFUNCTION("IMPORTRANGE(""https://docs.google.com/spreadsheets/d/1awYsYK3VOup2i3Pq_Yjnu8DRu_mYwSBnCR2QPthd0rU/edit?usp=sharing"",""ศูนย์รวม!E54"")"),0)</f>
        <v>0</v>
      </c>
      <c r="K346" s="72">
        <f ca="1">IF(I346&gt;0,J346*100/I346,0)</f>
        <v>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IFERROR(__xludf.DUMMYFUNCTION("IMPORTRANGE(""https://docs.google.com/spreadsheets/d/1awYsYK3VOup2i3Pq_Yjnu8DRu_mYwSBnCR2QPthd0rU/edit?usp=sharing"",""ศูนย์ยกเว้นโฉนด!F54"")"),383)</f>
        <v>383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IFERROR(__xludf.DUMMYFUNCTION("IMPORTRANGE(""https://docs.google.com/spreadsheets/d/1awYsYK3VOup2i3Pq_Yjnu8DRu_mYwSBnCR2QPthd0rU/edit?usp=sharing"",""ศูนย์ยกเว้นโฉนด!G54"")"),1335)</f>
        <v>1335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IFERROR(__xludf.DUMMYFUNCTION("IMPORTRANGE(""https://docs.google.com/spreadsheets/d/1awYsYK3VOup2i3Pq_Yjnu8DRu_mYwSBnCR2QPthd0rU/edit?usp=sharing"",""ศูนย์ยกเว้นโฉนด!H54"")"),0)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>
        <f ca="1">J352+J353+J354</f>
        <v>4041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IFERROR(__xludf.DUMMYFUNCTION("IMPORTRANGE(""https://docs.google.com/spreadsheets/d/1awYsYK3VOup2i3Pq_Yjnu8DRu_mYwSBnCR2QPthd0rU/edit?usp=sharing"",""โฉนดM3!G54"")"),1406)</f>
        <v>1406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IFERROR(__xludf.DUMMYFUNCTION("IMPORTRANGE(""https://docs.google.com/spreadsheets/d/1awYsYK3VOup2i3Pq_Yjnu8DRu_mYwSBnCR2QPthd0rU/edit?usp=sharing"",""โฉนดM3!H54"")"),2466)</f>
        <v>2466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IFERROR(__xludf.DUMMYFUNCTION("IMPORTRANGE(""https://docs.google.com/spreadsheets/d/1awYsYK3VOup2i3Pq_Yjnu8DRu_mYwSBnCR2QPthd0rU/edit?usp=sharing"",""โฉนดM3!I54"")"),169)</f>
        <v>169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688230</v>
      </c>
      <c r="M356" s="213">
        <f ca="1">M357+M358</f>
        <v>751230</v>
      </c>
      <c r="N356" s="213">
        <f ca="1">N357+N358</f>
        <v>405735.32</v>
      </c>
      <c r="O356" s="213">
        <f t="shared" ref="O356:O364" ca="1" si="93">IF(L356&gt;0,N356*100/L356,0)</f>
        <v>58.953448701742147</v>
      </c>
      <c r="P356" s="213">
        <f t="shared" ref="P356:P364" ca="1" si="94">IF(M356&gt;0,N356*100/M356,0)</f>
        <v>54.009467140556154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t="shared" ca="1" si="97"/>
        <v>688230</v>
      </c>
      <c r="M358" s="130">
        <f t="shared" ca="1" si="97"/>
        <v>751230</v>
      </c>
      <c r="N358" s="130">
        <f t="shared" ca="1" si="97"/>
        <v>405735.32</v>
      </c>
      <c r="O358" s="130">
        <f t="shared" ca="1" si="93"/>
        <v>58.953448701742147</v>
      </c>
      <c r="P358" s="130">
        <f t="shared" ca="1" si="94"/>
        <v>54.009467140556154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688230</v>
      </c>
      <c r="M359" s="130">
        <f ca="1">M360+M361</f>
        <v>751230</v>
      </c>
      <c r="N359" s="130">
        <f ca="1">N360+N361</f>
        <v>405735.32</v>
      </c>
      <c r="O359" s="130">
        <f t="shared" ca="1" si="93"/>
        <v>58.953448701742147</v>
      </c>
      <c r="P359" s="130">
        <f t="shared" ca="1" si="94"/>
        <v>54.009467140556154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IFERROR(__xludf.DUMMYFUNCTION("IMPORTRANGE(""https://docs.google.com/spreadsheets/d/1-uDff_7J0KD5mKrp0Vvzr7lt3OU09vwQwhkpOPPYv2Y/edit?usp=sharing"",""งบพรบ!FC54"")"),688230)</f>
        <v>688230</v>
      </c>
      <c r="M361" s="130">
        <f ca="1">IFERROR(__xludf.DUMMYFUNCTION("IMPORTRANGE(""https://docs.google.com/spreadsheets/d/1-uDff_7J0KD5mKrp0Vvzr7lt3OU09vwQwhkpOPPYv2Y/edit?usp=sharing"",""งบพรบ!FH54"")"),751230)</f>
        <v>751230</v>
      </c>
      <c r="N361" s="130">
        <f ca="1">IFERROR(__xludf.DUMMYFUNCTION("IMPORTRANGE(""https://docs.google.com/spreadsheets/d/1-uDff_7J0KD5mKrp0Vvzr7lt3OU09vwQwhkpOPPYv2Y/edit?usp=sharing"",""งบพรบ!FJ54"")"),405735.32)</f>
        <v>405735.32</v>
      </c>
      <c r="O361" s="130">
        <f t="shared" ca="1" si="93"/>
        <v>58.953448701742147</v>
      </c>
      <c r="P361" s="130">
        <f t="shared" ca="1" si="94"/>
        <v>54.009467140556154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IFERROR(__xludf.DUMMYFUNCTION("IMPORTRANGE(""https://docs.google.com/spreadsheets/d/1-uDff_7J0KD5mKrp0Vvzr7lt3OU09vwQwhkpOPPYv2Y/edit?usp=sharing"",""งบพรบ!FF54"")"),0)</f>
        <v>0</v>
      </c>
      <c r="M364" s="130">
        <f ca="1">IFERROR(__xludf.DUMMYFUNCTION("IMPORTRANGE(""https://docs.google.com/spreadsheets/d/1-uDff_7J0KD5mKrp0Vvzr7lt3OU09vwQwhkpOPPYv2Y/edit?usp=sharing"",""งบพรบ!FI54"")"),0)</f>
        <v>0</v>
      </c>
      <c r="N364" s="130">
        <f ca="1">IFERROR(__xludf.DUMMYFUNCTION("IMPORTRANGE(""https://docs.google.com/spreadsheets/d/1-uDff_7J0KD5mKrp0Vvzr7lt3OU09vwQwhkpOPPYv2Y/edit?usp=sharing"",""งบพรบ!FK54"")"),0)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119</v>
      </c>
      <c r="J365" s="538">
        <f ca="1">J371</f>
        <v>90</v>
      </c>
      <c r="K365" s="539">
        <f ca="1">IF(I365&gt;0,J365*100/I365,0)</f>
        <v>75.630252100840337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IFERROR(__xludf.DUMMYFUNCTION("IMPORTRANGE(""https://docs.google.com/spreadsheets/d/1tdoBKaGub7dwA3U6UFTqxio9LNnvDCQjHKmttSEBsFQ/edit?usp=sharing"",""จัดที่ดิน!AB54"")"),105)</f>
        <v>105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IFERROR(__xludf.DUMMYFUNCTION("IMPORTRANGE(""https://docs.google.com/spreadsheets/d/1eHaY18a8A9IcSdp1K8H6x8fbOy06t2VsZHhMHf-1x7Y/edit?usp=sharing"",""แผน!EW54"")"),870)</f>
        <v>870</v>
      </c>
      <c r="J368" s="879">
        <f ca="1">IFERROR(__xludf.DUMMYFUNCTION("IMPORTRANGE(""https://docs.google.com/spreadsheets/d/1tdoBKaGub7dwA3U6UFTqxio9LNnvDCQjHKmttSEBsFQ/edit?usp=sharing"",""จัดที่ดิน!AC54"")"),1036)</f>
        <v>1036</v>
      </c>
      <c r="K368" s="72">
        <f t="shared" ca="1" si="99"/>
        <v>119.08045977011494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IFERROR(__xludf.DUMMYFUNCTION("IMPORTRANGE(""https://docs.google.com/spreadsheets/d/1eHaY18a8A9IcSdp1K8H6x8fbOy06t2VsZHhMHf-1x7Y/edit?usp=sharing"",""แผน!EX54"")"),119)</f>
        <v>119</v>
      </c>
      <c r="J369" s="291">
        <f ca="1">IFERROR(__xludf.DUMMYFUNCTION("IMPORTRANGE(""https://docs.google.com/spreadsheets/d/1tdoBKaGub7dwA3U6UFTqxio9LNnvDCQjHKmttSEBsFQ/edit?usp=sharing"",""จัดที่ดิน!AD54"")"),91)</f>
        <v>91</v>
      </c>
      <c r="K369" s="72">
        <f t="shared" ca="1" si="99"/>
        <v>76.470588235294116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IFERROR(__xludf.DUMMYFUNCTION("IMPORTRANGE(""https://docs.google.com/spreadsheets/d/1tdoBKaGub7dwA3U6UFTqxio9LNnvDCQjHKmttSEBsFQ/edit?usp=sharing"",""จัดที่ดิน!AE54"")"),1232.82)</f>
        <v>1232.82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IFERROR(__xludf.DUMMYFUNCTION("IMPORTRANGE(""https://docs.google.com/spreadsheets/d/1eHaY18a8A9IcSdp1K8H6x8fbOy06t2VsZHhMHf-1x7Y/edit?usp=sharing"",""แผน!EY54"")"),119)</f>
        <v>119</v>
      </c>
      <c r="J371" s="291">
        <f ca="1">IFERROR(__xludf.DUMMYFUNCTION("IMPORTRANGE(""https://docs.google.com/spreadsheets/d/1tdoBKaGub7dwA3U6UFTqxio9LNnvDCQjHKmttSEBsFQ/edit?usp=sharing"",""จัดที่ดิน!AF54"")"),90)</f>
        <v>90</v>
      </c>
      <c r="K371" s="72">
        <f t="shared" ca="1" si="99"/>
        <v>75.630252100840337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IFERROR(__xludf.DUMMYFUNCTION("IMPORTRANGE(""https://docs.google.com/spreadsheets/d/1tdoBKaGub7dwA3U6UFTqxio9LNnvDCQjHKmttSEBsFQ/edit?usp=sharing"",""จัดที่ดิน!AG54"")"),1222.36)</f>
        <v>1222.3599999999999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1165">
        <f ca="1">I386+I388</f>
        <v>1000</v>
      </c>
      <c r="J374" s="1165">
        <f ca="1">J386+J388</f>
        <v>329</v>
      </c>
      <c r="K374" s="1285">
        <f ca="1">IF(I374&gt;0,J374*100/I374,0)</f>
        <v>32.9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t="shared" ref="O375:O383" ca="1" si="100">IF(L375&gt;0,N375*100/L375,0)</f>
        <v>0</v>
      </c>
      <c r="P375" s="213">
        <f t="shared" ref="P375:P383" ca="1" si="101">IF(M375&gt;0,N375*100/M375,0)</f>
        <v>0</v>
      </c>
      <c r="Q375" s="213">
        <f ca="1">Q376+Q377</f>
        <v>62500</v>
      </c>
      <c r="R375" s="213">
        <f ca="1">R376+R377</f>
        <v>62500</v>
      </c>
      <c r="S375" s="213">
        <f ca="1">S376+S377</f>
        <v>22780</v>
      </c>
      <c r="T375" s="213">
        <f t="shared" ref="T375:T383" ca="1" si="102">IF(Q375&gt;0,S375*100/Q375,0)</f>
        <v>36.448</v>
      </c>
      <c r="U375" s="213">
        <f t="shared" ref="U375:U383" ca="1" si="103">IF(R375&gt;0,S375*100/R375,0)</f>
        <v>36.448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0</v>
      </c>
      <c r="M377" s="130">
        <f t="shared" ca="1" si="104"/>
        <v>0</v>
      </c>
      <c r="N377" s="130">
        <f t="shared" ca="1" si="104"/>
        <v>0</v>
      </c>
      <c r="O377" s="130">
        <f t="shared" ca="1" si="100"/>
        <v>0</v>
      </c>
      <c r="P377" s="130">
        <f t="shared" ca="1" si="101"/>
        <v>0</v>
      </c>
      <c r="Q377" s="130">
        <f t="shared" ca="1" si="105"/>
        <v>62500</v>
      </c>
      <c r="R377" s="130">
        <f t="shared" ca="1" si="105"/>
        <v>62500</v>
      </c>
      <c r="S377" s="130">
        <f t="shared" ca="1" si="105"/>
        <v>22780</v>
      </c>
      <c r="T377" s="130">
        <f t="shared" ca="1" si="102"/>
        <v>36.448</v>
      </c>
      <c r="U377" s="130">
        <f t="shared" ca="1" si="103"/>
        <v>36.448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t="shared" ca="1" si="100"/>
        <v>0</v>
      </c>
      <c r="P378" s="130">
        <f t="shared" ca="1" si="101"/>
        <v>0</v>
      </c>
      <c r="Q378" s="130">
        <f ca="1">Q379+Q380</f>
        <v>62500</v>
      </c>
      <c r="R378" s="130">
        <f ca="1">R379+R380</f>
        <v>62500</v>
      </c>
      <c r="S378" s="130">
        <f ca="1">S379+S380</f>
        <v>22780</v>
      </c>
      <c r="T378" s="130">
        <f t="shared" ca="1" si="102"/>
        <v>36.448</v>
      </c>
      <c r="U378" s="130">
        <f t="shared" ca="1" si="103"/>
        <v>36.448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IFERROR(__xludf.DUMMYFUNCTION("IMPORTRANGE(""https://docs.google.com/spreadsheets/d/1-uDff_7J0KD5mKrp0Vvzr7lt3OU09vwQwhkpOPPYv2Y/edit?usp=sharing"",""งบพรบ!IE54"")"),0)</f>
        <v>0</v>
      </c>
      <c r="M380" s="72">
        <f ca="1">IFERROR(__xludf.DUMMYFUNCTION("IMPORTRANGE(""https://docs.google.com/spreadsheets/d/1-uDff_7J0KD5mKrp0Vvzr7lt3OU09vwQwhkpOPPYv2Y/edit?usp=sharing"",""งบพรบ!IJ54"")"),0)</f>
        <v>0</v>
      </c>
      <c r="N380" s="72">
        <f ca="1">IFERROR(__xludf.DUMMYFUNCTION("IMPORTRANGE(""https://docs.google.com/spreadsheets/d/1-uDff_7J0KD5mKrp0Vvzr7lt3OU09vwQwhkpOPPYv2Y/edit?usp=sharing"",""งบพรบ!IL54"")"),0)</f>
        <v>0</v>
      </c>
      <c r="O380" s="130">
        <f t="shared" ca="1" si="100"/>
        <v>0</v>
      </c>
      <c r="P380" s="130">
        <f t="shared" ca="1" si="101"/>
        <v>0</v>
      </c>
      <c r="Q380" s="130">
        <f ca="1">IFERROR(__xludf.DUMMYFUNCTION("IMPORTRANGE(""https://docs.google.com/spreadsheets/d/1ItG2mGa2ceCfYo0BwxsXqNm01IGEUdYcSSLTEv9YCik/edit?usp=sharing"",""เบิกจ่ายกองทุน!BW54"")"),62500)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IFERROR(__xludf.DUMMYFUNCTION("IMPORTRANGE(""https://docs.google.com/spreadsheets/d/1ItG2mGa2ceCfYo0BwxsXqNm01IGEUdYcSSLTEv9YCik/edit?usp=sharing"",""เบิกจ่ายกองทุน!BX54"")"),62500)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IFERROR(__xludf.DUMMYFUNCTION("IMPORTRANGE(""https://docs.google.com/spreadsheets/d/1ItG2mGa2ceCfYo0BwxsXqNm01IGEUdYcSSLTEv9YCik/edit?usp=sharing"",""เบิกจ่ายกองทุน!BY54"")"),22780)</f>
        <v>22780</v>
      </c>
      <c r="T380" s="130">
        <f t="shared" ca="1" si="102"/>
        <v>36.448</v>
      </c>
      <c r="U380" s="130">
        <f t="shared" ca="1" si="103"/>
        <v>36.448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IFERROR(__xludf.DUMMYFUNCTION("IMPORTRANGE(""https://docs.google.com/spreadsheets/d/1-uDff_7J0KD5mKrp0Vvzr7lt3OU09vwQwhkpOPPYv2Y/edit?usp=sharing"",""งบพรบ!IH54"")"),0)</f>
        <v>0</v>
      </c>
      <c r="M383" s="72">
        <f ca="1">IFERROR(__xludf.DUMMYFUNCTION("IMPORTRANGE(""https://docs.google.com/spreadsheets/d/1-uDff_7J0KD5mKrp0Vvzr7lt3OU09vwQwhkpOPPYv2Y/edit?usp=sharing"",""งบพรบ!IK54"")"),0)</f>
        <v>0</v>
      </c>
      <c r="N383" s="72">
        <f ca="1">IFERROR(__xludf.DUMMYFUNCTION("IMPORTRANGE(""https://docs.google.com/spreadsheets/d/1-uDff_7J0KD5mKrp0Vvzr7lt3OU09vwQwhkpOPPYv2Y/edit?usp=sharing"",""งบพรบ!IM54"")"),0)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364"/>
      <c r="B385" s="367"/>
      <c r="C385" s="367"/>
      <c r="D385" s="367"/>
      <c r="E385" s="1283" t="s">
        <v>155</v>
      </c>
      <c r="F385" s="65"/>
      <c r="G385" s="67"/>
      <c r="H385" s="214" t="s">
        <v>34</v>
      </c>
      <c r="I385" s="1284">
        <v>0</v>
      </c>
      <c r="J385" s="319">
        <f ca="1">IFERROR(__xludf.DUMMYFUNCTION("IMPORTRANGE(""https://docs.google.com/spreadsheets/d/1w5rwWK1o49a35cNtocGL0gxDwhFSTZUQu90BiH9_zqM/edit?usp=sharing"",""RTK!H54"")"),41)</f>
        <v>41</v>
      </c>
      <c r="K385" s="83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364"/>
      <c r="B386" s="367"/>
      <c r="C386" s="367"/>
      <c r="D386" s="367"/>
      <c r="E386" s="367"/>
      <c r="F386" s="367"/>
      <c r="G386" s="795"/>
      <c r="H386" s="214" t="s">
        <v>46</v>
      </c>
      <c r="I386" s="1073">
        <f ca="1">IFERROR(__xludf.DUMMYFUNCTION("IMPORTRANGE(""https://docs.google.com/spreadsheets/d/1w5rwWK1o49a35cNtocGL0gxDwhFSTZUQu90BiH9_zqM/edit?usp=sharing"",""RTK!G54"")"),1000)</f>
        <v>1000</v>
      </c>
      <c r="J386" s="237">
        <f ca="1">IFERROR(__xludf.DUMMYFUNCTION("IMPORTRANGE(""https://docs.google.com/spreadsheets/d/1w5rwWK1o49a35cNtocGL0gxDwhFSTZUQu90BiH9_zqM/edit?usp=sharing"",""RTK!I54"")"),329)</f>
        <v>329</v>
      </c>
      <c r="K386" s="86">
        <f ca="1">IF(I386&gt;0,J386*100/I386,0)</f>
        <v>32.9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364"/>
      <c r="B387" s="367"/>
      <c r="C387" s="367"/>
      <c r="D387" s="367"/>
      <c r="E387" s="1283" t="s">
        <v>156</v>
      </c>
      <c r="F387" s="367"/>
      <c r="G387" s="795"/>
      <c r="H387" s="214" t="s">
        <v>34</v>
      </c>
      <c r="I387" s="1073">
        <v>0</v>
      </c>
      <c r="J387" s="237">
        <f ca="1">IFERROR(__xludf.DUMMYFUNCTION("IMPORTRANGE(""https://docs.google.com/spreadsheets/d/1w5rwWK1o49a35cNtocGL0gxDwhFSTZUQu90BiH9_zqM/edit?usp=sharing"",""RTK!L54"")"),0)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hidden="1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1073">
        <f ca="1">IFERROR(__xludf.DUMMYFUNCTION("IMPORTRANGE(""https://docs.google.com/spreadsheets/d/1w5rwWK1o49a35cNtocGL0gxDwhFSTZUQu90BiH9_zqM/edit?usp=sharing"",""RTK!K54"")"),0)</f>
        <v>0</v>
      </c>
      <c r="J388" s="237">
        <f ca="1">IFERROR(__xludf.DUMMYFUNCTION("IMPORTRANGE(""https://docs.google.com/spreadsheets/d/1w5rwWK1o49a35cNtocGL0gxDwhFSTZUQu90BiH9_zqM/edit?usp=sharing"",""RTK!M54"")"),0)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327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1281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IFERROR(__xludf.DUMMYFUNCTION("IMPORTRANGE(""https://docs.google.com/spreadsheets/d/1ItG2mGa2ceCfYo0BwxsXqNm01IGEUdYcSSLTEv9YCik/edit?usp=sharing"",""เบิกจ่ายกองทุน!CL54"")"),0)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IFERROR(__xludf.DUMMYFUNCTION("IMPORTRANGE(""https://docs.google.com/spreadsheets/d/1ItG2mGa2ceCfYo0BwxsXqNm01IGEUdYcSSLTEv9YCik/edit?usp=sharing"",""เบิกจ่ายกองทุน!CM54"")"),0)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IFERROR(__xludf.DUMMYFUNCTION("IMPORTRANGE(""https://docs.google.com/spreadsheets/d/1ItG2mGa2ceCfYo0BwxsXqNm01IGEUdYcSSLTEv9YCik/edit?usp=sharing"",""เบิกจ่ายกองทุน!CN54"")"),0)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326</v>
      </c>
      <c r="C412" s="584"/>
      <c r="D412" s="584"/>
      <c r="E412" s="584"/>
      <c r="F412" s="584"/>
      <c r="G412" s="593"/>
      <c r="H412" s="594" t="s">
        <v>46</v>
      </c>
      <c r="I412" s="588">
        <f ca="1">I423</f>
        <v>0</v>
      </c>
      <c r="J412" s="588">
        <f>J423</f>
        <v>0</v>
      </c>
      <c r="K412" s="1281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212">
        <f ca="1">L414+L415</f>
        <v>21340</v>
      </c>
      <c r="M413" s="213">
        <f ca="1">M414+M415</f>
        <v>21340</v>
      </c>
      <c r="N413" s="213">
        <f ca="1">N414+N415</f>
        <v>6120</v>
      </c>
      <c r="O413" s="213">
        <f t="shared" ref="O413:O421" ca="1" si="112">IF(L413&gt;0,N413*100/L413,0)</f>
        <v>28.678537956888473</v>
      </c>
      <c r="P413" s="213">
        <f t="shared" ref="P413:P421" ca="1" si="113">IF(M413&gt;0,N413*100/M413,0)</f>
        <v>28.678537956888473</v>
      </c>
      <c r="Q413" s="213">
        <f ca="1">Q414+Q415</f>
        <v>15170</v>
      </c>
      <c r="R413" s="213">
        <f ca="1">R414+R415</f>
        <v>15170</v>
      </c>
      <c r="S413" s="213">
        <f ca="1">S414+S415</f>
        <v>0</v>
      </c>
      <c r="T413" s="213">
        <f t="shared" ref="T413:T421" ca="1" si="114">IF(Q413&gt;0,S413*100/Q413,0)</f>
        <v>0</v>
      </c>
      <c r="U413" s="213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21340</v>
      </c>
      <c r="M415" s="130">
        <f t="shared" ca="1" si="116"/>
        <v>21340</v>
      </c>
      <c r="N415" s="130">
        <f t="shared" ca="1" si="116"/>
        <v>6120</v>
      </c>
      <c r="O415" s="130">
        <f t="shared" ca="1" si="112"/>
        <v>28.678537956888473</v>
      </c>
      <c r="P415" s="130">
        <f t="shared" ca="1" si="113"/>
        <v>28.678537956888473</v>
      </c>
      <c r="Q415" s="130">
        <f t="shared" ca="1" si="117"/>
        <v>15170</v>
      </c>
      <c r="R415" s="130">
        <f t="shared" ca="1" si="117"/>
        <v>15170</v>
      </c>
      <c r="S415" s="130">
        <f t="shared" ca="1" si="117"/>
        <v>0</v>
      </c>
      <c r="T415" s="130">
        <f t="shared" ca="1" si="114"/>
        <v>0</v>
      </c>
      <c r="U415" s="130">
        <f t="shared" ca="1" si="115"/>
        <v>0</v>
      </c>
    </row>
    <row r="416" spans="1:21" ht="18.75" x14ac:dyDescent="0.25">
      <c r="A416" s="255"/>
      <c r="B416" s="267"/>
      <c r="C416" s="267"/>
      <c r="D416" s="852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129">
        <f ca="1">L417+L418</f>
        <v>21340</v>
      </c>
      <c r="M416" s="130">
        <f ca="1">M417+M418</f>
        <v>21340</v>
      </c>
      <c r="N416" s="130">
        <f ca="1">N417+N418</f>
        <v>6120</v>
      </c>
      <c r="O416" s="130">
        <f t="shared" ca="1" si="112"/>
        <v>28.678537956888473</v>
      </c>
      <c r="P416" s="130">
        <f t="shared" ca="1" si="113"/>
        <v>28.678537956888473</v>
      </c>
      <c r="Q416" s="130">
        <f ca="1">Q417+Q418</f>
        <v>15170</v>
      </c>
      <c r="R416" s="130">
        <f ca="1">R417+R418</f>
        <v>15170</v>
      </c>
      <c r="S416" s="130">
        <f ca="1">S417+S418</f>
        <v>0</v>
      </c>
      <c r="T416" s="130">
        <f t="shared" ca="1" si="114"/>
        <v>0</v>
      </c>
      <c r="U416" s="130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IFERROR(__xludf.DUMMYFUNCTION("IMPORTRANGE(""https://docs.google.com/spreadsheets/d/1-uDff_7J0KD5mKrp0Vvzr7lt3OU09vwQwhkpOPPYv2Y/edit?usp=sharing"",""งบพรบ!IO54"")"),21340)</f>
        <v>21340</v>
      </c>
      <c r="M418" s="72">
        <f ca="1">IFERROR(__xludf.DUMMYFUNCTION("IMPORTRANGE(""https://docs.google.com/spreadsheets/d/1-uDff_7J0KD5mKrp0Vvzr7lt3OU09vwQwhkpOPPYv2Y/edit?usp=sharing"",""งบพรบ!IT54"")"),21340)</f>
        <v>21340</v>
      </c>
      <c r="N418" s="72">
        <f ca="1">IFERROR(__xludf.DUMMYFUNCTION("IMPORTRANGE(""https://docs.google.com/spreadsheets/d/1-uDff_7J0KD5mKrp0Vvzr7lt3OU09vwQwhkpOPPYv2Y/edit?usp=sharing"",""งบพรบ!IV54"")"),6120)</f>
        <v>6120</v>
      </c>
      <c r="O418" s="130">
        <f t="shared" ca="1" si="112"/>
        <v>28.678537956888473</v>
      </c>
      <c r="P418" s="130">
        <f t="shared" ca="1" si="113"/>
        <v>28.678537956888473</v>
      </c>
      <c r="Q418" s="130">
        <f ca="1">IFERROR(__xludf.DUMMYFUNCTION("IMPORTRANGE(""https://docs.google.com/spreadsheets/d/1ItG2mGa2ceCfYo0BwxsXqNm01IGEUdYcSSLTEv9YCik/edit?usp=sharing"",""เบิกจ่ายกองทุน!BZ54"")"),15170)</f>
        <v>15170</v>
      </c>
      <c r="R418" s="130">
        <f ca="1">IFERROR(__xludf.DUMMYFUNCTION("IMPORTRANGE(""https://docs.google.com/spreadsheets/d/1ItG2mGa2ceCfYo0BwxsXqNm01IGEUdYcSSLTEv9YCik/edit?usp=sharing"",""เบิกจ่ายกองทุน!CA54"")"),15170)</f>
        <v>15170</v>
      </c>
      <c r="S418" s="130">
        <f ca="1">IFERROR(__xludf.DUMMYFUNCTION("IMPORTRANGE(""https://docs.google.com/spreadsheets/d/1ItG2mGa2ceCfYo0BwxsXqNm01IGEUdYcSSLTEv9YCik/edit?usp=sharing"",""เบิกจ่ายกองทุน!CB54"")"),0)</f>
        <v>0</v>
      </c>
      <c r="T418" s="130">
        <f t="shared" ca="1" si="114"/>
        <v>0</v>
      </c>
      <c r="U418" s="130">
        <f t="shared" ca="1" si="115"/>
        <v>0</v>
      </c>
    </row>
    <row r="419" spans="1:21" ht="18.75" x14ac:dyDescent="0.25">
      <c r="A419" s="255"/>
      <c r="B419" s="267"/>
      <c r="C419" s="267"/>
      <c r="D419" s="852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IFERROR(__xludf.DUMMYFUNCTION("IMPORTRANGE(""https://docs.google.com/spreadsheets/d/1-uDff_7J0KD5mKrp0Vvzr7lt3OU09vwQwhkpOPPYv2Y/edit?usp=sharing"",""งบพรบ!IR54"")"),0)</f>
        <v>0</v>
      </c>
      <c r="M421" s="72">
        <f ca="1">IFERROR(__xludf.DUMMYFUNCTION("IMPORTRANGE(""https://docs.google.com/spreadsheets/d/1-uDff_7J0KD5mKrp0Vvzr7lt3OU09vwQwhkpOPPYv2Y/edit?usp=sharing"",""งบพรบ!IU54"")"),0)</f>
        <v>0</v>
      </c>
      <c r="N421" s="72">
        <f ca="1">IFERROR(__xludf.DUMMYFUNCTION("IMPORTRANGE(""https://docs.google.com/spreadsheets/d/1-uDff_7J0KD5mKrp0Vvzr7lt3OU09vwQwhkpOPPYv2Y/edit?usp=sharing"",""งบพรบ!IW54"")"),0)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1276">
        <f ca="1">I440</f>
        <v>0</v>
      </c>
      <c r="J423" s="873">
        <f>J440</f>
        <v>0</v>
      </c>
      <c r="K423" s="1275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1130">
        <f ca="1">IFERROR(__xludf.DUMMYFUNCTION("IMPORTRANGE(""https://docs.google.com/spreadsheets/d/1eHaY18a8A9IcSdp1K8H6x8fbOy06t2VsZHhMHf-1x7Y/edit?usp=sharing"",""แผน!HJ54"")"),0)</f>
        <v>0</v>
      </c>
      <c r="J424" s="870">
        <f>J426+J428+J430</f>
        <v>0</v>
      </c>
      <c r="K424" s="213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1130">
        <f ca="1">IFERROR(__xludf.DUMMYFUNCTION("IMPORTRANGE(""https://docs.google.com/spreadsheets/d/1eHaY18a8A9IcSdp1K8H6x8fbOy06t2VsZHhMHf-1x7Y/edit?usp=sharing"",""แผน!HK54"")"),0)</f>
        <v>0</v>
      </c>
      <c r="J425" s="870">
        <f>J427+J429+J431</f>
        <v>0</v>
      </c>
      <c r="K425" s="213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1130">
        <f ca="1">IFERROR(__xludf.DUMMYFUNCTION("IMPORTRANGE(""https://docs.google.com/spreadsheets/d/1eHaY18a8A9IcSdp1K8H6x8fbOy06t2VsZHhMHf-1x7Y/edit?usp=sharing"",""แผน!HJ54"")"),0)</f>
        <v>0</v>
      </c>
      <c r="J432" s="870">
        <f>J434+J436+J438</f>
        <v>0</v>
      </c>
      <c r="K432" s="213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1130">
        <f ca="1">IFERROR(__xludf.DUMMYFUNCTION("IMPORTRANGE(""https://docs.google.com/spreadsheets/d/1eHaY18a8A9IcSdp1K8H6x8fbOy06t2VsZHhMHf-1x7Y/edit?usp=sharing"",""แผน!HK54"")"),0)</f>
        <v>0</v>
      </c>
      <c r="J433" s="870">
        <f>J435+J437+J439</f>
        <v>0</v>
      </c>
      <c r="K433" s="213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1130">
        <f ca="1">IFERROR(__xludf.DUMMYFUNCTION("IMPORTRANGE(""https://docs.google.com/spreadsheets/d/1eHaY18a8A9IcSdp1K8H6x8fbOy06t2VsZHhMHf-1x7Y/edit?usp=sharing"",""แผน!HJ54"")"),0)</f>
        <v>0</v>
      </c>
      <c r="J440" s="870">
        <f>J442+J444+J446+J452+J454</f>
        <v>0</v>
      </c>
      <c r="K440" s="213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1130">
        <f ca="1">IFERROR(__xludf.DUMMYFUNCTION("IMPORTRANGE(""https://docs.google.com/spreadsheets/d/1eHaY18a8A9IcSdp1K8H6x8fbOy06t2VsZHhMHf-1x7Y/edit?usp=sharing"",""แผน!HK54"")"),0)</f>
        <v>0</v>
      </c>
      <c r="J441" s="870">
        <f>J443+J445+J447+J453+J455</f>
        <v>0</v>
      </c>
      <c r="K441" s="213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1276">
        <f ca="1">I457</f>
        <v>24</v>
      </c>
      <c r="J456" s="868">
        <f>J457</f>
        <v>0</v>
      </c>
      <c r="K456" s="1275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1130">
        <f ca="1">IFERROR(__xludf.DUMMYFUNCTION("IMPORTRANGE(""https://docs.google.com/spreadsheets/d/1eHaY18a8A9IcSdp1K8H6x8fbOy06t2VsZHhMHf-1x7Y/edit?usp=sharing"",""แผน!HL54"")"),24)</f>
        <v>24</v>
      </c>
      <c r="J457" s="870">
        <f>J459+J467+J473</f>
        <v>0</v>
      </c>
      <c r="K457" s="213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1130">
        <f ca="1">IFERROR(__xludf.DUMMYFUNCTION("IMPORTRANGE(""https://docs.google.com/spreadsheets/d/1eHaY18a8A9IcSdp1K8H6x8fbOy06t2VsZHhMHf-1x7Y/edit?usp=sharing"",""แผน!HM54"")"),0)</f>
        <v>0</v>
      </c>
      <c r="J458" s="870">
        <f>J460+J468+J474</f>
        <v>0</v>
      </c>
      <c r="K458" s="213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1275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1282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1282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1282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1282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335</v>
      </c>
      <c r="C492" s="584"/>
      <c r="D492" s="584"/>
      <c r="E492" s="585"/>
      <c r="F492" s="585"/>
      <c r="G492" s="586"/>
      <c r="H492" s="594" t="s">
        <v>35</v>
      </c>
      <c r="I492" s="588">
        <f ca="1">I503</f>
        <v>0</v>
      </c>
      <c r="J492" s="588">
        <f ca="1">J503</f>
        <v>0</v>
      </c>
      <c r="K492" s="1281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212">
        <f ca="1">L494+L495</f>
        <v>0</v>
      </c>
      <c r="M493" s="213">
        <f ca="1">M494+M495</f>
        <v>0</v>
      </c>
      <c r="N493" s="213">
        <f ca="1">N494+N495</f>
        <v>0</v>
      </c>
      <c r="O493" s="213">
        <f t="shared" ref="O493:O501" ca="1" si="118">IF(L493&gt;0,N493*100/L493,0)</f>
        <v>0</v>
      </c>
      <c r="P493" s="213">
        <f t="shared" ref="P493:P501" ca="1" si="119">IF(M493&gt;0,N493*100/M493,0)</f>
        <v>0</v>
      </c>
      <c r="Q493" s="213">
        <f ca="1">Q494+Q495</f>
        <v>0</v>
      </c>
      <c r="R493" s="213">
        <f ca="1">R494+R495</f>
        <v>0</v>
      </c>
      <c r="S493" s="213">
        <f ca="1">S494+S495</f>
        <v>0</v>
      </c>
      <c r="T493" s="213">
        <f t="shared" ref="T493:T501" ca="1" si="120">IF(Q493&gt;0,S493*100/Q493,0)</f>
        <v>0</v>
      </c>
      <c r="U493" s="213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0</v>
      </c>
      <c r="M495" s="130">
        <f t="shared" ca="1" si="122"/>
        <v>0</v>
      </c>
      <c r="N495" s="130">
        <f t="shared" ca="1" si="122"/>
        <v>0</v>
      </c>
      <c r="O495" s="130">
        <f t="shared" ca="1" si="118"/>
        <v>0</v>
      </c>
      <c r="P495" s="130">
        <f t="shared" ca="1" si="119"/>
        <v>0</v>
      </c>
      <c r="Q495" s="130">
        <f t="shared" ca="1" si="123"/>
        <v>0</v>
      </c>
      <c r="R495" s="130">
        <f t="shared" ca="1" si="123"/>
        <v>0</v>
      </c>
      <c r="S495" s="130">
        <f t="shared" ca="1" si="123"/>
        <v>0</v>
      </c>
      <c r="T495" s="130">
        <f t="shared" ca="1" si="120"/>
        <v>0</v>
      </c>
      <c r="U495" s="130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0</v>
      </c>
      <c r="M496" s="130">
        <f ca="1">M497+M498</f>
        <v>0</v>
      </c>
      <c r="N496" s="130">
        <f ca="1">N497+N498</f>
        <v>0</v>
      </c>
      <c r="O496" s="130">
        <f t="shared" ca="1" si="118"/>
        <v>0</v>
      </c>
      <c r="P496" s="130">
        <f t="shared" ca="1" si="119"/>
        <v>0</v>
      </c>
      <c r="Q496" s="130">
        <f ca="1">Q497+Q498</f>
        <v>0</v>
      </c>
      <c r="R496" s="130">
        <f ca="1">R497+R498</f>
        <v>0</v>
      </c>
      <c r="S496" s="130">
        <f ca="1">S497+S498</f>
        <v>0</v>
      </c>
      <c r="T496" s="130">
        <f t="shared" ca="1" si="120"/>
        <v>0</v>
      </c>
      <c r="U496" s="130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IFERROR(__xludf.DUMMYFUNCTION("IMPORTRANGE(""https://docs.google.com/spreadsheets/d/1-uDff_7J0KD5mKrp0Vvzr7lt3OU09vwQwhkpOPPYv2Y/edit?usp=sharing"",""งบพรบ!HU54"")"),0)</f>
        <v>0</v>
      </c>
      <c r="M498" s="72">
        <f ca="1">IFERROR(__xludf.DUMMYFUNCTION("IMPORTRANGE(""https://docs.google.com/spreadsheets/d/1-uDff_7J0KD5mKrp0Vvzr7lt3OU09vwQwhkpOPPYv2Y/edit?usp=sharing"",""งบพรบ!HZ54"")"),0)</f>
        <v>0</v>
      </c>
      <c r="N498" s="72">
        <f ca="1">IFERROR(__xludf.DUMMYFUNCTION("IMPORTRANGE(""https://docs.google.com/spreadsheets/d/1-uDff_7J0KD5mKrp0Vvzr7lt3OU09vwQwhkpOPPYv2Y/edit?usp=sharing"",""งบพรบ!IB54"")"),0)</f>
        <v>0</v>
      </c>
      <c r="O498" s="130">
        <f t="shared" ca="1" si="118"/>
        <v>0</v>
      </c>
      <c r="P498" s="130">
        <f t="shared" ca="1" si="119"/>
        <v>0</v>
      </c>
      <c r="Q498" s="130">
        <f ca="1">IFERROR(__xludf.DUMMYFUNCTION("IMPORTRANGE(""https://docs.google.com/spreadsheets/d/1ItG2mGa2ceCfYo0BwxsXqNm01IGEUdYcSSLTEv9YCik/edit?usp=sharing"",""เบิกจ่ายกองทุน!AD54"")"),0)</f>
        <v>0</v>
      </c>
      <c r="R498" s="130">
        <f ca="1">IFERROR(__xludf.DUMMYFUNCTION("IMPORTRANGE(""https://docs.google.com/spreadsheets/d/1ItG2mGa2ceCfYo0BwxsXqNm01IGEUdYcSSLTEv9YCik/edit?usp=sharing"",""เบิกจ่ายกองทุน!AE54"")"),0)</f>
        <v>0</v>
      </c>
      <c r="S498" s="130">
        <f ca="1">IFERROR(__xludf.DUMMYFUNCTION("IMPORTRANGE(""https://docs.google.com/spreadsheets/d/1ItG2mGa2ceCfYo0BwxsXqNm01IGEUdYcSSLTEv9YCik/edit?usp=sharing"",""เบิกจ่ายกองทุน!AF54"")"),0)</f>
        <v>0</v>
      </c>
      <c r="T498" s="130">
        <f t="shared" ca="1" si="120"/>
        <v>0</v>
      </c>
      <c r="U498" s="130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IFERROR(__xludf.DUMMYFUNCTION("IMPORTRANGE(""https://docs.google.com/spreadsheets/d/1-uDff_7J0KD5mKrp0Vvzr7lt3OU09vwQwhkpOPPYv2Y/edit?usp=sharing"",""งบพรบ!HX54"")"),0)</f>
        <v>0</v>
      </c>
      <c r="M501" s="72">
        <f ca="1">IFERROR(__xludf.DUMMYFUNCTION("IMPORTRANGE(""https://docs.google.com/spreadsheets/d/1-uDff_7J0KD5mKrp0Vvzr7lt3OU09vwQwhkpOPPYv2Y/edit?usp=sharing"",""งบพรบ!IA54"")"),0)</f>
        <v>0</v>
      </c>
      <c r="N501" s="72">
        <f ca="1">IFERROR(__xludf.DUMMYFUNCTION("IMPORTRANGE(""https://docs.google.com/spreadsheets/d/1-uDff_7J0KD5mKrp0Vvzr7lt3OU09vwQwhkpOPPYv2Y/edit?usp=sharing"",""งบพรบ!IC54"")"),0)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1130">
        <f ca="1">IFERROR(__xludf.DUMMYFUNCTION("IMPORTRANGE(""https://docs.google.com/spreadsheets/d/1eHaY18a8A9IcSdp1K8H6x8fbOy06t2VsZHhMHf-1x7Y/edit?usp=sharing"",""แผน!GX54"")"),0)</f>
        <v>0</v>
      </c>
      <c r="J503" s="1130">
        <f ca="1">IF(AND(J504=I504,J505=I505,J506=I506,J507=I507),I503,0)</f>
        <v>0</v>
      </c>
      <c r="K503" s="213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602">
        <f ca="1">IFERROR(__xludf.DUMMYFUNCTION("IMPORTRANGE(""https://docs.google.com/spreadsheets/d/1eHaY18a8A9IcSdp1K8H6x8fbOy06t2VsZHhMHf-1x7Y/edit?usp=sharing"",""แผน!GY54"")"),0)</f>
        <v>0</v>
      </c>
      <c r="J504" s="292">
        <v>0</v>
      </c>
      <c r="K504" s="130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602">
        <f ca="1">IFERROR(__xludf.DUMMYFUNCTION("IMPORTRANGE(""https://docs.google.com/spreadsheets/d/1eHaY18a8A9IcSdp1K8H6x8fbOy06t2VsZHhMHf-1x7Y/edit?usp=sharing"",""แผน!GZ54"")"),0)</f>
        <v>0</v>
      </c>
      <c r="J505" s="292">
        <v>0</v>
      </c>
      <c r="K505" s="130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602">
        <f ca="1">IFERROR(__xludf.DUMMYFUNCTION("IMPORTRANGE(""https://docs.google.com/spreadsheets/d/1eHaY18a8A9IcSdp1K8H6x8fbOy06t2VsZHhMHf-1x7Y/edit?usp=sharing"",""แผน!HA54"")"),0)</f>
        <v>0</v>
      </c>
      <c r="J506" s="292">
        <v>0</v>
      </c>
      <c r="K506" s="130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602">
        <f ca="1">IFERROR(__xludf.DUMMYFUNCTION("IMPORTRANGE(""https://docs.google.com/spreadsheets/d/1eHaY18a8A9IcSdp1K8H6x8fbOy06t2VsZHhMHf-1x7Y/edit?usp=sharing"",""แผน!HB54"")"),0)</f>
        <v>0</v>
      </c>
      <c r="J507" s="292">
        <v>0</v>
      </c>
      <c r="K507" s="130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130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611">
        <f ca="1">IFERROR(__xludf.DUMMYFUNCTION("IMPORTRANGE(""https://docs.google.com/spreadsheets/d/1eHaY18a8A9IcSdp1K8H6x8fbOy06t2VsZHhMHf-1x7Y/edit?usp=sharing"",""แผน!HC54"")"),0)</f>
        <v>0</v>
      </c>
      <c r="J509" s="739">
        <v>0</v>
      </c>
      <c r="K509" s="182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50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t="shared" ref="O513:O521" ca="1" si="125">IF(L513&gt;0,N513*100/L513,0)</f>
        <v>0</v>
      </c>
      <c r="P513" s="213">
        <f t="shared" ref="P513:P521" ca="1" si="126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 t="shared" ref="T513:T521" si="127">IF(Q513&gt;0,S513*100/Q513,0)</f>
        <v>0</v>
      </c>
      <c r="U513" s="213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 t="shared" ref="L514:N515" si="129">L517+L520</f>
        <v>0</v>
      </c>
      <c r="M514" s="131">
        <f t="shared" si="129"/>
        <v>0</v>
      </c>
      <c r="N514" s="131">
        <f t="shared" si="129"/>
        <v>0</v>
      </c>
      <c r="O514" s="131">
        <f t="shared" si="125"/>
        <v>0</v>
      </c>
      <c r="P514" s="131">
        <f t="shared" si="126"/>
        <v>0</v>
      </c>
      <c r="Q514" s="131">
        <f t="shared" ref="Q514:S515" si="130">Q517+Q520</f>
        <v>0</v>
      </c>
      <c r="R514" s="131">
        <f t="shared" si="130"/>
        <v>0</v>
      </c>
      <c r="S514" s="131">
        <f t="shared" si="130"/>
        <v>0</v>
      </c>
      <c r="T514" s="131">
        <f t="shared" si="127"/>
        <v>0</v>
      </c>
      <c r="U514" s="131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129">
        <f t="shared" ca="1" si="129"/>
        <v>0</v>
      </c>
      <c r="M515" s="130">
        <f t="shared" ca="1" si="129"/>
        <v>0</v>
      </c>
      <c r="N515" s="130">
        <f t="shared" ca="1" si="129"/>
        <v>0</v>
      </c>
      <c r="O515" s="130">
        <f t="shared" ca="1" si="125"/>
        <v>0</v>
      </c>
      <c r="P515" s="130">
        <f t="shared" ca="1" si="126"/>
        <v>0</v>
      </c>
      <c r="Q515" s="130">
        <f t="shared" si="130"/>
        <v>0</v>
      </c>
      <c r="R515" s="130">
        <f t="shared" si="130"/>
        <v>0</v>
      </c>
      <c r="S515" s="130">
        <f t="shared" si="130"/>
        <v>0</v>
      </c>
      <c r="T515" s="130">
        <f t="shared" si="127"/>
        <v>0</v>
      </c>
      <c r="U515" s="130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t="shared" ca="1" si="125"/>
        <v>0</v>
      </c>
      <c r="P516" s="130">
        <f t="shared" ca="1" si="126"/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 t="shared" si="127"/>
        <v>0</v>
      </c>
      <c r="U516" s="130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 t="shared" si="125"/>
        <v>0</v>
      </c>
      <c r="P517" s="131">
        <f t="shared" si="126"/>
        <v>0</v>
      </c>
      <c r="Q517" s="75">
        <v>0</v>
      </c>
      <c r="R517" s="75">
        <v>0</v>
      </c>
      <c r="S517" s="75">
        <v>0</v>
      </c>
      <c r="T517" s="131">
        <f t="shared" si="127"/>
        <v>0</v>
      </c>
      <c r="U517" s="131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IFERROR(__xludf.DUMMYFUNCTION("IMPORTRANGE(""https://docs.google.com/spreadsheets/d/1-uDff_7J0KD5mKrp0Vvzr7lt3OU09vwQwhkpOPPYv2Y/edit?usp=sharing"",""งบพรบ!FM54"")"),0)</f>
        <v>0</v>
      </c>
      <c r="M518" s="130">
        <f ca="1">IFERROR(__xludf.DUMMYFUNCTION("IMPORTRANGE(""https://docs.google.com/spreadsheets/d/1-uDff_7J0KD5mKrp0Vvzr7lt3OU09vwQwhkpOPPYv2Y/edit?usp=sharing"",""งบพรบ!FR54"")"),0)</f>
        <v>0</v>
      </c>
      <c r="N518" s="130">
        <f ca="1">IFERROR(__xludf.DUMMYFUNCTION("IMPORTRANGE(""https://docs.google.com/spreadsheets/d/1-uDff_7J0KD5mKrp0Vvzr7lt3OU09vwQwhkpOPPYv2Y/edit?usp=sharing"",""งบพรบ!FT54"")"),0)</f>
        <v>0</v>
      </c>
      <c r="O518" s="130">
        <f t="shared" ca="1" si="125"/>
        <v>0</v>
      </c>
      <c r="P518" s="130">
        <f t="shared" ca="1" si="126"/>
        <v>0</v>
      </c>
      <c r="Q518" s="72">
        <v>0</v>
      </c>
      <c r="R518" s="72">
        <v>0</v>
      </c>
      <c r="S518" s="72">
        <v>0</v>
      </c>
      <c r="T518" s="130">
        <f t="shared" si="127"/>
        <v>0</v>
      </c>
      <c r="U518" s="130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t="shared" ca="1" si="125"/>
        <v>0</v>
      </c>
      <c r="P519" s="130">
        <f t="shared" ca="1" si="126"/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 t="shared" si="127"/>
        <v>0</v>
      </c>
      <c r="U519" s="130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 t="shared" si="125"/>
        <v>0</v>
      </c>
      <c r="P520" s="131">
        <f t="shared" si="126"/>
        <v>0</v>
      </c>
      <c r="Q520" s="75">
        <v>0</v>
      </c>
      <c r="R520" s="75">
        <v>0</v>
      </c>
      <c r="S520" s="75">
        <v>0</v>
      </c>
      <c r="T520" s="131">
        <f t="shared" si="127"/>
        <v>0</v>
      </c>
      <c r="U520" s="131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IFERROR(__xludf.DUMMYFUNCTION("IMPORTRANGE(""https://docs.google.com/spreadsheets/d/1-uDff_7J0KD5mKrp0Vvzr7lt3OU09vwQwhkpOPPYv2Y/edit?usp=sharing"",""งบพรบ!FP54"")"),0)</f>
        <v>0</v>
      </c>
      <c r="M521" s="130">
        <f ca="1">IFERROR(__xludf.DUMMYFUNCTION("IMPORTRANGE(""https://docs.google.com/spreadsheets/d/1-uDff_7J0KD5mKrp0Vvzr7lt3OU09vwQwhkpOPPYv2Y/edit?usp=sharing"",""งบพรบ!FS54"")"),0)</f>
        <v>0</v>
      </c>
      <c r="N521" s="130">
        <f ca="1">IFERROR(__xludf.DUMMYFUNCTION("IMPORTRANGE(""https://docs.google.com/spreadsheets/d/1-uDff_7J0KD5mKrp0Vvzr7lt3OU09vwQwhkpOPPYv2Y/edit?usp=sharing"",""งบพรบ!FU54"")"),0)</f>
        <v>0</v>
      </c>
      <c r="O521" s="130">
        <f t="shared" ca="1" si="125"/>
        <v>0</v>
      </c>
      <c r="P521" s="130">
        <f t="shared" ca="1" si="126"/>
        <v>0</v>
      </c>
      <c r="Q521" s="72">
        <v>0</v>
      </c>
      <c r="R521" s="72">
        <v>0</v>
      </c>
      <c r="S521" s="72">
        <v>0</v>
      </c>
      <c r="T521" s="130">
        <f t="shared" si="127"/>
        <v>0</v>
      </c>
      <c r="U521" s="130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7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7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325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1279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t="shared" ref="O534:O542" ca="1" si="131">IF(L534&gt;0,N534*100/L534,0)</f>
        <v>0</v>
      </c>
      <c r="P534" s="213">
        <f t="shared" ref="P534:P542" ca="1" si="132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 t="shared" ref="T534:T542" si="133">IF(Q534&gt;0,S534*100/Q534,0)</f>
        <v>0</v>
      </c>
      <c r="U534" s="213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 t="shared" ref="L535:N536" si="135">L538+L541</f>
        <v>0</v>
      </c>
      <c r="M535" s="131">
        <f t="shared" si="135"/>
        <v>0</v>
      </c>
      <c r="N535" s="131">
        <f t="shared" si="135"/>
        <v>0</v>
      </c>
      <c r="O535" s="131">
        <f t="shared" si="131"/>
        <v>0</v>
      </c>
      <c r="P535" s="131">
        <f t="shared" si="132"/>
        <v>0</v>
      </c>
      <c r="Q535" s="131">
        <f t="shared" ref="Q535:S536" si="136">Q538+Q541</f>
        <v>0</v>
      </c>
      <c r="R535" s="131">
        <f t="shared" si="136"/>
        <v>0</v>
      </c>
      <c r="S535" s="131">
        <f t="shared" si="136"/>
        <v>0</v>
      </c>
      <c r="T535" s="131">
        <f t="shared" si="133"/>
        <v>0</v>
      </c>
      <c r="U535" s="131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129">
        <f t="shared" ca="1" si="135"/>
        <v>0</v>
      </c>
      <c r="M536" s="130">
        <f t="shared" ca="1" si="135"/>
        <v>0</v>
      </c>
      <c r="N536" s="130">
        <f t="shared" ca="1" si="135"/>
        <v>0</v>
      </c>
      <c r="O536" s="130">
        <f t="shared" ca="1" si="131"/>
        <v>0</v>
      </c>
      <c r="P536" s="130">
        <f t="shared" ca="1" si="132"/>
        <v>0</v>
      </c>
      <c r="Q536" s="130">
        <f t="shared" si="136"/>
        <v>0</v>
      </c>
      <c r="R536" s="130">
        <f t="shared" si="136"/>
        <v>0</v>
      </c>
      <c r="S536" s="130">
        <f t="shared" si="136"/>
        <v>0</v>
      </c>
      <c r="T536" s="130">
        <f t="shared" si="133"/>
        <v>0</v>
      </c>
      <c r="U536" s="130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t="shared" ca="1" si="131"/>
        <v>0</v>
      </c>
      <c r="P537" s="130">
        <f t="shared" ca="1" si="132"/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 t="shared" si="133"/>
        <v>0</v>
      </c>
      <c r="U537" s="130">
        <f t="shared" si="134"/>
        <v>0</v>
      </c>
    </row>
    <row r="538" spans="1:21" ht="18.75" hidden="1" x14ac:dyDescent="0.25">
      <c r="A538" s="255"/>
      <c r="B538" s="267"/>
      <c r="C538" s="267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 t="shared" si="131"/>
        <v>0</v>
      </c>
      <c r="P538" s="131">
        <f t="shared" si="132"/>
        <v>0</v>
      </c>
      <c r="Q538" s="75">
        <v>0</v>
      </c>
      <c r="R538" s="75">
        <v>0</v>
      </c>
      <c r="S538" s="75">
        <v>0</v>
      </c>
      <c r="T538" s="131">
        <f t="shared" si="133"/>
        <v>0</v>
      </c>
      <c r="U538" s="131">
        <f t="shared" si="134"/>
        <v>0</v>
      </c>
    </row>
    <row r="539" spans="1:21" ht="18.75" hidden="1" x14ac:dyDescent="0.25">
      <c r="A539" s="255"/>
      <c r="B539" s="267"/>
      <c r="C539" s="267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IFERROR(__xludf.DUMMYFUNCTION("IMPORTRANGE(""https://docs.google.com/spreadsheets/d/1-uDff_7J0KD5mKrp0Vvzr7lt3OU09vwQwhkpOPPYv2Y/edit?usp=sharing"",""งบพรบ!FW54"")"),0)</f>
        <v>0</v>
      </c>
      <c r="M539" s="72">
        <f ca="1">IFERROR(__xludf.DUMMYFUNCTION("IMPORTRANGE(""https://docs.google.com/spreadsheets/d/1-uDff_7J0KD5mKrp0Vvzr7lt3OU09vwQwhkpOPPYv2Y/edit?usp=sharing"",""งบพรบ!GB54"")"),0)</f>
        <v>0</v>
      </c>
      <c r="N539" s="72">
        <f ca="1">IFERROR(__xludf.DUMMYFUNCTION("IMPORTRANGE(""https://docs.google.com/spreadsheets/d/1-uDff_7J0KD5mKrp0Vvzr7lt3OU09vwQwhkpOPPYv2Y/edit?usp=sharing"",""งบพรบ!GD54"")"),0)</f>
        <v>0</v>
      </c>
      <c r="O539" s="130">
        <f t="shared" ca="1" si="131"/>
        <v>0</v>
      </c>
      <c r="P539" s="130">
        <f t="shared" ca="1" si="132"/>
        <v>0</v>
      </c>
      <c r="Q539" s="72">
        <v>0</v>
      </c>
      <c r="R539" s="72">
        <v>0</v>
      </c>
      <c r="S539" s="72">
        <v>0</v>
      </c>
      <c r="T539" s="130">
        <f t="shared" si="133"/>
        <v>0</v>
      </c>
      <c r="U539" s="130">
        <f t="shared" si="134"/>
        <v>0</v>
      </c>
    </row>
    <row r="540" spans="1:21" ht="18.75" hidden="1" x14ac:dyDescent="0.25">
      <c r="A540" s="255"/>
      <c r="B540" s="267"/>
      <c r="C540" s="267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t="shared" ca="1" si="131"/>
        <v>0</v>
      </c>
      <c r="P540" s="130">
        <f t="shared" ca="1" si="132"/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 t="shared" si="133"/>
        <v>0</v>
      </c>
      <c r="U540" s="130">
        <f t="shared" si="134"/>
        <v>0</v>
      </c>
    </row>
    <row r="541" spans="1:21" ht="18.75" hidden="1" x14ac:dyDescent="0.25">
      <c r="A541" s="255"/>
      <c r="B541" s="267"/>
      <c r="C541" s="267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 t="shared" si="131"/>
        <v>0</v>
      </c>
      <c r="P541" s="131">
        <f t="shared" si="132"/>
        <v>0</v>
      </c>
      <c r="Q541" s="75">
        <v>0</v>
      </c>
      <c r="R541" s="75">
        <v>0</v>
      </c>
      <c r="S541" s="75">
        <v>0</v>
      </c>
      <c r="T541" s="131">
        <f t="shared" si="133"/>
        <v>0</v>
      </c>
      <c r="U541" s="131">
        <f t="shared" si="134"/>
        <v>0</v>
      </c>
    </row>
    <row r="542" spans="1:21" ht="18.75" hidden="1" x14ac:dyDescent="0.25">
      <c r="A542" s="255"/>
      <c r="B542" s="267"/>
      <c r="C542" s="267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IFERROR(__xludf.DUMMYFUNCTION("IMPORTRANGE(""https://docs.google.com/spreadsheets/d/1-uDff_7J0KD5mKrp0Vvzr7lt3OU09vwQwhkpOPPYv2Y/edit?usp=sharing"",""งบพรบ!FZ54"")"),0)</f>
        <v>0</v>
      </c>
      <c r="M542" s="72">
        <f ca="1">IFERROR(__xludf.DUMMYFUNCTION("IMPORTRANGE(""https://docs.google.com/spreadsheets/d/1-uDff_7J0KD5mKrp0Vvzr7lt3OU09vwQwhkpOPPYv2Y/edit?usp=sharing"",""งบพรบ!GC54"")"),0)</f>
        <v>0</v>
      </c>
      <c r="N542" s="72">
        <f ca="1">IFERROR(__xludf.DUMMYFUNCTION("IMPORTRANGE(""https://docs.google.com/spreadsheets/d/1-uDff_7J0KD5mKrp0Vvzr7lt3OU09vwQwhkpOPPYv2Y/edit?usp=sharing"",""งบพรบ!GE54"")"),0)</f>
        <v>0</v>
      </c>
      <c r="O542" s="130">
        <f t="shared" ca="1" si="131"/>
        <v>0</v>
      </c>
      <c r="P542" s="130">
        <f t="shared" ca="1" si="132"/>
        <v>0</v>
      </c>
      <c r="Q542" s="72">
        <v>0</v>
      </c>
      <c r="R542" s="72">
        <v>0</v>
      </c>
      <c r="S542" s="72">
        <v>0</v>
      </c>
      <c r="T542" s="130">
        <f t="shared" si="133"/>
        <v>0</v>
      </c>
      <c r="U542" s="130">
        <f t="shared" si="134"/>
        <v>0</v>
      </c>
    </row>
    <row r="543" spans="1:21" ht="19.5" hidden="1" x14ac:dyDescent="0.3">
      <c r="A543" s="274"/>
      <c r="B543" s="275"/>
      <c r="C543" s="596" t="s">
        <v>18</v>
      </c>
      <c r="D543" s="800" t="s">
        <v>38</v>
      </c>
      <c r="E543" s="278"/>
      <c r="F543" s="278"/>
      <c r="G543" s="279"/>
      <c r="H543" s="305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71"/>
      <c r="C544" s="571"/>
      <c r="D544" s="591"/>
      <c r="E544" s="571"/>
      <c r="F544" s="591"/>
      <c r="G544" s="592"/>
      <c r="H544" s="57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71"/>
      <c r="C545" s="571"/>
      <c r="D545" s="591"/>
      <c r="E545" s="571"/>
      <c r="F545" s="591"/>
      <c r="G545" s="592"/>
      <c r="H545" s="57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7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7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324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1279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0</v>
      </c>
      <c r="M555" s="213">
        <f ca="1">M556+M557</f>
        <v>0</v>
      </c>
      <c r="N555" s="213">
        <f ca="1">N556+N557</f>
        <v>0</v>
      </c>
      <c r="O555" s="213">
        <f t="shared" ref="O555:O563" ca="1" si="137">IF(L555&gt;0,N555*100/L555,0)</f>
        <v>0</v>
      </c>
      <c r="P555" s="213">
        <f t="shared" ref="P555:P563" ca="1" si="138">IF(M555&gt;0,N555*100/M555,0)</f>
        <v>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 t="shared" ref="T555:T563" si="139">IF(Q555&gt;0,S555*100/Q555,0)</f>
        <v>0</v>
      </c>
      <c r="U555" s="213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129">
        <f t="shared" ca="1" si="141"/>
        <v>0</v>
      </c>
      <c r="M557" s="130">
        <f t="shared" ca="1" si="141"/>
        <v>0</v>
      </c>
      <c r="N557" s="130">
        <f t="shared" ca="1" si="141"/>
        <v>0</v>
      </c>
      <c r="O557" s="130">
        <f t="shared" ca="1" si="137"/>
        <v>0</v>
      </c>
      <c r="P557" s="130">
        <f t="shared" ca="1" si="138"/>
        <v>0</v>
      </c>
      <c r="Q557" s="130">
        <f t="shared" si="142"/>
        <v>0</v>
      </c>
      <c r="R557" s="130">
        <f t="shared" si="142"/>
        <v>0</v>
      </c>
      <c r="S557" s="130">
        <f t="shared" si="142"/>
        <v>0</v>
      </c>
      <c r="T557" s="130">
        <f t="shared" si="139"/>
        <v>0</v>
      </c>
      <c r="U557" s="130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t="shared" ca="1" si="137"/>
        <v>0</v>
      </c>
      <c r="P558" s="130">
        <f t="shared" ca="1" si="138"/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 t="shared" si="139"/>
        <v>0</v>
      </c>
      <c r="U558" s="130">
        <f t="shared" si="140"/>
        <v>0</v>
      </c>
    </row>
    <row r="559" spans="1:21" ht="18.75" hidden="1" x14ac:dyDescent="0.25">
      <c r="A559" s="255"/>
      <c r="B559" s="267"/>
      <c r="C559" s="267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55"/>
      <c r="B560" s="267"/>
      <c r="C560" s="267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IFERROR(__xludf.DUMMYFUNCTION("IMPORTRANGE(""https://docs.google.com/spreadsheets/d/1-uDff_7J0KD5mKrp0Vvzr7lt3OU09vwQwhkpOPPYv2Y/edit?usp=sharing"",""งบพรบ!GG54"")"),0)</f>
        <v>0</v>
      </c>
      <c r="M560" s="72">
        <f ca="1">IFERROR(__xludf.DUMMYFUNCTION("IMPORTRANGE(""https://docs.google.com/spreadsheets/d/1-uDff_7J0KD5mKrp0Vvzr7lt3OU09vwQwhkpOPPYv2Y/edit?usp=sharing"",""งบพรบ!GL54"")"),0)</f>
        <v>0</v>
      </c>
      <c r="N560" s="72">
        <f ca="1">IFERROR(__xludf.DUMMYFUNCTION("IMPORTRANGE(""https://docs.google.com/spreadsheets/d/1-uDff_7J0KD5mKrp0Vvzr7lt3OU09vwQwhkpOPPYv2Y/edit?usp=sharing"",""งบพรบ!GN54"")"),0)</f>
        <v>0</v>
      </c>
      <c r="O560" s="130">
        <f t="shared" ca="1" si="137"/>
        <v>0</v>
      </c>
      <c r="P560" s="130">
        <f t="shared" ca="1" si="138"/>
        <v>0</v>
      </c>
      <c r="Q560" s="72">
        <v>0</v>
      </c>
      <c r="R560" s="72">
        <v>0</v>
      </c>
      <c r="S560" s="72">
        <v>0</v>
      </c>
      <c r="T560" s="130">
        <f t="shared" si="139"/>
        <v>0</v>
      </c>
      <c r="U560" s="130">
        <f t="shared" si="140"/>
        <v>0</v>
      </c>
    </row>
    <row r="561" spans="1:21" ht="18.75" hidden="1" x14ac:dyDescent="0.25">
      <c r="A561" s="255"/>
      <c r="B561" s="267"/>
      <c r="C561" s="267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129">
        <f ca="1">L562+L563</f>
        <v>0</v>
      </c>
      <c r="M561" s="130">
        <f ca="1">M562+M563</f>
        <v>0</v>
      </c>
      <c r="N561" s="130">
        <f ca="1">N562+N563</f>
        <v>0</v>
      </c>
      <c r="O561" s="130">
        <f t="shared" ca="1" si="137"/>
        <v>0</v>
      </c>
      <c r="P561" s="130">
        <f t="shared" ca="1" si="138"/>
        <v>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 t="shared" si="139"/>
        <v>0</v>
      </c>
      <c r="U561" s="130">
        <f t="shared" si="140"/>
        <v>0</v>
      </c>
    </row>
    <row r="562" spans="1:21" ht="18.75" hidden="1" x14ac:dyDescent="0.25">
      <c r="A562" s="255"/>
      <c r="B562" s="267"/>
      <c r="C562" s="267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55"/>
      <c r="B563" s="267"/>
      <c r="C563" s="267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IFERROR(__xludf.DUMMYFUNCTION("IMPORTRANGE(""https://docs.google.com/spreadsheets/d/1-uDff_7J0KD5mKrp0Vvzr7lt3OU09vwQwhkpOPPYv2Y/edit?usp=sharing"",""งบพรบ!GJ54"")"),0)</f>
        <v>0</v>
      </c>
      <c r="M563" s="72">
        <f ca="1">IFERROR(__xludf.DUMMYFUNCTION("IMPORTRANGE(""https://docs.google.com/spreadsheets/d/1-uDff_7J0KD5mKrp0Vvzr7lt3OU09vwQwhkpOPPYv2Y/edit?usp=sharing"",""งบพรบ!GM54"")"),0)</f>
        <v>0</v>
      </c>
      <c r="N563" s="72">
        <f ca="1">IFERROR(__xludf.DUMMYFUNCTION("IMPORTRANGE(""https://docs.google.com/spreadsheets/d/1-uDff_7J0KD5mKrp0Vvzr7lt3OU09vwQwhkpOPPYv2Y/edit?usp=sharing"",""งบพรบ!GO54"")"),0)</f>
        <v>0</v>
      </c>
      <c r="O563" s="130">
        <f t="shared" ca="1" si="137"/>
        <v>0</v>
      </c>
      <c r="P563" s="130">
        <f t="shared" ca="1" si="138"/>
        <v>0</v>
      </c>
      <c r="Q563" s="72">
        <v>0</v>
      </c>
      <c r="R563" s="72">
        <v>0</v>
      </c>
      <c r="S563" s="72">
        <v>0</v>
      </c>
      <c r="T563" s="130">
        <f t="shared" si="139"/>
        <v>0</v>
      </c>
      <c r="U563" s="130">
        <f t="shared" si="140"/>
        <v>0</v>
      </c>
    </row>
    <row r="564" spans="1:21" ht="19.5" hidden="1" x14ac:dyDescent="0.3">
      <c r="A564" s="274"/>
      <c r="B564" s="275"/>
      <c r="C564" s="596" t="s">
        <v>18</v>
      </c>
      <c r="D564" s="800" t="s">
        <v>38</v>
      </c>
      <c r="E564" s="278"/>
      <c r="F564" s="278"/>
      <c r="G564" s="279"/>
      <c r="H564" s="305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71"/>
      <c r="C565" s="571"/>
      <c r="D565" s="591"/>
      <c r="E565" s="571"/>
      <c r="F565" s="591"/>
      <c r="G565" s="592"/>
      <c r="H565" s="57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71"/>
      <c r="C566" s="571"/>
      <c r="D566" s="591"/>
      <c r="E566" s="571"/>
      <c r="F566" s="591"/>
      <c r="G566" s="592"/>
      <c r="H566" s="57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7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7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323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1279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67"/>
      <c r="C580" s="267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67"/>
      <c r="C581" s="267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IFERROR(__xludf.DUMMYFUNCTION("IMPORTRANGE(""https://docs.google.com/spreadsheets/d/1-uDff_7J0KD5mKrp0Vvzr7lt3OU09vwQwhkpOPPYv2Y/edit?usp=sharing"",""งบพรบ!GQ54"")"),0)</f>
        <v>0</v>
      </c>
      <c r="M581" s="72">
        <f ca="1">IFERROR(__xludf.DUMMYFUNCTION("IMPORTRANGE(""https://docs.google.com/spreadsheets/d/1-uDff_7J0KD5mKrp0Vvzr7lt3OU09vwQwhkpOPPYv2Y/edit?usp=sharing"",""งบพรบ!GV54"")"),0)</f>
        <v>0</v>
      </c>
      <c r="N581" s="72">
        <f ca="1">IFERROR(__xludf.DUMMYFUNCTION("IMPORTRANGE(""https://docs.google.com/spreadsheets/d/1-uDff_7J0KD5mKrp0Vvzr7lt3OU09vwQwhkpOPPYv2Y/edit?usp=sharing"",""งบพรบ!GX54"")"),0)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67"/>
      <c r="C582" s="267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67"/>
      <c r="C583" s="267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67"/>
      <c r="C584" s="267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IFERROR(__xludf.DUMMYFUNCTION("IMPORTRANGE(""https://docs.google.com/spreadsheets/d/1-uDff_7J0KD5mKrp0Vvzr7lt3OU09vwQwhkpOPPYv2Y/edit?usp=sharing"",""งบพรบ!GT54"")"),0)</f>
        <v>0</v>
      </c>
      <c r="M584" s="72">
        <f ca="1">IFERROR(__xludf.DUMMYFUNCTION("IMPORTRANGE(""https://docs.google.com/spreadsheets/d/1-uDff_7J0KD5mKrp0Vvzr7lt3OU09vwQwhkpOPPYv2Y/edit?usp=sharing"",""งบพรบ!GW54"")"),0)</f>
        <v>0</v>
      </c>
      <c r="N584" s="72">
        <f ca="1">IFERROR(__xludf.DUMMYFUNCTION("IMPORTRANGE(""https://docs.google.com/spreadsheets/d/1-uDff_7J0KD5mKrp0Vvzr7lt3OU09vwQwhkpOPPYv2Y/edit?usp=sharing"",""งบพรบ!GY54"")"),0)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596" t="s">
        <v>18</v>
      </c>
      <c r="D585" s="800" t="s">
        <v>38</v>
      </c>
      <c r="E585" s="278"/>
      <c r="F585" s="278"/>
      <c r="G585" s="279"/>
      <c r="H585" s="305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71"/>
      <c r="C586" s="571"/>
      <c r="D586" s="591"/>
      <c r="E586" s="571"/>
      <c r="F586" s="591"/>
      <c r="G586" s="592"/>
      <c r="H586" s="57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71"/>
      <c r="C587" s="571"/>
      <c r="D587" s="591"/>
      <c r="E587" s="571"/>
      <c r="F587" s="591"/>
      <c r="G587" s="592"/>
      <c r="H587" s="57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7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hidden="1" x14ac:dyDescent="0.3">
      <c r="A596" s="826" t="s">
        <v>217</v>
      </c>
      <c r="B596" s="823"/>
      <c r="C596" s="825"/>
      <c r="D596" s="824"/>
      <c r="E596" s="824"/>
      <c r="F596" s="824"/>
      <c r="G596" s="824"/>
      <c r="H596" s="823"/>
      <c r="I596" s="822"/>
      <c r="J596" s="822"/>
      <c r="K596" s="821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</row>
    <row r="597" spans="1:21" ht="19.5" hidden="1" x14ac:dyDescent="0.3">
      <c r="A597" s="248"/>
      <c r="B597" s="1278" t="s">
        <v>322</v>
      </c>
      <c r="C597" s="299"/>
      <c r="D597" s="251"/>
      <c r="E597" s="251"/>
      <c r="F597" s="250"/>
      <c r="G597" s="250"/>
      <c r="H597" s="819" t="s">
        <v>99</v>
      </c>
      <c r="I597" s="818"/>
      <c r="J597" s="814"/>
      <c r="K597" s="206"/>
      <c r="L597" s="205"/>
      <c r="M597" s="206"/>
      <c r="N597" s="206"/>
      <c r="O597" s="206"/>
      <c r="P597" s="206"/>
      <c r="Q597" s="206"/>
      <c r="R597" s="206"/>
      <c r="S597" s="206"/>
      <c r="T597" s="206"/>
      <c r="U597" s="206"/>
    </row>
    <row r="598" spans="1:21" ht="19.5" hidden="1" x14ac:dyDescent="0.3">
      <c r="A598" s="817"/>
      <c r="B598" s="816" t="s">
        <v>219</v>
      </c>
      <c r="C598" s="251"/>
      <c r="D598" s="251"/>
      <c r="E598" s="251"/>
      <c r="F598" s="250"/>
      <c r="G598" s="252"/>
      <c r="H598" s="815" t="s">
        <v>35</v>
      </c>
      <c r="I598" s="814"/>
      <c r="J598" s="814"/>
      <c r="K598" s="206"/>
      <c r="L598" s="205"/>
      <c r="M598" s="206"/>
      <c r="N598" s="206"/>
      <c r="O598" s="206"/>
      <c r="P598" s="206"/>
      <c r="Q598" s="206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44" t="s">
        <v>19</v>
      </c>
      <c r="E599" s="1401"/>
      <c r="F599" s="1401"/>
      <c r="G599" s="1402"/>
      <c r="H599" s="753" t="s">
        <v>14</v>
      </c>
      <c r="I599" s="261"/>
      <c r="J599" s="261"/>
      <c r="K599" s="85"/>
      <c r="L599" s="212">
        <f ca="1">L600+L601</f>
        <v>0</v>
      </c>
      <c r="M599" s="213">
        <f ca="1">M600+M601</f>
        <v>0</v>
      </c>
      <c r="N599" s="213">
        <f ca="1">N600+N601</f>
        <v>0</v>
      </c>
      <c r="O599" s="213">
        <f t="shared" ref="O599:O607" ca="1" si="149">IF(L599&gt;0,N599*100/L599,0)</f>
        <v>0</v>
      </c>
      <c r="P599" s="213">
        <f t="shared" ref="P599:P607" ca="1" si="150">IF(M599&gt;0,N599*100/M599,0)</f>
        <v>0</v>
      </c>
      <c r="Q599" s="213">
        <f ca="1">Q600+Q601</f>
        <v>0</v>
      </c>
      <c r="R599" s="213">
        <f ca="1">R600+R601</f>
        <v>0</v>
      </c>
      <c r="S599" s="213">
        <f ca="1">S600+S601</f>
        <v>0</v>
      </c>
      <c r="T599" s="213">
        <f t="shared" ref="T599:T607" ca="1" si="151">IF(Q599&gt;0,S599*100/Q599,0)</f>
        <v>0</v>
      </c>
      <c r="U599" s="213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215">
        <f t="shared" ref="L600:N601" si="153">L603+L606</f>
        <v>0</v>
      </c>
      <c r="M600" s="131">
        <f t="shared" si="153"/>
        <v>0</v>
      </c>
      <c r="N600" s="131">
        <f t="shared" si="153"/>
        <v>0</v>
      </c>
      <c r="O600" s="131">
        <f t="shared" si="149"/>
        <v>0</v>
      </c>
      <c r="P600" s="131">
        <f t="shared" si="150"/>
        <v>0</v>
      </c>
      <c r="Q600" s="131">
        <f t="shared" ref="Q600:S601" si="154">Q603+Q606</f>
        <v>0</v>
      </c>
      <c r="R600" s="131">
        <f t="shared" si="154"/>
        <v>0</v>
      </c>
      <c r="S600" s="131">
        <f t="shared" si="154"/>
        <v>0</v>
      </c>
      <c r="T600" s="131">
        <f t="shared" si="151"/>
        <v>0</v>
      </c>
      <c r="U600" s="131">
        <f t="shared" si="152"/>
        <v>0</v>
      </c>
    </row>
    <row r="601" spans="1:21" ht="18.75" hidden="1" x14ac:dyDescent="0.25">
      <c r="A601" s="255"/>
      <c r="B601" s="267"/>
      <c r="C601" s="267"/>
      <c r="D601" s="275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129">
        <f t="shared" ca="1" si="153"/>
        <v>0</v>
      </c>
      <c r="M601" s="130">
        <f t="shared" ca="1" si="153"/>
        <v>0</v>
      </c>
      <c r="N601" s="130">
        <f t="shared" ca="1" si="153"/>
        <v>0</v>
      </c>
      <c r="O601" s="130">
        <f t="shared" ca="1" si="149"/>
        <v>0</v>
      </c>
      <c r="P601" s="130">
        <f t="shared" ca="1" si="150"/>
        <v>0</v>
      </c>
      <c r="Q601" s="130">
        <f t="shared" ca="1" si="154"/>
        <v>0</v>
      </c>
      <c r="R601" s="130">
        <f t="shared" ca="1" si="154"/>
        <v>0</v>
      </c>
      <c r="S601" s="130">
        <f t="shared" ca="1" si="154"/>
        <v>0</v>
      </c>
      <c r="T601" s="130">
        <f t="shared" ca="1" si="151"/>
        <v>0</v>
      </c>
      <c r="U601" s="130">
        <f t="shared" ca="1" si="152"/>
        <v>0</v>
      </c>
    </row>
    <row r="602" spans="1:21" ht="19.5" hidden="1" x14ac:dyDescent="0.3">
      <c r="A602" s="255"/>
      <c r="B602" s="267"/>
      <c r="C602" s="267"/>
      <c r="D602" s="1277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129">
        <f ca="1">L603+L604</f>
        <v>0</v>
      </c>
      <c r="M602" s="130">
        <f ca="1">M603+M604</f>
        <v>0</v>
      </c>
      <c r="N602" s="130">
        <f ca="1">N603+N604</f>
        <v>0</v>
      </c>
      <c r="O602" s="130">
        <f t="shared" ca="1" si="149"/>
        <v>0</v>
      </c>
      <c r="P602" s="130">
        <f t="shared" ca="1" si="150"/>
        <v>0</v>
      </c>
      <c r="Q602" s="130">
        <f ca="1">Q603+Q604</f>
        <v>0</v>
      </c>
      <c r="R602" s="130">
        <f ca="1">R603+R604</f>
        <v>0</v>
      </c>
      <c r="S602" s="130">
        <f ca="1">S603+S604</f>
        <v>0</v>
      </c>
      <c r="T602" s="130">
        <f t="shared" ca="1" si="151"/>
        <v>0</v>
      </c>
      <c r="U602" s="130">
        <f t="shared" ca="1" si="152"/>
        <v>0</v>
      </c>
    </row>
    <row r="603" spans="1:21" ht="18.75" hidden="1" x14ac:dyDescent="0.25">
      <c r="A603" s="255"/>
      <c r="B603" s="267"/>
      <c r="C603" s="267"/>
      <c r="D603" s="275"/>
      <c r="E603" s="569" t="s">
        <v>159</v>
      </c>
      <c r="F603" s="256"/>
      <c r="G603" s="259"/>
      <c r="H603" s="271" t="s">
        <v>14</v>
      </c>
      <c r="I603" s="261"/>
      <c r="J603" s="261"/>
      <c r="K603" s="85"/>
      <c r="L603" s="74">
        <v>0</v>
      </c>
      <c r="M603" s="75">
        <v>0</v>
      </c>
      <c r="N603" s="75">
        <v>0</v>
      </c>
      <c r="O603" s="131">
        <f t="shared" si="149"/>
        <v>0</v>
      </c>
      <c r="P603" s="131">
        <f t="shared" si="150"/>
        <v>0</v>
      </c>
      <c r="Q603" s="75">
        <v>0</v>
      </c>
      <c r="R603" s="75">
        <v>0</v>
      </c>
      <c r="S603" s="75">
        <v>0</v>
      </c>
      <c r="T603" s="131">
        <f t="shared" si="151"/>
        <v>0</v>
      </c>
      <c r="U603" s="131">
        <f t="shared" si="152"/>
        <v>0</v>
      </c>
    </row>
    <row r="604" spans="1:21" ht="18.75" hidden="1" x14ac:dyDescent="0.25">
      <c r="A604" s="255"/>
      <c r="B604" s="267"/>
      <c r="C604" s="267"/>
      <c r="D604" s="275"/>
      <c r="E604" s="569" t="s">
        <v>160</v>
      </c>
      <c r="F604" s="256"/>
      <c r="G604" s="259"/>
      <c r="H604" s="271" t="s">
        <v>14</v>
      </c>
      <c r="I604" s="261"/>
      <c r="J604" s="261"/>
      <c r="K604" s="85"/>
      <c r="L604" s="71">
        <f ca="1">IFERROR(__xludf.DUMMYFUNCTION("IMPORTRANGE(""https://docs.google.com/spreadsheets/d/1-uDff_7J0KD5mKrp0Vvzr7lt3OU09vwQwhkpOPPYv2Y/edit?usp=sharing"",""งบพรบ!HK54"")"),0)</f>
        <v>0</v>
      </c>
      <c r="M604" s="72">
        <f ca="1">IFERROR(__xludf.DUMMYFUNCTION("IMPORTRANGE(""https://docs.google.com/spreadsheets/d/1-uDff_7J0KD5mKrp0Vvzr7lt3OU09vwQwhkpOPPYv2Y/edit?usp=sharing"",""งบพรบ!HP54"")"),0)</f>
        <v>0</v>
      </c>
      <c r="N604" s="72">
        <f ca="1">IFERROR(__xludf.DUMMYFUNCTION("IMPORTRANGE(""https://docs.google.com/spreadsheets/d/1-uDff_7J0KD5mKrp0Vvzr7lt3OU09vwQwhkpOPPYv2Y/edit?usp=sharing"",""งบพรบ!HR54"")"),0)</f>
        <v>0</v>
      </c>
      <c r="O604" s="130">
        <f t="shared" ca="1" si="149"/>
        <v>0</v>
      </c>
      <c r="P604" s="130">
        <f t="shared" ca="1" si="150"/>
        <v>0</v>
      </c>
      <c r="Q604" s="72">
        <f ca="1">IFERROR(__xludf.DUMMYFUNCTION("IMPORTRANGE(""https://docs.google.com/spreadsheets/d/1ItG2mGa2ceCfYo0BwxsXqNm01IGEUdYcSSLTEv9YCik/edit?usp=sharing"",""เบิกจ่ายกองทุน!AV54"")"),0)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IFERROR(__xludf.DUMMYFUNCTION("IMPORTRANGE(""https://docs.google.com/spreadsheets/d/1ItG2mGa2ceCfYo0BwxsXqNm01IGEUdYcSSLTEv9YCik/edit?usp=sharing"",""เบิกจ่ายกองทุน!AW54"")"),0)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IFERROR(__xludf.DUMMYFUNCTION("IMPORTRANGE(""https://docs.google.com/spreadsheets/d/1ItG2mGa2ceCfYo0BwxsXqNm01IGEUdYcSSLTEv9YCik/edit?usp=sharing"",""เบิกจ่ายกองทุน!AX54"")"),0)</f>
        <v>0</v>
      </c>
      <c r="T604" s="130">
        <f t="shared" ca="1" si="151"/>
        <v>0</v>
      </c>
      <c r="U604" s="130">
        <f t="shared" ca="1" si="152"/>
        <v>0</v>
      </c>
    </row>
    <row r="605" spans="1:21" ht="19.5" hidden="1" x14ac:dyDescent="0.3">
      <c r="A605" s="255"/>
      <c r="B605" s="267"/>
      <c r="C605" s="267"/>
      <c r="D605" s="799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129">
        <f ca="1">L606+L607</f>
        <v>0</v>
      </c>
      <c r="M605" s="130">
        <f ca="1">M606+M607</f>
        <v>0</v>
      </c>
      <c r="N605" s="130">
        <f ca="1">N606+N607</f>
        <v>0</v>
      </c>
      <c r="O605" s="130">
        <f t="shared" ca="1" si="149"/>
        <v>0</v>
      </c>
      <c r="P605" s="130">
        <f t="shared" ca="1" si="150"/>
        <v>0</v>
      </c>
      <c r="Q605" s="130">
        <f ca="1">Q606+Q607</f>
        <v>0</v>
      </c>
      <c r="R605" s="130">
        <f ca="1">R606+R607</f>
        <v>0</v>
      </c>
      <c r="S605" s="130">
        <f ca="1">S606+S607</f>
        <v>0</v>
      </c>
      <c r="T605" s="130">
        <f t="shared" ca="1" si="151"/>
        <v>0</v>
      </c>
      <c r="U605" s="130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4">
        <v>0</v>
      </c>
      <c r="M606" s="75">
        <v>0</v>
      </c>
      <c r="N606" s="75">
        <v>0</v>
      </c>
      <c r="O606" s="131">
        <f t="shared" si="149"/>
        <v>0</v>
      </c>
      <c r="P606" s="131">
        <f t="shared" si="150"/>
        <v>0</v>
      </c>
      <c r="Q606" s="75">
        <v>0</v>
      </c>
      <c r="R606" s="75">
        <v>0</v>
      </c>
      <c r="S606" s="75">
        <v>0</v>
      </c>
      <c r="T606" s="131">
        <f t="shared" si="151"/>
        <v>0</v>
      </c>
      <c r="U606" s="131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1">
        <f ca="1">IFERROR(__xludf.DUMMYFUNCTION("IMPORTRANGE(""https://docs.google.com/spreadsheets/d/1-uDff_7J0KD5mKrp0Vvzr7lt3OU09vwQwhkpOPPYv2Y/edit?usp=sharing"",""งบพรบ!HN54"")"),0)</f>
        <v>0</v>
      </c>
      <c r="M607" s="72">
        <f ca="1">IFERROR(__xludf.DUMMYFUNCTION("IMPORTRANGE(""https://docs.google.com/spreadsheets/d/1-uDff_7J0KD5mKrp0Vvzr7lt3OU09vwQwhkpOPPYv2Y/edit?usp=sharing"",""งบพรบ!HQ54"")"),0)</f>
        <v>0</v>
      </c>
      <c r="N607" s="72">
        <f ca="1">IFERROR(__xludf.DUMMYFUNCTION("IMPORTRANGE(""https://docs.google.com/spreadsheets/d/1-uDff_7J0KD5mKrp0Vvzr7lt3OU09vwQwhkpOPPYv2Y/edit?usp=sharing"",""งบพรบ!HS54"")"),0)</f>
        <v>0</v>
      </c>
      <c r="O607" s="130">
        <f t="shared" ca="1" si="149"/>
        <v>0</v>
      </c>
      <c r="P607" s="130">
        <f t="shared" ca="1" si="150"/>
        <v>0</v>
      </c>
      <c r="Q607" s="72">
        <f ca="1">IFERROR(__xludf.DUMMYFUNCTION("IMPORTRANGE(""https://docs.google.com/spreadsheets/d/1ItG2mGa2ceCfYo0BwxsXqNm01IGEUdYcSSLTEv9YCik/edit?usp=sharing"",""เบิกจ่ายกองทุน!AY54"")"),0)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IFERROR(__xludf.DUMMYFUNCTION("IMPORTRANGE(""https://docs.google.com/spreadsheets/d/1ItG2mGa2ceCfYo0BwxsXqNm01IGEUdYcSSLTEv9YCik/edit?usp=sharing"",""เบิกจ่ายกองทุน!AZ54"")"),0)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IFERROR(__xludf.DUMMYFUNCTION("IMPORTRANGE(""https://docs.google.com/spreadsheets/d/1ItG2mGa2ceCfYo0BwxsXqNm01IGEUdYcSSLTEv9YCik/edit?usp=sharing"",""เบิกจ่ายกองทุน!BA54"")"),0)</f>
        <v>0</v>
      </c>
      <c r="T607" s="130">
        <f t="shared" ca="1" si="151"/>
        <v>0</v>
      </c>
      <c r="U607" s="130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13" t="s">
        <v>38</v>
      </c>
      <c r="E608" s="278"/>
      <c r="F608" s="278"/>
      <c r="G608" s="279"/>
      <c r="H608" s="305"/>
      <c r="I608" s="270"/>
      <c r="J608" s="270"/>
      <c r="K608" s="227"/>
      <c r="L608" s="84"/>
      <c r="M608" s="85"/>
      <c r="N608" s="85"/>
      <c r="O608" s="85"/>
      <c r="P608" s="85"/>
      <c r="Q608" s="85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4"/>
      <c r="M609" s="85"/>
      <c r="N609" s="85"/>
      <c r="O609" s="85"/>
      <c r="P609" s="85"/>
      <c r="Q609" s="85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4"/>
      <c r="M610" s="85"/>
      <c r="N610" s="85"/>
      <c r="O610" s="85"/>
      <c r="P610" s="85"/>
      <c r="Q610" s="85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4"/>
      <c r="M611" s="85"/>
      <c r="N611" s="85"/>
      <c r="O611" s="85"/>
      <c r="P611" s="85"/>
      <c r="Q611" s="85"/>
      <c r="R611" s="85"/>
      <c r="S611" s="85"/>
      <c r="T611" s="85"/>
      <c r="U611" s="85"/>
    </row>
    <row r="612" spans="1:21" ht="19.5" hidden="1" thickBot="1" x14ac:dyDescent="0.3">
      <c r="A612" s="812"/>
      <c r="B612" s="811"/>
      <c r="C612" s="811"/>
      <c r="D612" s="811"/>
      <c r="E612" s="810" t="s">
        <v>223</v>
      </c>
      <c r="F612" s="809"/>
      <c r="G612" s="808"/>
      <c r="H612" s="807" t="s">
        <v>35</v>
      </c>
      <c r="I612" s="806"/>
      <c r="J612" s="806"/>
      <c r="K612" s="805"/>
      <c r="L612" s="804"/>
      <c r="M612" s="803"/>
      <c r="N612" s="803"/>
      <c r="O612" s="803"/>
      <c r="P612" s="803"/>
      <c r="Q612" s="803"/>
      <c r="R612" s="803"/>
      <c r="S612" s="803"/>
      <c r="T612" s="803"/>
      <c r="U612" s="803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4"/>
      <c r="E615" s="716"/>
      <c r="F615" s="716"/>
      <c r="G615" s="717"/>
      <c r="H615" s="718" t="s">
        <v>46</v>
      </c>
      <c r="I615" s="1276">
        <f ca="1">I626</f>
        <v>50</v>
      </c>
      <c r="J615" s="1276">
        <f>J626</f>
        <v>0</v>
      </c>
      <c r="K615" s="1275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0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6750</v>
      </c>
      <c r="R616" s="213">
        <f ca="1">R617+R618</f>
        <v>6750</v>
      </c>
      <c r="S616" s="213">
        <f ca="1">S617+S618</f>
        <v>0</v>
      </c>
      <c r="T616" s="213">
        <f t="shared" ref="T616:T624" ca="1" si="157">IF(Q616&gt;0,S616*100/Q616,0)</f>
        <v>0</v>
      </c>
      <c r="U616" s="213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75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75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6750</v>
      </c>
      <c r="R618" s="130">
        <f t="shared" ca="1" si="160"/>
        <v>6750</v>
      </c>
      <c r="S618" s="130">
        <f t="shared" ca="1" si="160"/>
        <v>0</v>
      </c>
      <c r="T618" s="130">
        <f t="shared" ca="1" si="157"/>
        <v>0</v>
      </c>
      <c r="U618" s="130">
        <f t="shared" ca="1" si="158"/>
        <v>0</v>
      </c>
    </row>
    <row r="619" spans="1:21" ht="18.75" x14ac:dyDescent="0.25">
      <c r="A619" s="255"/>
      <c r="B619" s="267"/>
      <c r="C619" s="267"/>
      <c r="D619" s="852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6750</v>
      </c>
      <c r="R619" s="130">
        <f ca="1">R620+R621</f>
        <v>6750</v>
      </c>
      <c r="S619" s="130">
        <f ca="1">S620+S621</f>
        <v>0</v>
      </c>
      <c r="T619" s="130">
        <f t="shared" ca="1" si="157"/>
        <v>0</v>
      </c>
      <c r="U619" s="130">
        <f t="shared" ca="1" si="158"/>
        <v>0</v>
      </c>
    </row>
    <row r="620" spans="1:21" ht="18.75" hidden="1" x14ac:dyDescent="0.25">
      <c r="A620" s="255"/>
      <c r="B620" s="267"/>
      <c r="C620" s="267"/>
      <c r="D620" s="275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75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IFERROR(__xludf.DUMMYFUNCTION("IMPORTRANGE(""https://docs.google.com/spreadsheets/d/1ItG2mGa2ceCfYo0BwxsXqNm01IGEUdYcSSLTEv9YCik/edit?usp=sharing"",""เบิกจ่ายกองทุน!F54"")"),6750)</f>
        <v>6750</v>
      </c>
      <c r="R621" s="130">
        <f ca="1">IFERROR(__xludf.DUMMYFUNCTION("IMPORTRANGE(""https://docs.google.com/spreadsheets/d/1ItG2mGa2ceCfYo0BwxsXqNm01IGEUdYcSSLTEv9YCik/edit?usp=sharing"",""เบิกจ่ายกองทุน!G54"")"),6750)</f>
        <v>6750</v>
      </c>
      <c r="S621" s="130">
        <f ca="1">IFERROR(__xludf.DUMMYFUNCTION("IMPORTRANGE(""https://docs.google.com/spreadsheets/d/1ItG2mGa2ceCfYo0BwxsXqNm01IGEUdYcSSLTEv9YCik/edit?usp=sharing"",""เบิกจ่ายกองทุน!H54"")"),0)</f>
        <v>0</v>
      </c>
      <c r="T621" s="130">
        <f t="shared" ca="1" si="157"/>
        <v>0</v>
      </c>
      <c r="U621" s="130">
        <f t="shared" ca="1" si="158"/>
        <v>0</v>
      </c>
    </row>
    <row r="622" spans="1:21" ht="18.75" x14ac:dyDescent="0.25">
      <c r="A622" s="255"/>
      <c r="B622" s="267"/>
      <c r="C622" s="267"/>
      <c r="D622" s="852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1135">
        <f ca="1">IFERROR(__xludf.DUMMYFUNCTION("IMPORTRANGE(""https://docs.google.com/spreadsheets/d/1eHaY18a8A9IcSdp1K8H6x8fbOy06t2VsZHhMHf-1x7Y/edit?usp=sharing"",""แผน!ID54"")"),50)</f>
        <v>50</v>
      </c>
      <c r="J626" s="1134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66">
        <f ca="1">IFERROR(__xludf.DUMMYFUNCTION("IMPORTRANGE(""https://docs.google.com/spreadsheets/d/1eHaY18a8A9IcSdp1K8H6x8fbOy06t2VsZHhMHf-1x7Y/edit?usp=sharing"",""แผน!IC54"")"),0)</f>
        <v>0</v>
      </c>
      <c r="J627" s="292">
        <v>2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66">
        <f ca="1">IFERROR(__xludf.DUMMYFUNCTION("IMPORTRANGE(""https://docs.google.com/spreadsheets/d/1eHaY18a8A9IcSdp1K8H6x8fbOy06t2VsZHhMHf-1x7Y/edit?usp=sharing"",""แผน!IC54"")"),0)</f>
        <v>0</v>
      </c>
      <c r="J628" s="292">
        <v>17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1074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1074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1074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1074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1074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1074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70">
        <f ca="1">IFERROR(__xludf.DUMMYFUNCTION("IMPORTRANGE(""https://docs.google.com/spreadsheets/d/1eHaY18a8A9IcSdp1K8H6x8fbOy06t2VsZHhMHf-1x7Y/edit?usp=sharing"",""แผน!IE54"")"),0)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1074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1074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1074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1074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1074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8220</v>
      </c>
      <c r="R642" s="213">
        <f ca="1">R643+R644</f>
        <v>8220</v>
      </c>
      <c r="S642" s="213">
        <f ca="1">S643+S644</f>
        <v>3740</v>
      </c>
      <c r="T642" s="213">
        <f t="shared" ref="T642:T650" ca="1" si="163">IF(Q642&gt;0,S642*100/Q642,0)</f>
        <v>45.498783454987837</v>
      </c>
      <c r="U642" s="213">
        <f t="shared" ref="U642:U650" ca="1" si="164">IF(R642&gt;0,S642*100/R642,0)</f>
        <v>45.498783454987837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8220</v>
      </c>
      <c r="R644" s="130">
        <f t="shared" ca="1" si="166"/>
        <v>8220</v>
      </c>
      <c r="S644" s="130">
        <f t="shared" ca="1" si="166"/>
        <v>3740</v>
      </c>
      <c r="T644" s="130">
        <f t="shared" ca="1" si="163"/>
        <v>45.498783454987837</v>
      </c>
      <c r="U644" s="130">
        <f t="shared" ca="1" si="164"/>
        <v>45.498783454987837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8220</v>
      </c>
      <c r="R645" s="130">
        <f ca="1">R646+R647</f>
        <v>8220</v>
      </c>
      <c r="S645" s="130">
        <f ca="1">S646+S647</f>
        <v>3740</v>
      </c>
      <c r="T645" s="130">
        <f t="shared" ca="1" si="163"/>
        <v>45.498783454987837</v>
      </c>
      <c r="U645" s="130">
        <f t="shared" ca="1" si="164"/>
        <v>45.498783454987837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IFERROR(__xludf.DUMMYFUNCTION("IMPORTRANGE(""https://docs.google.com/spreadsheets/d/1ItG2mGa2ceCfYo0BwxsXqNm01IGEUdYcSSLTEv9YCik/edit?usp=sharing"",""เบิกจ่ายกองทุน!I54"")"),8220)</f>
        <v>8220</v>
      </c>
      <c r="R647" s="130">
        <f ca="1">IFERROR(__xludf.DUMMYFUNCTION("IMPORTRANGE(""https://docs.google.com/spreadsheets/d/1ItG2mGa2ceCfYo0BwxsXqNm01IGEUdYcSSLTEv9YCik/edit?usp=sharing"",""เบิกจ่ายกองทุน!J54"")"),8220)</f>
        <v>8220</v>
      </c>
      <c r="S647" s="130">
        <f ca="1">IFERROR(__xludf.DUMMYFUNCTION("IMPORTRANGE(""https://docs.google.com/spreadsheets/d/1ItG2mGa2ceCfYo0BwxsXqNm01IGEUdYcSSLTEv9YCik/edit?usp=sharing"",""เบิกจ่ายกองทุน!K54"")"),3740)</f>
        <v>3740</v>
      </c>
      <c r="T647" s="130">
        <f t="shared" ca="1" si="163"/>
        <v>45.498783454987837</v>
      </c>
      <c r="U647" s="130">
        <f t="shared" ca="1" si="164"/>
        <v>45.498783454987837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1274">
        <f ca="1">IFERROR(__xludf.DUMMYFUNCTION("IMPORTRANGE(""https://docs.google.com/spreadsheets/d/1eHaY18a8A9IcSdp1K8H6x8fbOy06t2VsZHhMHf-1x7Y/edit?usp=sharing"",""แผน!IF54"")"),10)</f>
        <v>10</v>
      </c>
      <c r="J652" s="602">
        <f ca="1">IFERROR(__xludf.DUMMYFUNCTION("IMPORTRANGE(""https://docs.google.com/spreadsheets/d/1tdoBKaGub7dwA3U6UFTqxio9LNnvDCQjHKmttSEBsFQ/edit?usp=sharing"",""จัดที่ดิน!AU54"")"),0)</f>
        <v>0</v>
      </c>
      <c r="K652" s="130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1274">
        <f ca="1">IFERROR(__xludf.DUMMYFUNCTION("IMPORTRANGE(""https://docs.google.com/spreadsheets/d/1eHaY18a8A9IcSdp1K8H6x8fbOy06t2VsZHhMHf-1x7Y/edit?usp=sharing"",""แผน!IG54"")"),2)</f>
        <v>2</v>
      </c>
      <c r="J653" s="602">
        <f ca="1">IFERROR(__xludf.DUMMYFUNCTION("IMPORTRANGE(""https://docs.google.com/spreadsheets/d/1tdoBKaGub7dwA3U6UFTqxio9LNnvDCQjHKmttSEBsFQ/edit?usp=sharing"",""จัดที่ดิน!AW54"")"),0)</f>
        <v>0</v>
      </c>
      <c r="K653" s="130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1273">
        <f ca="1">IFERROR(__xludf.DUMMYFUNCTION("IMPORTRANGE(""https://docs.google.com/spreadsheets/d/1eHaY18a8A9IcSdp1K8H6x8fbOy06t2VsZHhMHf-1x7Y/edit?usp=sharing"",""แผน!IH54"")"),0)</f>
        <v>0</v>
      </c>
      <c r="J654" s="1130">
        <f>J657+J660</f>
        <v>0</v>
      </c>
      <c r="K654" s="213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1274">
        <f ca="1">IFERROR(__xludf.DUMMYFUNCTION("IMPORTRANGE(""https://docs.google.com/spreadsheets/d/1eHaY18a8A9IcSdp1K8H6x8fbOy06t2VsZHhMHf-1x7Y/edit?usp=sharing"",""แผน!II54"")"),0)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1274">
        <f ca="1">IFERROR(__xludf.DUMMYFUNCTION("IMPORTRANGE(""https://docs.google.com/spreadsheets/d/1eHaY18a8A9IcSdp1K8H6x8fbOy06t2VsZHhMHf-1x7Y/edit?usp=sharing"",""แผน!IJ54"")"),0)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1273">
        <f ca="1">IFERROR(__xludf.DUMMYFUNCTION("IMPORTRANGE(""https://docs.google.com/spreadsheets/d/1eHaY18a8A9IcSdp1K8H6x8fbOy06t2VsZHhMHf-1x7Y/edit?usp=sharing"",""แผน!IK54"")"),64)</f>
        <v>64</v>
      </c>
      <c r="J661" s="1130">
        <f>J667+J670</f>
        <v>0</v>
      </c>
      <c r="K661" s="213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602">
        <f ca="1">IFERROR(__xludf.DUMMYFUNCTION("IMPORTRANGE(""https://docs.google.com/spreadsheets/d/1tdoBKaGub7dwA3U6UFTqxio9LNnvDCQjHKmttSEBsFQ/edit?usp=sharing"",""จัดที่ดิน!AY54"")"),0)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602">
        <f ca="1">IFERROR(__xludf.DUMMYFUNCTION("IMPORTRANGE(""https://docs.google.com/spreadsheets/d/1tdoBKaGub7dwA3U6UFTqxio9LNnvDCQjHKmttSEBsFQ/edit?usp=sharing"",""จัดที่ดิน!AZ54"")"),0)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1274">
        <f ca="1">IFERROR(__xludf.DUMMYFUNCTION("IMPORTRANGE(""https://docs.google.com/spreadsheets/d/1eHaY18a8A9IcSdp1K8H6x8fbOy06t2VsZHhMHf-1x7Y/edit?usp=sharing"",""แผน!IL54"")"),47)</f>
        <v>47</v>
      </c>
      <c r="J673" s="602">
        <f ca="1">IFERROR(__xludf.DUMMYFUNCTION("IMPORTRANGE(""https://docs.google.com/spreadsheets/d/1tdoBKaGub7dwA3U6UFTqxio9LNnvDCQjHKmttSEBsFQ/edit?usp=sharing"",""จัดที่ดิน!BA54"")"),0)</f>
        <v>0</v>
      </c>
      <c r="K673" s="130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1273">
        <f ca="1">IFERROR(__xludf.DUMMYFUNCTION("IMPORTRANGE(""https://docs.google.com/spreadsheets/d/1eHaY18a8A9IcSdp1K8H6x8fbOy06t2VsZHhMHf-1x7Y/edit?usp=sharing"",""แผน!IM54"")"),5)</f>
        <v>5</v>
      </c>
      <c r="J674" s="1130">
        <f ca="1">J676+J679</f>
        <v>0</v>
      </c>
      <c r="K674" s="213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1273">
        <f ca="1">IFERROR(__xludf.DUMMYFUNCTION("IMPORTRANGE(""https://docs.google.com/spreadsheets/d/1eHaY18a8A9IcSdp1K8H6x8fbOy06t2VsZHhMHf-1x7Y/edit?usp=sharing"",""แผน!IN54"")"),59)</f>
        <v>59</v>
      </c>
      <c r="J675" s="1130">
        <f ca="1">J678+J681</f>
        <v>0</v>
      </c>
      <c r="K675" s="213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1274">
        <f ca="1">IFERROR(__xludf.DUMMYFUNCTION("IMPORTRANGE(""https://docs.google.com/spreadsheets/d/1eHaY18a8A9IcSdp1K8H6x8fbOy06t2VsZHhMHf-1x7Y/edit?usp=sharing"",""แผน!IO54"")"),5)</f>
        <v>5</v>
      </c>
      <c r="J676" s="602">
        <f ca="1">IFERROR(__xludf.DUMMYFUNCTION("IMPORTRANGE(""https://docs.google.com/spreadsheets/d/1tdoBKaGub7dwA3U6UFTqxio9LNnvDCQjHKmttSEBsFQ/edit?usp=sharing"",""จัดที่ดิน!BF54"")"),0)</f>
        <v>0</v>
      </c>
      <c r="K676" s="130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602">
        <f ca="1">IFERROR(__xludf.DUMMYFUNCTION("IMPORTRANGE(""https://docs.google.com/spreadsheets/d/1tdoBKaGub7dwA3U6UFTqxio9LNnvDCQjHKmttSEBsFQ/edit?usp=sharing"",""จัดที่ดิน!BG54"")"),0)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1274">
        <f ca="1">IFERROR(__xludf.DUMMYFUNCTION("IMPORTRANGE(""https://docs.google.com/spreadsheets/d/1eHaY18a8A9IcSdp1K8H6x8fbOy06t2VsZHhMHf-1x7Y/edit?usp=sharing"",""แผน!IP54"")"),59)</f>
        <v>59</v>
      </c>
      <c r="J678" s="602">
        <f ca="1">IFERROR(__xludf.DUMMYFUNCTION("IMPORTRANGE(""https://docs.google.com/spreadsheets/d/1tdoBKaGub7dwA3U6UFTqxio9LNnvDCQjHKmttSEBsFQ/edit?usp=sharing"",""จัดที่ดิน!BH54"")"),0)</f>
        <v>0</v>
      </c>
      <c r="K678" s="130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1274">
        <f ca="1">IFERROR(__xludf.DUMMYFUNCTION("IMPORTRANGE(""https://docs.google.com/spreadsheets/d/1eHaY18a8A9IcSdp1K8H6x8fbOy06t2VsZHhMHf-1x7Y/edit?usp=sharing"",""แผน!IQ54"")"),0)</f>
        <v>0</v>
      </c>
      <c r="J679" s="602">
        <f ca="1">IFERROR(__xludf.DUMMYFUNCTION("IMPORTRANGE(""https://docs.google.com/spreadsheets/d/1tdoBKaGub7dwA3U6UFTqxio9LNnvDCQjHKmttSEBsFQ/edit?usp=sharing"",""จัดที่ดิน!BK54"")"),0)</f>
        <v>0</v>
      </c>
      <c r="K679" s="130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602">
        <f ca="1">IFERROR(__xludf.DUMMYFUNCTION("IMPORTRANGE(""https://docs.google.com/spreadsheets/d/1tdoBKaGub7dwA3U6UFTqxio9LNnvDCQjHKmttSEBsFQ/edit?usp=sharing"",""จัดที่ดิน!BL54"")"),0)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1274">
        <f ca="1">IFERROR(__xludf.DUMMYFUNCTION("IMPORTRANGE(""https://docs.google.com/spreadsheets/d/1eHaY18a8A9IcSdp1K8H6x8fbOy06t2VsZHhMHf-1x7Y/edit?usp=sharing"",""แผน!IR54"")"),0)</f>
        <v>0</v>
      </c>
      <c r="J681" s="602">
        <f ca="1">IFERROR(__xludf.DUMMYFUNCTION("IMPORTRANGE(""https://docs.google.com/spreadsheets/d/1tdoBKaGub7dwA3U6UFTqxio9LNnvDCQjHKmttSEBsFQ/edit?usp=sharing"",""จัดที่ดิน!BM54"")"),0)</f>
        <v>0</v>
      </c>
      <c r="K681" s="130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1273">
        <f ca="1">IFERROR(__xludf.DUMMYFUNCTION("IMPORTRANGE(""https://docs.google.com/spreadsheets/d/1eHaY18a8A9IcSdp1K8H6x8fbOy06t2VsZHhMHf-1x7Y/edit?usp=sharing"",""แผน!IS54"")"),0)</f>
        <v>0</v>
      </c>
      <c r="J682" s="1130">
        <f>J685+J688</f>
        <v>0</v>
      </c>
      <c r="K682" s="213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1268">
        <f ca="1">I707</f>
        <v>10</v>
      </c>
      <c r="J689" s="1268">
        <f ca="1">J707</f>
        <v>0</v>
      </c>
      <c r="K689" s="1267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70120</v>
      </c>
      <c r="R690" s="213">
        <f ca="1">R691+R692</f>
        <v>70120</v>
      </c>
      <c r="S690" s="213">
        <f ca="1">S691+S692</f>
        <v>8500</v>
      </c>
      <c r="T690" s="213">
        <f t="shared" ref="T690:T698" ca="1" si="169">IF(Q690&gt;0,S690*100/Q690,0)</f>
        <v>12.122076440387907</v>
      </c>
      <c r="U690" s="213">
        <f t="shared" ref="U690:U698" ca="1" si="170">IF(R690&gt;0,S690*100/R690,0)</f>
        <v>12.122076440387907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70120</v>
      </c>
      <c r="R692" s="130">
        <f t="shared" ca="1" si="172"/>
        <v>70120</v>
      </c>
      <c r="S692" s="130">
        <f t="shared" ca="1" si="172"/>
        <v>8500</v>
      </c>
      <c r="T692" s="130">
        <f t="shared" ca="1" si="169"/>
        <v>12.122076440387907</v>
      </c>
      <c r="U692" s="130">
        <f t="shared" ca="1" si="170"/>
        <v>12.122076440387907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70120</v>
      </c>
      <c r="R693" s="130">
        <f ca="1">R694+R695</f>
        <v>70120</v>
      </c>
      <c r="S693" s="130">
        <f ca="1">S694+S695</f>
        <v>8500</v>
      </c>
      <c r="T693" s="130">
        <f t="shared" ca="1" si="169"/>
        <v>12.122076440387907</v>
      </c>
      <c r="U693" s="130">
        <f t="shared" ca="1" si="170"/>
        <v>12.122076440387907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IFERROR(__xludf.DUMMYFUNCTION("IMPORTRANGE(""https://docs.google.com/spreadsheets/d/1ItG2mGa2ceCfYo0BwxsXqNm01IGEUdYcSSLTEv9YCik/edit?usp=sharing"",""เบิกจ่ายกองทุน!L54"")"),70120)</f>
        <v>70120</v>
      </c>
      <c r="R695" s="130">
        <f ca="1">IFERROR(__xludf.DUMMYFUNCTION("IMPORTRANGE(""https://docs.google.com/spreadsheets/d/1ItG2mGa2ceCfYo0BwxsXqNm01IGEUdYcSSLTEv9YCik/edit?usp=sharing"",""เบิกจ่ายกองทุน!M54"")"),70120)</f>
        <v>70120</v>
      </c>
      <c r="S695" s="130">
        <f ca="1">IFERROR(__xludf.DUMMYFUNCTION("IMPORTRANGE(""https://docs.google.com/spreadsheets/d/1ItG2mGa2ceCfYo0BwxsXqNm01IGEUdYcSSLTEv9YCik/edit?usp=sharing"",""เบิกจ่ายกองทุน!N54"")"),8500)</f>
        <v>8500</v>
      </c>
      <c r="T695" s="130">
        <f t="shared" ca="1" si="169"/>
        <v>12.122076440387907</v>
      </c>
      <c r="U695" s="130">
        <f t="shared" ca="1" si="170"/>
        <v>12.122076440387907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1133">
        <f ca="1">IFERROR(__xludf.DUMMYFUNCTION("IMPORTRANGE(""https://docs.google.com/spreadsheets/d/1eHaY18a8A9IcSdp1K8H6x8fbOy06t2VsZHhMHf-1x7Y/edit?usp=sharing"",""แผน!LC54"")"),0)</f>
        <v>0</v>
      </c>
      <c r="J700" s="672">
        <v>0</v>
      </c>
      <c r="K700" s="1132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1131">
        <f ca="1">I703+I705</f>
        <v>13</v>
      </c>
      <c r="J701" s="1130">
        <f ca="1">J703+J705</f>
        <v>0</v>
      </c>
      <c r="K701" s="213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870">
        <v>0</v>
      </c>
      <c r="J702" s="1130">
        <f ca="1">J704+J706</f>
        <v>0</v>
      </c>
      <c r="K702" s="213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1124">
        <f ca="1">IFERROR(__xludf.DUMMYFUNCTION("IMPORTRANGE(""https://docs.google.com/spreadsheets/d/1eHaY18a8A9IcSdp1K8H6x8fbOy06t2VsZHhMHf-1x7Y/edit?usp=sharing"",""แผน!LJ54"")"),10)</f>
        <v>10</v>
      </c>
      <c r="J703" s="602">
        <f ca="1">IFERROR(__xludf.DUMMYFUNCTION("IMPORTRANGE(""https://docs.google.com/spreadsheets/d/1tdoBKaGub7dwA3U6UFTqxio9LNnvDCQjHKmttSEBsFQ/edit?usp=sharing"",""จัดที่ดิน!AP54"")"),0)</f>
        <v>0</v>
      </c>
      <c r="K703" s="130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866">
        <v>0</v>
      </c>
      <c r="J704" s="602">
        <f ca="1">IFERROR(__xludf.DUMMYFUNCTION("IMPORTRANGE(""https://docs.google.com/spreadsheets/d/1tdoBKaGub7dwA3U6UFTqxio9LNnvDCQjHKmttSEBsFQ/edit?usp=sharing"",""จัดที่ดิน!AQ54"")"),0)</f>
        <v>0</v>
      </c>
      <c r="K704" s="130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1124">
        <f ca="1">IFERROR(__xludf.DUMMYFUNCTION("IMPORTRANGE(""https://docs.google.com/spreadsheets/d/1eHaY18a8A9IcSdp1K8H6x8fbOy06t2VsZHhMHf-1x7Y/edit?usp=sharing"",""แผน!LK54"")"),3)</f>
        <v>3</v>
      </c>
      <c r="J705" s="602">
        <f ca="1">IFERROR(__xludf.DUMMYFUNCTION("IMPORTRANGE(""https://docs.google.com/spreadsheets/d/1tdoBKaGub7dwA3U6UFTqxio9LNnvDCQjHKmttSEBsFQ/edit?usp=sharing"",""จัดที่ดิน!AR54"")"),0)</f>
        <v>0</v>
      </c>
      <c r="K705" s="1075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866">
        <v>0</v>
      </c>
      <c r="J706" s="602">
        <f ca="1">IFERROR(__xludf.DUMMYFUNCTION("IMPORTRANGE(""https://docs.google.com/spreadsheets/d/1tdoBKaGub7dwA3U6UFTqxio9LNnvDCQjHKmttSEBsFQ/edit?usp=sharing"",""จัดที่ดิน!AS54"")"),0)</f>
        <v>0</v>
      </c>
      <c r="K706" s="130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1124">
        <f ca="1">IFERROR(__xludf.DUMMYFUNCTION("IMPORTRANGE(""https://docs.google.com/spreadsheets/d/1eHaY18a8A9IcSdp1K8H6x8fbOy06t2VsZHhMHf-1x7Y/edit?usp=sharing"",""แผน!LJ54"")"),10)</f>
        <v>10</v>
      </c>
      <c r="J707" s="602">
        <f ca="1">IFERROR(__xludf.DUMMYFUNCTION("IMPORTRANGE(""https://docs.google.com/spreadsheets/d/1tdoBKaGub7dwA3U6UFTqxio9LNnvDCQjHKmttSEBsFQ/edit?usp=sharing"",""จัดที่ดิน!BN54"")"),0)</f>
        <v>0</v>
      </c>
      <c r="K707" s="130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866">
        <v>0</v>
      </c>
      <c r="J708" s="602">
        <f ca="1">IFERROR(__xludf.DUMMYFUNCTION("IMPORTRANGE(""https://docs.google.com/spreadsheets/d/1tdoBKaGub7dwA3U6UFTqxio9LNnvDCQjHKmttSEBsFQ/edit?usp=sharing"",""จัดที่ดิน!BO54"")"),0)</f>
        <v>0</v>
      </c>
      <c r="K708" s="130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1124">
        <f ca="1">IFERROR(__xludf.DUMMYFUNCTION("IMPORTRANGE(""https://docs.google.com/spreadsheets/d/1eHaY18a8A9IcSdp1K8H6x8fbOy06t2VsZHhMHf-1x7Y/edit?usp=sharing"",""แผน!LK54"")"),3)</f>
        <v>3</v>
      </c>
      <c r="J709" s="602">
        <f ca="1">IFERROR(__xludf.DUMMYFUNCTION("IMPORTRANGE(""https://docs.google.com/spreadsheets/d/1tdoBKaGub7dwA3U6UFTqxio9LNnvDCQjHKmttSEBsFQ/edit?usp=sharing"",""จัดที่ดิน!BP54"")"),1)</f>
        <v>1</v>
      </c>
      <c r="K709" s="130">
        <f t="shared" ca="1" si="173"/>
        <v>33.333333333333336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866">
        <v>0</v>
      </c>
      <c r="J710" s="602">
        <f ca="1">IFERROR(__xludf.DUMMYFUNCTION("IMPORTRANGE(""https://docs.google.com/spreadsheets/d/1tdoBKaGub7dwA3U6UFTqxio9LNnvDCQjHKmttSEBsFQ/edit?usp=sharing"",""จัดที่ดิน!BQ54"")"),0)</f>
        <v>0</v>
      </c>
      <c r="K710" s="130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321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127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6"/>
      <c r="F726" s="706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IFERROR(__xludf.DUMMYFUNCTION("IMPORTRANGE(""https://docs.google.com/spreadsheets/d/1eHaY18a8A9IcSdp1K8H6x8fbOy06t2VsZHhMHf-1x7Y/edit?usp=sharing"",""แผน!GA54"")"),52)</f>
        <v>52</v>
      </c>
      <c r="J726" s="1268">
        <f>J742+J746+J749</f>
        <v>112</v>
      </c>
      <c r="K726" s="1267">
        <f ca="1">IF(I726&gt;0,J726*100/I726,0)</f>
        <v>215.38461538461539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6"/>
      <c r="E727" s="706"/>
      <c r="F727" s="706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IFERROR(__xludf.DUMMYFUNCTION("IMPORTRANGE(""https://docs.google.com/spreadsheets/d/1eHaY18a8A9IcSdp1K8H6x8fbOy06t2VsZHhMHf-1x7Y/edit?usp=sharing"",""แผน!FZ54"")"),500)</f>
        <v>500</v>
      </c>
      <c r="J727" s="1268">
        <f>J752+J755</f>
        <v>0</v>
      </c>
      <c r="K727" s="1267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0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391730</v>
      </c>
      <c r="R728" s="213">
        <f ca="1">R729+R730</f>
        <v>391730</v>
      </c>
      <c r="S728" s="213">
        <f ca="1">S729+S730</f>
        <v>107190</v>
      </c>
      <c r="T728" s="213">
        <f t="shared" ref="T728:T736" ca="1" si="182">IF(Q728&gt;0,S728*100/Q728,0)</f>
        <v>27.36323488116815</v>
      </c>
      <c r="U728" s="213">
        <f t="shared" ref="U728:U736" ca="1" si="183">IF(R728&gt;0,S728*100/R728,0)</f>
        <v>27.36323488116815</v>
      </c>
    </row>
    <row r="729" spans="1:21" ht="18.75" hidden="1" x14ac:dyDescent="0.25">
      <c r="A729" s="255"/>
      <c r="B729" s="267"/>
      <c r="C729" s="267"/>
      <c r="D729" s="275"/>
      <c r="E729" s="569" t="s">
        <v>159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75"/>
      <c r="E730" s="567" t="s">
        <v>160</v>
      </c>
      <c r="F730" s="267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391730</v>
      </c>
      <c r="R730" s="130">
        <f t="shared" ca="1" si="185"/>
        <v>391730</v>
      </c>
      <c r="S730" s="130">
        <f t="shared" ca="1" si="185"/>
        <v>107190</v>
      </c>
      <c r="T730" s="130">
        <f t="shared" ca="1" si="182"/>
        <v>27.36323488116815</v>
      </c>
      <c r="U730" s="130">
        <f t="shared" ca="1" si="183"/>
        <v>27.36323488116815</v>
      </c>
    </row>
    <row r="731" spans="1:21" ht="18.75" x14ac:dyDescent="0.25">
      <c r="A731" s="255"/>
      <c r="B731" s="267"/>
      <c r="C731" s="267"/>
      <c r="D731" s="852" t="s">
        <v>22</v>
      </c>
      <c r="E731" s="267"/>
      <c r="F731" s="267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391730</v>
      </c>
      <c r="R731" s="130">
        <f ca="1">R732+R733</f>
        <v>391730</v>
      </c>
      <c r="S731" s="130">
        <f ca="1">S732+S733</f>
        <v>107190</v>
      </c>
      <c r="T731" s="130">
        <f t="shared" ca="1" si="182"/>
        <v>27.36323488116815</v>
      </c>
      <c r="U731" s="130">
        <f t="shared" ca="1" si="183"/>
        <v>27.36323488116815</v>
      </c>
    </row>
    <row r="732" spans="1:21" ht="18.75" hidden="1" x14ac:dyDescent="0.25">
      <c r="A732" s="255"/>
      <c r="B732" s="267"/>
      <c r="C732" s="267"/>
      <c r="D732" s="275"/>
      <c r="E732" s="569" t="s">
        <v>159</v>
      </c>
      <c r="F732" s="267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75"/>
      <c r="E733" s="567" t="s">
        <v>160</v>
      </c>
      <c r="F733" s="267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IFERROR(__xludf.DUMMYFUNCTION("IMPORTRANGE(""https://docs.google.com/spreadsheets/d/1ItG2mGa2ceCfYo0BwxsXqNm01IGEUdYcSSLTEv9YCik/edit?usp=sharing"",""เบิกจ่ายกองทุน!O54"")"),391730)</f>
        <v>391730</v>
      </c>
      <c r="R733" s="130">
        <f ca="1">IFERROR(__xludf.DUMMYFUNCTION("IMPORTRANGE(""https://docs.google.com/spreadsheets/d/1ItG2mGa2ceCfYo0BwxsXqNm01IGEUdYcSSLTEv9YCik/edit?usp=sharing"",""เบิกจ่ายกองทุน!P54"")"),391730)</f>
        <v>391730</v>
      </c>
      <c r="S733" s="130">
        <f ca="1">IFERROR(__xludf.DUMMYFUNCTION("IMPORTRANGE(""https://docs.google.com/spreadsheets/d/1ItG2mGa2ceCfYo0BwxsXqNm01IGEUdYcSSLTEv9YCik/edit?usp=sharing"",""เบิกจ่ายกองทุน!Q54"")"),107190)</f>
        <v>107190</v>
      </c>
      <c r="T733" s="130">
        <f t="shared" ca="1" si="182"/>
        <v>27.36323488116815</v>
      </c>
      <c r="U733" s="130">
        <f t="shared" ca="1" si="183"/>
        <v>27.36323488116815</v>
      </c>
    </row>
    <row r="734" spans="1:21" ht="18.75" x14ac:dyDescent="0.25">
      <c r="A734" s="255"/>
      <c r="B734" s="267"/>
      <c r="C734" s="267"/>
      <c r="D734" s="852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762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1091">
        <f ca="1">IFERROR(__xludf.DUMMYFUNCTION("IMPORTRANGE(""https://docs.google.com/spreadsheets/d/1eHaY18a8A9IcSdp1K8H6x8fbOy06t2VsZHhMHf-1x7Y/edit?usp=sharing"",""แผน!GB54"")"),400)</f>
        <v>400</v>
      </c>
      <c r="J740" s="794">
        <v>400</v>
      </c>
      <c r="K740" s="684">
        <f ca="1">IF(I740&gt;0,J740*100/I740,0)</f>
        <v>100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1091">
        <f ca="1">IFERROR(__xludf.DUMMYFUNCTION("IMPORTRANGE(""https://docs.google.com/spreadsheets/d/1eHaY18a8A9IcSdp1K8H6x8fbOy06t2VsZHhMHf-1x7Y/edit?usp=sharing"",""แผน!GC54"")"),40)</f>
        <v>40</v>
      </c>
      <c r="J742" s="794">
        <v>100</v>
      </c>
      <c r="K742" s="684">
        <f ca="1">IF(I742&gt;0,J742*100/I742,0)</f>
        <v>250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1091">
        <f ca="1">IFERROR(__xludf.DUMMYFUNCTION("IMPORTRANGE(""https://docs.google.com/spreadsheets/d/1eHaY18a8A9IcSdp1K8H6x8fbOy06t2VsZHhMHf-1x7Y/edit?usp=sharing"",""แผน!GD54"")"),100)</f>
        <v>100</v>
      </c>
      <c r="J744" s="794">
        <v>100</v>
      </c>
      <c r="K744" s="684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1091">
        <f ca="1">IFERROR(__xludf.DUMMYFUNCTION("IMPORTRANGE(""https://docs.google.com/spreadsheets/d/1eHaY18a8A9IcSdp1K8H6x8fbOy06t2VsZHhMHf-1x7Y/edit?usp=sharing"",""แผน!GE54"")"),10)</f>
        <v>10</v>
      </c>
      <c r="J746" s="794">
        <v>10</v>
      </c>
      <c r="K746" s="684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15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1091">
        <f ca="1">IFERROR(__xludf.DUMMYFUNCTION("IMPORTRANGE(""https://docs.google.com/spreadsheets/d/1eHaY18a8A9IcSdp1K8H6x8fbOy06t2VsZHhMHf-1x7Y/edit?usp=sharing"",""แผน!GF54"")"),2)</f>
        <v>2</v>
      </c>
      <c r="J749" s="794">
        <v>2</v>
      </c>
      <c r="K749" s="684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1091">
        <f ca="1">IFERROR(__xludf.DUMMYFUNCTION("IMPORTRANGE(""https://docs.google.com/spreadsheets/d/1eHaY18a8A9IcSdp1K8H6x8fbOy06t2VsZHhMHf-1x7Y/edit?usp=sharing"",""แผน!GB54"")"),400)</f>
        <v>400</v>
      </c>
      <c r="J752" s="794">
        <v>0</v>
      </c>
      <c r="K752" s="684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1091">
        <f ca="1">IFERROR(__xludf.DUMMYFUNCTION("IMPORTRANGE(""https://docs.google.com/spreadsheets/d/1eHaY18a8A9IcSdp1K8H6x8fbOy06t2VsZHhMHf-1x7Y/edit?usp=sharing"",""แผน!GD54"")"),100)</f>
        <v>100</v>
      </c>
      <c r="J755" s="794">
        <v>0</v>
      </c>
      <c r="K755" s="684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433"/>
      <c r="B756" s="434"/>
      <c r="C756" s="434"/>
      <c r="D756" s="434"/>
      <c r="E756" s="436"/>
      <c r="F756" s="1271" t="s">
        <v>301</v>
      </c>
      <c r="G756" s="437"/>
      <c r="H756" s="1270" t="s">
        <v>46</v>
      </c>
      <c r="I756" s="177"/>
      <c r="J756" s="1269">
        <v>0</v>
      </c>
      <c r="K756" s="178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334</v>
      </c>
      <c r="C758" s="706"/>
      <c r="D758" s="708"/>
      <c r="E758" s="706"/>
      <c r="F758" s="708"/>
      <c r="G758" s="709"/>
      <c r="H758" s="742" t="s">
        <v>35</v>
      </c>
      <c r="I758" s="1268">
        <f ca="1">I772</f>
        <v>0</v>
      </c>
      <c r="J758" s="1268">
        <f>J772</f>
        <v>0</v>
      </c>
      <c r="K758" s="1267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6"/>
      <c r="E759" s="706"/>
      <c r="F759" s="708"/>
      <c r="G759" s="709"/>
      <c r="H759" s="742" t="s">
        <v>46</v>
      </c>
      <c r="I759" s="1268">
        <f ca="1">I774</f>
        <v>0</v>
      </c>
      <c r="J759" s="1268">
        <f>J774</f>
        <v>0</v>
      </c>
      <c r="K759" s="1267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0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0</v>
      </c>
      <c r="R760" s="213">
        <f ca="1">R761+R762</f>
        <v>0</v>
      </c>
      <c r="S760" s="213">
        <f ca="1">S761+S762</f>
        <v>0</v>
      </c>
      <c r="T760" s="213">
        <f t="shared" ref="T760:T768" ca="1" si="188">IF(Q760&gt;0,S760*100/Q760,0)</f>
        <v>0</v>
      </c>
      <c r="U760" s="213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75"/>
      <c r="E761" s="569" t="s">
        <v>159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75"/>
      <c r="E762" s="567" t="s">
        <v>160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0</v>
      </c>
      <c r="R762" s="130">
        <f t="shared" ca="1" si="191"/>
        <v>0</v>
      </c>
      <c r="S762" s="130">
        <f t="shared" ca="1" si="191"/>
        <v>0</v>
      </c>
      <c r="T762" s="130">
        <f t="shared" ca="1" si="188"/>
        <v>0</v>
      </c>
      <c r="U762" s="130">
        <f t="shared" ca="1" si="189"/>
        <v>0</v>
      </c>
    </row>
    <row r="763" spans="1:21" ht="18.75" hidden="1" x14ac:dyDescent="0.25">
      <c r="A763" s="255"/>
      <c r="B763" s="267"/>
      <c r="C763" s="301"/>
      <c r="D763" s="852" t="s">
        <v>22</v>
      </c>
      <c r="E763" s="267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0</v>
      </c>
      <c r="R763" s="130">
        <f ca="1">R764+R765</f>
        <v>0</v>
      </c>
      <c r="S763" s="130">
        <f ca="1">S764+S765</f>
        <v>0</v>
      </c>
      <c r="T763" s="130">
        <f t="shared" ca="1" si="188"/>
        <v>0</v>
      </c>
      <c r="U763" s="130">
        <f t="shared" ca="1" si="189"/>
        <v>0</v>
      </c>
    </row>
    <row r="764" spans="1:21" ht="18.75" hidden="1" x14ac:dyDescent="0.25">
      <c r="A764" s="255"/>
      <c r="B764" s="267"/>
      <c r="C764" s="301"/>
      <c r="D764" s="275"/>
      <c r="E764" s="569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75"/>
      <c r="E765" s="567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IFERROR(__xludf.DUMMYFUNCTION("IMPORTRANGE(""https://docs.google.com/spreadsheets/d/1ItG2mGa2ceCfYo0BwxsXqNm01IGEUdYcSSLTEv9YCik/edit?usp=sharing"",""เบิกจ่ายกองทุน!AA54"")"),0)</f>
        <v>0</v>
      </c>
      <c r="R765" s="130">
        <f ca="1">IFERROR(__xludf.DUMMYFUNCTION("IMPORTRANGE(""https://docs.google.com/spreadsheets/d/1ItG2mGa2ceCfYo0BwxsXqNm01IGEUdYcSSLTEv9YCik/edit?usp=sharing"",""เบิกจ่ายกองทุน!AB54"")"),0)</f>
        <v>0</v>
      </c>
      <c r="S765" s="130">
        <f ca="1">IFERROR(__xludf.DUMMYFUNCTION("IMPORTRANGE(""https://docs.google.com/spreadsheets/d/1ItG2mGa2ceCfYo0BwxsXqNm01IGEUdYcSSLTEv9YCik/edit?usp=sharing"",""เบิกจ่ายกองทุน!AC54"")"),0)</f>
        <v>0</v>
      </c>
      <c r="T765" s="130">
        <f t="shared" ca="1" si="188"/>
        <v>0</v>
      </c>
      <c r="U765" s="130">
        <f t="shared" ca="1" si="189"/>
        <v>0</v>
      </c>
    </row>
    <row r="766" spans="1:21" ht="18.75" hidden="1" x14ac:dyDescent="0.25">
      <c r="A766" s="255"/>
      <c r="B766" s="267"/>
      <c r="C766" s="267"/>
      <c r="D766" s="852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1266">
        <f ca="1">IFERROR(__xludf.DUMMYFUNCTION("IMPORTRANGE(""https://docs.google.com/spreadsheets/d/1eHaY18a8A9IcSdp1K8H6x8fbOy06t2VsZHhMHf-1x7Y/edit?usp=sharing"",""แผน!FI54"")"),0)</f>
        <v>0</v>
      </c>
      <c r="J770" s="570">
        <v>0</v>
      </c>
      <c r="K770" s="131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602">
        <f ca="1">IFERROR(__xludf.DUMMYFUNCTION("IMPORTRANGE(""https://docs.google.com/spreadsheets/d/1eHaY18a8A9IcSdp1K8H6x8fbOy06t2VsZHhMHf-1x7Y/edit?usp=sharing"",""แผน!FQ54"")"),0)</f>
        <v>0</v>
      </c>
      <c r="J772" s="292">
        <v>0</v>
      </c>
      <c r="K772" s="130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602">
        <f ca="1">IFERROR(__xludf.DUMMYFUNCTION("IMPORTRANGE(""https://docs.google.com/spreadsheets/d/1eHaY18a8A9IcSdp1K8H6x8fbOy06t2VsZHhMHf-1x7Y/edit?usp=sharing"",""แผน!FR54"")"),0)</f>
        <v>0</v>
      </c>
      <c r="J774" s="292">
        <v>0</v>
      </c>
      <c r="K774" s="130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602">
        <f ca="1">IFERROR(__xludf.DUMMYFUNCTION("IMPORTRANGE(""https://docs.google.com/spreadsheets/d/1eHaY18a8A9IcSdp1K8H6x8fbOy06t2VsZHhMHf-1x7Y/edit?usp=sharing"",""แผน!FS54"")"),0)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611">
        <f ca="1">IFERROR(__xludf.DUMMYFUNCTION("IMPORTRANGE(""https://docs.google.com/spreadsheets/d/1eHaY18a8A9IcSdp1K8H6x8fbOy06t2VsZHhMHf-1x7Y/edit?usp=sharing"",""แผน!FT54"")"),0)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IFERROR(__xludf.DUMMYFUNCTION("IMPORTRANGE(""https://docs.google.com/spreadsheets/d/10OvvATaaLtwErnr3qtWFcTmtbfpFEt5Bsqel9sXx0uE/edit?usp=sharing"",""งานกองทุน!D54"")"),5773500)</f>
        <v>5773500</v>
      </c>
      <c r="J778" s="291">
        <f ca="1">IFERROR(__xludf.DUMMYFUNCTION("IMPORTRANGE(""https://docs.google.com/spreadsheets/d/10OvvATaaLtwErnr3qtWFcTmtbfpFEt5Bsqel9sXx0uE/edit?usp=sharing"",""งานกองทุน!F54"")"),3949935.37)</f>
        <v>3949935.37</v>
      </c>
      <c r="K778" s="72">
        <f t="shared" ref="K778:K785" ca="1" si="192">IF(I778&gt;0,J778*100/I778,0)</f>
        <v>68.414919372997318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IFERROR(__xludf.DUMMYFUNCTION("IMPORTRANGE(""https://docs.google.com/spreadsheets/d/10OvvATaaLtwErnr3qtWFcTmtbfpFEt5Bsqel9sXx0uE/edit?usp=sharing"",""งานกองทุน!C54"")"),284)</f>
        <v>284</v>
      </c>
      <c r="J779" s="291">
        <f ca="1">IFERROR(__xludf.DUMMYFUNCTION("IMPORTRANGE(""https://docs.google.com/spreadsheets/d/10OvvATaaLtwErnr3qtWFcTmtbfpFEt5Bsqel9sXx0uE/edit?usp=sharing"",""งานกองทุน!E54"")"),198)</f>
        <v>198</v>
      </c>
      <c r="K779" s="72">
        <f t="shared" ca="1" si="192"/>
        <v>69.718309859154928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IFERROR(__xludf.DUMMYFUNCTION("IMPORTRANGE(""https://docs.google.com/spreadsheets/d/10OvvATaaLtwErnr3qtWFcTmtbfpFEt5Bsqel9sXx0uE/edit?usp=sharing"",""งานกองทุน!I54"")"),14675872.61)</f>
        <v>14675872.609999999</v>
      </c>
      <c r="J780" s="291">
        <f ca="1">IFERROR(__xludf.DUMMYFUNCTION("IMPORTRANGE(""https://docs.google.com/spreadsheets/d/10OvvATaaLtwErnr3qtWFcTmtbfpFEt5Bsqel9sXx0uE/edit?usp=sharing"",""งานกองทุน!K54"")"),707048.8)</f>
        <v>707048.8</v>
      </c>
      <c r="K780" s="72">
        <f t="shared" ca="1" si="192"/>
        <v>4.8177632689331444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IFERROR(__xludf.DUMMYFUNCTION("IMPORTRANGE(""https://docs.google.com/spreadsheets/d/10OvvATaaLtwErnr3qtWFcTmtbfpFEt5Bsqel9sXx0uE/edit?usp=sharing"",""งานกองทุน!H54"")"),347)</f>
        <v>347</v>
      </c>
      <c r="J781" s="291">
        <f ca="1">IFERROR(__xludf.DUMMYFUNCTION("IMPORTRANGE(""https://docs.google.com/spreadsheets/d/10OvvATaaLtwErnr3qtWFcTmtbfpFEt5Bsqel9sXx0uE/edit?usp=sharing"",""งานกองทุน!J54"")"),125)</f>
        <v>125</v>
      </c>
      <c r="K781" s="72">
        <f t="shared" ca="1" si="192"/>
        <v>36.023054755043226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IFERROR(__xludf.DUMMYFUNCTION("IMPORTRANGE(""https://docs.google.com/spreadsheets/d/10OvvATaaLtwErnr3qtWFcTmtbfpFEt5Bsqel9sXx0uE/edit?usp=sharing"",""งานกองทุน!N54"")"),656394.72)</f>
        <v>656394.72</v>
      </c>
      <c r="J782" s="291">
        <f ca="1">IFERROR(__xludf.DUMMYFUNCTION("IMPORTRANGE(""https://docs.google.com/spreadsheets/d/10OvvATaaLtwErnr3qtWFcTmtbfpFEt5Bsqel9sXx0uE/edit?usp=sharing"",""งานกองทุน!P54"")"),75154.97)</f>
        <v>75154.97</v>
      </c>
      <c r="K782" s="72">
        <f t="shared" ca="1" si="192"/>
        <v>11.449660960100349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IFERROR(__xludf.DUMMYFUNCTION("IMPORTRANGE(""https://docs.google.com/spreadsheets/d/10OvvATaaLtwErnr3qtWFcTmtbfpFEt5Bsqel9sXx0uE/edit?usp=sharing"",""งานกองทุน!M54"")"),96)</f>
        <v>96</v>
      </c>
      <c r="J783" s="291">
        <f ca="1">IFERROR(__xludf.DUMMYFUNCTION("IMPORTRANGE(""https://docs.google.com/spreadsheets/d/10OvvATaaLtwErnr3qtWFcTmtbfpFEt5Bsqel9sXx0uE/edit?usp=sharing"",""งานกองทุน!O54"")"),12)</f>
        <v>12</v>
      </c>
      <c r="K783" s="72">
        <f t="shared" ca="1" si="192"/>
        <v>12.5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IFERROR(__xludf.DUMMYFUNCTION("IMPORTRANGE(""https://docs.google.com/spreadsheets/d/10OvvATaaLtwErnr3qtWFcTmtbfpFEt5Bsqel9sXx0uE/edit?usp=sharing"",""งานกองทุน!S54"")"),6524000)</f>
        <v>6524000</v>
      </c>
      <c r="J784" s="291">
        <f ca="1">IFERROR(__xludf.DUMMYFUNCTION("IMPORTRANGE(""https://docs.google.com/spreadsheets/d/10OvvATaaLtwErnr3qtWFcTmtbfpFEt5Bsqel9sXx0uE/edit?usp=sharing"",""งานกองทุน!U54"")"),4940000)</f>
        <v>4940000</v>
      </c>
      <c r="K784" s="72">
        <f t="shared" ca="1" si="192"/>
        <v>75.720416922133666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IFERROR(__xludf.DUMMYFUNCTION("IMPORTRANGE(""https://docs.google.com/spreadsheets/d/10OvvATaaLtwErnr3qtWFcTmtbfpFEt5Bsqel9sXx0uE/edit?usp=sharing"",""งานกองทุน!R54"")"),233)</f>
        <v>233</v>
      </c>
      <c r="J785" s="773">
        <f ca="1">IFERROR(__xludf.DUMMYFUNCTION("IMPORTRANGE(""https://docs.google.com/spreadsheets/d/10OvvATaaLtwErnr3qtWFcTmtbfpFEt5Bsqel9sXx0uE/edit?usp=sharing"",""งานกองทุน!T54"")"),197)</f>
        <v>197</v>
      </c>
      <c r="K785" s="181">
        <f t="shared" ca="1" si="192"/>
        <v>84.549356223175963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59504-9CAC-4A31-9A13-D18EAB7F4A36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346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249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1252">
        <f ca="1">L19+L20</f>
        <v>7267008</v>
      </c>
      <c r="M18" s="1251">
        <f ca="1">M19+M20</f>
        <v>6847469.4500000002</v>
      </c>
      <c r="N18" s="1251">
        <f ca="1">N19+N20</f>
        <v>5373869.5800000001</v>
      </c>
      <c r="O18" s="1251">
        <f t="shared" ref="O18:O26" ca="1" si="0">IF(L18&gt;0,N18*100/L18,0)</f>
        <v>73.9488601085894</v>
      </c>
      <c r="P18" s="1251">
        <f t="shared" ref="P18:P26" ca="1" si="1">IF(M18&gt;0,N18*100/M18,0)</f>
        <v>78.479643016151016</v>
      </c>
      <c r="Q18" s="1251">
        <f ca="1">Q19+Q20</f>
        <v>2898534.24</v>
      </c>
      <c r="R18" s="1251">
        <f ca="1">R19+R20</f>
        <v>2898534</v>
      </c>
      <c r="S18" s="1251">
        <f ca="1">S19+S20</f>
        <v>941735.39000000013</v>
      </c>
      <c r="T18" s="1251">
        <f t="shared" ref="T18:T26" ca="1" si="2">IF(Q18&gt;0,S18*100/Q18,0)</f>
        <v>32.490055732444965</v>
      </c>
      <c r="U18" s="1251">
        <f t="shared" ref="U18:U26" ca="1" si="3">IF(R18&gt;0,S18*100/R18,0)</f>
        <v>32.490058422637105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1245">
        <f t="shared" ref="L19:N20" si="4">L22+L25</f>
        <v>0</v>
      </c>
      <c r="M19" s="1244">
        <f t="shared" si="4"/>
        <v>0</v>
      </c>
      <c r="N19" s="1244">
        <f t="shared" si="4"/>
        <v>0</v>
      </c>
      <c r="O19" s="1244">
        <f t="shared" si="0"/>
        <v>0</v>
      </c>
      <c r="P19" s="1244">
        <f t="shared" si="1"/>
        <v>0</v>
      </c>
      <c r="Q19" s="1244">
        <f t="shared" ref="Q19:S20" si="5">Q22+Q25</f>
        <v>0</v>
      </c>
      <c r="R19" s="1244">
        <f t="shared" si="5"/>
        <v>0</v>
      </c>
      <c r="S19" s="1244">
        <f t="shared" si="5"/>
        <v>0</v>
      </c>
      <c r="T19" s="1244">
        <f t="shared" si="2"/>
        <v>0</v>
      </c>
      <c r="U19" s="1244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1243">
        <f t="shared" ca="1" si="4"/>
        <v>7267008</v>
      </c>
      <c r="M20" s="1242">
        <f t="shared" ca="1" si="4"/>
        <v>6847469.4500000002</v>
      </c>
      <c r="N20" s="1242">
        <f t="shared" ca="1" si="4"/>
        <v>5373869.5800000001</v>
      </c>
      <c r="O20" s="1242">
        <f t="shared" ca="1" si="0"/>
        <v>73.9488601085894</v>
      </c>
      <c r="P20" s="1242">
        <f t="shared" ca="1" si="1"/>
        <v>78.479643016151016</v>
      </c>
      <c r="Q20" s="1242">
        <f t="shared" ca="1" si="5"/>
        <v>2898534.24</v>
      </c>
      <c r="R20" s="1242">
        <f t="shared" ca="1" si="5"/>
        <v>2898534</v>
      </c>
      <c r="S20" s="1242">
        <f t="shared" ca="1" si="5"/>
        <v>941735.39000000013</v>
      </c>
      <c r="T20" s="1242">
        <f t="shared" ca="1" si="2"/>
        <v>32.490055732444965</v>
      </c>
      <c r="U20" s="1242">
        <f t="shared" ca="1" si="3"/>
        <v>32.490058422637105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3736508</v>
      </c>
      <c r="M21" s="130">
        <f ca="1">M22+M23</f>
        <v>4021586.45</v>
      </c>
      <c r="N21" s="130">
        <f ca="1">N22+N23</f>
        <v>2547986.58</v>
      </c>
      <c r="O21" s="130">
        <f t="shared" ca="1" si="0"/>
        <v>68.191653276267573</v>
      </c>
      <c r="P21" s="130">
        <f t="shared" ca="1" si="1"/>
        <v>63.357747289008294</v>
      </c>
      <c r="Q21" s="130">
        <f ca="1">Q22+Q23</f>
        <v>2898534.24</v>
      </c>
      <c r="R21" s="130">
        <f ca="1">R22+R23</f>
        <v>2898534</v>
      </c>
      <c r="S21" s="130">
        <f ca="1">S22+S23</f>
        <v>941735.39000000013</v>
      </c>
      <c r="T21" s="130">
        <f t="shared" ca="1" si="2"/>
        <v>32.490055732444965</v>
      </c>
      <c r="U21" s="130">
        <f t="shared" ca="1" si="3"/>
        <v>32.490058422637105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3736508</v>
      </c>
      <c r="M23" s="130">
        <f ca="1">M49+M64+M77+M99+M122+M144+M162+M191+M178+M271+M287+M308+M325+M338+M361+M380+M418+M498+M518+M539+M560+M581+M604+M621+M647+M695+M719+M733+M765</f>
        <v>4021586.45</v>
      </c>
      <c r="N23" s="130">
        <f ca="1">N49+N64+N77+N99+N122+N144+N162+N191+N178+N271+N287+N308+N325+N338+N361+N380+N418+N498+N518+N539+N560+N581+N604+N621+N647+N695+N719+N733+N765</f>
        <v>2547986.58</v>
      </c>
      <c r="O23" s="130">
        <f t="shared" ca="1" si="0"/>
        <v>68.191653276267573</v>
      </c>
      <c r="P23" s="130">
        <f t="shared" ca="1" si="1"/>
        <v>63.357747289008294</v>
      </c>
      <c r="Q23" s="130">
        <f t="shared" ca="1" si="6"/>
        <v>2898534.24</v>
      </c>
      <c r="R23" s="130">
        <f t="shared" ca="1" si="6"/>
        <v>2898534</v>
      </c>
      <c r="S23" s="130">
        <f t="shared" ca="1" si="6"/>
        <v>941735.39000000013</v>
      </c>
      <c r="T23" s="130">
        <f t="shared" ca="1" si="2"/>
        <v>32.490055732444965</v>
      </c>
      <c r="U23" s="130">
        <f t="shared" ca="1" si="3"/>
        <v>32.490058422637105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3530500</v>
      </c>
      <c r="M24" s="130">
        <f ca="1">M25+M26</f>
        <v>2825883</v>
      </c>
      <c r="N24" s="130">
        <f ca="1">N25+N26</f>
        <v>2825883</v>
      </c>
      <c r="O24" s="130">
        <f t="shared" ca="1" si="0"/>
        <v>80.042005381673988</v>
      </c>
      <c r="P24" s="130">
        <f t="shared" ca="1" si="1"/>
        <v>100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3530500</v>
      </c>
      <c r="M26" s="130">
        <f ca="1">M52+M67+M80+M102+M125+M147+M165+M194+M181+M274+M290+M311+M328+M341+M364+M383+M421+M501+M521+M542+M563+M584+M607+M624+M650+M698+M722+M736+M768</f>
        <v>2825883</v>
      </c>
      <c r="N26" s="130">
        <f ca="1">N52+N67+N80+N102+N125+N147+N165+N194+N181+N274+N290+N311+N328+N341+N364+N383+N421+N501+N521+N542+N563+N584+N607+N624+N650+N698+N722+N736+N768</f>
        <v>2825883</v>
      </c>
      <c r="O26" s="130">
        <f t="shared" ca="1" si="0"/>
        <v>80.042005381673988</v>
      </c>
      <c r="P26" s="130">
        <f t="shared" ca="1" si="1"/>
        <v>100</v>
      </c>
      <c r="Q26" s="131">
        <f t="shared" ca="1" si="7"/>
        <v>0</v>
      </c>
      <c r="R26" s="131">
        <f t="shared" ca="1" si="7"/>
        <v>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230">
        <f ca="1">L44+L59+L72+L94+L125+L139+L157+L173+L186+L266+L282+L303+L320+L333+L356</f>
        <v>4068616</v>
      </c>
      <c r="M40" s="1229">
        <f ca="1">M44+M59+M72+M94+M125+M139+M157+M173+M186+M266+M282+M303+M320+M333+M356</f>
        <v>4269639.45</v>
      </c>
      <c r="N40" s="1229">
        <f ca="1">N44+N59+N72+N94+N125+N139+N157+N173+N186+N266+N282+N303+N320+N333+N356</f>
        <v>3029331.7600000002</v>
      </c>
      <c r="O40" s="1229">
        <f ca="1">IF(L40&gt;0,N40*100/L40,0)</f>
        <v>74.456074498060275</v>
      </c>
      <c r="P40" s="1229">
        <f ca="1">IF(M40&gt;0,N40*100/M40,0)</f>
        <v>70.950528621333589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327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225">
        <f ca="1">L45+L46</f>
        <v>564976</v>
      </c>
      <c r="M44" s="1224">
        <f ca="1">M45+M46</f>
        <v>612299.44999999995</v>
      </c>
      <c r="N44" s="1224">
        <f ca="1">N45+N46</f>
        <v>471213.45</v>
      </c>
      <c r="O44" s="1224">
        <f t="shared" ref="O44:O52" ca="1" si="8">IF(L44&gt;0,N44*100/L44,0)</f>
        <v>83.404153450766046</v>
      </c>
      <c r="P44" s="1224">
        <f t="shared" ref="P44:P52" ca="1" si="9">IF(M44&gt;0,N44*100/M44,0)</f>
        <v>76.958006413365226</v>
      </c>
      <c r="Q44" s="1224">
        <f>Q45+Q46</f>
        <v>0</v>
      </c>
      <c r="R44" s="1224">
        <f>R45+R46</f>
        <v>0</v>
      </c>
      <c r="S44" s="1224">
        <f>S45+S46</f>
        <v>0</v>
      </c>
      <c r="T44" s="1224">
        <f t="shared" ref="T44:T52" si="10">IF(Q44&gt;0,S44*100/Q44,0)</f>
        <v>0</v>
      </c>
      <c r="U44" s="1224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27">
        <f t="shared" ca="1" si="12"/>
        <v>564976</v>
      </c>
      <c r="M46" s="128">
        <f t="shared" ca="1" si="12"/>
        <v>612299.44999999995</v>
      </c>
      <c r="N46" s="128">
        <f t="shared" ca="1" si="12"/>
        <v>471213.45</v>
      </c>
      <c r="O46" s="128">
        <f t="shared" ca="1" si="8"/>
        <v>83.404153450766046</v>
      </c>
      <c r="P46" s="128">
        <f t="shared" ca="1" si="9"/>
        <v>76.958006413365226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564976</v>
      </c>
      <c r="M47" s="130">
        <f ca="1">M48+M49</f>
        <v>612299.44999999995</v>
      </c>
      <c r="N47" s="130">
        <f ca="1">N48+N49</f>
        <v>471213.45</v>
      </c>
      <c r="O47" s="130">
        <f t="shared" ca="1" si="8"/>
        <v>83.404153450766046</v>
      </c>
      <c r="P47" s="130">
        <f t="shared" ca="1" si="9"/>
        <v>76.958006413365226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IFERROR(__xludf.DUMMYFUNCTION("IMPORTRANGE(""https://docs.google.com/spreadsheets/d/1-uDff_7J0KD5mKrp0Vvzr7lt3OU09vwQwhkpOPPYv2Y/edit?usp=sharing"",""งบพรบ!P55"")"),564976)</f>
        <v>564976</v>
      </c>
      <c r="M49" s="130">
        <f ca="1">IFERROR(__xludf.DUMMYFUNCTION("IMPORTRANGE(""https://docs.google.com/spreadsheets/d/1-uDff_7J0KD5mKrp0Vvzr7lt3OU09vwQwhkpOPPYv2Y/edit?usp=sharing"",""งบพรบ!V55"")"),612299.45)</f>
        <v>612299.44999999995</v>
      </c>
      <c r="N49" s="130">
        <f ca="1">IFERROR(__xludf.DUMMYFUNCTION("IMPORTRANGE(""https://docs.google.com/spreadsheets/d/1-uDff_7J0KD5mKrp0Vvzr7lt3OU09vwQwhkpOPPYv2Y/edit?usp=sharing"",""งบพรบ!Y55"")"),471213.45)</f>
        <v>471213.45</v>
      </c>
      <c r="O49" s="130">
        <f t="shared" ca="1" si="8"/>
        <v>83.404153450766046</v>
      </c>
      <c r="P49" s="130">
        <f t="shared" ca="1" si="9"/>
        <v>76.958006413365226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IFERROR(__xludf.DUMMYFUNCTION("IMPORTRANGE(""https://docs.google.com/spreadsheets/d/1-uDff_7J0KD5mKrp0Vvzr7lt3OU09vwQwhkpOPPYv2Y/edit?usp=sharing"",""งบพรบ!S55"")"),0)</f>
        <v>0</v>
      </c>
      <c r="M52" s="130">
        <f ca="1">IFERROR(__xludf.DUMMYFUNCTION("IMPORTRANGE(""https://docs.google.com/spreadsheets/d/1-uDff_7J0KD5mKrp0Vvzr7lt3OU09vwQwhkpOPPYv2Y/edit?usp=sharing"",""งบพรบ!W55"")"),0)</f>
        <v>0</v>
      </c>
      <c r="N52" s="130">
        <f ca="1">IFERROR(__xludf.DUMMYFUNCTION("IMPORTRANGE(""https://docs.google.com/spreadsheets/d/1-uDff_7J0KD5mKrp0Vvzr7lt3OU09vwQwhkpOPPYv2Y/edit?usp=sharing"",""งบพรบ!Z55"")"),0)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326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63">
        <f ca="1">L60+L61</f>
        <v>1525500</v>
      </c>
      <c r="M59" s="164">
        <f ca="1">M60+M61</f>
        <v>1449945</v>
      </c>
      <c r="N59" s="164">
        <f ca="1">N60+N61</f>
        <v>1280342.0899999999</v>
      </c>
      <c r="O59" s="164">
        <f t="shared" ref="O59:O67" ca="1" si="14">IF(L59&gt;0,N59*100/L59,0)</f>
        <v>83.9293405440839</v>
      </c>
      <c r="P59" s="164">
        <f t="shared" ref="P59:P67" ca="1" si="15">IF(M59&gt;0,N59*100/M59,0)</f>
        <v>88.30280389945824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170">
        <f t="shared" ca="1" si="18"/>
        <v>1525500</v>
      </c>
      <c r="M61" s="171">
        <f t="shared" ca="1" si="18"/>
        <v>1449945</v>
      </c>
      <c r="N61" s="171">
        <f t="shared" ca="1" si="18"/>
        <v>1280342.0899999999</v>
      </c>
      <c r="O61" s="171">
        <f t="shared" ca="1" si="14"/>
        <v>83.9293405440839</v>
      </c>
      <c r="P61" s="171">
        <f t="shared" ca="1" si="15"/>
        <v>88.30280389945824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936700</v>
      </c>
      <c r="M62" s="130">
        <f ca="1">M63+M64</f>
        <v>945200</v>
      </c>
      <c r="N62" s="130">
        <f ca="1">N63+N64</f>
        <v>775597.09</v>
      </c>
      <c r="O62" s="130">
        <f t="shared" ca="1" si="14"/>
        <v>82.801013131205295</v>
      </c>
      <c r="P62" s="130">
        <f t="shared" ca="1" si="15"/>
        <v>82.056399703766402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IFERROR(__xludf.DUMMYFUNCTION("IMPORTRANGE(""https://docs.google.com/spreadsheets/d/1-uDff_7J0KD5mKrp0Vvzr7lt3OU09vwQwhkpOPPYv2Y/edit?usp=sharing"",""งบพรบ!AC55"")"),936700)</f>
        <v>936700</v>
      </c>
      <c r="M64" s="130">
        <f ca="1">IFERROR(__xludf.DUMMYFUNCTION("IMPORTRANGE(""https://docs.google.com/spreadsheets/d/1-uDff_7J0KD5mKrp0Vvzr7lt3OU09vwQwhkpOPPYv2Y/edit?usp=sharing"",""งบพรบ!AH55"")"),945200)</f>
        <v>945200</v>
      </c>
      <c r="N64" s="130">
        <f ca="1">IFERROR(__xludf.DUMMYFUNCTION("IMPORTRANGE(""https://docs.google.com/spreadsheets/d/1-uDff_7J0KD5mKrp0Vvzr7lt3OU09vwQwhkpOPPYv2Y/edit?usp=sharing"",""งบพรบ!AJ55"")"),775597.09)</f>
        <v>775597.09</v>
      </c>
      <c r="O64" s="130">
        <f t="shared" ca="1" si="14"/>
        <v>82.801013131205295</v>
      </c>
      <c r="P64" s="130">
        <f t="shared" ca="1" si="15"/>
        <v>82.056399703766402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588800</v>
      </c>
      <c r="M65" s="130">
        <f ca="1">M66+M67</f>
        <v>504745</v>
      </c>
      <c r="N65" s="130">
        <f ca="1">N66+N67</f>
        <v>504745</v>
      </c>
      <c r="O65" s="130">
        <f t="shared" ca="1" si="14"/>
        <v>85.724354619565219</v>
      </c>
      <c r="P65" s="130">
        <f t="shared" ca="1" si="15"/>
        <v>100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208">
        <f ca="1">IFERROR(__xludf.DUMMYFUNCTION("IMPORTRANGE(""https://docs.google.com/spreadsheets/d/1-uDff_7J0KD5mKrp0Vvzr7lt3OU09vwQwhkpOPPYv2Y/edit?usp=sharing"",""งบพรบ!AF55"")"),588800)</f>
        <v>588800</v>
      </c>
      <c r="M67" s="182">
        <f ca="1">IFERROR(__xludf.DUMMYFUNCTION("IMPORTRANGE(""https://docs.google.com/spreadsheets/d/1-uDff_7J0KD5mKrp0Vvzr7lt3OU09vwQwhkpOPPYv2Y/edit?usp=sharing"",""งบพรบ!AI55"")"),504745)</f>
        <v>504745</v>
      </c>
      <c r="N67" s="182">
        <f ca="1">IFERROR(__xludf.DUMMYFUNCTION("IMPORTRANGE(""https://docs.google.com/spreadsheets/d/1-uDff_7J0KD5mKrp0Vvzr7lt3OU09vwQwhkpOPPYv2Y/edit?usp=sharing"",""งบพรบ!AK55"")"),504745)</f>
        <v>504745</v>
      </c>
      <c r="O67" s="182">
        <f t="shared" ca="1" si="14"/>
        <v>85.724354619565219</v>
      </c>
      <c r="P67" s="182">
        <f t="shared" ca="1" si="15"/>
        <v>100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IFERROR(__xludf.DUMMYFUNCTION("IMPORTRANGE(""https://docs.google.com/spreadsheets/d/1-uDff_7J0KD5mKrp0Vvzr7lt3OU09vwQwhkpOPPYv2Y/edit?usp=sharing"",""งบพรบ!AM55"")"),0)</f>
        <v>0</v>
      </c>
      <c r="M77" s="130">
        <f ca="1">IFERROR(__xludf.DUMMYFUNCTION("IMPORTRANGE(""https://docs.google.com/spreadsheets/d/1-uDff_7J0KD5mKrp0Vvzr7lt3OU09vwQwhkpOPPYv2Y/edit?usp=sharing"",""งบพรบ!AR55"")"),0)</f>
        <v>0</v>
      </c>
      <c r="N77" s="130">
        <f ca="1">IFERROR(__xludf.DUMMYFUNCTION("IMPORTRANGE(""https://docs.google.com/spreadsheets/d/1-uDff_7J0KD5mKrp0Vvzr7lt3OU09vwQwhkpOPPYv2Y/edit?usp=sharing"",""งบพรบ!AT55"")"),0)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IFERROR(__xludf.DUMMYFUNCTION("IMPORTRANGE(""https://docs.google.com/spreadsheets/d/1ItG2mGa2ceCfYo0BwxsXqNm01IGEUdYcSSLTEv9YCik/edit?usp=sharing"",""เบิกจ่ายกองทุน!BH55"")"),0)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IFERROR(__xludf.DUMMYFUNCTION("IMPORTRANGE(""https://docs.google.com/spreadsheets/d/1ItG2mGa2ceCfYo0BwxsXqNm01IGEUdYcSSLTEv9YCik/edit?usp=sharing"",""เบิกจ่ายกองทุน!BI55"")"),0)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IFERROR(__xludf.DUMMYFUNCTION("IMPORTRANGE(""https://docs.google.com/spreadsheets/d/1ItG2mGa2ceCfYo0BwxsXqNm01IGEUdYcSSLTEv9YCik/edit?usp=sharing"",""เบิกจ่ายกองทุน!BJ55"")"),0)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2">
        <v>0</v>
      </c>
      <c r="S79" s="72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IFERROR(__xludf.DUMMYFUNCTION("IMPORTRANGE(""https://docs.google.com/spreadsheets/d/1-uDff_7J0KD5mKrp0Vvzr7lt3OU09vwQwhkpOPPYv2Y/edit?usp=sharing"",""งบพรบ!AP55"")"),0)</f>
        <v>0</v>
      </c>
      <c r="M80" s="130">
        <f ca="1">IFERROR(__xludf.DUMMYFUNCTION("IMPORTRANGE(""https://docs.google.com/spreadsheets/d/1-uDff_7J0KD5mKrp0Vvzr7lt3OU09vwQwhkpOPPYv2Y/edit?usp=sharing"",""งบพรบ!AS55"")"),0)</f>
        <v>0</v>
      </c>
      <c r="N80" s="130">
        <f ca="1">IFERROR(__xludf.DUMMYFUNCTION("IMPORTRANGE(""https://docs.google.com/spreadsheets/d/1-uDff_7J0KD5mKrp0Vvzr7lt3OU09vwQwhkpOPPYv2Y/edit?usp=sharing"",""งบพรบ!AU55"")"),0)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IFERROR(__xludf.DUMMYFUNCTION("IMPORTRANGE(""https://docs.google.com/spreadsheets/d/1ItG2mGa2ceCfYo0BwxsXqNm01IGEUdYcSSLTEv9YCik/edit?usp=sharing"",""เบิกจ่ายกองทุน!BK55"")"),0)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IFERROR(__xludf.DUMMYFUNCTION("IMPORTRANGE(""https://docs.google.com/spreadsheets/d/1ItG2mGa2ceCfYo0BwxsXqNm01IGEUdYcSSLTEv9YCik/edit?usp=sharing"",""เบิกจ่ายกองทุน!BL55"")"),0)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IFERROR(__xludf.DUMMYFUNCTION("IMPORTRANGE(""https://docs.google.com/spreadsheets/d/1ItG2mGa2ceCfYo0BwxsXqNm01IGEUdYcSSLTEv9YCik/edit?usp=sharing"",""เบิกจ่ายกองทุน!BM55"")"),0)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IFERROR(__xludf.DUMMYFUNCTION("IMPORTRANGE(""https://docs.google.com/spreadsheets/d/1eHaY18a8A9IcSdp1K8H6x8fbOy06t2VsZHhMHf-1x7Y/edit?usp=sharing"",""แผน!H55"")"),0)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IFERROR(__xludf.DUMMYFUNCTION("IMPORTRANGE(""https://docs.google.com/spreadsheets/d/1eHaY18a8A9IcSdp1K8H6x8fbOy06t2VsZHhMHf-1x7Y/edit?usp=sharing"",""แผน!I55"")"),0)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IFERROR(__xludf.DUMMYFUNCTION("IMPORTRANGE(""https://docs.google.com/spreadsheets/d/1eHaY18a8A9IcSdp1K8H6x8fbOy06t2VsZHhMHf-1x7Y/edit?usp=sharing"",""แผน!F55"")"),0)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IFERROR(__xludf.DUMMYFUNCTION("IMPORTRANGE(""https://docs.google.com/spreadsheets/d/1eHaY18a8A9IcSdp1K8H6x8fbOy06t2VsZHhMHf-1x7Y/edit?usp=sharing"",""แผน!G55"")"),0)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IFERROR(__xludf.DUMMYFUNCTION("IMPORTRANGE(""https://docs.google.com/spreadsheets/d/1eHaY18a8A9IcSdp1K8H6x8fbOy06t2VsZHhMHf-1x7Y/edit?usp=sharing"",""แผน!D55"")"),0)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IFERROR(__xludf.DUMMYFUNCTION("IMPORTRANGE(""https://docs.google.com/spreadsheets/d/1eHaY18a8A9IcSdp1K8H6x8fbOy06t2VsZHhMHf-1x7Y/edit?usp=sharing"",""แผน!E55"")"),0)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IFERROR(__xludf.DUMMYFUNCTION("IMPORTRANGE(""https://docs.google.com/spreadsheets/d/1eHaY18a8A9IcSdp1K8H6x8fbOy06t2VsZHhMHf-1x7Y/edit?usp=sharing"",""แผน!J55"")"),0)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0</v>
      </c>
      <c r="M94" s="213">
        <f ca="1">M95+M96</f>
        <v>0</v>
      </c>
      <c r="N94" s="213">
        <f ca="1">N95+N96</f>
        <v>0</v>
      </c>
      <c r="O94" s="213">
        <f t="shared" ref="O94:O102" ca="1" si="27">IF(L94&gt;0,N94*100/L94,0)</f>
        <v>0</v>
      </c>
      <c r="P94" s="213">
        <f t="shared" ref="P94:P102" ca="1" si="28">IF(M94&gt;0,N94*100/M94,0)</f>
        <v>0</v>
      </c>
      <c r="Q94" s="213">
        <f ca="1">Q95+Q96</f>
        <v>0</v>
      </c>
      <c r="R94" s="213">
        <f ca="1">R95+R96</f>
        <v>0</v>
      </c>
      <c r="S94" s="213">
        <f ca="1">S95+S96</f>
        <v>0</v>
      </c>
      <c r="T94" s="213">
        <f t="shared" ref="T94:T102" ca="1" si="29">IF(Q94&gt;0,S94*100/Q94,0)</f>
        <v>0</v>
      </c>
      <c r="U94" s="213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t="shared" ca="1" si="31"/>
        <v>0</v>
      </c>
      <c r="M96" s="130">
        <f t="shared" ca="1" si="31"/>
        <v>0</v>
      </c>
      <c r="N96" s="130">
        <f t="shared" ca="1" si="31"/>
        <v>0</v>
      </c>
      <c r="O96" s="130">
        <f t="shared" ca="1" si="27"/>
        <v>0</v>
      </c>
      <c r="P96" s="130">
        <f t="shared" ca="1" si="28"/>
        <v>0</v>
      </c>
      <c r="Q96" s="130">
        <f t="shared" ca="1" si="32"/>
        <v>0</v>
      </c>
      <c r="R96" s="130">
        <f t="shared" ca="1" si="32"/>
        <v>0</v>
      </c>
      <c r="S96" s="130">
        <f t="shared" ca="1" si="32"/>
        <v>0</v>
      </c>
      <c r="T96" s="130">
        <f t="shared" ca="1" si="29"/>
        <v>0</v>
      </c>
      <c r="U96" s="130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0</v>
      </c>
      <c r="M97" s="130">
        <f ca="1">M98+M99</f>
        <v>0</v>
      </c>
      <c r="N97" s="130">
        <f ca="1">N98+N99</f>
        <v>0</v>
      </c>
      <c r="O97" s="130">
        <f t="shared" ca="1" si="27"/>
        <v>0</v>
      </c>
      <c r="P97" s="130">
        <f t="shared" ca="1" si="28"/>
        <v>0</v>
      </c>
      <c r="Q97" s="130">
        <f ca="1">Q98+Q99</f>
        <v>0</v>
      </c>
      <c r="R97" s="130">
        <f ca="1">R98+R99</f>
        <v>0</v>
      </c>
      <c r="S97" s="130">
        <f ca="1">S98+S99</f>
        <v>0</v>
      </c>
      <c r="T97" s="130">
        <f t="shared" ca="1" si="29"/>
        <v>0</v>
      </c>
      <c r="U97" s="130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IFERROR(__xludf.DUMMYFUNCTION("IMPORTRANGE(""https://docs.google.com/spreadsheets/d/1-uDff_7J0KD5mKrp0Vvzr7lt3OU09vwQwhkpOPPYv2Y/edit?usp=sharing"",""งบพรบ!AW55"")"),0)</f>
        <v>0</v>
      </c>
      <c r="M99" s="130">
        <f ca="1">IFERROR(__xludf.DUMMYFUNCTION("IMPORTRANGE(""https://docs.google.com/spreadsheets/d/1-uDff_7J0KD5mKrp0Vvzr7lt3OU09vwQwhkpOPPYv2Y/edit?usp=sharing"",""งบพรบ!BB55"")"),0)</f>
        <v>0</v>
      </c>
      <c r="N99" s="130">
        <f ca="1">IFERROR(__xludf.DUMMYFUNCTION("IMPORTRANGE(""https://docs.google.com/spreadsheets/d/1-uDff_7J0KD5mKrp0Vvzr7lt3OU09vwQwhkpOPPYv2Y/edit?usp=sharing"",""งบพรบ!BD55"")"),0)</f>
        <v>0</v>
      </c>
      <c r="O99" s="130">
        <f t="shared" ca="1" si="27"/>
        <v>0</v>
      </c>
      <c r="P99" s="130">
        <f t="shared" ca="1" si="28"/>
        <v>0</v>
      </c>
      <c r="Q99" s="130">
        <f ca="1">IFERROR(__xludf.DUMMYFUNCTION("IMPORTRANGE(""https://docs.google.com/spreadsheets/d/1ItG2mGa2ceCfYo0BwxsXqNm01IGEUdYcSSLTEv9YCik/edit?usp=sharing"",""เบิกจ่ายกองทุน!AJ55"")"),0)</f>
        <v>0</v>
      </c>
      <c r="R99" s="130">
        <f ca="1">IFERROR(__xludf.DUMMYFUNCTION("IMPORTRANGE(""https://docs.google.com/spreadsheets/d/1ItG2mGa2ceCfYo0BwxsXqNm01IGEUdYcSSLTEv9YCik/edit?usp=sharing"",""เบิกจ่ายกองทุน!AK55"")"),0)</f>
        <v>0</v>
      </c>
      <c r="S99" s="130">
        <f ca="1">IFERROR(__xludf.DUMMYFUNCTION("IMPORTRANGE(""https://docs.google.com/spreadsheets/d/1ItG2mGa2ceCfYo0BwxsXqNm01IGEUdYcSSLTEv9YCik/edit?usp=sharing"",""เบิกจ่ายกองทุน!AL55"")"),0)</f>
        <v>0</v>
      </c>
      <c r="T99" s="130">
        <f t="shared" ca="1" si="29"/>
        <v>0</v>
      </c>
      <c r="U99" s="130">
        <f t="shared" ca="1" si="30"/>
        <v>0</v>
      </c>
    </row>
    <row r="100" spans="1:21" ht="18.75" hidden="1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IFERROR(__xludf.DUMMYFUNCTION("IMPORTRANGE(""https://docs.google.com/spreadsheets/d/1-uDff_7J0KD5mKrp0Vvzr7lt3OU09vwQwhkpOPPYv2Y/edit?usp=sharing"",""งบพรบ!AZ55"")"),0)</f>
        <v>0</v>
      </c>
      <c r="M102" s="130">
        <f ca="1">IFERROR(__xludf.DUMMYFUNCTION("IMPORTRANGE(""https://docs.google.com/spreadsheets/d/1-uDff_7J0KD5mKrp0Vvzr7lt3OU09vwQwhkpOPPYv2Y/edit?usp=sharing"",""งบพรบ!BC55"")"),0)</f>
        <v>0</v>
      </c>
      <c r="N102" s="130">
        <f ca="1">IFERROR(__xludf.DUMMYFUNCTION("IMPORTRANGE(""https://docs.google.com/spreadsheets/d/1-uDff_7J0KD5mKrp0Vvzr7lt3OU09vwQwhkpOPPYv2Y/edit?usp=sharing"",""งบพรบ!BE55"")"),0)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IFERROR(__xludf.DUMMYFUNCTION("IMPORTRANGE(""https://docs.google.com/spreadsheets/d/1eHaY18a8A9IcSdp1K8H6x8fbOy06t2VsZHhMHf-1x7Y/edit?usp=sharing"",""แผน!N55"")"),0)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IFERROR(__xludf.DUMMYFUNCTION("IMPORTRANGE(""https://docs.google.com/spreadsheets/d/1eHaY18a8A9IcSdp1K8H6x8fbOy06t2VsZHhMHf-1x7Y/edit?usp=sharing"",""แผน!O55"")"),0)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IFERROR(__xludf.DUMMYFUNCTION("IMPORTRANGE(""https://docs.google.com/spreadsheets/d/1eHaY18a8A9IcSdp1K8H6x8fbOy06t2VsZHhMHf-1x7Y/edit?usp=sharing"",""แผน!R55"")"),0)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345</v>
      </c>
      <c r="C116" s="299"/>
      <c r="D116" s="251"/>
      <c r="E116" s="250"/>
      <c r="F116" s="250"/>
      <c r="G116" s="250"/>
      <c r="H116" s="251"/>
      <c r="I116" s="1203">
        <f ca="1">I127</f>
        <v>20</v>
      </c>
      <c r="J116" s="1202">
        <f>J127</f>
        <v>20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257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209360</v>
      </c>
      <c r="R117" s="213">
        <f ca="1">R118+R119</f>
        <v>209360</v>
      </c>
      <c r="S117" s="213">
        <f ca="1">S118+S119</f>
        <v>166323.34</v>
      </c>
      <c r="T117" s="213">
        <f t="shared" ref="T117:T125" ca="1" si="35">IF(Q117&gt;0,S117*100/Q117,0)</f>
        <v>79.443704623614821</v>
      </c>
      <c r="U117" s="213">
        <f t="shared" ref="U117:U125" ca="1" si="36">IF(R117&gt;0,S117*100/R117,0)</f>
        <v>79.443704623614821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209360</v>
      </c>
      <c r="R119" s="130">
        <f t="shared" ca="1" si="38"/>
        <v>209360</v>
      </c>
      <c r="S119" s="130">
        <f t="shared" ca="1" si="38"/>
        <v>166323.34</v>
      </c>
      <c r="T119" s="130">
        <f t="shared" ca="1" si="35"/>
        <v>79.443704623614821</v>
      </c>
      <c r="U119" s="130">
        <f t="shared" ca="1" si="36"/>
        <v>79.443704623614821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209360</v>
      </c>
      <c r="R120" s="130">
        <f ca="1">R121+R122</f>
        <v>209360</v>
      </c>
      <c r="S120" s="130">
        <f ca="1">S121+S122</f>
        <v>166323.34</v>
      </c>
      <c r="T120" s="130">
        <f t="shared" ca="1" si="35"/>
        <v>79.443704623614821</v>
      </c>
      <c r="U120" s="130">
        <f t="shared" ca="1" si="36"/>
        <v>79.443704623614821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IFERROR(__xludf.DUMMYFUNCTION("IMPORTRANGE(""https://docs.google.com/spreadsheets/d/1-uDff_7J0KD5mKrp0Vvzr7lt3OU09vwQwhkpOPPYv2Y/edit?usp=sharing"",""งบพรบ!BG55"")"),0)</f>
        <v>0</v>
      </c>
      <c r="M122" s="130">
        <f ca="1">IFERROR(__xludf.DUMMYFUNCTION("IMPORTRANGE(""https://docs.google.com/spreadsheets/d/1-uDff_7J0KD5mKrp0Vvzr7lt3OU09vwQwhkpOPPYv2Y/edit?usp=sharing"",""งบพรบ!BL55"")"),0)</f>
        <v>0</v>
      </c>
      <c r="N122" s="130">
        <f ca="1">IFERROR(__xludf.DUMMYFUNCTION("IMPORTRANGE(""https://docs.google.com/spreadsheets/d/1-uDff_7J0KD5mKrp0Vvzr7lt3OU09vwQwhkpOPPYv2Y/edit?usp=sharing"",""งบพรบ!BN55"")"),0)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IFERROR(__xludf.DUMMYFUNCTION("IMPORTRANGE(""https://docs.google.com/spreadsheets/d/1ItG2mGa2ceCfYo0BwxsXqNm01IGEUdYcSSLTEv9YCik/edit?usp=sharing"",""เบิกจ่ายกองทุน!U55"")"),209360)</f>
        <v>209360</v>
      </c>
      <c r="R122" s="130">
        <f ca="1">IFERROR(__xludf.DUMMYFUNCTION("IMPORTRANGE(""https://docs.google.com/spreadsheets/d/1ItG2mGa2ceCfYo0BwxsXqNm01IGEUdYcSSLTEv9YCik/edit?usp=sharing"",""เบิกจ่ายกองทุน!V55"")"),209360)</f>
        <v>209360</v>
      </c>
      <c r="S122" s="130">
        <f ca="1">IFERROR(__xludf.DUMMYFUNCTION("IMPORTRANGE(""https://docs.google.com/spreadsheets/d/1ItG2mGa2ceCfYo0BwxsXqNm01IGEUdYcSSLTEv9YCik/edit?usp=sharing"",""เบิกจ่ายกองทุน!W55"")"),166323.34)</f>
        <v>166323.34</v>
      </c>
      <c r="T122" s="130">
        <f t="shared" ca="1" si="35"/>
        <v>79.443704623614821</v>
      </c>
      <c r="U122" s="130">
        <f t="shared" ca="1" si="36"/>
        <v>79.443704623614821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IFERROR(__xludf.DUMMYFUNCTION("IMPORTRANGE(""https://docs.google.com/spreadsheets/d/1-uDff_7J0KD5mKrp0Vvzr7lt3OU09vwQwhkpOPPYv2Y/edit?usp=sharing"",""งบพรบ!BJ55"")"),0)</f>
        <v>0</v>
      </c>
      <c r="M125" s="130">
        <f ca="1">IFERROR(__xludf.DUMMYFUNCTION("IMPORTRANGE(""https://docs.google.com/spreadsheets/d/1-uDff_7J0KD5mKrp0Vvzr7lt3OU09vwQwhkpOPPYv2Y/edit?usp=sharing"",""งบพรบ!BM55"")"),0)</f>
        <v>0</v>
      </c>
      <c r="N125" s="130">
        <f ca="1">IFERROR(__xludf.DUMMYFUNCTION("IMPORTRANGE(""https://docs.google.com/spreadsheets/d/1-uDff_7J0KD5mKrp0Vvzr7lt3OU09vwQwhkpOPPYv2Y/edit?usp=sharing"",""งบพรบ!BO55"")"),0)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IFERROR(__xludf.DUMMYFUNCTION("IMPORTRANGE(""https://docs.google.com/spreadsheets/d/1ItG2mGa2ceCfYo0BwxsXqNm01IGEUdYcSSLTEv9YCik/edit?usp=sharing"",""เบิกจ่ายกองทุน!X55"")"),0)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IFERROR(__xludf.DUMMYFUNCTION("IMPORTRANGE(""https://docs.google.com/spreadsheets/d/1ItG2mGa2ceCfYo0BwxsXqNm01IGEUdYcSSLTEv9YCik/edit?usp=sharing"",""เบิกจ่ายกองทุน!Y55"")"),0)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IFERROR(__xludf.DUMMYFUNCTION("IMPORTRANGE(""https://docs.google.com/spreadsheets/d/1ItG2mGa2ceCfYo0BwxsXqNm01IGEUdYcSSLTEv9YCik/edit?usp=sharing"",""เบิกจ่ายกองทุน!Z55"")"),0)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793"/>
      <c r="B126" s="764"/>
      <c r="C126" s="1325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IFERROR(__xludf.DUMMYFUNCTION("IMPORTRANGE(""https://docs.google.com/spreadsheets/d/1eHaY18a8A9IcSdp1K8H6x8fbOy06t2VsZHhMHf-1x7Y/edit?usp=sharing"",""แผน!FF55"")"),20)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IFERROR(__xludf.DUMMYFUNCTION("IMPORTRANGE(""https://docs.google.com/spreadsheets/d/1eHaY18a8A9IcSdp1K8H6x8fbOy06t2VsZHhMHf-1x7Y/edit?usp=sharing"",""แผน!FG55"")"),0)</f>
        <v>0</v>
      </c>
      <c r="J128" s="292">
        <v>1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IFERROR(__xludf.DUMMYFUNCTION("IMPORTRANGE(""https://docs.google.com/spreadsheets/d/1eHaY18a8A9IcSdp1K8H6x8fbOy06t2VsZHhMHf-1x7Y/edit?usp=sharing"",""แผน!FH55"")"),20)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IFERROR(__xludf.DUMMYFUNCTION("IMPORTRANGE(""https://docs.google.com/spreadsheets/d/1eHaY18a8A9IcSdp1K8H6x8fbOy06t2VsZHhMHf-1x7Y/edit?usp=sharing"",""แผน!FI55"")"),0)</f>
        <v>0</v>
      </c>
      <c r="J130" s="292">
        <v>1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3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50</v>
      </c>
      <c r="J137" s="254">
        <f>J152</f>
        <v>50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5</v>
      </c>
      <c r="J138" s="254">
        <f>J153</f>
        <v>5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170500</v>
      </c>
      <c r="M139" s="213">
        <f ca="1">M140+M141</f>
        <v>165500</v>
      </c>
      <c r="N139" s="213">
        <f ca="1">N140+N141</f>
        <v>158049.21</v>
      </c>
      <c r="O139" s="213">
        <f t="shared" ref="O139:O147" ca="1" si="39">IF(L139&gt;0,N139*100/L139,0)</f>
        <v>92.697483870967744</v>
      </c>
      <c r="P139" s="213">
        <f t="shared" ref="P139:P147" ca="1" si="40">IF(M139&gt;0,N139*100/M139,0)</f>
        <v>95.498012084592148</v>
      </c>
      <c r="Q139" s="213">
        <f ca="1">Q140+Q141</f>
        <v>439860</v>
      </c>
      <c r="R139" s="213">
        <f ca="1">R140+R141</f>
        <v>439860</v>
      </c>
      <c r="S139" s="213">
        <f ca="1">S140+S141</f>
        <v>21030</v>
      </c>
      <c r="T139" s="213">
        <f t="shared" ref="T139:T147" ca="1" si="41">IF(Q139&gt;0,S139*100/Q139,0)</f>
        <v>4.7810667030418772</v>
      </c>
      <c r="U139" s="213">
        <f t="shared" ref="U139:U147" ca="1" si="42">IF(R139&gt;0,S139*100/R139,0)</f>
        <v>4.7810667030418772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t="shared" ca="1" si="43"/>
        <v>170500</v>
      </c>
      <c r="M141" s="130">
        <f t="shared" ca="1" si="43"/>
        <v>165500</v>
      </c>
      <c r="N141" s="130">
        <f t="shared" ca="1" si="43"/>
        <v>158049.21</v>
      </c>
      <c r="O141" s="130">
        <f t="shared" ca="1" si="39"/>
        <v>92.697483870967744</v>
      </c>
      <c r="P141" s="130">
        <f t="shared" ca="1" si="40"/>
        <v>95.498012084592148</v>
      </c>
      <c r="Q141" s="130">
        <f t="shared" ca="1" si="44"/>
        <v>439860</v>
      </c>
      <c r="R141" s="130">
        <f t="shared" ca="1" si="44"/>
        <v>439860</v>
      </c>
      <c r="S141" s="130">
        <f t="shared" ca="1" si="44"/>
        <v>21030</v>
      </c>
      <c r="T141" s="130">
        <f t="shared" ca="1" si="41"/>
        <v>4.7810667030418772</v>
      </c>
      <c r="U141" s="130">
        <f t="shared" ca="1" si="42"/>
        <v>4.7810667030418772</v>
      </c>
    </row>
    <row r="142" spans="1:21" ht="18.75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170500</v>
      </c>
      <c r="M142" s="130">
        <f ca="1">M143+M144</f>
        <v>165500</v>
      </c>
      <c r="N142" s="130">
        <f ca="1">N143+N144</f>
        <v>158049.21</v>
      </c>
      <c r="O142" s="130">
        <f t="shared" ca="1" si="39"/>
        <v>92.697483870967744</v>
      </c>
      <c r="P142" s="130">
        <f t="shared" ca="1" si="40"/>
        <v>95.498012084592148</v>
      </c>
      <c r="Q142" s="130">
        <f ca="1">Q143+Q144</f>
        <v>439860</v>
      </c>
      <c r="R142" s="130">
        <f ca="1">R143+R144</f>
        <v>439860</v>
      </c>
      <c r="S142" s="130">
        <f ca="1">S143+S144</f>
        <v>21030</v>
      </c>
      <c r="T142" s="130">
        <f t="shared" ca="1" si="41"/>
        <v>4.7810667030418772</v>
      </c>
      <c r="U142" s="130">
        <f t="shared" ca="1" si="42"/>
        <v>4.7810667030418772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IFERROR(__xludf.DUMMYFUNCTION("IMPORTRANGE(""https://docs.google.com/spreadsheets/d/1-uDff_7J0KD5mKrp0Vvzr7lt3OU09vwQwhkpOPPYv2Y/edit?usp=sharing"",""งบพรบ!BQ55"")"),170500)</f>
        <v>170500</v>
      </c>
      <c r="M144" s="130">
        <f ca="1">IFERROR(__xludf.DUMMYFUNCTION("IMPORTRANGE(""https://docs.google.com/spreadsheets/d/1-uDff_7J0KD5mKrp0Vvzr7lt3OU09vwQwhkpOPPYv2Y/edit?usp=sharing"",""งบพรบ!BV55"")"),165500)</f>
        <v>165500</v>
      </c>
      <c r="N144" s="130">
        <f ca="1">IFERROR(__xludf.DUMMYFUNCTION("IMPORTRANGE(""https://docs.google.com/spreadsheets/d/1-uDff_7J0KD5mKrp0Vvzr7lt3OU09vwQwhkpOPPYv2Y/edit?usp=sharing"",""งบพรบ!BX55"")"),158049.21)</f>
        <v>158049.21</v>
      </c>
      <c r="O144" s="130">
        <f t="shared" ca="1" si="39"/>
        <v>92.697483870967744</v>
      </c>
      <c r="P144" s="130">
        <f t="shared" ca="1" si="40"/>
        <v>95.498012084592148</v>
      </c>
      <c r="Q144" s="130">
        <f ca="1">IFERROR(__xludf.DUMMYFUNCTION("IMPORTRANGE(""https://docs.google.com/spreadsheets/d/1ItG2mGa2ceCfYo0BwxsXqNm01IGEUdYcSSLTEv9YCik/edit?usp=sharing"",""เบิกจ่ายกองทุน!CF55"")"),439860)</f>
        <v>439860</v>
      </c>
      <c r="R144" s="130">
        <f ca="1">IFERROR(__xludf.DUMMYFUNCTION("IMPORTRANGE(""https://docs.google.com/spreadsheets/d/1ItG2mGa2ceCfYo0BwxsXqNm01IGEUdYcSSLTEv9YCik/edit?usp=sharing"",""เบิกจ่ายกองทุน!CG55"")"),439860)</f>
        <v>439860</v>
      </c>
      <c r="S144" s="130">
        <f ca="1">IFERROR(__xludf.DUMMYFUNCTION("IMPORTRANGE(""https://docs.google.com/spreadsheets/d/1ItG2mGa2ceCfYo0BwxsXqNm01IGEUdYcSSLTEv9YCik/edit?usp=sharing"",""เบิกจ่ายกองทุน!CH55"")"),21030)</f>
        <v>21030</v>
      </c>
      <c r="T144" s="130">
        <f t="shared" ca="1" si="41"/>
        <v>4.7810667030418772</v>
      </c>
      <c r="U144" s="130">
        <f t="shared" ca="1" si="42"/>
        <v>4.7810667030418772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IFERROR(__xludf.DUMMYFUNCTION("IMPORTRANGE(""https://docs.google.com/spreadsheets/d/1-uDff_7J0KD5mKrp0Vvzr7lt3OU09vwQwhkpOPPYv2Y/edit?usp=sharing"",""งบพรบ!BT55"")"),0)</f>
        <v>0</v>
      </c>
      <c r="M147" s="130">
        <f ca="1">IFERROR(__xludf.DUMMYFUNCTION("IMPORTRANGE(""https://docs.google.com/spreadsheets/d/1-uDff_7J0KD5mKrp0Vvzr7lt3OU09vwQwhkpOPPYv2Y/edit?usp=sharing"",""งบพรบ!BW55"")"),0)</f>
        <v>0</v>
      </c>
      <c r="N147" s="130">
        <f ca="1">IFERROR(__xludf.DUMMYFUNCTION("IMPORTRANGE(""https://docs.google.com/spreadsheets/d/1-uDff_7J0KD5mKrp0Vvzr7lt3OU09vwQwhkpOPPYv2Y/edit?usp=sharing"",""งบพรบ!BY55"")"),0)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IFERROR(__xludf.DUMMYFUNCTION("IMPORTRANGE(""https://docs.google.com/spreadsheets/d/1ItG2mGa2ceCfYo0BwxsXqNm01IGEUdYcSSLTEv9YCik/edit?usp=sharing"",""เบิกจ่ายกองทุน!CI55"")"),0)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IFERROR(__xludf.DUMMYFUNCTION("IMPORTRANGE(""https://docs.google.com/spreadsheets/d/1ItG2mGa2ceCfYo0BwxsXqNm01IGEUdYcSSLTEv9YCik/edit?usp=sharing"",""เบิกจ่ายกองทุน!CJ55"")"),0)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IFERROR(__xludf.DUMMYFUNCTION("IMPORTRANGE(""https://docs.google.com/spreadsheets/d/1ItG2mGa2ceCfYo0BwxsXqNm01IGEUdYcSSLTEv9YCik/edit?usp=sharing"",""เบิกจ่ายกองทุน!CK55"")"),0)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IFERROR(__xludf.DUMMYFUNCTION("IMPORTRANGE(""https://docs.google.com/spreadsheets/d/1eHaY18a8A9IcSdp1K8H6x8fbOy06t2VsZHhMHf-1x7Y/edit?usp=sharing"",""แผน!U55"")"),30)</f>
        <v>30</v>
      </c>
      <c r="J150" s="292">
        <v>30</v>
      </c>
      <c r="K150" s="72">
        <f ca="1">IF(I150&gt;0,J150*100/I150,0)</f>
        <v>100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IFERROR(__xludf.DUMMYFUNCTION("IMPORTRANGE(""https://docs.google.com/spreadsheets/d/1eHaY18a8A9IcSdp1K8H6x8fbOy06t2VsZHhMHf-1x7Y/edit?usp=sharing"",""แผน!V55"")"),3)</f>
        <v>3</v>
      </c>
      <c r="J151" s="292">
        <v>3</v>
      </c>
      <c r="K151" s="72">
        <f ca="1">IF(I151&gt;0,J151*100/I151,0)</f>
        <v>100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IFERROR(__xludf.DUMMYFUNCTION("IMPORTRANGE(""https://docs.google.com/spreadsheets/d/1eHaY18a8A9IcSdp1K8H6x8fbOy06t2VsZHhMHf-1x7Y/edit?usp=sharing"",""แผน!W55"")"),50)</f>
        <v>50</v>
      </c>
      <c r="J152" s="292">
        <v>50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IFERROR(__xludf.DUMMYFUNCTION("IMPORTRANGE(""https://docs.google.com/spreadsheets/d/1eHaY18a8A9IcSdp1K8H6x8fbOy06t2VsZHhMHf-1x7Y/edit?usp=sharing"",""แผน!X55"")"),5)</f>
        <v>5</v>
      </c>
      <c r="J153" s="292">
        <v>5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IFERROR(__xludf.DUMMYFUNCTION("IMPORTRANGE(""https://docs.google.com/spreadsheets/d/1eHaY18a8A9IcSdp1K8H6x8fbOy06t2VsZHhMHf-1x7Y/edit?usp=sharing"",""แผน!Y55"")"),3)</f>
        <v>3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21</v>
      </c>
      <c r="K156" s="57">
        <f ca="1">IF(I156&gt;0,J156*100/I156,0)</f>
        <v>140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4500</v>
      </c>
      <c r="M157" s="213">
        <f ca="1">M158+M159</f>
        <v>140330</v>
      </c>
      <c r="N157" s="213">
        <f ca="1">N158+N159</f>
        <v>6810</v>
      </c>
      <c r="O157" s="213">
        <f t="shared" ref="O157:O165" ca="1" si="45">IF(L157&gt;0,N157*100/L157,0)</f>
        <v>151.33333333333334</v>
      </c>
      <c r="P157" s="213">
        <f t="shared" ref="P157:P165" ca="1" si="46">IF(M157&gt;0,N157*100/M157,0)</f>
        <v>4.8528468609705691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t="shared" ca="1" si="49"/>
        <v>4500</v>
      </c>
      <c r="M159" s="130">
        <f t="shared" ca="1" si="49"/>
        <v>140330</v>
      </c>
      <c r="N159" s="130">
        <f t="shared" ca="1" si="49"/>
        <v>6810</v>
      </c>
      <c r="O159" s="130">
        <f t="shared" ca="1" si="45"/>
        <v>151.33333333333334</v>
      </c>
      <c r="P159" s="130">
        <f t="shared" ca="1" si="46"/>
        <v>4.8528468609705691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4500</v>
      </c>
      <c r="M160" s="130">
        <f ca="1">M161+M162</f>
        <v>140330</v>
      </c>
      <c r="N160" s="130">
        <f ca="1">N161+N162</f>
        <v>6810</v>
      </c>
      <c r="O160" s="130">
        <f t="shared" ca="1" si="45"/>
        <v>151.33333333333334</v>
      </c>
      <c r="P160" s="130">
        <f t="shared" ca="1" si="46"/>
        <v>4.8528468609705691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IFERROR(__xludf.DUMMYFUNCTION("IMPORTRANGE(""https://docs.google.com/spreadsheets/d/1-uDff_7J0KD5mKrp0Vvzr7lt3OU09vwQwhkpOPPYv2Y/edit?usp=sharing"",""งบพรบ!CA55"")"),4500)</f>
        <v>4500</v>
      </c>
      <c r="M162" s="130">
        <f ca="1">IFERROR(__xludf.DUMMYFUNCTION("IMPORTRANGE(""https://docs.google.com/spreadsheets/d/1-uDff_7J0KD5mKrp0Vvzr7lt3OU09vwQwhkpOPPYv2Y/edit?usp=sharing"",""งบพรบ!CF55"")"),140330)</f>
        <v>140330</v>
      </c>
      <c r="N162" s="130">
        <f ca="1">IFERROR(__xludf.DUMMYFUNCTION("IMPORTRANGE(""https://docs.google.com/spreadsheets/d/1-uDff_7J0KD5mKrp0Vvzr7lt3OU09vwQwhkpOPPYv2Y/edit?usp=sharing"",""งบพรบ!CH55"")"),6810)</f>
        <v>6810</v>
      </c>
      <c r="O162" s="130">
        <f t="shared" ca="1" si="45"/>
        <v>151.33333333333334</v>
      </c>
      <c r="P162" s="130">
        <f t="shared" ca="1" si="46"/>
        <v>4.8528468609705691</v>
      </c>
      <c r="Q162" s="130">
        <f ca="1">IFERROR(__xludf.DUMMYFUNCTION("IMPORTRANGE(""https://docs.google.com/spreadsheets/d/1ItG2mGa2ceCfYo0BwxsXqNm01IGEUdYcSSLTEv9YCik/edit?usp=sharing"",""เบิกจ่ายกองทุน!AM55"")"),0)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IFERROR(__xludf.DUMMYFUNCTION("IMPORTRANGE(""https://docs.google.com/spreadsheets/d/1ItG2mGa2ceCfYo0BwxsXqNm01IGEUdYcSSLTEv9YCik/edit?usp=sharing"",""เบิกจ่ายกองทุน!AN55"")"),0)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IFERROR(__xludf.DUMMYFUNCTION("IMPORTRANGE(""https://docs.google.com/spreadsheets/d/1ItG2mGa2ceCfYo0BwxsXqNm01IGEUdYcSSLTEv9YCik/edit?usp=sharing"",""เบิกจ่ายกองทุน!AO55"")"),0)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IFERROR(__xludf.DUMMYFUNCTION("IMPORTRANGE(""https://docs.google.com/spreadsheets/d/1-uDff_7J0KD5mKrp0Vvzr7lt3OU09vwQwhkpOPPYv2Y/edit?usp=sharing"",""งบพรบ!CD55"")"),0)</f>
        <v>0</v>
      </c>
      <c r="M165" s="130">
        <f ca="1">IFERROR(__xludf.DUMMYFUNCTION("IMPORTRANGE(""https://docs.google.com/spreadsheets/d/1-uDff_7J0KD5mKrp0Vvzr7lt3OU09vwQwhkpOPPYv2Y/edit?usp=sharing"",""งบพรบ!CG55"")"),0)</f>
        <v>0</v>
      </c>
      <c r="N165" s="130">
        <f ca="1">IFERROR(__xludf.DUMMYFUNCTION("IMPORTRANGE(""https://docs.google.com/spreadsheets/d/1-uDff_7J0KD5mKrp0Vvzr7lt3OU09vwQwhkpOPPYv2Y/edit?usp=sharing"",""งบพรบ!CI55"")"),0)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x14ac:dyDescent="0.3">
      <c r="A166" s="274"/>
      <c r="B166" s="275"/>
      <c r="C166" s="276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IFERROR(__xludf.DUMMYFUNCTION("IMPORTRANGE(""https://docs.google.com/spreadsheets/d/1eHaY18a8A9IcSdp1K8H6x8fbOy06t2VsZHhMHf-1x7Y/edit?usp=sharing"",""แผน!Z55"")"),15)</f>
        <v>15</v>
      </c>
      <c r="J167" s="292">
        <v>21</v>
      </c>
      <c r="K167" s="72">
        <f ca="1">IF(I167&gt;0,J167*100/I167,0)</f>
        <v>140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257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19590</v>
      </c>
      <c r="M173" s="213">
        <f ca="1">M174+M175</f>
        <v>29470</v>
      </c>
      <c r="N173" s="213">
        <f ca="1">N174+N175</f>
        <v>29470</v>
      </c>
      <c r="O173" s="213">
        <f t="shared" ref="O173:O181" ca="1" si="51">IF(L173&gt;0,N173*100/L173,0)</f>
        <v>150.43389484430833</v>
      </c>
      <c r="P173" s="213">
        <f t="shared" ref="P173:P181" ca="1" si="52">IF(M173&gt;0,N173*100/M173,0)</f>
        <v>100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t="shared" ref="T173:T181" ca="1" si="53">IF(Q173&gt;0,S173*100/Q173,0)</f>
        <v>0</v>
      </c>
      <c r="U173" s="213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t="shared" ca="1" si="55"/>
        <v>19590</v>
      </c>
      <c r="M175" s="130">
        <f t="shared" ca="1" si="55"/>
        <v>29470</v>
      </c>
      <c r="N175" s="130">
        <f t="shared" ca="1" si="55"/>
        <v>29470</v>
      </c>
      <c r="O175" s="130">
        <f t="shared" ca="1" si="51"/>
        <v>150.43389484430833</v>
      </c>
      <c r="P175" s="130">
        <f t="shared" ca="1" si="52"/>
        <v>100</v>
      </c>
      <c r="Q175" s="130">
        <f t="shared" ca="1" si="56"/>
        <v>0</v>
      </c>
      <c r="R175" s="130">
        <f t="shared" ca="1" si="56"/>
        <v>0</v>
      </c>
      <c r="S175" s="130">
        <f t="shared" ca="1" si="56"/>
        <v>0</v>
      </c>
      <c r="T175" s="130">
        <f t="shared" ca="1" si="53"/>
        <v>0</v>
      </c>
      <c r="U175" s="130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19590</v>
      </c>
      <c r="M176" s="130">
        <f ca="1">M177+M178</f>
        <v>29470</v>
      </c>
      <c r="N176" s="130">
        <f ca="1">N177+N178</f>
        <v>29470</v>
      </c>
      <c r="O176" s="130">
        <f t="shared" ca="1" si="51"/>
        <v>150.43389484430833</v>
      </c>
      <c r="P176" s="130">
        <f t="shared" ca="1" si="52"/>
        <v>100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t="shared" ca="1" si="53"/>
        <v>0</v>
      </c>
      <c r="U176" s="130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IFERROR(__xludf.DUMMYFUNCTION("IMPORTRANGE(""https://docs.google.com/spreadsheets/d/1-uDff_7J0KD5mKrp0Vvzr7lt3OU09vwQwhkpOPPYv2Y/edit?usp=sharing"",""งบพรบ!CK55"")"),19590)</f>
        <v>19590</v>
      </c>
      <c r="M178" s="130">
        <f ca="1">IFERROR(__xludf.DUMMYFUNCTION("IMPORTRANGE(""https://docs.google.com/spreadsheets/d/1-uDff_7J0KD5mKrp0Vvzr7lt3OU09vwQwhkpOPPYv2Y/edit?usp=sharing"",""งบพรบ!CP55"")"),29470)</f>
        <v>29470</v>
      </c>
      <c r="N178" s="130">
        <f ca="1">IFERROR(__xludf.DUMMYFUNCTION("IMPORTRANGE(""https://docs.google.com/spreadsheets/d/1-uDff_7J0KD5mKrp0Vvzr7lt3OU09vwQwhkpOPPYv2Y/edit?usp=sharing"",""งบพรบ!CR55"")"),29470)</f>
        <v>29470</v>
      </c>
      <c r="O178" s="130">
        <f t="shared" ca="1" si="51"/>
        <v>150.43389484430833</v>
      </c>
      <c r="P178" s="130">
        <f t="shared" ca="1" si="52"/>
        <v>100</v>
      </c>
      <c r="Q178" s="130">
        <f ca="1">IFERROR(__xludf.DUMMYFUNCTION("IMPORTRANGE(""https://docs.google.com/spreadsheets/d/1ItG2mGa2ceCfYo0BwxsXqNm01IGEUdYcSSLTEv9YCik/edit?usp=sharing"",""เบิกจ่ายกองทุน!DG55"")"),0)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IFERROR(__xludf.DUMMYFUNCTION("IMPORTRANGE(""https://docs.google.com/spreadsheets/d/1ItG2mGa2ceCfYo0BwxsXqNm01IGEUdYcSSLTEv9YCik/edit?usp=sharing"",""เบิกจ่ายกองทุน!DH55"")"),0)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IFERROR(__xludf.DUMMYFUNCTION("IMPORTRANGE(""https://docs.google.com/spreadsheets/d/1ItG2mGa2ceCfYo0BwxsXqNm01IGEUdYcSSLTEv9YCik/edit?usp=sharing"",""เบิกจ่ายกองทุน!DI55"")"),0)</f>
        <v>0</v>
      </c>
      <c r="T178" s="130">
        <f t="shared" ca="1" si="53"/>
        <v>0</v>
      </c>
      <c r="U178" s="130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IFERROR(__xludf.DUMMYFUNCTION("IMPORTRANGE(""https://docs.google.com/spreadsheets/d/1-uDff_7J0KD5mKrp0Vvzr7lt3OU09vwQwhkpOPPYv2Y/edit?usp=sharing"",""งบพรบ!CN55"")"),0)</f>
        <v>0</v>
      </c>
      <c r="M181" s="130">
        <f ca="1">IFERROR(__xludf.DUMMYFUNCTION("IMPORTRANGE(""https://docs.google.com/spreadsheets/d/1-uDff_7J0KD5mKrp0Vvzr7lt3OU09vwQwhkpOPPYv2Y/edit?usp=sharing"",""งบพรบ!CQ55"")"),0)</f>
        <v>0</v>
      </c>
      <c r="N181" s="130">
        <f ca="1">IFERROR(__xludf.DUMMYFUNCTION("IMPORTRANGE(""https://docs.google.com/spreadsheets/d/1-uDff_7J0KD5mKrp0Vvzr7lt3OU09vwQwhkpOPPYv2Y/edit?usp=sharing"",""งบพรบ!CS55"")"),0)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x14ac:dyDescent="0.3">
      <c r="A182" s="274"/>
      <c r="B182" s="275"/>
      <c r="C182" s="257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IFERROR(__xludf.DUMMYFUNCTION("IMPORTRANGE(""https://docs.google.com/spreadsheets/d/1eHaY18a8A9IcSdp1K8H6x8fbOy06t2VsZHhMHf-1x7Y/edit?usp=sharing"",""แผน!AA55"")"),7)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45</v>
      </c>
      <c r="J185" s="963">
        <f>J230+J231</f>
        <v>40</v>
      </c>
      <c r="K185" s="962">
        <f ca="1">IF(I185&gt;0,J185*100/I185,0)</f>
        <v>88.888888888888886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257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377400</v>
      </c>
      <c r="M186" s="213">
        <f ca="1">M187+M188</f>
        <v>382160</v>
      </c>
      <c r="N186" s="213">
        <f ca="1">N187+N188</f>
        <v>224363.9</v>
      </c>
      <c r="O186" s="213">
        <f t="shared" ref="O186:O194" ca="1" si="57">IF(L186&gt;0,N186*100/L186,0)</f>
        <v>59.449894011658721</v>
      </c>
      <c r="P186" s="213">
        <f t="shared" ref="P186:P194" ca="1" si="58">IF(M186&gt;0,N186*100/M186,0)</f>
        <v>58.709414904751938</v>
      </c>
      <c r="Q186" s="213">
        <f ca="1">Q187+Q188</f>
        <v>191100</v>
      </c>
      <c r="R186" s="213">
        <f ca="1">R187+R188</f>
        <v>191100</v>
      </c>
      <c r="S186" s="213">
        <f ca="1">S187+S188</f>
        <v>26760.7</v>
      </c>
      <c r="T186" s="213">
        <f t="shared" ref="T186:T194" ca="1" si="59">IF(Q186&gt;0,S186*100/Q186,0)</f>
        <v>14.003506017791732</v>
      </c>
      <c r="U186" s="213">
        <f t="shared" ref="U186:U194" ca="1" si="60">IF(R186&gt;0,S186*100/R186,0)</f>
        <v>14.003506017791732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t="shared" ca="1" si="61"/>
        <v>377400</v>
      </c>
      <c r="M188" s="130">
        <f t="shared" ca="1" si="61"/>
        <v>382160</v>
      </c>
      <c r="N188" s="130">
        <f t="shared" ca="1" si="61"/>
        <v>224363.9</v>
      </c>
      <c r="O188" s="130">
        <f t="shared" ca="1" si="57"/>
        <v>59.449894011658721</v>
      </c>
      <c r="P188" s="130">
        <f t="shared" ca="1" si="58"/>
        <v>58.709414904751938</v>
      </c>
      <c r="Q188" s="130">
        <f t="shared" ca="1" si="62"/>
        <v>191100</v>
      </c>
      <c r="R188" s="130">
        <f t="shared" ca="1" si="62"/>
        <v>191100</v>
      </c>
      <c r="S188" s="130">
        <f t="shared" ca="1" si="62"/>
        <v>26760.7</v>
      </c>
      <c r="T188" s="130">
        <f t="shared" ca="1" si="59"/>
        <v>14.003506017791732</v>
      </c>
      <c r="U188" s="130">
        <f t="shared" ca="1" si="60"/>
        <v>14.003506017791732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377400</v>
      </c>
      <c r="M189" s="130">
        <f ca="1">M190+M191</f>
        <v>382160</v>
      </c>
      <c r="N189" s="130">
        <f ca="1">N190+N191</f>
        <v>224363.9</v>
      </c>
      <c r="O189" s="130">
        <f t="shared" ca="1" si="57"/>
        <v>59.449894011658721</v>
      </c>
      <c r="P189" s="130">
        <f t="shared" ca="1" si="58"/>
        <v>58.709414904751938</v>
      </c>
      <c r="Q189" s="130">
        <f ca="1">Q190+Q191</f>
        <v>191100</v>
      </c>
      <c r="R189" s="130">
        <f ca="1">R190+R191</f>
        <v>191100</v>
      </c>
      <c r="S189" s="130">
        <f ca="1">S190+S191</f>
        <v>26760.7</v>
      </c>
      <c r="T189" s="130">
        <f t="shared" ca="1" si="59"/>
        <v>14.003506017791732</v>
      </c>
      <c r="U189" s="130">
        <f t="shared" ca="1" si="60"/>
        <v>14.003506017791732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IFERROR(__xludf.DUMMYFUNCTION("IMPORTRANGE(""https://docs.google.com/spreadsheets/d/1-uDff_7J0KD5mKrp0Vvzr7lt3OU09vwQwhkpOPPYv2Y/edit?usp=sharing"",""งบพรบ!CU55"")"),377400)</f>
        <v>377400</v>
      </c>
      <c r="M191" s="130">
        <f ca="1">IFERROR(__xludf.DUMMYFUNCTION("IMPORTRANGE(""https://docs.google.com/spreadsheets/d/1-uDff_7J0KD5mKrp0Vvzr7lt3OU09vwQwhkpOPPYv2Y/edit?usp=sharing"",""งบพรบ!CZ55"")"),382160)</f>
        <v>382160</v>
      </c>
      <c r="N191" s="130">
        <f ca="1">IFERROR(__xludf.DUMMYFUNCTION("IMPORTRANGE(""https://docs.google.com/spreadsheets/d/1-uDff_7J0KD5mKrp0Vvzr7lt3OU09vwQwhkpOPPYv2Y/edit?usp=sharing"",""งบพรบ!DB55"")"),224363.9)</f>
        <v>224363.9</v>
      </c>
      <c r="O191" s="130">
        <f t="shared" ca="1" si="57"/>
        <v>59.449894011658721</v>
      </c>
      <c r="P191" s="130">
        <f t="shared" ca="1" si="58"/>
        <v>58.709414904751938</v>
      </c>
      <c r="Q191" s="130">
        <f ca="1">IFERROR(__xludf.DUMMYFUNCTION("IMPORTRANGE(""https://docs.google.com/spreadsheets/d/1ItG2mGa2ceCfYo0BwxsXqNm01IGEUdYcSSLTEv9YCik/edit?usp=sharing"",""เบิกจ่ายกองทุน!BQ55"")"),191100)</f>
        <v>191100</v>
      </c>
      <c r="R191" s="130">
        <f ca="1">IFERROR(__xludf.DUMMYFUNCTION("IMPORTRANGE(""https://docs.google.com/spreadsheets/d/1ItG2mGa2ceCfYo0BwxsXqNm01IGEUdYcSSLTEv9YCik/edit?usp=sharing"",""เบิกจ่ายกองทุน!BR55"")"),191100)</f>
        <v>191100</v>
      </c>
      <c r="S191" s="130">
        <f ca="1">IFERROR(__xludf.DUMMYFUNCTION("IMPORTRANGE(""https://docs.google.com/spreadsheets/d/1ItG2mGa2ceCfYo0BwxsXqNm01IGEUdYcSSLTEv9YCik/edit?usp=sharing"",""เบิกจ่ายกองทุน!BS55"")"),26760.7)</f>
        <v>26760.7</v>
      </c>
      <c r="T191" s="130">
        <f t="shared" ca="1" si="59"/>
        <v>14.003506017791732</v>
      </c>
      <c r="U191" s="130">
        <f t="shared" ca="1" si="60"/>
        <v>14.003506017791732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IFERROR(__xludf.DUMMYFUNCTION("IMPORTRANGE(""https://docs.google.com/spreadsheets/d/1-uDff_7J0KD5mKrp0Vvzr7lt3OU09vwQwhkpOPPYv2Y/edit?usp=sharing"",""งบพรบ!CX55"")"),0)</f>
        <v>0</v>
      </c>
      <c r="M194" s="130">
        <f ca="1">IFERROR(__xludf.DUMMYFUNCTION("IMPORTRANGE(""https://docs.google.com/spreadsheets/d/1-uDff_7J0KD5mKrp0Vvzr7lt3OU09vwQwhkpOPPYv2Y/edit?usp=sharing"",""งบพรบ!DA55"")"),0)</f>
        <v>0</v>
      </c>
      <c r="N194" s="130">
        <f ca="1">IFERROR(__xludf.DUMMYFUNCTION("IMPORTRANGE(""https://docs.google.com/spreadsheets/d/1-uDff_7J0KD5mKrp0Vvzr7lt3OU09vwQwhkpOPPYv2Y/edit?usp=sharing"",""งบพรบ!DC55"")"),0)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IFERROR(__xludf.DUMMYFUNCTION("IMPORTRANGE(""https://docs.google.com/spreadsheets/d/1ItG2mGa2ceCfYo0BwxsXqNm01IGEUdYcSSLTEv9YCik/edit?usp=sharing"",""เบิกจ่ายกองทุน!BT55"")"),0)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IFERROR(__xludf.DUMMYFUNCTION("IMPORTRANGE(""https://docs.google.com/spreadsheets/d/1ItG2mGa2ceCfYo0BwxsXqNm01IGEUdYcSSLTEv9YCik/edit?usp=sharing"",""เบิกจ่ายกองทุน!BU55"")"),0)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IFERROR(__xludf.DUMMYFUNCTION("IMPORTRANGE(""https://docs.google.com/spreadsheets/d/1ItG2mGa2ceCfYo0BwxsXqNm01IGEUdYcSSLTEv9YCik/edit?usp=sharing"",""เบิกจ่ายกองทุน!BV55"")"),0)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257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IFERROR(__xludf.DUMMYFUNCTION("IMPORTRANGE(""https://docs.google.com/spreadsheets/d/1eHaY18a8A9IcSdp1K8H6x8fbOy06t2VsZHhMHf-1x7Y/edit?usp=sharing"",""แผน!AB55"")"),6000)</f>
        <v>6000</v>
      </c>
      <c r="M196" s="85"/>
      <c r="N196" s="961">
        <v>3800</v>
      </c>
      <c r="O196" s="213">
        <f ca="1">IF(L196&gt;0,N196*100/L196,0)</f>
        <v>63.333333333333336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257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IFERROR(__xludf.DUMMYFUNCTION("IMPORTRANGE(""https://docs.google.com/spreadsheets/d/1eHaY18a8A9IcSdp1K8H6x8fbOy06t2VsZHhMHf-1x7Y/edit?usp=sharing"",""แผน!AE55"")"),4)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310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310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3</v>
      </c>
      <c r="J202" s="538">
        <f>J209</f>
        <v>3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276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12">
        <f ca="1">L204+L205+L206+L207</f>
        <v>20000</v>
      </c>
      <c r="M203" s="85"/>
      <c r="N203" s="213">
        <f>N204+N205+N206+N207</f>
        <v>720</v>
      </c>
      <c r="O203" s="213">
        <f ca="1">IF(L203&gt;0,N203*100/L203,0)</f>
        <v>3.6</v>
      </c>
      <c r="P203" s="213">
        <f>IF(M203&gt;0,N203*100/M203,0)</f>
        <v>0</v>
      </c>
      <c r="Q203" s="383">
        <f ca="1">Q204+Q205+Q206+Q207</f>
        <v>42000</v>
      </c>
      <c r="R203" s="384"/>
      <c r="S203" s="385">
        <f>S204+S205+S206+S207</f>
        <v>41960.7</v>
      </c>
      <c r="T203" s="385">
        <f ca="1">IF(Q203&gt;0,S203*100/Q203,0)</f>
        <v>99.906428571428577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IFERROR(__xludf.DUMMYFUNCTION("IMPORTRANGE(""https://docs.google.com/spreadsheets/d/1eHaY18a8A9IcSdp1K8H6x8fbOy06t2VsZHhMHf-1x7Y/edit?usp=sharing"",""แผน!AG55"")"),3000)</f>
        <v>3000</v>
      </c>
      <c r="M204" s="85"/>
      <c r="N204" s="387">
        <v>720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IFERROR(__xludf.DUMMYFUNCTION("IMPORTRANGE(""https://docs.google.com/spreadsheets/d/1eHaY18a8A9IcSdp1K8H6x8fbOy06t2VsZHhMHf-1x7Y/edit?usp=sharing"",""แผน!AH55"")"),0)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IFERROR(__xludf.DUMMYFUNCTION("IMPORTRANGE(""https://docs.google.com/spreadsheets/d/1eHaY18a8A9IcSdp1K8H6x8fbOy06t2VsZHhMHf-1x7Y/edit?usp=sharing"",""แผน!AI55"")"),0)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IFERROR(__xludf.DUMMYFUNCTION("IMPORTRANGE(""https://docs.google.com/spreadsheets/d/1eHaY18a8A9IcSdp1K8H6x8fbOy06t2VsZHhMHf-1x7Y/edit?usp=sharing"",""แผน!LV55"")"),42000)</f>
        <v>42000</v>
      </c>
      <c r="R206" s="85"/>
      <c r="S206" s="387">
        <v>41960.7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IFERROR(__xludf.DUMMYFUNCTION("IMPORTRANGE(""https://docs.google.com/spreadsheets/d/1eHaY18a8A9IcSdp1K8H6x8fbOy06t2VsZHhMHf-1x7Y/edit?usp=sharing"",""แผน!AJ55"")"),17000)</f>
        <v>17000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257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IFERROR(__xludf.DUMMYFUNCTION("IMPORTRANGE(""https://docs.google.com/spreadsheets/d/1eHaY18a8A9IcSdp1K8H6x8fbOy06t2VsZHhMHf-1x7Y/edit?usp=sharing"",""แผน!AK55"")"),3)</f>
        <v>3</v>
      </c>
      <c r="J209" s="292">
        <v>3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IFERROR(__xludf.DUMMYFUNCTION("IMPORTRANGE(""https://docs.google.com/spreadsheets/d/1eHaY18a8A9IcSdp1K8H6x8fbOy06t2VsZHhMHf-1x7Y/edit?usp=sharing"",""แผน!JX55"")"),2)</f>
        <v>2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IFERROR(__xludf.DUMMYFUNCTION("IMPORTRANGE(""https://docs.google.com/spreadsheets/d/1eHaY18a8A9IcSdp1K8H6x8fbOy06t2VsZHhMHf-1x7Y/edit?usp=sharing"",""แผน!JY55"")"),1)</f>
        <v>1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3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276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12">
        <f ca="1">L215+L216+L217</f>
        <v>18000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149100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IFERROR(__xludf.DUMMYFUNCTION("IMPORTRANGE(""https://docs.google.com/spreadsheets/d/1eHaY18a8A9IcSdp1K8H6x8fbOy06t2VsZHhMHf-1x7Y/edit?usp=sharing"",""แผน!AM55"")"),3000)</f>
        <v>3000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IFERROR(__xludf.DUMMYFUNCTION("IMPORTRANGE(""https://docs.google.com/spreadsheets/d/1eHaY18a8A9IcSdp1K8H6x8fbOy06t2VsZHhMHf-1x7Y/edit?usp=sharing"",""แผน!AN55"")"),15000)</f>
        <v>15000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IFERROR(__xludf.DUMMYFUNCTION("IMPORTRANGE(""https://docs.google.com/spreadsheets/d/1eHaY18a8A9IcSdp1K8H6x8fbOy06t2VsZHhMHf-1x7Y/edit?usp=sharing"",""แผน!AO55"")"),0)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IFERROR(__xludf.DUMMYFUNCTION("IMPORTRANGE(""https://docs.google.com/spreadsheets/d/1eHaY18a8A9IcSdp1K8H6x8fbOy06t2VsZHhMHf-1x7Y/edit?usp=sharing"",""แผน!LY55"")"),149100)</f>
        <v>149100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IFERROR(__xludf.DUMMYFUNCTION("IMPORTRANGE(""https://docs.google.com/spreadsheets/d/1eHaY18a8A9IcSdp1K8H6x8fbOy06t2VsZHhMHf-1x7Y/edit?usp=sharing"",""แผน!AP55"")"),3)</f>
        <v>3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IFERROR(__xludf.DUMMYFUNCTION("IMPORTRANGE(""https://docs.google.com/spreadsheets/d/1eHaY18a8A9IcSdp1K8H6x8fbOy06t2VsZHhMHf-1x7Y/edit?usp=sharing"",""แผน!AP55"")"),3)</f>
        <v>3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40000</v>
      </c>
      <c r="J221" s="538">
        <f>J229</f>
        <v>40000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276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12">
        <f ca="1">L223+L224+L225</f>
        <v>6500</v>
      </c>
      <c r="M222" s="85"/>
      <c r="N222" s="213">
        <f>N223+N224+N225</f>
        <v>0</v>
      </c>
      <c r="O222" s="213">
        <f ca="1">IF(L222&gt;0,N222*100/L222,0)</f>
        <v>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IFERROR(__xludf.DUMMYFUNCTION("IMPORTRANGE(""https://docs.google.com/spreadsheets/d/1eHaY18a8A9IcSdp1K8H6x8fbOy06t2VsZHhMHf-1x7Y/edit?usp=sharing"",""แผน!AR55"")"),2500)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IFERROR(__xludf.DUMMYFUNCTION("IMPORTRANGE(""https://docs.google.com/spreadsheets/d/1eHaY18a8A9IcSdp1K8H6x8fbOy06t2VsZHhMHf-1x7Y/edit?usp=sharing"",""แผน!AS55"")"),4000)</f>
        <v>4000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IFERROR(__xludf.DUMMYFUNCTION("IMPORTRANGE(""https://docs.google.com/spreadsheets/d/1eHaY18a8A9IcSdp1K8H6x8fbOy06t2VsZHhMHf-1x7Y/edit?usp=sharing"",""แผน!AT55"")"),0)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276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IFERROR(__xludf.DUMMYFUNCTION("IMPORTRANGE(""https://docs.google.com/spreadsheets/d/1eHaY18a8A9IcSdp1K8H6x8fbOy06t2VsZHhMHf-1x7Y/edit?usp=sharing"",""แผน!AV55"")"),40000)</f>
        <v>40000</v>
      </c>
      <c r="J228" s="292">
        <v>40000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IFERROR(__xludf.DUMMYFUNCTION("IMPORTRANGE(""https://docs.google.com/spreadsheets/d/1eHaY18a8A9IcSdp1K8H6x8fbOy06t2VsZHhMHf-1x7Y/edit?usp=sharing"",""แผน!AV55"")"),40000)</f>
        <v>40000</v>
      </c>
      <c r="J229" s="292">
        <v>40000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IFERROR(__xludf.DUMMYFUNCTION("IMPORTRANGE(""https://docs.google.com/spreadsheets/d/1eHaY18a8A9IcSdp1K8H6x8fbOy06t2VsZHhMHf-1x7Y/edit?usp=sharing"",""แผน!AU55"")"),0)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45</v>
      </c>
      <c r="J231" s="951">
        <f>J242+J253</f>
        <v>40</v>
      </c>
      <c r="K231" s="950">
        <f ca="1">IF(I231&gt;0,J231*100/I231,0)</f>
        <v>88.888888888888886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1187">
        <f ca="1">L243+L254</f>
        <v>177900</v>
      </c>
      <c r="M232" s="85"/>
      <c r="N232" s="1186">
        <f>N243+N254</f>
        <v>107360</v>
      </c>
      <c r="O232" s="85"/>
      <c r="P232" s="85"/>
      <c r="Q232" s="130">
        <f>Q243+Q254</f>
        <v>0</v>
      </c>
      <c r="R232" s="130"/>
      <c r="S232" s="130">
        <f>S243+S254</f>
        <v>0</v>
      </c>
      <c r="T232" s="85"/>
      <c r="U232" s="85"/>
    </row>
    <row r="233" spans="1:21" ht="18.75" hidden="1" x14ac:dyDescent="0.25">
      <c r="A233" s="936"/>
      <c r="B233" s="1082"/>
      <c r="C233" s="1082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215">
        <f ca="1">L244+L255</f>
        <v>34000</v>
      </c>
      <c r="M233" s="85"/>
      <c r="N233" s="131">
        <f>N244+N255</f>
        <v>7860</v>
      </c>
      <c r="O233" s="85"/>
      <c r="P233" s="85"/>
      <c r="Q233" s="1302">
        <v>0</v>
      </c>
      <c r="R233" s="671"/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215">
        <f ca="1">L245+L256</f>
        <v>3000</v>
      </c>
      <c r="M234" s="85"/>
      <c r="N234" s="131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215">
        <f ca="1">L246+L257</f>
        <v>80900</v>
      </c>
      <c r="M235" s="85"/>
      <c r="N235" s="131">
        <f>N246+N257</f>
        <v>55500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215">
        <f ca="1">L247+L258</f>
        <v>60000</v>
      </c>
      <c r="M236" s="85"/>
      <c r="N236" s="131">
        <f>N247+N258</f>
        <v>44000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45</v>
      </c>
      <c r="J238" s="570">
        <f>J249+J260</f>
        <v>40</v>
      </c>
      <c r="K238" s="75">
        <f ca="1">IF(I238&gt;0,J238*100/I238,0)</f>
        <v>88.888888888888886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 ca="1">I251+I262</f>
        <v>40</v>
      </c>
      <c r="J240" s="570">
        <f>J251+J262</f>
        <v>40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 ca="1">I252+I263</f>
        <v>2</v>
      </c>
      <c r="J241" s="570">
        <f>J252+J263</f>
        <v>2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305" t="s">
        <v>344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20</v>
      </c>
      <c r="K242" s="375">
        <f ca="1">IF(I242&gt;0,J242*100/I242,0)</f>
        <v>66.666666666666671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390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103200</v>
      </c>
      <c r="M243" s="85"/>
      <c r="N243" s="213">
        <f>N244+N245+N246+N247</f>
        <v>46230</v>
      </c>
      <c r="O243" s="213">
        <f ca="1">IF(L243&gt;0,N243*100/L243,0)</f>
        <v>44.796511627906973</v>
      </c>
      <c r="P243" s="213">
        <f>IF(M243&gt;0,N243*100/M243,0)</f>
        <v>0</v>
      </c>
      <c r="Q243" s="130">
        <f>Q244+Q245+Q246+Q247</f>
        <v>0</v>
      </c>
      <c r="R243" s="130"/>
      <c r="S243" s="130">
        <f>S244+S245+S246+S247</f>
        <v>0</v>
      </c>
      <c r="T243" s="130"/>
      <c r="U243" s="130"/>
    </row>
    <row r="244" spans="1:21" ht="18.75" x14ac:dyDescent="0.25">
      <c r="A244" s="207"/>
      <c r="B244" s="367"/>
      <c r="C244" s="367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IFERROR(__xludf.DUMMYFUNCTION("IMPORTRANGE(""https://docs.google.com/spreadsheets/d/1eHaY18a8A9IcSdp1K8H6x8fbOy06t2VsZHhMHf-1x7Y/edit?usp=sharing"",""แผน!AX55"")"),19000)</f>
        <v>19000</v>
      </c>
      <c r="M244" s="85"/>
      <c r="N244" s="387">
        <v>3430</v>
      </c>
      <c r="O244" s="85"/>
      <c r="P244" s="85"/>
      <c r="Q244" s="1302">
        <v>0</v>
      </c>
      <c r="R244" s="671"/>
      <c r="S244" s="671">
        <v>0</v>
      </c>
      <c r="T244" s="85"/>
      <c r="U244" s="85"/>
    </row>
    <row r="245" spans="1:21" ht="18.75" x14ac:dyDescent="0.25">
      <c r="A245" s="364"/>
      <c r="B245" s="367"/>
      <c r="C245" s="367"/>
      <c r="D245" s="56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IFERROR(__xludf.DUMMYFUNCTION("IMPORTRANGE(""https://docs.google.com/spreadsheets/d/1eHaY18a8A9IcSdp1K8H6x8fbOy06t2VsZHhMHf-1x7Y/edit?usp=sharing"",""แผน!AY55"")"),0)</f>
        <v>0</v>
      </c>
      <c r="M245" s="85"/>
      <c r="N245" s="387">
        <v>0</v>
      </c>
      <c r="O245" s="85"/>
      <c r="P245" s="85"/>
      <c r="Q245" s="71">
        <v>0</v>
      </c>
      <c r="R245" s="72"/>
      <c r="S245" s="72">
        <v>0</v>
      </c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IFERROR(__xludf.DUMMYFUNCTION("IMPORTRANGE(""https://docs.google.com/spreadsheets/d/1eHaY18a8A9IcSdp1K8H6x8fbOy06t2VsZHhMHf-1x7Y/edit?usp=sharing"",""แผน!AZ55"")"),49200)</f>
        <v>49200</v>
      </c>
      <c r="M246" s="85"/>
      <c r="N246" s="387">
        <v>23800</v>
      </c>
      <c r="O246" s="85"/>
      <c r="P246" s="85"/>
      <c r="Q246" s="71">
        <v>0</v>
      </c>
      <c r="R246" s="72"/>
      <c r="S246" s="72">
        <v>0</v>
      </c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IFERROR(__xludf.DUMMYFUNCTION("IMPORTRANGE(""https://docs.google.com/spreadsheets/d/1eHaY18a8A9IcSdp1K8H6x8fbOy06t2VsZHhMHf-1x7Y/edit?usp=sharing"",""แผน!BA55"")"),35000)</f>
        <v>35000</v>
      </c>
      <c r="M247" s="85"/>
      <c r="N247" s="387">
        <v>19000</v>
      </c>
      <c r="O247" s="85"/>
      <c r="P247" s="85"/>
      <c r="Q247" s="71">
        <v>0</v>
      </c>
      <c r="R247" s="72"/>
      <c r="S247" s="72">
        <v>0</v>
      </c>
      <c r="T247" s="85"/>
      <c r="U247" s="85"/>
    </row>
    <row r="248" spans="1:21" ht="19.5" x14ac:dyDescent="0.3">
      <c r="A248" s="220"/>
      <c r="B248" s="221"/>
      <c r="C248" s="390" t="s">
        <v>18</v>
      </c>
      <c r="D248" s="931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IFERROR(__xludf.DUMMYFUNCTION("IMPORTRANGE(""https://docs.google.com/spreadsheets/d/1eHaY18a8A9IcSdp1K8H6x8fbOy06t2VsZHhMHf-1x7Y/edit?usp=sharing"",""แผน!BG55"")"),30)</f>
        <v>30</v>
      </c>
      <c r="J249" s="794">
        <v>20</v>
      </c>
      <c r="K249" s="86">
        <f ca="1">IF(I249&gt;0,J249*100/I249,0)</f>
        <v>66.666666666666671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24" t="s">
        <v>343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IFERROR(__xludf.DUMMYFUNCTION("IMPORTRANGE(""https://docs.google.com/spreadsheets/d/1eHaY18a8A9IcSdp1K8H6x8fbOy06t2VsZHhMHf-1x7Y/edit?usp=sharing"",""แผน!KB55"")"),20)</f>
        <v>20</v>
      </c>
      <c r="J251" s="794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342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IFERROR(__xludf.DUMMYFUNCTION("IMPORTRANGE(""https://docs.google.com/spreadsheets/d/1eHaY18a8A9IcSdp1K8H6x8fbOy06t2VsZHhMHf-1x7Y/edit?usp=sharing"",""แผน!KC55"")"),1)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x14ac:dyDescent="0.3">
      <c r="A253" s="368"/>
      <c r="B253" s="369"/>
      <c r="C253" s="1305" t="s">
        <v>341</v>
      </c>
      <c r="D253" s="371"/>
      <c r="E253" s="371"/>
      <c r="F253" s="371"/>
      <c r="G253" s="372"/>
      <c r="H253" s="373" t="s">
        <v>35</v>
      </c>
      <c r="I253" s="374">
        <f ca="1">I260</f>
        <v>15</v>
      </c>
      <c r="J253" s="374">
        <f>J260</f>
        <v>20</v>
      </c>
      <c r="K253" s="375">
        <f ca="1">IF(I253&gt;0,J253*100/I253,0)</f>
        <v>133.33333333333334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x14ac:dyDescent="0.3">
      <c r="A254" s="207"/>
      <c r="B254" s="367"/>
      <c r="C254" s="390" t="s">
        <v>18</v>
      </c>
      <c r="D254" s="1101" t="s">
        <v>19</v>
      </c>
      <c r="E254" s="65"/>
      <c r="F254" s="65"/>
      <c r="G254" s="67"/>
      <c r="H254" s="380" t="s">
        <v>14</v>
      </c>
      <c r="I254" s="217"/>
      <c r="J254" s="217"/>
      <c r="K254" s="218"/>
      <c r="L254" s="212">
        <f ca="1">L255+L256+L257+L258</f>
        <v>74700</v>
      </c>
      <c r="M254" s="85"/>
      <c r="N254" s="213">
        <f>N255+N256+N257+N258</f>
        <v>61130</v>
      </c>
      <c r="O254" s="213">
        <f ca="1">IF(L254&gt;0,N254*100/L254,0)</f>
        <v>81.834002677376176</v>
      </c>
      <c r="P254" s="213">
        <f>IF(M254&gt;0,N254*100/M254,0)</f>
        <v>0</v>
      </c>
      <c r="Q254" s="130">
        <f>Q255+Q256+Q257+Q258</f>
        <v>0</v>
      </c>
      <c r="R254" s="130"/>
      <c r="S254" s="130">
        <f>S255+S256+S257+S258</f>
        <v>0</v>
      </c>
      <c r="T254" s="130"/>
      <c r="U254" s="130"/>
    </row>
    <row r="255" spans="1:21" ht="18.75" x14ac:dyDescent="0.25">
      <c r="A255" s="207"/>
      <c r="B255" s="367"/>
      <c r="C255" s="367"/>
      <c r="D255" s="1303" t="s">
        <v>320</v>
      </c>
      <c r="E255" s="65"/>
      <c r="F255" s="65"/>
      <c r="G255" s="67"/>
      <c r="H255" s="216" t="s">
        <v>14</v>
      </c>
      <c r="I255" s="217"/>
      <c r="J255" s="217"/>
      <c r="K255" s="218"/>
      <c r="L255" s="129">
        <f ca="1">IFERROR(__xludf.DUMMYFUNCTION("IMPORTRANGE(""https://docs.google.com/spreadsheets/d/1eHaY18a8A9IcSdp1K8H6x8fbOy06t2VsZHhMHf-1x7Y/edit?usp=sharing"",""แผน!BB55"")"),15000)</f>
        <v>15000</v>
      </c>
      <c r="M255" s="85"/>
      <c r="N255" s="387">
        <v>4430</v>
      </c>
      <c r="O255" s="85"/>
      <c r="P255" s="85"/>
      <c r="Q255" s="1302">
        <v>0</v>
      </c>
      <c r="R255" s="671"/>
      <c r="S255" s="671">
        <v>0</v>
      </c>
      <c r="T255" s="85"/>
      <c r="U255" s="85"/>
    </row>
    <row r="256" spans="1:21" ht="18.75" x14ac:dyDescent="0.25">
      <c r="A256" s="364"/>
      <c r="B256" s="367"/>
      <c r="C256" s="367"/>
      <c r="D256" s="567" t="s">
        <v>87</v>
      </c>
      <c r="E256" s="65"/>
      <c r="F256" s="65"/>
      <c r="G256" s="67"/>
      <c r="H256" s="216" t="s">
        <v>14</v>
      </c>
      <c r="I256" s="69"/>
      <c r="J256" s="69"/>
      <c r="K256" s="70"/>
      <c r="L256" s="129">
        <f ca="1">IFERROR(__xludf.DUMMYFUNCTION("IMPORTRANGE(""https://docs.google.com/spreadsheets/d/1eHaY18a8A9IcSdp1K8H6x8fbOy06t2VsZHhMHf-1x7Y/edit?usp=sharing"",""แผน!dg55"")"),3000)</f>
        <v>3000</v>
      </c>
      <c r="M256" s="85"/>
      <c r="N256" s="387"/>
      <c r="O256" s="85"/>
      <c r="P256" s="85"/>
      <c r="Q256" s="71">
        <v>0</v>
      </c>
      <c r="R256" s="72"/>
      <c r="S256" s="72">
        <v>0</v>
      </c>
      <c r="T256" s="85"/>
      <c r="U256" s="85"/>
    </row>
    <row r="257" spans="1:21" ht="18.75" x14ac:dyDescent="0.25">
      <c r="A257" s="364"/>
      <c r="B257" s="367"/>
      <c r="C257" s="367"/>
      <c r="D257" s="567" t="s">
        <v>88</v>
      </c>
      <c r="E257" s="65"/>
      <c r="F257" s="65"/>
      <c r="G257" s="67"/>
      <c r="H257" s="216" t="s">
        <v>14</v>
      </c>
      <c r="I257" s="69"/>
      <c r="J257" s="69"/>
      <c r="K257" s="70"/>
      <c r="L257" s="129">
        <f ca="1">IFERROR(__xludf.DUMMYFUNCTION("IMPORTRANGE(""https://docs.google.com/spreadsheets/d/1eHaY18a8A9IcSdp1K8H6x8fbOy06t2VsZHhMHf-1x7Y/edit?usp=sharing"",""แผน!BD55"")"),31700)</f>
        <v>31700</v>
      </c>
      <c r="M257" s="85"/>
      <c r="N257" s="387">
        <v>31700</v>
      </c>
      <c r="O257" s="85"/>
      <c r="P257" s="85"/>
      <c r="Q257" s="71">
        <v>0</v>
      </c>
      <c r="R257" s="72"/>
      <c r="S257" s="72">
        <v>0</v>
      </c>
      <c r="T257" s="85"/>
      <c r="U257" s="85"/>
    </row>
    <row r="258" spans="1:21" ht="18.75" x14ac:dyDescent="0.25">
      <c r="A258" s="364"/>
      <c r="B258" s="367"/>
      <c r="C258" s="367"/>
      <c r="D258" s="265" t="s">
        <v>89</v>
      </c>
      <c r="E258" s="65"/>
      <c r="F258" s="65"/>
      <c r="G258" s="67"/>
      <c r="H258" s="216" t="s">
        <v>14</v>
      </c>
      <c r="I258" s="69"/>
      <c r="J258" s="69"/>
      <c r="K258" s="70"/>
      <c r="L258" s="129">
        <f ca="1">IFERROR(__xludf.DUMMYFUNCTION("IMPORTRANGE(""https://docs.google.com/spreadsheets/d/1eHaY18a8A9IcSdp1K8H6x8fbOy06t2VsZHhMHf-1x7Y/edit?usp=sharing"",""แผน!BE55"")"),25000)</f>
        <v>25000</v>
      </c>
      <c r="M258" s="85"/>
      <c r="N258" s="387">
        <v>25000</v>
      </c>
      <c r="O258" s="85"/>
      <c r="P258" s="85"/>
      <c r="Q258" s="71">
        <v>0</v>
      </c>
      <c r="R258" s="72"/>
      <c r="S258" s="72">
        <v>0</v>
      </c>
      <c r="T258" s="85"/>
      <c r="U258" s="85"/>
    </row>
    <row r="259" spans="1:21" ht="19.5" x14ac:dyDescent="0.3">
      <c r="A259" s="220"/>
      <c r="B259" s="221"/>
      <c r="C259" s="390" t="s">
        <v>18</v>
      </c>
      <c r="D259" s="931" t="s">
        <v>38</v>
      </c>
      <c r="E259" s="223"/>
      <c r="F259" s="223"/>
      <c r="G259" s="224"/>
      <c r="H259" s="225"/>
      <c r="I259" s="217"/>
      <c r="J259" s="69"/>
      <c r="K259" s="70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x14ac:dyDescent="0.25">
      <c r="A260" s="220"/>
      <c r="B260" s="221"/>
      <c r="C260" s="221"/>
      <c r="D260" s="234" t="s">
        <v>108</v>
      </c>
      <c r="E260" s="229"/>
      <c r="F260" s="229"/>
      <c r="G260" s="225"/>
      <c r="H260" s="219" t="s">
        <v>35</v>
      </c>
      <c r="I260" s="237">
        <f ca="1">IFERROR(__xludf.DUMMYFUNCTION("IMPORTRANGE(""https://docs.google.com/spreadsheets/d/1eHaY18a8A9IcSdp1K8H6x8fbOy06t2VsZHhMHf-1x7Y/edit?usp=sharing"",""แผน!BH55"")"),15)</f>
        <v>15</v>
      </c>
      <c r="J260" s="794">
        <v>20</v>
      </c>
      <c r="K260" s="86">
        <f ca="1">IF(I260&gt;0,J260*100/I260,0)</f>
        <v>133.33333333333334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x14ac:dyDescent="0.25">
      <c r="A261" s="220"/>
      <c r="B261" s="221"/>
      <c r="C261" s="221"/>
      <c r="D261" s="400" t="s">
        <v>43</v>
      </c>
      <c r="E261" s="229"/>
      <c r="F261" s="229"/>
      <c r="G261" s="225"/>
      <c r="H261" s="314"/>
      <c r="I261" s="69"/>
      <c r="J261" s="69"/>
      <c r="K261" s="70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x14ac:dyDescent="0.25">
      <c r="A262" s="220"/>
      <c r="B262" s="221"/>
      <c r="C262" s="221"/>
      <c r="D262" s="221"/>
      <c r="E262" s="228" t="s">
        <v>109</v>
      </c>
      <c r="F262" s="229"/>
      <c r="G262" s="225"/>
      <c r="H262" s="219" t="s">
        <v>35</v>
      </c>
      <c r="I262" s="237">
        <f ca="1">IFERROR(__xludf.DUMMYFUNCTION("IMPORTRANGE(""https://docs.google.com/spreadsheets/d/1eHaY18a8A9IcSdp1K8H6x8fbOy06t2VsZHhMHf-1x7Y/edit?usp=sharing"",""แผน!KD55"")"),20)</f>
        <v>20</v>
      </c>
      <c r="J262" s="794">
        <v>20</v>
      </c>
      <c r="K262" s="86">
        <f ca="1">IF(I262&gt;0,J262*100/I262,0)</f>
        <v>100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x14ac:dyDescent="0.25">
      <c r="A263" s="220"/>
      <c r="B263" s="221"/>
      <c r="C263" s="221"/>
      <c r="D263" s="221"/>
      <c r="E263" s="228" t="s">
        <v>110</v>
      </c>
      <c r="F263" s="229"/>
      <c r="G263" s="225"/>
      <c r="H263" s="219" t="s">
        <v>61</v>
      </c>
      <c r="I263" s="237">
        <f ca="1">IFERROR(__xludf.DUMMYFUNCTION("IMPORTRANGE(""https://docs.google.com/spreadsheets/d/1eHaY18a8A9IcSdp1K8H6x8fbOy06t2VsZHhMHf-1x7Y/edit?usp=sharing"",""แผน!KE55"")"),1)</f>
        <v>1</v>
      </c>
      <c r="J263" s="794">
        <v>1</v>
      </c>
      <c r="K263" s="86">
        <f ca="1">IF(I263&gt;0,J263*100/I263,0)</f>
        <v>100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20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681">
        <f ca="1">L267+L268</f>
        <v>5000</v>
      </c>
      <c r="M266" s="682">
        <f ca="1">M267+M268</f>
        <v>5000</v>
      </c>
      <c r="N266" s="682">
        <f ca="1">N267+N268</f>
        <v>0</v>
      </c>
      <c r="O266" s="682">
        <f t="shared" ref="O266:O274" ca="1" si="63">IF(L266&gt;0,N266*100/L266,0)</f>
        <v>0</v>
      </c>
      <c r="P266" s="682">
        <f t="shared" ref="P266:P274" ca="1" si="64">IF(M266&gt;0,N266*100/M266,0)</f>
        <v>0</v>
      </c>
      <c r="Q266" s="682">
        <f ca="1">Q267+Q268</f>
        <v>50660</v>
      </c>
      <c r="R266" s="682">
        <f ca="1">R267+R268</f>
        <v>50660</v>
      </c>
      <c r="S266" s="682">
        <f ca="1">S267+S268</f>
        <v>43780</v>
      </c>
      <c r="T266" s="682">
        <f t="shared" ref="T266:T274" ca="1" si="65">IF(Q266&gt;0,S266*100/Q266,0)</f>
        <v>86.419265692854324</v>
      </c>
      <c r="U266" s="682">
        <f t="shared" ref="U266:U274" ca="1" si="66">IF(R266&gt;0,S266*100/R266,0)</f>
        <v>86.419265692854324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3">
        <f t="shared" ca="1" si="67"/>
        <v>5000</v>
      </c>
      <c r="M268" s="684">
        <f t="shared" ca="1" si="67"/>
        <v>5000</v>
      </c>
      <c r="N268" s="684">
        <f t="shared" ca="1" si="67"/>
        <v>0</v>
      </c>
      <c r="O268" s="684">
        <f t="shared" ca="1" si="63"/>
        <v>0</v>
      </c>
      <c r="P268" s="684">
        <f t="shared" ca="1" si="64"/>
        <v>0</v>
      </c>
      <c r="Q268" s="684">
        <f t="shared" ca="1" si="68"/>
        <v>50660</v>
      </c>
      <c r="R268" s="684">
        <f t="shared" ca="1" si="68"/>
        <v>50660</v>
      </c>
      <c r="S268" s="684">
        <f t="shared" ca="1" si="68"/>
        <v>43780</v>
      </c>
      <c r="T268" s="684">
        <f t="shared" ca="1" si="65"/>
        <v>86.419265692854324</v>
      </c>
      <c r="U268" s="684">
        <f t="shared" ca="1" si="66"/>
        <v>86.419265692854324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3">
        <f ca="1">L270+L271</f>
        <v>5000</v>
      </c>
      <c r="M269" s="684">
        <f ca="1">M270+M271</f>
        <v>5000</v>
      </c>
      <c r="N269" s="684">
        <f ca="1">N270+N271</f>
        <v>0</v>
      </c>
      <c r="O269" s="684">
        <f t="shared" ca="1" si="63"/>
        <v>0</v>
      </c>
      <c r="P269" s="684">
        <f t="shared" ca="1" si="64"/>
        <v>0</v>
      </c>
      <c r="Q269" s="684">
        <f ca="1">Q270+Q271</f>
        <v>50660</v>
      </c>
      <c r="R269" s="684">
        <f ca="1">R270+R271</f>
        <v>50660</v>
      </c>
      <c r="S269" s="684">
        <f ca="1">S270+S271</f>
        <v>43780</v>
      </c>
      <c r="T269" s="684">
        <f t="shared" ca="1" si="65"/>
        <v>86.419265692854324</v>
      </c>
      <c r="U269" s="684">
        <f t="shared" ca="1" si="66"/>
        <v>86.419265692854324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3">
        <f ca="1">IFERROR(__xludf.DUMMYFUNCTION("IMPORTRANGE(""https://docs.google.com/spreadsheets/d/1-uDff_7J0KD5mKrp0Vvzr7lt3OU09vwQwhkpOPPYv2Y/edit?usp=sharing"",""งบพรบ!DE55"")"),5000)</f>
        <v>5000</v>
      </c>
      <c r="M271" s="684">
        <f ca="1">IFERROR(__xludf.DUMMYFUNCTION("IMPORTRANGE(""https://docs.google.com/spreadsheets/d/1-uDff_7J0KD5mKrp0Vvzr7lt3OU09vwQwhkpOPPYv2Y/edit?usp=sharing"",""งบพรบ!DJ55"")"),5000)</f>
        <v>5000</v>
      </c>
      <c r="N271" s="684">
        <f ca="1">IFERROR(__xludf.DUMMYFUNCTION("IMPORTRANGE(""https://docs.google.com/spreadsheets/d/1-uDff_7J0KD5mKrp0Vvzr7lt3OU09vwQwhkpOPPYv2Y/edit?usp=sharing"",""งบพรบ!DL55"")"),0)</f>
        <v>0</v>
      </c>
      <c r="O271" s="684">
        <f t="shared" ca="1" si="63"/>
        <v>0</v>
      </c>
      <c r="P271" s="684">
        <f t="shared" ca="1" si="64"/>
        <v>0</v>
      </c>
      <c r="Q271" s="684">
        <f ca="1">IFERROR(__xludf.DUMMYFUNCTION("IMPORTRANGE(""https://docs.google.com/spreadsheets/d/1ItG2mGa2ceCfYo0BwxsXqNm01IGEUdYcSSLTEv9YCik/edit?usp=sharing"",""เบิกจ่ายกองทุน!AP55"")"),50660)</f>
        <v>50660</v>
      </c>
      <c r="R271" s="684">
        <f ca="1">IFERROR(__xludf.DUMMYFUNCTION("IMPORTRANGE(""https://docs.google.com/spreadsheets/d/1ItG2mGa2ceCfYo0BwxsXqNm01IGEUdYcSSLTEv9YCik/edit?usp=sharing"",""เบิกจ่ายกองทุน!AQ55"")"),50660)</f>
        <v>50660</v>
      </c>
      <c r="S271" s="684">
        <f ca="1">IFERROR(__xludf.DUMMYFUNCTION("IMPORTRANGE(""https://docs.google.com/spreadsheets/d/1ItG2mGa2ceCfYo0BwxsXqNm01IGEUdYcSSLTEv9YCik/edit?usp=sharing"",""เบิกจ่ายกองทุน!AR55"")"),43780)</f>
        <v>43780</v>
      </c>
      <c r="T271" s="684">
        <f t="shared" ca="1" si="65"/>
        <v>86.419265692854324</v>
      </c>
      <c r="U271" s="684">
        <f t="shared" ca="1" si="66"/>
        <v>86.419265692854324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3">
        <f ca="1">L273+L274</f>
        <v>0</v>
      </c>
      <c r="M272" s="684">
        <f ca="1">M273+M274</f>
        <v>0</v>
      </c>
      <c r="N272" s="684">
        <f ca="1">N273+N274</f>
        <v>0</v>
      </c>
      <c r="O272" s="684">
        <f t="shared" ca="1" si="63"/>
        <v>0</v>
      </c>
      <c r="P272" s="684">
        <f t="shared" ca="1" si="64"/>
        <v>0</v>
      </c>
      <c r="Q272" s="684">
        <f>Q273+Q274</f>
        <v>0</v>
      </c>
      <c r="R272" s="684">
        <f>R273+R274</f>
        <v>0</v>
      </c>
      <c r="S272" s="684">
        <f>S273+S274</f>
        <v>0</v>
      </c>
      <c r="T272" s="684">
        <f t="shared" si="65"/>
        <v>0</v>
      </c>
      <c r="U272" s="684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3">
        <f ca="1">IFERROR(__xludf.DUMMYFUNCTION("IMPORTRANGE(""https://docs.google.com/spreadsheets/d/1-uDff_7J0KD5mKrp0Vvzr7lt3OU09vwQwhkpOPPYv2Y/edit?usp=sharing"",""งบพรบ!DH55"")"),0)</f>
        <v>0</v>
      </c>
      <c r="M274" s="684">
        <f ca="1">IFERROR(__xludf.DUMMYFUNCTION("IMPORTRANGE(""https://docs.google.com/spreadsheets/d/1-uDff_7J0KD5mKrp0Vvzr7lt3OU09vwQwhkpOPPYv2Y/edit?usp=sharing"",""งบพรบ!DK55"")"),0)</f>
        <v>0</v>
      </c>
      <c r="N274" s="684">
        <f ca="1">IFERROR(__xludf.DUMMYFUNCTION("IMPORTRANGE(""https://docs.google.com/spreadsheets/d/1-uDff_7J0KD5mKrp0Vvzr7lt3OU09vwQwhkpOPPYv2Y/edit?usp=sharing"",""งบพรบ!DM55"")"),0)</f>
        <v>0</v>
      </c>
      <c r="O274" s="684">
        <f t="shared" ca="1" si="63"/>
        <v>0</v>
      </c>
      <c r="P274" s="684">
        <f t="shared" ca="1" si="64"/>
        <v>0</v>
      </c>
      <c r="Q274" s="86">
        <v>0</v>
      </c>
      <c r="R274" s="86">
        <v>0</v>
      </c>
      <c r="S274" s="86">
        <v>0</v>
      </c>
      <c r="T274" s="684">
        <f t="shared" si="65"/>
        <v>0</v>
      </c>
      <c r="U274" s="684">
        <f t="shared" si="66"/>
        <v>0</v>
      </c>
    </row>
    <row r="275" spans="1:21" ht="19.5" x14ac:dyDescent="0.3">
      <c r="A275" s="220"/>
      <c r="B275" s="221"/>
      <c r="C275" s="73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IFERROR(__xludf.DUMMYFUNCTION("IMPORTRANGE(""https://docs.google.com/spreadsheets/d/1eHaY18a8A9IcSdp1K8H6x8fbOy06t2VsZHhMHf-1x7Y/edit?usp=sharing"",""แผน!EC55"")"),22)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1297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10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100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42700</v>
      </c>
      <c r="M282" s="213">
        <f ca="1">M283+M284</f>
        <v>42700</v>
      </c>
      <c r="N282" s="213">
        <f ca="1">N283+N284</f>
        <v>10740</v>
      </c>
      <c r="O282" s="213">
        <f t="shared" ref="O282:O290" ca="1" si="69">IF(L282&gt;0,N282*100/L282,0)</f>
        <v>25.152224824355972</v>
      </c>
      <c r="P282" s="213">
        <f t="shared" ref="P282:P290" ca="1" si="70">IF(M282&gt;0,N282*100/M282,0)</f>
        <v>25.152224824355972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t="shared" ca="1" si="73"/>
        <v>42700</v>
      </c>
      <c r="M284" s="130">
        <f t="shared" ca="1" si="73"/>
        <v>42700</v>
      </c>
      <c r="N284" s="130">
        <f t="shared" ca="1" si="73"/>
        <v>10740</v>
      </c>
      <c r="O284" s="130">
        <f t="shared" ca="1" si="69"/>
        <v>25.152224824355972</v>
      </c>
      <c r="P284" s="130">
        <f t="shared" ca="1" si="70"/>
        <v>25.152224824355972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42700</v>
      </c>
      <c r="M285" s="130">
        <f ca="1">M286+M287</f>
        <v>42700</v>
      </c>
      <c r="N285" s="130">
        <f ca="1">N286+N287</f>
        <v>10740</v>
      </c>
      <c r="O285" s="130">
        <f t="shared" ca="1" si="69"/>
        <v>25.152224824355972</v>
      </c>
      <c r="P285" s="130">
        <f t="shared" ca="1" si="70"/>
        <v>25.152224824355972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IFERROR(__xludf.DUMMYFUNCTION("IMPORTRANGE(""https://docs.google.com/spreadsheets/d/1-uDff_7J0KD5mKrp0Vvzr7lt3OU09vwQwhkpOPPYv2Y/edit?usp=sharing"",""งบพรบ!DO55"")"),42700)</f>
        <v>42700</v>
      </c>
      <c r="M287" s="130">
        <f ca="1">IFERROR(__xludf.DUMMYFUNCTION("IMPORTRANGE(""https://docs.google.com/spreadsheets/d/1-uDff_7J0KD5mKrp0Vvzr7lt3OU09vwQwhkpOPPYv2Y/edit?usp=sharing"",""งบพรบ!DT55"")"),42700)</f>
        <v>42700</v>
      </c>
      <c r="N287" s="130">
        <f ca="1">IFERROR(__xludf.DUMMYFUNCTION("IMPORTRANGE(""https://docs.google.com/spreadsheets/d/1-uDff_7J0KD5mKrp0Vvzr7lt3OU09vwQwhkpOPPYv2Y/edit?usp=sharing"",""งบพรบ!DV55"")"),10740)</f>
        <v>10740</v>
      </c>
      <c r="O287" s="130">
        <f t="shared" ca="1" si="69"/>
        <v>25.152224824355972</v>
      </c>
      <c r="P287" s="130">
        <f t="shared" ca="1" si="70"/>
        <v>25.152224824355972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IFERROR(__xludf.DUMMYFUNCTION("IMPORTRANGE(""https://docs.google.com/spreadsheets/d/1-uDff_7J0KD5mKrp0Vvzr7lt3OU09vwQwhkpOPPYv2Y/edit?usp=sharing"",""งบพรบ!DR55"")"),0)</f>
        <v>0</v>
      </c>
      <c r="M290" s="130">
        <f ca="1">IFERROR(__xludf.DUMMYFUNCTION("IMPORTRANGE(""https://docs.google.com/spreadsheets/d/1-uDff_7J0KD5mKrp0Vvzr7lt3OU09vwQwhkpOPPYv2Y/edit?usp=sharing"",""งบพรบ!DU55"")"),0)</f>
        <v>0</v>
      </c>
      <c r="N290" s="130">
        <f ca="1">IFERROR(__xludf.DUMMYFUNCTION("IMPORTRANGE(""https://docs.google.com/spreadsheets/d/1-uDff_7J0KD5mKrp0Vvzr7lt3OU09vwQwhkpOPPYv2Y/edit?usp=sharing"",""งบพรบ!DW55"")"),0)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IFERROR(__xludf.DUMMYFUNCTION("IMPORTRANGE(""https://docs.google.com/spreadsheets/d/1eHaY18a8A9IcSdp1K8H6x8fbOy06t2VsZHhMHf-1x7Y/edit?usp=sharing"",""แผน!EE55"")"),100)</f>
        <v>100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IFERROR(__xludf.DUMMYFUNCTION("IMPORTRANGE(""https://docs.google.com/spreadsheets/d/1eHaY18a8A9IcSdp1K8H6x8fbOy06t2VsZHhMHf-1x7Y/edit?usp=sharing"",""แผน!ED55"")"),10)</f>
        <v>10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IFERROR(__xludf.DUMMYFUNCTION("IMPORTRANGE(""https://docs.google.com/spreadsheets/d/1eHaY18a8A9IcSdp1K8H6x8fbOy06t2VsZHhMHf-1x7Y/edit?usp=sharing"",""แผน!ED55"")"),10)</f>
        <v>10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IFERROR(__xludf.DUMMYFUNCTION("IMPORTRANGE(""https://docs.google.com/spreadsheets/d/1eHaY18a8A9IcSdp1K8H6x8fbOy06t2VsZHhMHf-1x7Y/edit?usp=sharing"",""แผน!ED55"")"),10)</f>
        <v>10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20</v>
      </c>
      <c r="J302" s="595">
        <f>J314</f>
        <v>20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184200</v>
      </c>
      <c r="M303" s="213">
        <f ca="1">M304+M305</f>
        <v>184200</v>
      </c>
      <c r="N303" s="213">
        <f ca="1">N304+N305</f>
        <v>117963.25</v>
      </c>
      <c r="O303" s="213">
        <f t="shared" ref="O303:O311" ca="1" si="75">IF(L303&gt;0,N303*100/L303,0)</f>
        <v>64.040852334419114</v>
      </c>
      <c r="P303" s="213">
        <f t="shared" ref="P303:P311" ca="1" si="76">IF(M303&gt;0,N303*100/M303,0)</f>
        <v>64.040852334419114</v>
      </c>
      <c r="Q303" s="213">
        <f ca="1">Q304+Q305</f>
        <v>144609.24</v>
      </c>
      <c r="R303" s="213">
        <f ca="1">R304+R305</f>
        <v>144609</v>
      </c>
      <c r="S303" s="213">
        <f ca="1">S304+S305</f>
        <v>26960</v>
      </c>
      <c r="T303" s="213">
        <f t="shared" ref="T303:T311" ca="1" si="77">IF(Q303&gt;0,S303*100/Q303,0)</f>
        <v>18.643345335332654</v>
      </c>
      <c r="U303" s="213">
        <f t="shared" ref="U303:U311" ca="1" si="78">IF(R303&gt;0,S303*100/R303,0)</f>
        <v>18.643376276718598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t="shared" ca="1" si="79"/>
        <v>184200</v>
      </c>
      <c r="M305" s="130">
        <f t="shared" ca="1" si="79"/>
        <v>184200</v>
      </c>
      <c r="N305" s="130">
        <f t="shared" ca="1" si="79"/>
        <v>117963.25</v>
      </c>
      <c r="O305" s="130">
        <f t="shared" ca="1" si="75"/>
        <v>64.040852334419114</v>
      </c>
      <c r="P305" s="130">
        <f t="shared" ca="1" si="76"/>
        <v>64.040852334419114</v>
      </c>
      <c r="Q305" s="130">
        <f t="shared" ca="1" si="80"/>
        <v>144609.24</v>
      </c>
      <c r="R305" s="130">
        <f t="shared" ca="1" si="80"/>
        <v>144609</v>
      </c>
      <c r="S305" s="130">
        <f t="shared" ca="1" si="80"/>
        <v>26960</v>
      </c>
      <c r="T305" s="130">
        <f t="shared" ca="1" si="77"/>
        <v>18.643345335332654</v>
      </c>
      <c r="U305" s="130">
        <f t="shared" ca="1" si="78"/>
        <v>18.643376276718598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184200</v>
      </c>
      <c r="M306" s="130">
        <f ca="1">M307+M308</f>
        <v>184200</v>
      </c>
      <c r="N306" s="130">
        <f ca="1">N307+N308</f>
        <v>117963.25</v>
      </c>
      <c r="O306" s="130">
        <f t="shared" ca="1" si="75"/>
        <v>64.040852334419114</v>
      </c>
      <c r="P306" s="130">
        <f t="shared" ca="1" si="76"/>
        <v>64.040852334419114</v>
      </c>
      <c r="Q306" s="130">
        <f ca="1">Q307+Q308</f>
        <v>144609.24</v>
      </c>
      <c r="R306" s="130">
        <f ca="1">R307+R308</f>
        <v>144609</v>
      </c>
      <c r="S306" s="130">
        <f ca="1">S307+S308</f>
        <v>26960</v>
      </c>
      <c r="T306" s="130">
        <f t="shared" ca="1" si="77"/>
        <v>18.643345335332654</v>
      </c>
      <c r="U306" s="130">
        <f t="shared" ca="1" si="78"/>
        <v>18.643376276718598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IFERROR(__xludf.DUMMYFUNCTION("IMPORTRANGE(""https://docs.google.com/spreadsheets/d/1-uDff_7J0KD5mKrp0Vvzr7lt3OU09vwQwhkpOPPYv2Y/edit?usp=sharing"",""งบพรบ!DY55"")"),184200)</f>
        <v>184200</v>
      </c>
      <c r="M308" s="130">
        <f ca="1">IFERROR(__xludf.DUMMYFUNCTION("IMPORTRANGE(""https://docs.google.com/spreadsheets/d/1-uDff_7J0KD5mKrp0Vvzr7lt3OU09vwQwhkpOPPYv2Y/edit?usp=sharing"",""งบพรบ!ED55"")"),184200)</f>
        <v>184200</v>
      </c>
      <c r="N308" s="130">
        <f ca="1">IFERROR(__xludf.DUMMYFUNCTION("IMPORTRANGE(""https://docs.google.com/spreadsheets/d/1-uDff_7J0KD5mKrp0Vvzr7lt3OU09vwQwhkpOPPYv2Y/edit?usp=sharing"",""งบพรบ!EF55"")"),117963.25)</f>
        <v>117963.25</v>
      </c>
      <c r="O308" s="130">
        <f t="shared" ca="1" si="75"/>
        <v>64.040852334419114</v>
      </c>
      <c r="P308" s="130">
        <f t="shared" ca="1" si="76"/>
        <v>64.040852334419114</v>
      </c>
      <c r="Q308" s="130">
        <f ca="1">IFERROR(__xludf.DUMMYFUNCTION("IMPORTRANGE(""https://docs.google.com/spreadsheets/d/1ItG2mGa2ceCfYo0BwxsXqNm01IGEUdYcSSLTEv9YCik/edit?usp=sharing"",""เบิกจ่ายกองทุน!BB55"")"),144609.24)</f>
        <v>144609.24</v>
      </c>
      <c r="R308" s="130">
        <f ca="1">IFERROR(__xludf.DUMMYFUNCTION("IMPORTRANGE(""https://docs.google.com/spreadsheets/d/1ItG2mGa2ceCfYo0BwxsXqNm01IGEUdYcSSLTEv9YCik/edit?usp=sharing"",""เบิกจ่ายกองทุน!BC55"")"),144609)</f>
        <v>144609</v>
      </c>
      <c r="S308" s="130">
        <f ca="1">IFERROR(__xludf.DUMMYFUNCTION("IMPORTRANGE(""https://docs.google.com/spreadsheets/d/1ItG2mGa2ceCfYo0BwxsXqNm01IGEUdYcSSLTEv9YCik/edit?usp=sharing"",""เบิกจ่ายกองทุน!BD55"")"),26960)</f>
        <v>26960</v>
      </c>
      <c r="T308" s="130">
        <f t="shared" ca="1" si="77"/>
        <v>18.643345335332654</v>
      </c>
      <c r="U308" s="130">
        <f t="shared" ca="1" si="78"/>
        <v>18.643376276718598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IFERROR(__xludf.DUMMYFUNCTION("IMPORTRANGE(""https://docs.google.com/spreadsheets/d/1-uDff_7J0KD5mKrp0Vvzr7lt3OU09vwQwhkpOPPYv2Y/edit?usp=sharing"",""งบพรบ!EB55"")"),0)</f>
        <v>0</v>
      </c>
      <c r="M311" s="130">
        <f ca="1">IFERROR(__xludf.DUMMYFUNCTION("IMPORTRANGE(""https://docs.google.com/spreadsheets/d/1-uDff_7J0KD5mKrp0Vvzr7lt3OU09vwQwhkpOPPYv2Y/edit?usp=sharing"",""งบพรบ!EE55"")"),0)</f>
        <v>0</v>
      </c>
      <c r="N311" s="130">
        <f ca="1">IFERROR(__xludf.DUMMYFUNCTION("IMPORTRANGE(""https://docs.google.com/spreadsheets/d/1-uDff_7J0KD5mKrp0Vvzr7lt3OU09vwQwhkpOPPYv2Y/edit?usp=sharing"",""งบพรบ!EG55"")"),0)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74"/>
      <c r="B312" s="275"/>
      <c r="C312" s="276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590"/>
      <c r="B313" s="571"/>
      <c r="C313" s="571"/>
      <c r="D313" s="1292"/>
      <c r="E313" s="591"/>
      <c r="F313" s="591"/>
      <c r="G313" s="592"/>
      <c r="H313" s="592"/>
      <c r="I313" s="573"/>
      <c r="J313" s="1289"/>
      <c r="K313" s="574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IFERROR(__xludf.DUMMYFUNCTION("IMPORTRANGE(""https://docs.google.com/spreadsheets/d/1eHaY18a8A9IcSdp1K8H6x8fbOy06t2VsZHhMHf-1x7Y/edit?usp=sharing"",""แผน!EF55"")"),20)</f>
        <v>20</v>
      </c>
      <c r="J314" s="292">
        <v>20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590"/>
      <c r="B315" s="571"/>
      <c r="C315" s="571"/>
      <c r="D315" s="1291"/>
      <c r="E315" s="591"/>
      <c r="F315" s="591"/>
      <c r="G315" s="592"/>
      <c r="H315" s="1290"/>
      <c r="I315" s="1289"/>
      <c r="J315" s="1289"/>
      <c r="K315" s="1288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590"/>
      <c r="B316" s="571"/>
      <c r="C316" s="571"/>
      <c r="D316" s="1291"/>
      <c r="E316" s="591"/>
      <c r="F316" s="591"/>
      <c r="G316" s="592"/>
      <c r="H316" s="1290"/>
      <c r="I316" s="1289"/>
      <c r="J316" s="1289"/>
      <c r="K316" s="1288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590"/>
      <c r="B317" s="571"/>
      <c r="C317" s="571"/>
      <c r="D317" s="415"/>
      <c r="E317" s="591"/>
      <c r="F317" s="591"/>
      <c r="G317" s="592"/>
      <c r="H317" s="1287"/>
      <c r="I317" s="420"/>
      <c r="J317" s="420"/>
      <c r="K317" s="42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0</v>
      </c>
      <c r="M320" s="213">
        <f ca="1">M321+M322</f>
        <v>0</v>
      </c>
      <c r="N320" s="213">
        <f ca="1">N321+N322</f>
        <v>0</v>
      </c>
      <c r="O320" s="213">
        <f t="shared" ref="O320:O328" ca="1" si="81">IF(L320&gt;0,N320*100/L320,0)</f>
        <v>0</v>
      </c>
      <c r="P320" s="213">
        <f t="shared" ref="P320:P328" ca="1" si="82">IF(M320&gt;0,N320*100/M320,0)</f>
        <v>0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t="shared" ca="1" si="85"/>
        <v>0</v>
      </c>
      <c r="M322" s="130">
        <f t="shared" ca="1" si="85"/>
        <v>0</v>
      </c>
      <c r="N322" s="130">
        <f t="shared" ca="1" si="85"/>
        <v>0</v>
      </c>
      <c r="O322" s="130">
        <f t="shared" ca="1" si="81"/>
        <v>0</v>
      </c>
      <c r="P322" s="130">
        <f t="shared" ca="1" si="82"/>
        <v>0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0</v>
      </c>
      <c r="M323" s="130">
        <f ca="1">M324+M325</f>
        <v>0</v>
      </c>
      <c r="N323" s="130">
        <f ca="1">N324+N325</f>
        <v>0</v>
      </c>
      <c r="O323" s="130">
        <f t="shared" ca="1" si="81"/>
        <v>0</v>
      </c>
      <c r="P323" s="130">
        <f t="shared" ca="1" si="82"/>
        <v>0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IFERROR(__xludf.DUMMYFUNCTION("IMPORTRANGE(""https://docs.google.com/spreadsheets/d/1-uDff_7J0KD5mKrp0Vvzr7lt3OU09vwQwhkpOPPYv2Y/edit?usp=sharing"",""งบพรบ!EI55"")"),0)</f>
        <v>0</v>
      </c>
      <c r="M325" s="130">
        <f ca="1">IFERROR(__xludf.DUMMYFUNCTION("IMPORTRANGE(""https://docs.google.com/spreadsheets/d/1-uDff_7J0KD5mKrp0Vvzr7lt3OU09vwQwhkpOPPYv2Y/edit?usp=sharing"",""งบพรบ!EN55"")"),0)</f>
        <v>0</v>
      </c>
      <c r="N325" s="130">
        <f ca="1">IFERROR(__xludf.DUMMYFUNCTION("IMPORTRANGE(""https://docs.google.com/spreadsheets/d/1-uDff_7J0KD5mKrp0Vvzr7lt3OU09vwQwhkpOPPYv2Y/edit?usp=sharing"",""งบพรบ!EP55"")"),0)</f>
        <v>0</v>
      </c>
      <c r="O325" s="130">
        <f t="shared" ca="1" si="81"/>
        <v>0</v>
      </c>
      <c r="P325" s="130">
        <f t="shared" ca="1" si="82"/>
        <v>0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t="shared" ca="1" si="81"/>
        <v>0</v>
      </c>
      <c r="P326" s="130">
        <f t="shared" ca="1" si="82"/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IFERROR(__xludf.DUMMYFUNCTION("IMPORTRANGE(""https://docs.google.com/spreadsheets/d/1-uDff_7J0KD5mKrp0Vvzr7lt3OU09vwQwhkpOPPYv2Y/edit?usp=sharing"",""งบพรบ!EL55"")"),0)</f>
        <v>0</v>
      </c>
      <c r="M328" s="130">
        <f ca="1">IFERROR(__xludf.DUMMYFUNCTION("IMPORTRANGE(""https://docs.google.com/spreadsheets/d/1-uDff_7J0KD5mKrp0Vvzr7lt3OU09vwQwhkpOPPYv2Y/edit?usp=sharing"",""งบพรบ!EO55"")"),0)</f>
        <v>0</v>
      </c>
      <c r="N328" s="130">
        <f ca="1">IFERROR(__xludf.DUMMYFUNCTION("IMPORTRANGE(""https://docs.google.com/spreadsheets/d/1-uDff_7J0KD5mKrp0Vvzr7lt3OU09vwQwhkpOPPYv2Y/edit?usp=sharing"",""งบพรบ!EQ55"")"),0)</f>
        <v>0</v>
      </c>
      <c r="O328" s="130">
        <f t="shared" ca="1" si="81"/>
        <v>0</v>
      </c>
      <c r="P328" s="130">
        <f t="shared" ca="1" si="82"/>
        <v>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IFERROR(__xludf.DUMMYFUNCTION("IMPORTRANGE(""https://docs.google.com/spreadsheets/d/1eHaY18a8A9IcSdp1K8H6x8fbOy06t2VsZHhMHf-1x7Y/edit?usp=sharing"",""แผน!EJ55"")"),0)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95">
        <f ca="1">I344</f>
        <v>2860</v>
      </c>
      <c r="J332" s="595">
        <f ca="1">J344+J347+J348+J349+J353+J354</f>
        <v>12785</v>
      </c>
      <c r="K332" s="589">
        <f ca="1">IF(I332&gt;0,J332*100/I332,0)</f>
        <v>447.02797202797206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257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610000</v>
      </c>
      <c r="M333" s="213">
        <f ca="1">M334+M335</f>
        <v>610000</v>
      </c>
      <c r="N333" s="213">
        <f ca="1">N334+N335</f>
        <v>427131.93</v>
      </c>
      <c r="O333" s="213">
        <f t="shared" ref="O333:O341" ca="1" si="87">IF(L333&gt;0,N333*100/L333,0)</f>
        <v>70.021627868852462</v>
      </c>
      <c r="P333" s="213">
        <f t="shared" ref="P333:P341" ca="1" si="88">IF(M333&gt;0,N333*100/M333,0)</f>
        <v>70.021627868852462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t="shared" ca="1" si="91"/>
        <v>610000</v>
      </c>
      <c r="M335" s="130">
        <f t="shared" ca="1" si="91"/>
        <v>610000</v>
      </c>
      <c r="N335" s="130">
        <f t="shared" ca="1" si="91"/>
        <v>427131.93</v>
      </c>
      <c r="O335" s="130">
        <f t="shared" ca="1" si="87"/>
        <v>70.021627868852462</v>
      </c>
      <c r="P335" s="130">
        <f t="shared" ca="1" si="88"/>
        <v>70.021627868852462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610000</v>
      </c>
      <c r="M336" s="130">
        <f ca="1">M337+M338</f>
        <v>610000</v>
      </c>
      <c r="N336" s="130">
        <f ca="1">N337+N338</f>
        <v>427131.93</v>
      </c>
      <c r="O336" s="130">
        <f t="shared" ca="1" si="87"/>
        <v>70.021627868852462</v>
      </c>
      <c r="P336" s="130">
        <f t="shared" ca="1" si="88"/>
        <v>70.021627868852462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IFERROR(__xludf.DUMMYFUNCTION("IMPORTRANGE(""https://docs.google.com/spreadsheets/d/1-uDff_7J0KD5mKrp0Vvzr7lt3OU09vwQwhkpOPPYv2Y/edit?usp=sharing"",""งบพรบ!ES55"")"),610000)</f>
        <v>610000</v>
      </c>
      <c r="M338" s="130">
        <f ca="1">IFERROR(__xludf.DUMMYFUNCTION("IMPORTRANGE(""https://docs.google.com/spreadsheets/d/1-uDff_7J0KD5mKrp0Vvzr7lt3OU09vwQwhkpOPPYv2Y/edit?usp=sharing"",""งบพรบ!EX55"")"),610000)</f>
        <v>610000</v>
      </c>
      <c r="N338" s="130">
        <f ca="1">IFERROR(__xludf.DUMMYFUNCTION("IMPORTRANGE(""https://docs.google.com/spreadsheets/d/1-uDff_7J0KD5mKrp0Vvzr7lt3OU09vwQwhkpOPPYv2Y/edit?usp=sharing"",""งบพรบ!EZ55"")"),427131.93)</f>
        <v>427131.93</v>
      </c>
      <c r="O338" s="130">
        <f t="shared" ca="1" si="87"/>
        <v>70.021627868852462</v>
      </c>
      <c r="P338" s="130">
        <f t="shared" ca="1" si="88"/>
        <v>70.021627868852462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IFERROR(__xludf.DUMMYFUNCTION("IMPORTRANGE(""https://docs.google.com/spreadsheets/d/1-uDff_7J0KD5mKrp0Vvzr7lt3OU09vwQwhkpOPPYv2Y/edit?usp=sharing"",""งบพรบ!EV55"")"),0)</f>
        <v>0</v>
      </c>
      <c r="M341" s="130">
        <f ca="1">IFERROR(__xludf.DUMMYFUNCTION("IMPORTRANGE(""https://docs.google.com/spreadsheets/d/1-uDff_7J0KD5mKrp0Vvzr7lt3OU09vwQwhkpOPPYv2Y/edit?usp=sharing"",""งบพรบ!EY55"")"),0)</f>
        <v>0</v>
      </c>
      <c r="N341" s="130">
        <f ca="1">IFERROR(__xludf.DUMMYFUNCTION("IMPORTRANGE(""https://docs.google.com/spreadsheets/d/1-uDff_7J0KD5mKrp0Vvzr7lt3OU09vwQwhkpOPPYv2Y/edit?usp=sharing"",""งบพรบ!FA55"")"),0)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74"/>
      <c r="B342" s="275"/>
      <c r="C342" s="276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1323"/>
      <c r="B343" s="1322"/>
      <c r="C343" s="370"/>
      <c r="D343" s="953"/>
      <c r="E343" s="1169" t="s">
        <v>137</v>
      </c>
      <c r="F343" s="1322"/>
      <c r="G343" s="1321"/>
      <c r="H343" s="537" t="s">
        <v>35</v>
      </c>
      <c r="I343" s="538">
        <v>0</v>
      </c>
      <c r="J343" s="538">
        <f ca="1">J344+J347+J348+J349</f>
        <v>5167</v>
      </c>
      <c r="K343" s="539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9"/>
      <c r="E344" s="289" t="s">
        <v>138</v>
      </c>
      <c r="F344" s="256"/>
      <c r="G344" s="259"/>
      <c r="H344" s="530" t="s">
        <v>35</v>
      </c>
      <c r="I344" s="291">
        <f ca="1">IFERROR(__xludf.DUMMYFUNCTION("IMPORTRANGE(""https://docs.google.com/spreadsheets/d/1eHaY18a8A9IcSdp1K8H6x8fbOy06t2VsZHhMHf-1x7Y/edit?usp=sharing"",""แผน!EK55"")"),2860)</f>
        <v>2860</v>
      </c>
      <c r="J344" s="291">
        <f ca="1">IFERROR(__xludf.DUMMYFUNCTION("IMPORTRANGE(""https://docs.google.com/spreadsheets/d/1awYsYK3VOup2i3Pq_Yjnu8DRu_mYwSBnCR2QPthd0rU/edit?usp=sharing"",""ศูนย์ยกเว้นโฉนด!D55"")"),5161)</f>
        <v>5161</v>
      </c>
      <c r="K344" s="72">
        <f ca="1">IF(I344&gt;0,J344*100/I344,0)</f>
        <v>180.45454545454547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9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9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IFERROR(__xludf.DUMMYFUNCTION("IMPORTRANGE(""https://docs.google.com/spreadsheets/d/1eHaY18a8A9IcSdp1K8H6x8fbOy06t2VsZHhMHf-1x7Y/edit?usp=sharing"",""แผน!EL55"")"),5)</f>
        <v>5</v>
      </c>
      <c r="J346" s="291">
        <f ca="1">IFERROR(__xludf.DUMMYFUNCTION("IMPORTRANGE(""https://docs.google.com/spreadsheets/d/1awYsYK3VOup2i3Pq_Yjnu8DRu_mYwSBnCR2QPthd0rU/edit?usp=sharing"",""ศูนย์รวม!E55"")"),5)</f>
        <v>5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9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IFERROR(__xludf.DUMMYFUNCTION("IMPORTRANGE(""https://docs.google.com/spreadsheets/d/1awYsYK3VOup2i3Pq_Yjnu8DRu_mYwSBnCR2QPthd0rU/edit?usp=sharing"",""ศูนย์ยกเว้นโฉนด!F55"")"),0)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9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IFERROR(__xludf.DUMMYFUNCTION("IMPORTRANGE(""https://docs.google.com/spreadsheets/d/1awYsYK3VOup2i3Pq_Yjnu8DRu_mYwSBnCR2QPthd0rU/edit?usp=sharing"",""ศูนย์ยกเว้นโฉนด!G55"")"),6)</f>
        <v>6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89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IFERROR(__xludf.DUMMYFUNCTION("IMPORTRANGE(""https://docs.google.com/spreadsheets/d/1awYsYK3VOup2i3Pq_Yjnu8DRu_mYwSBnCR2QPthd0rU/edit?usp=sharing"",""ศูนย์ยกเว้นโฉนด!H55"")"),0)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1323"/>
      <c r="B351" s="1322"/>
      <c r="C351" s="370"/>
      <c r="D351" s="953"/>
      <c r="E351" s="1169" t="s">
        <v>145</v>
      </c>
      <c r="F351" s="1322"/>
      <c r="G351" s="1321"/>
      <c r="H351" s="537" t="s">
        <v>35</v>
      </c>
      <c r="I351" s="538">
        <v>0</v>
      </c>
      <c r="J351" s="538">
        <f ca="1">J352+J353+J354</f>
        <v>7710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9"/>
      <c r="E352" s="289" t="s">
        <v>146</v>
      </c>
      <c r="F352" s="256"/>
      <c r="G352" s="259"/>
      <c r="H352" s="266" t="s">
        <v>35</v>
      </c>
      <c r="I352" s="261"/>
      <c r="J352" s="602">
        <f ca="1">IFERROR(__xludf.DUMMYFUNCTION("IMPORTRANGE(""https://docs.google.com/spreadsheets/d/1awYsYK3VOup2i3Pq_Yjnu8DRu_mYwSBnCR2QPthd0rU/edit?usp=sharing"",""โฉนดM3!G55"")"),92)</f>
        <v>92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9"/>
      <c r="E353" s="289" t="s">
        <v>147</v>
      </c>
      <c r="F353" s="256"/>
      <c r="G353" s="259"/>
      <c r="H353" s="266" t="s">
        <v>35</v>
      </c>
      <c r="I353" s="261"/>
      <c r="J353" s="602">
        <f ca="1">IFERROR(__xludf.DUMMYFUNCTION("IMPORTRANGE(""https://docs.google.com/spreadsheets/d/1awYsYK3VOup2i3Pq_Yjnu8DRu_mYwSBnCR2QPthd0rU/edit?usp=sharing"",""โฉนดM3!H55"")"),7381)</f>
        <v>7381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IFERROR(__xludf.DUMMYFUNCTION("IMPORTRANGE(""https://docs.google.com/spreadsheets/d/1awYsYK3VOup2i3Pq_Yjnu8DRu_mYwSBnCR2QPthd0rU/edit?usp=sharing"",""โฉนดM3!I55"")"),237)</f>
        <v>237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257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564250</v>
      </c>
      <c r="M356" s="213">
        <f ca="1">M357+M358</f>
        <v>648035</v>
      </c>
      <c r="N356" s="213">
        <f ca="1">N357+N358</f>
        <v>303247.93</v>
      </c>
      <c r="O356" s="213">
        <f t="shared" ref="O356:O364" ca="1" si="93">IF(L356&gt;0,N356*100/L356,0)</f>
        <v>53.743540983606557</v>
      </c>
      <c r="P356" s="213">
        <f t="shared" ref="P356:P364" ca="1" si="94">IF(M356&gt;0,N356*100/M356,0)</f>
        <v>46.794992554414499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t="shared" ca="1" si="97"/>
        <v>564250</v>
      </c>
      <c r="M358" s="130">
        <f t="shared" ca="1" si="97"/>
        <v>648035</v>
      </c>
      <c r="N358" s="130">
        <f t="shared" ca="1" si="97"/>
        <v>303247.93</v>
      </c>
      <c r="O358" s="130">
        <f t="shared" ca="1" si="93"/>
        <v>53.743540983606557</v>
      </c>
      <c r="P358" s="130">
        <f t="shared" ca="1" si="94"/>
        <v>46.794992554414499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564250</v>
      </c>
      <c r="M359" s="130">
        <f ca="1">M360+M361</f>
        <v>648035</v>
      </c>
      <c r="N359" s="130">
        <f ca="1">N360+N361</f>
        <v>303247.93</v>
      </c>
      <c r="O359" s="130">
        <f t="shared" ca="1" si="93"/>
        <v>53.743540983606557</v>
      </c>
      <c r="P359" s="130">
        <f t="shared" ca="1" si="94"/>
        <v>46.794992554414499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IFERROR(__xludf.DUMMYFUNCTION("IMPORTRANGE(""https://docs.google.com/spreadsheets/d/1-uDff_7J0KD5mKrp0Vvzr7lt3OU09vwQwhkpOPPYv2Y/edit?usp=sharing"",""งบพรบ!FC55"")"),564250)</f>
        <v>564250</v>
      </c>
      <c r="M361" s="130">
        <f ca="1">IFERROR(__xludf.DUMMYFUNCTION("IMPORTRANGE(""https://docs.google.com/spreadsheets/d/1-uDff_7J0KD5mKrp0Vvzr7lt3OU09vwQwhkpOPPYv2Y/edit?usp=sharing"",""งบพรบ!FH55"")"),648035)</f>
        <v>648035</v>
      </c>
      <c r="N361" s="130">
        <f ca="1">IFERROR(__xludf.DUMMYFUNCTION("IMPORTRANGE(""https://docs.google.com/spreadsheets/d/1-uDff_7J0KD5mKrp0Vvzr7lt3OU09vwQwhkpOPPYv2Y/edit?usp=sharing"",""งบพรบ!FJ55"")"),303247.93)</f>
        <v>303247.93</v>
      </c>
      <c r="O361" s="130">
        <f t="shared" ca="1" si="93"/>
        <v>53.743540983606557</v>
      </c>
      <c r="P361" s="130">
        <f t="shared" ca="1" si="94"/>
        <v>46.794992554414499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IFERROR(__xludf.DUMMYFUNCTION("IMPORTRANGE(""https://docs.google.com/spreadsheets/d/1-uDff_7J0KD5mKrp0Vvzr7lt3OU09vwQwhkpOPPYv2Y/edit?usp=sharing"",""งบพรบ!FF55"")"),0)</f>
        <v>0</v>
      </c>
      <c r="M364" s="130">
        <f ca="1">IFERROR(__xludf.DUMMYFUNCTION("IMPORTRANGE(""https://docs.google.com/spreadsheets/d/1-uDff_7J0KD5mKrp0Vvzr7lt3OU09vwQwhkpOPPYv2Y/edit?usp=sharing"",""งบพรบ!FI55"")"),0)</f>
        <v>0</v>
      </c>
      <c r="N364" s="130">
        <f ca="1">IFERROR(__xludf.DUMMYFUNCTION("IMPORTRANGE(""https://docs.google.com/spreadsheets/d/1-uDff_7J0KD5mKrp0Vvzr7lt3OU09vwQwhkpOPPYv2Y/edit?usp=sharing"",""งบพรบ!FK55"")"),0)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624</v>
      </c>
      <c r="J365" s="538">
        <f ca="1">J371</f>
        <v>284</v>
      </c>
      <c r="K365" s="539">
        <f ca="1">IF(I365&gt;0,J365*100/I365,0)</f>
        <v>45.512820512820511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276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IFERROR(__xludf.DUMMYFUNCTION("IMPORTRANGE(""https://docs.google.com/spreadsheets/d/1tdoBKaGub7dwA3U6UFTqxio9LNnvDCQjHKmttSEBsFQ/edit?usp=sharing"",""จัดที่ดิน!AB55"")"),307)</f>
        <v>307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IFERROR(__xludf.DUMMYFUNCTION("IMPORTRANGE(""https://docs.google.com/spreadsheets/d/1eHaY18a8A9IcSdp1K8H6x8fbOy06t2VsZHhMHf-1x7Y/edit?usp=sharing"",""แผน!EW55"")"),3200)</f>
        <v>3200</v>
      </c>
      <c r="J368" s="879">
        <f ca="1">IFERROR(__xludf.DUMMYFUNCTION("IMPORTRANGE(""https://docs.google.com/spreadsheets/d/1tdoBKaGub7dwA3U6UFTqxio9LNnvDCQjHKmttSEBsFQ/edit?usp=sharing"",""จัดที่ดิน!AC55"")"),4191.6)</f>
        <v>4191.6000000000004</v>
      </c>
      <c r="K368" s="72">
        <f t="shared" ca="1" si="99"/>
        <v>130.98750000000001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IFERROR(__xludf.DUMMYFUNCTION("IMPORTRANGE(""https://docs.google.com/spreadsheets/d/1eHaY18a8A9IcSdp1K8H6x8fbOy06t2VsZHhMHf-1x7Y/edit?usp=sharing"",""แผน!EX55"")"),624)</f>
        <v>624</v>
      </c>
      <c r="J369" s="291">
        <f ca="1">IFERROR(__xludf.DUMMYFUNCTION("IMPORTRANGE(""https://docs.google.com/spreadsheets/d/1tdoBKaGub7dwA3U6UFTqxio9LNnvDCQjHKmttSEBsFQ/edit?usp=sharing"",""จัดที่ดิน!AD55"")"),407)</f>
        <v>407</v>
      </c>
      <c r="K369" s="72">
        <f t="shared" ca="1" si="99"/>
        <v>65.224358974358978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IFERROR(__xludf.DUMMYFUNCTION("IMPORTRANGE(""https://docs.google.com/spreadsheets/d/1tdoBKaGub7dwA3U6UFTqxio9LNnvDCQjHKmttSEBsFQ/edit?usp=sharing"",""จัดที่ดิน!AE55"")"),6139.4)</f>
        <v>6139.4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IFERROR(__xludf.DUMMYFUNCTION("IMPORTRANGE(""https://docs.google.com/spreadsheets/d/1eHaY18a8A9IcSdp1K8H6x8fbOy06t2VsZHhMHf-1x7Y/edit?usp=sharing"",""แผน!EY55"")"),624)</f>
        <v>624</v>
      </c>
      <c r="J371" s="291">
        <f ca="1">IFERROR(__xludf.DUMMYFUNCTION("IMPORTRANGE(""https://docs.google.com/spreadsheets/d/1tdoBKaGub7dwA3U6UFTqxio9LNnvDCQjHKmttSEBsFQ/edit?usp=sharing"",""จัดที่ดิน!AF55"")"),284)</f>
        <v>284</v>
      </c>
      <c r="K371" s="72">
        <f t="shared" ca="1" si="99"/>
        <v>45.512820512820511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IFERROR(__xludf.DUMMYFUNCTION("IMPORTRANGE(""https://docs.google.com/spreadsheets/d/1tdoBKaGub7dwA3U6UFTqxio9LNnvDCQjHKmttSEBsFQ/edit?usp=sharing"",""จัดที่ดิน!AG55"")"),4742.05999999999)</f>
        <v>4742.0599999999904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328</v>
      </c>
      <c r="C374" s="558"/>
      <c r="D374" s="559"/>
      <c r="E374" s="560"/>
      <c r="F374" s="560"/>
      <c r="G374" s="561"/>
      <c r="H374" s="562" t="s">
        <v>46</v>
      </c>
      <c r="I374" s="1165">
        <f ca="1">I386+I388</f>
        <v>1000</v>
      </c>
      <c r="J374" s="1165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0</v>
      </c>
      <c r="M375" s="213">
        <f ca="1">M376+M377</f>
        <v>0</v>
      </c>
      <c r="N375" s="213">
        <f ca="1">N376+N377</f>
        <v>0</v>
      </c>
      <c r="O375" s="213">
        <f t="shared" ref="O375:O383" ca="1" si="100">IF(L375&gt;0,N375*100/L375,0)</f>
        <v>0</v>
      </c>
      <c r="P375" s="213">
        <f t="shared" ref="P375:P383" ca="1" si="101">IF(M375&gt;0,N375*100/M375,0)</f>
        <v>0</v>
      </c>
      <c r="Q375" s="213">
        <f ca="1">Q376+Q377</f>
        <v>62500</v>
      </c>
      <c r="R375" s="213">
        <f ca="1">R376+R377</f>
        <v>62500</v>
      </c>
      <c r="S375" s="213">
        <f ca="1">S376+S377</f>
        <v>9180</v>
      </c>
      <c r="T375" s="213">
        <f t="shared" ref="T375:T383" ca="1" si="102">IF(Q375&gt;0,S375*100/Q375,0)</f>
        <v>14.688000000000001</v>
      </c>
      <c r="U375" s="213">
        <f t="shared" ref="U375:U383" ca="1" si="103">IF(R375&gt;0,S375*100/R375,0)</f>
        <v>14.688000000000001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0</v>
      </c>
      <c r="M377" s="130">
        <f t="shared" ca="1" si="104"/>
        <v>0</v>
      </c>
      <c r="N377" s="130">
        <f t="shared" ca="1" si="104"/>
        <v>0</v>
      </c>
      <c r="O377" s="130">
        <f t="shared" ca="1" si="100"/>
        <v>0</v>
      </c>
      <c r="P377" s="130">
        <f t="shared" ca="1" si="101"/>
        <v>0</v>
      </c>
      <c r="Q377" s="130">
        <f t="shared" ca="1" si="105"/>
        <v>62500</v>
      </c>
      <c r="R377" s="130">
        <f t="shared" ca="1" si="105"/>
        <v>62500</v>
      </c>
      <c r="S377" s="130">
        <f t="shared" ca="1" si="105"/>
        <v>9180</v>
      </c>
      <c r="T377" s="130">
        <f t="shared" ca="1" si="102"/>
        <v>14.688000000000001</v>
      </c>
      <c r="U377" s="130">
        <f t="shared" ca="1" si="103"/>
        <v>14.688000000000001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0</v>
      </c>
      <c r="M378" s="130">
        <f ca="1">M379+M380</f>
        <v>0</v>
      </c>
      <c r="N378" s="130">
        <f ca="1">N379+N380</f>
        <v>0</v>
      </c>
      <c r="O378" s="130">
        <f t="shared" ca="1" si="100"/>
        <v>0</v>
      </c>
      <c r="P378" s="130">
        <f t="shared" ca="1" si="101"/>
        <v>0</v>
      </c>
      <c r="Q378" s="130">
        <f ca="1">Q379+Q380</f>
        <v>62500</v>
      </c>
      <c r="R378" s="130">
        <f ca="1">R379+R380</f>
        <v>62500</v>
      </c>
      <c r="S378" s="130">
        <f ca="1">S379+S380</f>
        <v>9180</v>
      </c>
      <c r="T378" s="130">
        <f t="shared" ca="1" si="102"/>
        <v>14.688000000000001</v>
      </c>
      <c r="U378" s="130">
        <f t="shared" ca="1" si="103"/>
        <v>14.688000000000001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IFERROR(__xludf.DUMMYFUNCTION("IMPORTRANGE(""https://docs.google.com/spreadsheets/d/1-uDff_7J0KD5mKrp0Vvzr7lt3OU09vwQwhkpOPPYv2Y/edit?usp=sharing"",""งบพรบ!IE55"")"),0)</f>
        <v>0</v>
      </c>
      <c r="M380" s="72">
        <f ca="1">IFERROR(__xludf.DUMMYFUNCTION("IMPORTRANGE(""https://docs.google.com/spreadsheets/d/1-uDff_7J0KD5mKrp0Vvzr7lt3OU09vwQwhkpOPPYv2Y/edit?usp=sharing"",""งบพรบ!IJ55"")"),0)</f>
        <v>0</v>
      </c>
      <c r="N380" s="72">
        <f ca="1">IFERROR(__xludf.DUMMYFUNCTION("IMPORTRANGE(""https://docs.google.com/spreadsheets/d/1-uDff_7J0KD5mKrp0Vvzr7lt3OU09vwQwhkpOPPYv2Y/edit?usp=sharing"",""งบพรบ!IL55"")"),0)</f>
        <v>0</v>
      </c>
      <c r="O380" s="130">
        <f t="shared" ca="1" si="100"/>
        <v>0</v>
      </c>
      <c r="P380" s="130">
        <f t="shared" ca="1" si="101"/>
        <v>0</v>
      </c>
      <c r="Q380" s="130">
        <f ca="1">IFERROR(__xludf.DUMMYFUNCTION("IMPORTRANGE(""https://docs.google.com/spreadsheets/d/1ItG2mGa2ceCfYo0BwxsXqNm01IGEUdYcSSLTEv9YCik/edit?usp=sharing"",""เบิกจ่ายกองทุน!BW55"")"),62500)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IFERROR(__xludf.DUMMYFUNCTION("IMPORTRANGE(""https://docs.google.com/spreadsheets/d/1ItG2mGa2ceCfYo0BwxsXqNm01IGEUdYcSSLTEv9YCik/edit?usp=sharing"",""เบิกจ่ายกองทุน!BX55"")"),62500)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IFERROR(__xludf.DUMMYFUNCTION("IMPORTRANGE(""https://docs.google.com/spreadsheets/d/1ItG2mGa2ceCfYo0BwxsXqNm01IGEUdYcSSLTEv9YCik/edit?usp=sharing"",""เบิกจ่ายกองทุน!BY55"")"),9180)</f>
        <v>9180</v>
      </c>
      <c r="T380" s="130">
        <f t="shared" ca="1" si="102"/>
        <v>14.688000000000001</v>
      </c>
      <c r="U380" s="130">
        <f t="shared" ca="1" si="103"/>
        <v>14.688000000000001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IFERROR(__xludf.DUMMYFUNCTION("IMPORTRANGE(""https://docs.google.com/spreadsheets/d/1-uDff_7J0KD5mKrp0Vvzr7lt3OU09vwQwhkpOPPYv2Y/edit?usp=sharing"",""งบพรบ!IH55"")"),0)</f>
        <v>0</v>
      </c>
      <c r="M383" s="72">
        <f ca="1">IFERROR(__xludf.DUMMYFUNCTION("IMPORTRANGE(""https://docs.google.com/spreadsheets/d/1-uDff_7J0KD5mKrp0Vvzr7lt3OU09vwQwhkpOPPYv2Y/edit?usp=sharing"",""งบพรบ!IK55"")"),0)</f>
        <v>0</v>
      </c>
      <c r="N383" s="72">
        <f ca="1">IFERROR(__xludf.DUMMYFUNCTION("IMPORTRANGE(""https://docs.google.com/spreadsheets/d/1-uDff_7J0KD5mKrp0Vvzr7lt3OU09vwQwhkpOPPYv2Y/edit?usp=sharing"",""งบพรบ!IM55"")"),0)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364"/>
      <c r="B385" s="367"/>
      <c r="C385" s="367"/>
      <c r="D385" s="367"/>
      <c r="E385" s="73" t="s">
        <v>155</v>
      </c>
      <c r="F385" s="65"/>
      <c r="G385" s="67"/>
      <c r="H385" s="214" t="s">
        <v>34</v>
      </c>
      <c r="I385" s="1091">
        <v>0</v>
      </c>
      <c r="J385" s="1091">
        <f ca="1">IFERROR(__xludf.DUMMYFUNCTION("IMPORTRANGE(""https://docs.google.com/spreadsheets/d/1w5rwWK1o49a35cNtocGL0gxDwhFSTZUQu90BiH9_zqM/edit?usp=sharing"",""RTK!H55"")"),0)</f>
        <v>0</v>
      </c>
      <c r="K385" s="684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364"/>
      <c r="B386" s="367"/>
      <c r="C386" s="367"/>
      <c r="D386" s="367"/>
      <c r="E386" s="367"/>
      <c r="F386" s="367"/>
      <c r="G386" s="795"/>
      <c r="H386" s="214" t="s">
        <v>46</v>
      </c>
      <c r="I386" s="1091">
        <f ca="1">IFERROR(__xludf.DUMMYFUNCTION("IMPORTRANGE(""https://docs.google.com/spreadsheets/d/1w5rwWK1o49a35cNtocGL0gxDwhFSTZUQu90BiH9_zqM/edit?usp=sharing"",""RTK!G55"")"),1000)</f>
        <v>1000</v>
      </c>
      <c r="J386" s="1091">
        <f ca="1">IFERROR(__xludf.DUMMYFUNCTION("IMPORTRANGE(""https://docs.google.com/spreadsheets/d/1w5rwWK1o49a35cNtocGL0gxDwhFSTZUQu90BiH9_zqM/edit?usp=sharing"",""RTK!I55"")"),0)</f>
        <v>0</v>
      </c>
      <c r="K386" s="684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1091">
        <v>0</v>
      </c>
      <c r="J387" s="1091">
        <f ca="1">IFERROR(__xludf.DUMMYFUNCTION("IMPORTRANGE(""https://docs.google.com/spreadsheets/d/1w5rwWK1o49a35cNtocGL0gxDwhFSTZUQu90BiH9_zqM/edit?usp=sharing"",""RTK!L55"")"),0)</f>
        <v>0</v>
      </c>
      <c r="K387" s="684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1091">
        <f ca="1">IFERROR(__xludf.DUMMYFUNCTION("IMPORTRANGE(""https://docs.google.com/spreadsheets/d/1w5rwWK1o49a35cNtocGL0gxDwhFSTZUQu90BiH9_zqM/edit?usp=sharing"",""RTK!K55"")"),0)</f>
        <v>0</v>
      </c>
      <c r="J388" s="1091">
        <f ca="1">IFERROR(__xludf.DUMMYFUNCTION("IMPORTRANGE(""https://docs.google.com/spreadsheets/d/1w5rwWK1o49a35cNtocGL0gxDwhFSTZUQu90BiH9_zqM/edit?usp=sharing"",""RTK!M55"")"),0)</f>
        <v>0</v>
      </c>
      <c r="K388" s="684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327</v>
      </c>
      <c r="C391" s="583"/>
      <c r="D391" s="584"/>
      <c r="E391" s="585"/>
      <c r="F391" s="585"/>
      <c r="G391" s="586"/>
      <c r="H391" s="587" t="s">
        <v>61</v>
      </c>
      <c r="I391" s="588">
        <f>I402</f>
        <v>0</v>
      </c>
      <c r="J391" s="588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IFERROR(__xludf.DUMMYFUNCTION("IMPORTRANGE(""https://docs.google.com/spreadsheets/d/1ItG2mGa2ceCfYo0BwxsXqNm01IGEUdYcSSLTEv9YCik/edit?usp=sharing"",""เบิกจ่ายกองทุน!CL55"")"),0)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IFERROR(__xludf.DUMMYFUNCTION("IMPORTRANGE(""https://docs.google.com/spreadsheets/d/1ItG2mGa2ceCfYo0BwxsXqNm01IGEUdYcSSLTEv9YCik/edit?usp=sharing"",""เบิกจ่ายกองทุน!CM55"")"),0)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IFERROR(__xludf.DUMMYFUNCTION("IMPORTRANGE(""https://docs.google.com/spreadsheets/d/1ItG2mGa2ceCfYo0BwxsXqNm01IGEUdYcSSLTEv9YCik/edit?usp=sharing"",""เบิกจ่ายกองทุน!CN55"")"),0)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326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596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212">
        <f ca="1">L414+L415</f>
        <v>206720</v>
      </c>
      <c r="M413" s="213">
        <f ca="1">M414+M415</f>
        <v>206720</v>
      </c>
      <c r="N413" s="213">
        <f ca="1">N414+N415</f>
        <v>23399.82</v>
      </c>
      <c r="O413" s="213">
        <f t="shared" ref="O413:O421" ca="1" si="112">IF(L413&gt;0,N413*100/L413,0)</f>
        <v>11.319572368421053</v>
      </c>
      <c r="P413" s="213">
        <f t="shared" ref="P413:P421" ca="1" si="113">IF(M413&gt;0,N413*100/M413,0)</f>
        <v>11.319572368421053</v>
      </c>
      <c r="Q413" s="213">
        <f ca="1">Q414+Q415</f>
        <v>18990</v>
      </c>
      <c r="R413" s="213">
        <f ca="1">R414+R415</f>
        <v>18990</v>
      </c>
      <c r="S413" s="213">
        <f ca="1">S414+S415</f>
        <v>0</v>
      </c>
      <c r="T413" s="213">
        <f t="shared" ref="T413:T421" ca="1" si="114">IF(Q413&gt;0,S413*100/Q413,0)</f>
        <v>0</v>
      </c>
      <c r="U413" s="213">
        <f t="shared" ref="U413:U421" ca="1" si="115">IF(R413&gt;0,S413*100/R413,0)</f>
        <v>0</v>
      </c>
    </row>
    <row r="414" spans="1:21" ht="18.75" hidden="1" x14ac:dyDescent="0.25">
      <c r="A414" s="1320"/>
      <c r="B414" s="425"/>
      <c r="C414" s="425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206720</v>
      </c>
      <c r="M415" s="130">
        <f t="shared" ca="1" si="116"/>
        <v>206720</v>
      </c>
      <c r="N415" s="130">
        <f t="shared" ca="1" si="116"/>
        <v>23399.82</v>
      </c>
      <c r="O415" s="130">
        <f t="shared" ca="1" si="112"/>
        <v>11.319572368421053</v>
      </c>
      <c r="P415" s="130">
        <f t="shared" ca="1" si="113"/>
        <v>11.319572368421053</v>
      </c>
      <c r="Q415" s="130">
        <f t="shared" ca="1" si="117"/>
        <v>18990</v>
      </c>
      <c r="R415" s="130">
        <f t="shared" ca="1" si="117"/>
        <v>18990</v>
      </c>
      <c r="S415" s="130">
        <f t="shared" ca="1" si="117"/>
        <v>0</v>
      </c>
      <c r="T415" s="130">
        <f t="shared" ca="1" si="114"/>
        <v>0</v>
      </c>
      <c r="U415" s="130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129">
        <f ca="1">L417+L418</f>
        <v>206720</v>
      </c>
      <c r="M416" s="130">
        <f ca="1">M417+M418</f>
        <v>206720</v>
      </c>
      <c r="N416" s="130">
        <f ca="1">N417+N418</f>
        <v>23399.82</v>
      </c>
      <c r="O416" s="130">
        <f t="shared" ca="1" si="112"/>
        <v>11.319572368421053</v>
      </c>
      <c r="P416" s="130">
        <f t="shared" ca="1" si="113"/>
        <v>11.319572368421053</v>
      </c>
      <c r="Q416" s="130">
        <f ca="1">Q417+Q418</f>
        <v>18990</v>
      </c>
      <c r="R416" s="130">
        <f ca="1">R417+R418</f>
        <v>18990</v>
      </c>
      <c r="S416" s="130">
        <f ca="1">S417+S418</f>
        <v>0</v>
      </c>
      <c r="T416" s="130">
        <f t="shared" ca="1" si="114"/>
        <v>0</v>
      </c>
      <c r="U416" s="130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IFERROR(__xludf.DUMMYFUNCTION("IMPORTRANGE(""https://docs.google.com/spreadsheets/d/1-uDff_7J0KD5mKrp0Vvzr7lt3OU09vwQwhkpOPPYv2Y/edit?usp=sharing"",""งบพรบ!IO55"")"),206720)</f>
        <v>206720</v>
      </c>
      <c r="M418" s="72">
        <f ca="1">IFERROR(__xludf.DUMMYFUNCTION("IMPORTRANGE(""https://docs.google.com/spreadsheets/d/1-uDff_7J0KD5mKrp0Vvzr7lt3OU09vwQwhkpOPPYv2Y/edit?usp=sharing"",""งบพรบ!IT55"")"),206720)</f>
        <v>206720</v>
      </c>
      <c r="N418" s="72">
        <f ca="1">IFERROR(__xludf.DUMMYFUNCTION("IMPORTRANGE(""https://docs.google.com/spreadsheets/d/1-uDff_7J0KD5mKrp0Vvzr7lt3OU09vwQwhkpOPPYv2Y/edit?usp=sharing"",""งบพรบ!IV55"")"),23399.82)</f>
        <v>23399.82</v>
      </c>
      <c r="O418" s="130">
        <f t="shared" ca="1" si="112"/>
        <v>11.319572368421053</v>
      </c>
      <c r="P418" s="130">
        <f t="shared" ca="1" si="113"/>
        <v>11.319572368421053</v>
      </c>
      <c r="Q418" s="130">
        <f ca="1">IFERROR(__xludf.DUMMYFUNCTION("IMPORTRANGE(""https://docs.google.com/spreadsheets/d/1ItG2mGa2ceCfYo0BwxsXqNm01IGEUdYcSSLTEv9YCik/edit?usp=sharing"",""เบิกจ่ายกองทุน!BZ55"")"),18990)</f>
        <v>18990</v>
      </c>
      <c r="R418" s="130">
        <f ca="1">IFERROR(__xludf.DUMMYFUNCTION("IMPORTRANGE(""https://docs.google.com/spreadsheets/d/1ItG2mGa2ceCfYo0BwxsXqNm01IGEUdYcSSLTEv9YCik/edit?usp=sharing"",""เบิกจ่ายกองทุน!CA55"")"),18990)</f>
        <v>18990</v>
      </c>
      <c r="S418" s="130">
        <f ca="1">IFERROR(__xludf.DUMMYFUNCTION("IMPORTRANGE(""https://docs.google.com/spreadsheets/d/1ItG2mGa2ceCfYo0BwxsXqNm01IGEUdYcSSLTEv9YCik/edit?usp=sharing"",""เบิกจ่ายกองทุน!CB55"")"),0)</f>
        <v>0</v>
      </c>
      <c r="T418" s="130">
        <f t="shared" ca="1" si="114"/>
        <v>0</v>
      </c>
      <c r="U418" s="130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IFERROR(__xludf.DUMMYFUNCTION("IMPORTRANGE(""https://docs.google.com/spreadsheets/d/1-uDff_7J0KD5mKrp0Vvzr7lt3OU09vwQwhkpOPPYv2Y/edit?usp=sharing"",""งบพรบ!IR55"")"),0)</f>
        <v>0</v>
      </c>
      <c r="M421" s="72">
        <f ca="1">IFERROR(__xludf.DUMMYFUNCTION("IMPORTRANGE(""https://docs.google.com/spreadsheets/d/1-uDff_7J0KD5mKrp0Vvzr7lt3OU09vwQwhkpOPPYv2Y/edit?usp=sharing"",""งบพรบ!IU55"")"),0)</f>
        <v>0</v>
      </c>
      <c r="N421" s="72">
        <f ca="1">IFERROR(__xludf.DUMMYFUNCTION("IMPORTRANGE(""https://docs.google.com/spreadsheets/d/1-uDff_7J0KD5mKrp0Vvzr7lt3OU09vwQwhkpOPPYv2Y/edit?usp=sharing"",""งบพรบ!IW55"")"),0)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IFERROR(__xludf.DUMMYFUNCTION("IMPORTRANGE(""https://docs.google.com/spreadsheets/d/1eHaY18a8A9IcSdp1K8H6x8fbOy06t2VsZHhMHf-1x7Y/edit?usp=sharing"",""แผน!HJ55"")"),0)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IFERROR(__xludf.DUMMYFUNCTION("IMPORTRANGE(""https://docs.google.com/spreadsheets/d/1eHaY18a8A9IcSdp1K8H6x8fbOy06t2VsZHhMHf-1x7Y/edit?usp=sharing"",""แผน!HK55"")"),0)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IFERROR(__xludf.DUMMYFUNCTION("IMPORTRANGE(""https://docs.google.com/spreadsheets/d/1eHaY18a8A9IcSdp1K8H6x8fbOy06t2VsZHhMHf-1x7Y/edit?usp=sharing"",""แผน!HJ55"")"),0)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IFERROR(__xludf.DUMMYFUNCTION("IMPORTRANGE(""https://docs.google.com/spreadsheets/d/1eHaY18a8A9IcSdp1K8H6x8fbOy06t2VsZHhMHf-1x7Y/edit?usp=sharing"",""แผน!HK55"")"),0)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IFERROR(__xludf.DUMMYFUNCTION("IMPORTRANGE(""https://docs.google.com/spreadsheets/d/1eHaY18a8A9IcSdp1K8H6x8fbOy06t2VsZHhMHf-1x7Y/edit?usp=sharing"",""แผน!HJ55"")"),0)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IFERROR(__xludf.DUMMYFUNCTION("IMPORTRANGE(""https://docs.google.com/spreadsheets/d/1eHaY18a8A9IcSdp1K8H6x8fbOy06t2VsZHhMHf-1x7Y/edit?usp=sharing"",""แผน!HK55"")"),0)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552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IFERROR(__xludf.DUMMYFUNCTION("IMPORTRANGE(""https://docs.google.com/spreadsheets/d/1eHaY18a8A9IcSdp1K8H6x8fbOy06t2VsZHhMHf-1x7Y/edit?usp=sharing"",""แผน!HL55"")"),552)</f>
        <v>552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IFERROR(__xludf.DUMMYFUNCTION("IMPORTRANGE(""https://docs.google.com/spreadsheets/d/1eHaY18a8A9IcSdp1K8H6x8fbOy06t2VsZHhMHf-1x7Y/edit?usp=sharing"",""แผน!HM55"")"),0)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335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212">
        <f ca="1">L494+L495</f>
        <v>0</v>
      </c>
      <c r="M493" s="213">
        <f ca="1">M494+M495</f>
        <v>0</v>
      </c>
      <c r="N493" s="213">
        <f ca="1">N494+N495</f>
        <v>0</v>
      </c>
      <c r="O493" s="213">
        <f t="shared" ref="O493:O501" ca="1" si="118">IF(L493&gt;0,N493*100/L493,0)</f>
        <v>0</v>
      </c>
      <c r="P493" s="213">
        <f t="shared" ref="P493:P501" ca="1" si="119">IF(M493&gt;0,N493*100/M493,0)</f>
        <v>0</v>
      </c>
      <c r="Q493" s="213">
        <f ca="1">Q494+Q495</f>
        <v>0</v>
      </c>
      <c r="R493" s="213">
        <f ca="1">R494+R495</f>
        <v>0</v>
      </c>
      <c r="S493" s="213">
        <f ca="1">S494+S495</f>
        <v>0</v>
      </c>
      <c r="T493" s="213">
        <f t="shared" ref="T493:T501" ca="1" si="120">IF(Q493&gt;0,S493*100/Q493,0)</f>
        <v>0</v>
      </c>
      <c r="U493" s="213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0</v>
      </c>
      <c r="M495" s="130">
        <f t="shared" ca="1" si="122"/>
        <v>0</v>
      </c>
      <c r="N495" s="130">
        <f t="shared" ca="1" si="122"/>
        <v>0</v>
      </c>
      <c r="O495" s="130">
        <f t="shared" ca="1" si="118"/>
        <v>0</v>
      </c>
      <c r="P495" s="130">
        <f t="shared" ca="1" si="119"/>
        <v>0</v>
      </c>
      <c r="Q495" s="130">
        <f t="shared" ca="1" si="123"/>
        <v>0</v>
      </c>
      <c r="R495" s="130">
        <f t="shared" ca="1" si="123"/>
        <v>0</v>
      </c>
      <c r="S495" s="130">
        <f t="shared" ca="1" si="123"/>
        <v>0</v>
      </c>
      <c r="T495" s="130">
        <f t="shared" ca="1" si="120"/>
        <v>0</v>
      </c>
      <c r="U495" s="130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0</v>
      </c>
      <c r="M496" s="130">
        <f ca="1">M497+M498</f>
        <v>0</v>
      </c>
      <c r="N496" s="130">
        <f ca="1">N497+N498</f>
        <v>0</v>
      </c>
      <c r="O496" s="130">
        <f t="shared" ca="1" si="118"/>
        <v>0</v>
      </c>
      <c r="P496" s="130">
        <f t="shared" ca="1" si="119"/>
        <v>0</v>
      </c>
      <c r="Q496" s="130">
        <f ca="1">Q497+Q498</f>
        <v>0</v>
      </c>
      <c r="R496" s="130">
        <f ca="1">R497+R498</f>
        <v>0</v>
      </c>
      <c r="S496" s="130">
        <f ca="1">S497+S498</f>
        <v>0</v>
      </c>
      <c r="T496" s="130">
        <f t="shared" ca="1" si="120"/>
        <v>0</v>
      </c>
      <c r="U496" s="130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IFERROR(__xludf.DUMMYFUNCTION("IMPORTRANGE(""https://docs.google.com/spreadsheets/d/1-uDff_7J0KD5mKrp0Vvzr7lt3OU09vwQwhkpOPPYv2Y/edit?usp=sharing"",""งบพรบ!HU55"")"),0)</f>
        <v>0</v>
      </c>
      <c r="M498" s="72">
        <f ca="1">IFERROR(__xludf.DUMMYFUNCTION("IMPORTRANGE(""https://docs.google.com/spreadsheets/d/1-uDff_7J0KD5mKrp0Vvzr7lt3OU09vwQwhkpOPPYv2Y/edit?usp=sharing"",""งบพรบ!HZ55"")"),0)</f>
        <v>0</v>
      </c>
      <c r="N498" s="72">
        <f ca="1">IFERROR(__xludf.DUMMYFUNCTION("IMPORTRANGE(""https://docs.google.com/spreadsheets/d/1-uDff_7J0KD5mKrp0Vvzr7lt3OU09vwQwhkpOPPYv2Y/edit?usp=sharing"",""งบพรบ!IB55"")"),0)</f>
        <v>0</v>
      </c>
      <c r="O498" s="130">
        <f t="shared" ca="1" si="118"/>
        <v>0</v>
      </c>
      <c r="P498" s="130">
        <f t="shared" ca="1" si="119"/>
        <v>0</v>
      </c>
      <c r="Q498" s="130">
        <f ca="1">IFERROR(__xludf.DUMMYFUNCTION("IMPORTRANGE(""https://docs.google.com/spreadsheets/d/1ItG2mGa2ceCfYo0BwxsXqNm01IGEUdYcSSLTEv9YCik/edit?usp=sharing"",""เบิกจ่ายกองทุน!AD55"")"),0)</f>
        <v>0</v>
      </c>
      <c r="R498" s="130">
        <f ca="1">IFERROR(__xludf.DUMMYFUNCTION("IMPORTRANGE(""https://docs.google.com/spreadsheets/d/1ItG2mGa2ceCfYo0BwxsXqNm01IGEUdYcSSLTEv9YCik/edit?usp=sharing"",""เบิกจ่ายกองทุน!AE55"")"),0)</f>
        <v>0</v>
      </c>
      <c r="S498" s="130">
        <f ca="1">IFERROR(__xludf.DUMMYFUNCTION("IMPORTRANGE(""https://docs.google.com/spreadsheets/d/1ItG2mGa2ceCfYo0BwxsXqNm01IGEUdYcSSLTEv9YCik/edit?usp=sharing"",""เบิกจ่ายกองทุน!AF55"")"),0)</f>
        <v>0</v>
      </c>
      <c r="T498" s="130">
        <f t="shared" ca="1" si="120"/>
        <v>0</v>
      </c>
      <c r="U498" s="130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IFERROR(__xludf.DUMMYFUNCTION("IMPORTRANGE(""https://docs.google.com/spreadsheets/d/1-uDff_7J0KD5mKrp0Vvzr7lt3OU09vwQwhkpOPPYv2Y/edit?usp=sharing"",""งบพรบ!HX55"")"),0)</f>
        <v>0</v>
      </c>
      <c r="M501" s="72">
        <f ca="1">IFERROR(__xludf.DUMMYFUNCTION("IMPORTRANGE(""https://docs.google.com/spreadsheets/d/1-uDff_7J0KD5mKrp0Vvzr7lt3OU09vwQwhkpOPPYv2Y/edit?usp=sharing"",""งบพรบ!IA55"")"),0)</f>
        <v>0</v>
      </c>
      <c r="N501" s="72">
        <f ca="1">IFERROR(__xludf.DUMMYFUNCTION("IMPORTRANGE(""https://docs.google.com/spreadsheets/d/1-uDff_7J0KD5mKrp0Vvzr7lt3OU09vwQwhkpOPPYv2Y/edit?usp=sharing"",""งบพรบ!IC55"")"),0)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IFERROR(__xludf.DUMMYFUNCTION("IMPORTRANGE(""https://docs.google.com/spreadsheets/d/1eHaY18a8A9IcSdp1K8H6x8fbOy06t2VsZHhMHf-1x7Y/edit?usp=sharing"",""แผน!GX55"")"),0)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IFERROR(__xludf.DUMMYFUNCTION("IMPORTRANGE(""https://docs.google.com/spreadsheets/d/1eHaY18a8A9IcSdp1K8H6x8fbOy06t2VsZHhMHf-1x7Y/edit?usp=sharing"",""แผน!GY55"")"),0)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IFERROR(__xludf.DUMMYFUNCTION("IMPORTRANGE(""https://docs.google.com/spreadsheets/d/1eHaY18a8A9IcSdp1K8H6x8fbOy06t2VsZHhMHf-1x7Y/edit?usp=sharing"",""แผน!GZ55"")"),0)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IFERROR(__xludf.DUMMYFUNCTION("IMPORTRANGE(""https://docs.google.com/spreadsheets/d/1eHaY18a8A9IcSdp1K8H6x8fbOy06t2VsZHhMHf-1x7Y/edit?usp=sharing"",""แผน!HA55"")"),0)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IFERROR(__xludf.DUMMYFUNCTION("IMPORTRANGE(""https://docs.google.com/spreadsheets/d/1eHaY18a8A9IcSdp1K8H6x8fbOy06t2VsZHhMHf-1x7Y/edit?usp=sharing"",""แผน!HB55"")"),0)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IFERROR(__xludf.DUMMYFUNCTION("IMPORTRANGE(""https://docs.google.com/spreadsheets/d/1eHaY18a8A9IcSdp1K8H6x8fbOy06t2VsZHhMHf-1x7Y/edit?usp=sharing"",""แผน!HC55"")"),0)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x14ac:dyDescent="0.3">
      <c r="A510" s="1098" t="s">
        <v>206</v>
      </c>
      <c r="B510" s="1097"/>
      <c r="C510" s="1097"/>
      <c r="D510" s="1097"/>
      <c r="E510" s="1096"/>
      <c r="F510" s="1096"/>
      <c r="G510" s="1096"/>
      <c r="H510" s="1097"/>
      <c r="I510" s="1095"/>
      <c r="J510" s="1095"/>
      <c r="K510" s="1094"/>
      <c r="L510" s="1093"/>
      <c r="M510" s="1092"/>
      <c r="N510" s="1092"/>
      <c r="O510" s="1092"/>
      <c r="P510" s="1092"/>
      <c r="Q510" s="1092"/>
      <c r="R510" s="1092"/>
      <c r="S510" s="1092"/>
      <c r="T510" s="1092"/>
      <c r="U510" s="1092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t="shared" ref="O513:O521" ca="1" si="125">IF(L513&gt;0,N513*100/L513,0)</f>
        <v>0</v>
      </c>
      <c r="P513" s="213">
        <f t="shared" ref="P513:P521" ca="1" si="126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 t="shared" ref="T513:T521" si="127">IF(Q513&gt;0,S513*100/Q513,0)</f>
        <v>0</v>
      </c>
      <c r="U513" s="213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 t="shared" ref="L514:N515" si="129">L517+L520</f>
        <v>0</v>
      </c>
      <c r="M514" s="131">
        <f t="shared" si="129"/>
        <v>0</v>
      </c>
      <c r="N514" s="131">
        <f t="shared" si="129"/>
        <v>0</v>
      </c>
      <c r="O514" s="131">
        <f t="shared" si="125"/>
        <v>0</v>
      </c>
      <c r="P514" s="131">
        <f t="shared" si="126"/>
        <v>0</v>
      </c>
      <c r="Q514" s="131">
        <f t="shared" ref="Q514:S515" si="130">Q517+Q520</f>
        <v>0</v>
      </c>
      <c r="R514" s="131">
        <f t="shared" si="130"/>
        <v>0</v>
      </c>
      <c r="S514" s="131">
        <f t="shared" si="130"/>
        <v>0</v>
      </c>
      <c r="T514" s="131">
        <f t="shared" si="127"/>
        <v>0</v>
      </c>
      <c r="U514" s="131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129">
        <f t="shared" ca="1" si="129"/>
        <v>0</v>
      </c>
      <c r="M515" s="130">
        <f t="shared" ca="1" si="129"/>
        <v>0</v>
      </c>
      <c r="N515" s="130">
        <f t="shared" ca="1" si="129"/>
        <v>0</v>
      </c>
      <c r="O515" s="130">
        <f t="shared" ca="1" si="125"/>
        <v>0</v>
      </c>
      <c r="P515" s="130">
        <f t="shared" ca="1" si="126"/>
        <v>0</v>
      </c>
      <c r="Q515" s="130">
        <f t="shared" si="130"/>
        <v>0</v>
      </c>
      <c r="R515" s="130">
        <f t="shared" si="130"/>
        <v>0</v>
      </c>
      <c r="S515" s="130">
        <f t="shared" si="130"/>
        <v>0</v>
      </c>
      <c r="T515" s="130">
        <f t="shared" si="127"/>
        <v>0</v>
      </c>
      <c r="U515" s="130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t="shared" ca="1" si="125"/>
        <v>0</v>
      </c>
      <c r="P516" s="130">
        <f t="shared" ca="1" si="126"/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 t="shared" si="127"/>
        <v>0</v>
      </c>
      <c r="U516" s="130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 t="shared" si="125"/>
        <v>0</v>
      </c>
      <c r="P517" s="131">
        <f t="shared" si="126"/>
        <v>0</v>
      </c>
      <c r="Q517" s="75">
        <v>0</v>
      </c>
      <c r="R517" s="75">
        <v>0</v>
      </c>
      <c r="S517" s="75">
        <v>0</v>
      </c>
      <c r="T517" s="131">
        <f t="shared" si="127"/>
        <v>0</v>
      </c>
      <c r="U517" s="131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IFERROR(__xludf.DUMMYFUNCTION("IMPORTRANGE(""https://docs.google.com/spreadsheets/d/1-uDff_7J0KD5mKrp0Vvzr7lt3OU09vwQwhkpOPPYv2Y/edit?usp=sharing"",""งบพรบ!FM55"")"),0)</f>
        <v>0</v>
      </c>
      <c r="M518" s="130">
        <f ca="1">IFERROR(__xludf.DUMMYFUNCTION("IMPORTRANGE(""https://docs.google.com/spreadsheets/d/1-uDff_7J0KD5mKrp0Vvzr7lt3OU09vwQwhkpOPPYv2Y/edit?usp=sharing"",""งบพรบ!FR55"")"),0)</f>
        <v>0</v>
      </c>
      <c r="N518" s="130">
        <f ca="1">IFERROR(__xludf.DUMMYFUNCTION("IMPORTRANGE(""https://docs.google.com/spreadsheets/d/1-uDff_7J0KD5mKrp0Vvzr7lt3OU09vwQwhkpOPPYv2Y/edit?usp=sharing"",""งบพรบ!FT55"")"),0)</f>
        <v>0</v>
      </c>
      <c r="O518" s="130">
        <f t="shared" ca="1" si="125"/>
        <v>0</v>
      </c>
      <c r="P518" s="130">
        <f t="shared" ca="1" si="126"/>
        <v>0</v>
      </c>
      <c r="Q518" s="72">
        <v>0</v>
      </c>
      <c r="R518" s="72">
        <v>0</v>
      </c>
      <c r="S518" s="72">
        <v>0</v>
      </c>
      <c r="T518" s="130">
        <f t="shared" si="127"/>
        <v>0</v>
      </c>
      <c r="U518" s="130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t="shared" ca="1" si="125"/>
        <v>0</v>
      </c>
      <c r="P519" s="130">
        <f t="shared" ca="1" si="126"/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 t="shared" si="127"/>
        <v>0</v>
      </c>
      <c r="U519" s="130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 t="shared" si="125"/>
        <v>0</v>
      </c>
      <c r="P520" s="131">
        <f t="shared" si="126"/>
        <v>0</v>
      </c>
      <c r="Q520" s="75">
        <v>0</v>
      </c>
      <c r="R520" s="75">
        <v>0</v>
      </c>
      <c r="S520" s="75">
        <v>0</v>
      </c>
      <c r="T520" s="131">
        <f t="shared" si="127"/>
        <v>0</v>
      </c>
      <c r="U520" s="131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IFERROR(__xludf.DUMMYFUNCTION("IMPORTRANGE(""https://docs.google.com/spreadsheets/d/1-uDff_7J0KD5mKrp0Vvzr7lt3OU09vwQwhkpOPPYv2Y/edit?usp=sharing"",""งบพรบ!FP55"")"),0)</f>
        <v>0</v>
      </c>
      <c r="M521" s="130">
        <f ca="1">IFERROR(__xludf.DUMMYFUNCTION("IMPORTRANGE(""https://docs.google.com/spreadsheets/d/1-uDff_7J0KD5mKrp0Vvzr7lt3OU09vwQwhkpOPPYv2Y/edit?usp=sharing"",""งบพรบ!FS55"")"),0)</f>
        <v>0</v>
      </c>
      <c r="N521" s="130">
        <f ca="1">IFERROR(__xludf.DUMMYFUNCTION("IMPORTRANGE(""https://docs.google.com/spreadsheets/d/1-uDff_7J0KD5mKrp0Vvzr7lt3OU09vwQwhkpOPPYv2Y/edit?usp=sharing"",""งบพรบ!FU55"")"),0)</f>
        <v>0</v>
      </c>
      <c r="O521" s="130">
        <f t="shared" ca="1" si="125"/>
        <v>0</v>
      </c>
      <c r="P521" s="130">
        <f t="shared" ca="1" si="126"/>
        <v>0</v>
      </c>
      <c r="Q521" s="72">
        <v>0</v>
      </c>
      <c r="R521" s="72">
        <v>0</v>
      </c>
      <c r="S521" s="72">
        <v>0</v>
      </c>
      <c r="T521" s="130">
        <f t="shared" si="127"/>
        <v>0</v>
      </c>
      <c r="U521" s="130">
        <f t="shared" si="128"/>
        <v>0</v>
      </c>
    </row>
    <row r="522" spans="1:21" ht="19.5" hidden="1" x14ac:dyDescent="0.3">
      <c r="A522" s="274"/>
      <c r="B522" s="275"/>
      <c r="C522" s="1138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1319" t="s">
        <v>325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t="shared" ref="O534:O542" ca="1" si="131">IF(L534&gt;0,N534*100/L534,0)</f>
        <v>0</v>
      </c>
      <c r="P534" s="213">
        <f t="shared" ref="P534:P542" ca="1" si="132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 t="shared" ref="T534:T542" si="133">IF(Q534&gt;0,S534*100/Q534,0)</f>
        <v>0</v>
      </c>
      <c r="U534" s="213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 t="shared" ref="L535:N536" si="135">L538+L541</f>
        <v>0</v>
      </c>
      <c r="M535" s="131">
        <f t="shared" si="135"/>
        <v>0</v>
      </c>
      <c r="N535" s="131">
        <f t="shared" si="135"/>
        <v>0</v>
      </c>
      <c r="O535" s="131">
        <f t="shared" si="131"/>
        <v>0</v>
      </c>
      <c r="P535" s="131">
        <f t="shared" si="132"/>
        <v>0</v>
      </c>
      <c r="Q535" s="131">
        <f t="shared" ref="Q535:S536" si="136">Q538+Q541</f>
        <v>0</v>
      </c>
      <c r="R535" s="131">
        <f t="shared" si="136"/>
        <v>0</v>
      </c>
      <c r="S535" s="131">
        <f t="shared" si="136"/>
        <v>0</v>
      </c>
      <c r="T535" s="131">
        <f t="shared" si="133"/>
        <v>0</v>
      </c>
      <c r="U535" s="131">
        <f t="shared" si="134"/>
        <v>0</v>
      </c>
    </row>
    <row r="536" spans="1:21" ht="18.75" hidden="1" x14ac:dyDescent="0.25">
      <c r="A536" s="255"/>
      <c r="B536" s="267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129">
        <f t="shared" ca="1" si="135"/>
        <v>0</v>
      </c>
      <c r="M536" s="130">
        <f t="shared" ca="1" si="135"/>
        <v>0</v>
      </c>
      <c r="N536" s="130">
        <f t="shared" ca="1" si="135"/>
        <v>0</v>
      </c>
      <c r="O536" s="130">
        <f t="shared" ca="1" si="131"/>
        <v>0</v>
      </c>
      <c r="P536" s="130">
        <f t="shared" ca="1" si="132"/>
        <v>0</v>
      </c>
      <c r="Q536" s="130">
        <f t="shared" si="136"/>
        <v>0</v>
      </c>
      <c r="R536" s="130">
        <f t="shared" si="136"/>
        <v>0</v>
      </c>
      <c r="S536" s="130">
        <f t="shared" si="136"/>
        <v>0</v>
      </c>
      <c r="T536" s="130">
        <f t="shared" si="133"/>
        <v>0</v>
      </c>
      <c r="U536" s="130">
        <f t="shared" si="134"/>
        <v>0</v>
      </c>
    </row>
    <row r="537" spans="1:21" ht="18.75" hidden="1" x14ac:dyDescent="0.25">
      <c r="A537" s="255"/>
      <c r="B537" s="267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t="shared" ca="1" si="131"/>
        <v>0</v>
      </c>
      <c r="P537" s="130">
        <f t="shared" ca="1" si="132"/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 t="shared" si="133"/>
        <v>0</v>
      </c>
      <c r="U537" s="130">
        <f t="shared" si="134"/>
        <v>0</v>
      </c>
    </row>
    <row r="538" spans="1:21" ht="18.75" hidden="1" x14ac:dyDescent="0.25">
      <c r="A538" s="255"/>
      <c r="B538" s="267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 t="shared" si="131"/>
        <v>0</v>
      </c>
      <c r="P538" s="131">
        <f t="shared" si="132"/>
        <v>0</v>
      </c>
      <c r="Q538" s="75">
        <v>0</v>
      </c>
      <c r="R538" s="75">
        <v>0</v>
      </c>
      <c r="S538" s="75">
        <v>0</v>
      </c>
      <c r="T538" s="131">
        <f t="shared" si="133"/>
        <v>0</v>
      </c>
      <c r="U538" s="131">
        <f t="shared" si="134"/>
        <v>0</v>
      </c>
    </row>
    <row r="539" spans="1:21" ht="18.75" hidden="1" x14ac:dyDescent="0.25">
      <c r="A539" s="255"/>
      <c r="B539" s="267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IFERROR(__xludf.DUMMYFUNCTION("IMPORTRANGE(""https://docs.google.com/spreadsheets/d/1-uDff_7J0KD5mKrp0Vvzr7lt3OU09vwQwhkpOPPYv2Y/edit?usp=sharing"",""งบพรบ!FW55"")"),0)</f>
        <v>0</v>
      </c>
      <c r="M539" s="72">
        <f ca="1">IFERROR(__xludf.DUMMYFUNCTION("IMPORTRANGE(""https://docs.google.com/spreadsheets/d/1-uDff_7J0KD5mKrp0Vvzr7lt3OU09vwQwhkpOPPYv2Y/edit?usp=sharing"",""งบพรบ!GB55"")"),0)</f>
        <v>0</v>
      </c>
      <c r="N539" s="72">
        <f ca="1">IFERROR(__xludf.DUMMYFUNCTION("IMPORTRANGE(""https://docs.google.com/spreadsheets/d/1-uDff_7J0KD5mKrp0Vvzr7lt3OU09vwQwhkpOPPYv2Y/edit?usp=sharing"",""งบพรบ!GD55"")"),0)</f>
        <v>0</v>
      </c>
      <c r="O539" s="130">
        <f t="shared" ca="1" si="131"/>
        <v>0</v>
      </c>
      <c r="P539" s="130">
        <f t="shared" ca="1" si="132"/>
        <v>0</v>
      </c>
      <c r="Q539" s="72">
        <v>0</v>
      </c>
      <c r="R539" s="72">
        <v>0</v>
      </c>
      <c r="S539" s="72">
        <v>0</v>
      </c>
      <c r="T539" s="130">
        <f t="shared" si="133"/>
        <v>0</v>
      </c>
      <c r="U539" s="130">
        <f t="shared" si="134"/>
        <v>0</v>
      </c>
    </row>
    <row r="540" spans="1:21" ht="18.75" hidden="1" x14ac:dyDescent="0.25">
      <c r="A540" s="255"/>
      <c r="B540" s="267"/>
      <c r="C540" s="267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t="shared" ca="1" si="131"/>
        <v>0</v>
      </c>
      <c r="P540" s="130">
        <f t="shared" ca="1" si="132"/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 t="shared" si="133"/>
        <v>0</v>
      </c>
      <c r="U540" s="130">
        <f t="shared" si="134"/>
        <v>0</v>
      </c>
    </row>
    <row r="541" spans="1:21" ht="18.75" hidden="1" x14ac:dyDescent="0.25">
      <c r="A541" s="255"/>
      <c r="B541" s="267"/>
      <c r="C541" s="267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 t="shared" si="131"/>
        <v>0</v>
      </c>
      <c r="P541" s="131">
        <f t="shared" si="132"/>
        <v>0</v>
      </c>
      <c r="Q541" s="75">
        <v>0</v>
      </c>
      <c r="R541" s="75">
        <v>0</v>
      </c>
      <c r="S541" s="75">
        <v>0</v>
      </c>
      <c r="T541" s="131">
        <f t="shared" si="133"/>
        <v>0</v>
      </c>
      <c r="U541" s="131">
        <f t="shared" si="134"/>
        <v>0</v>
      </c>
    </row>
    <row r="542" spans="1:21" ht="18.75" hidden="1" x14ac:dyDescent="0.25">
      <c r="A542" s="255"/>
      <c r="B542" s="267"/>
      <c r="C542" s="267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IFERROR(__xludf.DUMMYFUNCTION("IMPORTRANGE(""https://docs.google.com/spreadsheets/d/1-uDff_7J0KD5mKrp0Vvzr7lt3OU09vwQwhkpOPPYv2Y/edit?usp=sharing"",""งบพรบ!FZ55"")"),0)</f>
        <v>0</v>
      </c>
      <c r="M542" s="72">
        <f ca="1">IFERROR(__xludf.DUMMYFUNCTION("IMPORTRANGE(""https://docs.google.com/spreadsheets/d/1-uDff_7J0KD5mKrp0Vvzr7lt3OU09vwQwhkpOPPYv2Y/edit?usp=sharing"",""งบพรบ!GC55"")"),0)</f>
        <v>0</v>
      </c>
      <c r="N542" s="72">
        <f ca="1">IFERROR(__xludf.DUMMYFUNCTION("IMPORTRANGE(""https://docs.google.com/spreadsheets/d/1-uDff_7J0KD5mKrp0Vvzr7lt3OU09vwQwhkpOPPYv2Y/edit?usp=sharing"",""งบพรบ!GE55"")"),0)</f>
        <v>0</v>
      </c>
      <c r="O542" s="130">
        <f t="shared" ca="1" si="131"/>
        <v>0</v>
      </c>
      <c r="P542" s="130">
        <f t="shared" ca="1" si="132"/>
        <v>0</v>
      </c>
      <c r="Q542" s="72">
        <v>0</v>
      </c>
      <c r="R542" s="72">
        <v>0</v>
      </c>
      <c r="S542" s="72">
        <v>0</v>
      </c>
      <c r="T542" s="130">
        <f t="shared" si="133"/>
        <v>0</v>
      </c>
      <c r="U542" s="130">
        <f t="shared" si="134"/>
        <v>0</v>
      </c>
    </row>
    <row r="543" spans="1:21" ht="19.5" hidden="1" x14ac:dyDescent="0.3">
      <c r="A543" s="274"/>
      <c r="B543" s="275"/>
      <c r="C543" s="596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7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7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x14ac:dyDescent="0.3">
      <c r="A554" s="660"/>
      <c r="B554" s="1319" t="s">
        <v>324</v>
      </c>
      <c r="C554" s="662"/>
      <c r="D554" s="663"/>
      <c r="E554" s="663"/>
      <c r="F554" s="663"/>
      <c r="G554" s="664"/>
      <c r="H554" s="665" t="s">
        <v>61</v>
      </c>
      <c r="I554" s="666">
        <f>I565</f>
        <v>3</v>
      </c>
      <c r="J554" s="666">
        <f>J565</f>
        <v>3</v>
      </c>
      <c r="K554" s="667">
        <f>IF(I554&gt;0,J554*100/I554,0)</f>
        <v>100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x14ac:dyDescent="0.3">
      <c r="A555" s="255"/>
      <c r="B555" s="267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2941700</v>
      </c>
      <c r="M555" s="213">
        <f ca="1">M556+M557</f>
        <v>2321138</v>
      </c>
      <c r="N555" s="213">
        <f ca="1">N556+N557</f>
        <v>2321138</v>
      </c>
      <c r="O555" s="213">
        <f t="shared" ref="O555:O563" ca="1" si="137">IF(L555&gt;0,N555*100/L555,0)</f>
        <v>78.904646972838833</v>
      </c>
      <c r="P555" s="213">
        <f t="shared" ref="P555:P563" ca="1" si="138">IF(M555&gt;0,N555*100/M555,0)</f>
        <v>100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 t="shared" ref="T555:T563" si="139">IF(Q555&gt;0,S555*100/Q555,0)</f>
        <v>0</v>
      </c>
      <c r="U555" s="213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55"/>
      <c r="B557" s="267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129">
        <f t="shared" ca="1" si="141"/>
        <v>2941700</v>
      </c>
      <c r="M557" s="130">
        <f t="shared" ca="1" si="141"/>
        <v>2321138</v>
      </c>
      <c r="N557" s="130">
        <f t="shared" ca="1" si="141"/>
        <v>2321138</v>
      </c>
      <c r="O557" s="130">
        <f t="shared" ca="1" si="137"/>
        <v>78.904646972838833</v>
      </c>
      <c r="P557" s="130">
        <f t="shared" ca="1" si="138"/>
        <v>100</v>
      </c>
      <c r="Q557" s="130">
        <f t="shared" si="142"/>
        <v>0</v>
      </c>
      <c r="R557" s="130">
        <f t="shared" si="142"/>
        <v>0</v>
      </c>
      <c r="S557" s="130">
        <f t="shared" si="142"/>
        <v>0</v>
      </c>
      <c r="T557" s="130">
        <f t="shared" si="139"/>
        <v>0</v>
      </c>
      <c r="U557" s="130">
        <f t="shared" si="140"/>
        <v>0</v>
      </c>
    </row>
    <row r="558" spans="1:21" ht="18.75" x14ac:dyDescent="0.25">
      <c r="A558" s="255"/>
      <c r="B558" s="267"/>
      <c r="C558" s="267"/>
      <c r="D558" s="852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t="shared" ca="1" si="137"/>
        <v>0</v>
      </c>
      <c r="P558" s="130">
        <f t="shared" ca="1" si="138"/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 t="shared" si="139"/>
        <v>0</v>
      </c>
      <c r="U558" s="130">
        <f t="shared" si="140"/>
        <v>0</v>
      </c>
    </row>
    <row r="559" spans="1:21" ht="18.75" hidden="1" x14ac:dyDescent="0.25">
      <c r="A559" s="255"/>
      <c r="B559" s="267"/>
      <c r="C559" s="267"/>
      <c r="D559" s="267"/>
      <c r="E559" s="569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55"/>
      <c r="B560" s="267"/>
      <c r="C560" s="256"/>
      <c r="D560" s="267"/>
      <c r="E560" s="567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IFERROR(__xludf.DUMMYFUNCTION("IMPORTRANGE(""https://docs.google.com/spreadsheets/d/1-uDff_7J0KD5mKrp0Vvzr7lt3OU09vwQwhkpOPPYv2Y/edit?usp=sharing"",""งบพรบ!GG55"")"),0)</f>
        <v>0</v>
      </c>
      <c r="M560" s="72">
        <f ca="1">IFERROR(__xludf.DUMMYFUNCTION("IMPORTRANGE(""https://docs.google.com/spreadsheets/d/1-uDff_7J0KD5mKrp0Vvzr7lt3OU09vwQwhkpOPPYv2Y/edit?usp=sharing"",""งบพรบ!GL55"")"),0)</f>
        <v>0</v>
      </c>
      <c r="N560" s="72">
        <f ca="1">IFERROR(__xludf.DUMMYFUNCTION("IMPORTRANGE(""https://docs.google.com/spreadsheets/d/1-uDff_7J0KD5mKrp0Vvzr7lt3OU09vwQwhkpOPPYv2Y/edit?usp=sharing"",""งบพรบ!GN55"")"),0)</f>
        <v>0</v>
      </c>
      <c r="O560" s="130">
        <f t="shared" ca="1" si="137"/>
        <v>0</v>
      </c>
      <c r="P560" s="130">
        <f t="shared" ca="1" si="138"/>
        <v>0</v>
      </c>
      <c r="Q560" s="72">
        <v>0</v>
      </c>
      <c r="R560" s="72">
        <v>0</v>
      </c>
      <c r="S560" s="72">
        <v>0</v>
      </c>
      <c r="T560" s="130">
        <f t="shared" si="139"/>
        <v>0</v>
      </c>
      <c r="U560" s="130">
        <f t="shared" si="140"/>
        <v>0</v>
      </c>
    </row>
    <row r="561" spans="1:21" ht="18.75" x14ac:dyDescent="0.25">
      <c r="A561" s="255"/>
      <c r="B561" s="267"/>
      <c r="C561" s="267"/>
      <c r="D561" s="852" t="s">
        <v>23</v>
      </c>
      <c r="E561" s="267"/>
      <c r="F561" s="256"/>
      <c r="G561" s="259"/>
      <c r="H561" s="273" t="s">
        <v>14</v>
      </c>
      <c r="I561" s="270"/>
      <c r="J561" s="270"/>
      <c r="K561" s="227"/>
      <c r="L561" s="129">
        <f ca="1">L562+L563</f>
        <v>2941700</v>
      </c>
      <c r="M561" s="130">
        <f ca="1">M562+M563</f>
        <v>2321138</v>
      </c>
      <c r="N561" s="130">
        <f ca="1">N562+N563</f>
        <v>2321138</v>
      </c>
      <c r="O561" s="130">
        <f t="shared" ca="1" si="137"/>
        <v>78.904646972838833</v>
      </c>
      <c r="P561" s="130">
        <f t="shared" ca="1" si="138"/>
        <v>100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 t="shared" si="139"/>
        <v>0</v>
      </c>
      <c r="U561" s="130">
        <f t="shared" si="140"/>
        <v>0</v>
      </c>
    </row>
    <row r="562" spans="1:21" ht="18.75" hidden="1" x14ac:dyDescent="0.25">
      <c r="A562" s="255"/>
      <c r="B562" s="267"/>
      <c r="C562" s="267"/>
      <c r="D562" s="267"/>
      <c r="E562" s="569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55"/>
      <c r="B563" s="267"/>
      <c r="C563" s="267"/>
      <c r="D563" s="267"/>
      <c r="E563" s="567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IFERROR(__xludf.DUMMYFUNCTION("IMPORTRANGE(""https://docs.google.com/spreadsheets/d/1-uDff_7J0KD5mKrp0Vvzr7lt3OU09vwQwhkpOPPYv2Y/edit?usp=sharing"",""งบพรบ!GJ55"")"),2941700)</f>
        <v>2941700</v>
      </c>
      <c r="M563" s="72">
        <f ca="1">IFERROR(__xludf.DUMMYFUNCTION("IMPORTRANGE(""https://docs.google.com/spreadsheets/d/1-uDff_7J0KD5mKrp0Vvzr7lt3OU09vwQwhkpOPPYv2Y/edit?usp=sharing"",""งบพรบ!GM55"")"),2321138)</f>
        <v>2321138</v>
      </c>
      <c r="N563" s="72">
        <f ca="1">IFERROR(__xludf.DUMMYFUNCTION("IMPORTRANGE(""https://docs.google.com/spreadsheets/d/1-uDff_7J0KD5mKrp0Vvzr7lt3OU09vwQwhkpOPPYv2Y/edit?usp=sharing"",""งบพรบ!GO55"")"),2321138)</f>
        <v>2321138</v>
      </c>
      <c r="O563" s="130">
        <f t="shared" ca="1" si="137"/>
        <v>78.904646972838833</v>
      </c>
      <c r="P563" s="130">
        <f t="shared" ca="1" si="138"/>
        <v>100</v>
      </c>
      <c r="Q563" s="72">
        <v>0</v>
      </c>
      <c r="R563" s="72">
        <v>0</v>
      </c>
      <c r="S563" s="72">
        <v>0</v>
      </c>
      <c r="T563" s="130">
        <f t="shared" si="139"/>
        <v>0</v>
      </c>
      <c r="U563" s="130">
        <f t="shared" si="140"/>
        <v>0</v>
      </c>
    </row>
    <row r="564" spans="1:21" ht="19.5" x14ac:dyDescent="0.3">
      <c r="A564" s="274"/>
      <c r="B564" s="275"/>
      <c r="C564" s="596" t="s">
        <v>18</v>
      </c>
      <c r="D564" s="797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8.75" x14ac:dyDescent="0.25">
      <c r="A565" s="669"/>
      <c r="B565" s="425"/>
      <c r="C565" s="425"/>
      <c r="D565" s="766" t="s">
        <v>213</v>
      </c>
      <c r="E565" s="425"/>
      <c r="F565" s="427"/>
      <c r="G565" s="428"/>
      <c r="H565" s="429" t="s">
        <v>14</v>
      </c>
      <c r="I565" s="431">
        <v>3</v>
      </c>
      <c r="J565" s="672">
        <v>3</v>
      </c>
      <c r="K565" s="671">
        <f>IF(I565&gt;0,J565*100/I565,0)</f>
        <v>100</v>
      </c>
      <c r="L565" s="384"/>
      <c r="M565" s="384"/>
      <c r="N565" s="384"/>
      <c r="O565" s="384"/>
      <c r="P565" s="384"/>
      <c r="Q565" s="384"/>
      <c r="R565" s="384"/>
      <c r="S565" s="384"/>
      <c r="T565" s="384"/>
      <c r="U565" s="384"/>
    </row>
    <row r="566" spans="1:21" ht="12.75" hidden="1" x14ac:dyDescent="0.2">
      <c r="A566" s="590"/>
      <c r="B566" s="571"/>
      <c r="C566" s="571"/>
      <c r="D566" s="57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7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1319" t="s">
        <v>323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67"/>
      <c r="C576" s="276" t="s">
        <v>18</v>
      </c>
      <c r="D576" s="258" t="s">
        <v>19</v>
      </c>
      <c r="E576" s="267"/>
      <c r="F576" s="267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67"/>
      <c r="D577" s="267"/>
      <c r="E577" s="569" t="s">
        <v>20</v>
      </c>
      <c r="F577" s="267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67"/>
      <c r="C578" s="267"/>
      <c r="D578" s="267"/>
      <c r="E578" s="567" t="s">
        <v>21</v>
      </c>
      <c r="F578" s="267"/>
      <c r="G578" s="259"/>
      <c r="H578" s="266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67"/>
      <c r="C579" s="267"/>
      <c r="D579" s="852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67"/>
      <c r="C580" s="267"/>
      <c r="D580" s="267"/>
      <c r="E580" s="569" t="s">
        <v>36</v>
      </c>
      <c r="F580" s="267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67"/>
      <c r="C581" s="267"/>
      <c r="D581" s="267"/>
      <c r="E581" s="567" t="s">
        <v>37</v>
      </c>
      <c r="F581" s="267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IFERROR(__xludf.DUMMYFUNCTION("IMPORTRANGE(""https://docs.google.com/spreadsheets/d/1-uDff_7J0KD5mKrp0Vvzr7lt3OU09vwQwhkpOPPYv2Y/edit?usp=sharing"",""งบพรบ!GQ55"")"),0)</f>
        <v>0</v>
      </c>
      <c r="M581" s="72">
        <f ca="1">IFERROR(__xludf.DUMMYFUNCTION("IMPORTRANGE(""https://docs.google.com/spreadsheets/d/1-uDff_7J0KD5mKrp0Vvzr7lt3OU09vwQwhkpOPPYv2Y/edit?usp=sharing"",""งบพรบ!GV55"")"),0)</f>
        <v>0</v>
      </c>
      <c r="N581" s="72">
        <f ca="1">IFERROR(__xludf.DUMMYFUNCTION("IMPORTRANGE(""https://docs.google.com/spreadsheets/d/1-uDff_7J0KD5mKrp0Vvzr7lt3OU09vwQwhkpOPPYv2Y/edit?usp=sharing"",""งบพรบ!GX55"")"),0)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67"/>
      <c r="C582" s="267"/>
      <c r="D582" s="852" t="s">
        <v>23</v>
      </c>
      <c r="E582" s="267"/>
      <c r="F582" s="267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67"/>
      <c r="C583" s="267"/>
      <c r="D583" s="267"/>
      <c r="E583" s="569" t="s">
        <v>20</v>
      </c>
      <c r="F583" s="267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67"/>
      <c r="C584" s="267"/>
      <c r="D584" s="267"/>
      <c r="E584" s="567" t="s">
        <v>21</v>
      </c>
      <c r="F584" s="267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IFERROR(__xludf.DUMMYFUNCTION("IMPORTRANGE(""https://docs.google.com/spreadsheets/d/1-uDff_7J0KD5mKrp0Vvzr7lt3OU09vwQwhkpOPPYv2Y/edit?usp=sharing"",""งบพรบ!GT55"")"),0)</f>
        <v>0</v>
      </c>
      <c r="M584" s="72">
        <f ca="1">IFERROR(__xludf.DUMMYFUNCTION("IMPORTRANGE(""https://docs.google.com/spreadsheets/d/1-uDff_7J0KD5mKrp0Vvzr7lt3OU09vwQwhkpOPPYv2Y/edit?usp=sharing"",""งบพรบ!GW55"")"),0)</f>
        <v>0</v>
      </c>
      <c r="N584" s="72">
        <f ca="1">IFERROR(__xludf.DUMMYFUNCTION("IMPORTRANGE(""https://docs.google.com/spreadsheets/d/1-uDff_7J0KD5mKrp0Vvzr7lt3OU09vwQwhkpOPPYv2Y/edit?usp=sharing"",""งบพรบ!GY55"")"),0)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596" t="s">
        <v>18</v>
      </c>
      <c r="D585" s="797" t="s">
        <v>38</v>
      </c>
      <c r="E585" s="762"/>
      <c r="F585" s="762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71"/>
      <c r="C586" s="571"/>
      <c r="D586" s="571"/>
      <c r="E586" s="571"/>
      <c r="F586" s="57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71"/>
      <c r="C587" s="571"/>
      <c r="D587" s="571"/>
      <c r="E587" s="571"/>
      <c r="F587" s="57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71"/>
      <c r="E588" s="571"/>
      <c r="F588" s="57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71"/>
      <c r="E589" s="57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71"/>
      <c r="E590" s="571"/>
      <c r="F590" s="57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71"/>
      <c r="E591" s="571"/>
      <c r="F591" s="57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71"/>
      <c r="E592" s="57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71"/>
      <c r="E593" s="57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71"/>
      <c r="E594" s="57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576"/>
      <c r="E595" s="576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4"/>
      <c r="C596" s="309"/>
      <c r="D596" s="194"/>
      <c r="E596" s="194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1318" t="s">
        <v>322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201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80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681">
        <f ca="1">L600+L601</f>
        <v>49972</v>
      </c>
      <c r="M599" s="682">
        <f ca="1">M600+M601</f>
        <v>49972</v>
      </c>
      <c r="N599" s="682">
        <f ca="1">N600+N601</f>
        <v>0</v>
      </c>
      <c r="O599" s="682">
        <f t="shared" ref="O599:O607" ca="1" si="149">IF(L599&gt;0,N599*100/L599,0)</f>
        <v>0</v>
      </c>
      <c r="P599" s="682">
        <f t="shared" ref="P599:P607" ca="1" si="150">IF(M599&gt;0,N599*100/M599,0)</f>
        <v>0</v>
      </c>
      <c r="Q599" s="682">
        <f ca="1">Q600+Q601</f>
        <v>0</v>
      </c>
      <c r="R599" s="682">
        <f ca="1">R600+R601</f>
        <v>0</v>
      </c>
      <c r="S599" s="682">
        <f ca="1">S600+S601</f>
        <v>0</v>
      </c>
      <c r="T599" s="682">
        <f t="shared" ref="T599:T607" ca="1" si="151">IF(Q599&gt;0,S599*100/Q599,0)</f>
        <v>0</v>
      </c>
      <c r="U599" s="682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3">
        <f t="shared" ref="L600:N601" si="153">L603+L606</f>
        <v>0</v>
      </c>
      <c r="M600" s="684">
        <f t="shared" si="153"/>
        <v>0</v>
      </c>
      <c r="N600" s="684">
        <f t="shared" si="153"/>
        <v>0</v>
      </c>
      <c r="O600" s="684">
        <f t="shared" si="149"/>
        <v>0</v>
      </c>
      <c r="P600" s="684">
        <f t="shared" si="150"/>
        <v>0</v>
      </c>
      <c r="Q600" s="684">
        <f t="shared" ref="Q600:S601" si="154">Q603+Q606</f>
        <v>0</v>
      </c>
      <c r="R600" s="684">
        <f t="shared" si="154"/>
        <v>0</v>
      </c>
      <c r="S600" s="684">
        <f t="shared" si="154"/>
        <v>0</v>
      </c>
      <c r="T600" s="684">
        <f t="shared" si="151"/>
        <v>0</v>
      </c>
      <c r="U600" s="684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3">
        <f t="shared" ca="1" si="153"/>
        <v>49972</v>
      </c>
      <c r="M601" s="684">
        <f t="shared" ca="1" si="153"/>
        <v>49972</v>
      </c>
      <c r="N601" s="684">
        <f t="shared" ca="1" si="153"/>
        <v>0</v>
      </c>
      <c r="O601" s="684">
        <f t="shared" ca="1" si="149"/>
        <v>0</v>
      </c>
      <c r="P601" s="684">
        <f t="shared" ca="1" si="150"/>
        <v>0</v>
      </c>
      <c r="Q601" s="684">
        <f t="shared" ca="1" si="154"/>
        <v>0</v>
      </c>
      <c r="R601" s="684">
        <f t="shared" ca="1" si="154"/>
        <v>0</v>
      </c>
      <c r="S601" s="684">
        <f t="shared" ca="1" si="154"/>
        <v>0</v>
      </c>
      <c r="T601" s="684">
        <f t="shared" ca="1" si="151"/>
        <v>0</v>
      </c>
      <c r="U601" s="684">
        <f t="shared" ca="1" si="152"/>
        <v>0</v>
      </c>
    </row>
    <row r="602" spans="1:21" ht="19.5" x14ac:dyDescent="0.3">
      <c r="A602" s="207"/>
      <c r="B602" s="367"/>
      <c r="C602" s="367"/>
      <c r="D602" s="941" t="s">
        <v>22</v>
      </c>
      <c r="E602" s="65"/>
      <c r="F602" s="65"/>
      <c r="G602" s="67"/>
      <c r="H602" s="380" t="s">
        <v>14</v>
      </c>
      <c r="I602" s="217"/>
      <c r="J602" s="217"/>
      <c r="K602" s="218"/>
      <c r="L602" s="683">
        <f ca="1">L603+L604</f>
        <v>49972</v>
      </c>
      <c r="M602" s="684">
        <f ca="1">M603+M604</f>
        <v>49972</v>
      </c>
      <c r="N602" s="684">
        <f ca="1">N603+N604</f>
        <v>0</v>
      </c>
      <c r="O602" s="684">
        <f t="shared" ca="1" si="149"/>
        <v>0</v>
      </c>
      <c r="P602" s="684">
        <f t="shared" ca="1" si="150"/>
        <v>0</v>
      </c>
      <c r="Q602" s="684">
        <f ca="1">Q603+Q604</f>
        <v>0</v>
      </c>
      <c r="R602" s="684">
        <f ca="1">R603+R604</f>
        <v>0</v>
      </c>
      <c r="S602" s="684">
        <f ca="1">S603+S604</f>
        <v>0</v>
      </c>
      <c r="T602" s="684">
        <f t="shared" ca="1" si="151"/>
        <v>0</v>
      </c>
      <c r="U602" s="684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684">
        <f t="shared" si="149"/>
        <v>0</v>
      </c>
      <c r="P603" s="684">
        <f t="shared" si="150"/>
        <v>0</v>
      </c>
      <c r="Q603" s="86">
        <v>0</v>
      </c>
      <c r="R603" s="86">
        <v>0</v>
      </c>
      <c r="S603" s="86">
        <v>0</v>
      </c>
      <c r="T603" s="684">
        <f t="shared" si="151"/>
        <v>0</v>
      </c>
      <c r="U603" s="684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IFERROR(__xludf.DUMMYFUNCTION("IMPORTRANGE(""https://docs.google.com/spreadsheets/d/1-uDff_7J0KD5mKrp0Vvzr7lt3OU09vwQwhkpOPPYv2Y/edit?usp=sharing"",""งบพรบ!HK55"")"),49972)</f>
        <v>49972</v>
      </c>
      <c r="M604" s="86">
        <f ca="1">IFERROR(__xludf.DUMMYFUNCTION("IMPORTRANGE(""https://docs.google.com/spreadsheets/d/1-uDff_7J0KD5mKrp0Vvzr7lt3OU09vwQwhkpOPPYv2Y/edit?usp=sharing"",""งบพรบ!HP55"")"),49972)</f>
        <v>49972</v>
      </c>
      <c r="N604" s="86">
        <f ca="1">IFERROR(__xludf.DUMMYFUNCTION("IMPORTRANGE(""https://docs.google.com/spreadsheets/d/1-uDff_7J0KD5mKrp0Vvzr7lt3OU09vwQwhkpOPPYv2Y/edit?usp=sharing"",""งบพรบ!HR55"")"),0)</f>
        <v>0</v>
      </c>
      <c r="O604" s="684">
        <f t="shared" ca="1" si="149"/>
        <v>0</v>
      </c>
      <c r="P604" s="684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IFERROR(__xludf.DUMMYFUNCTION("IMPORTRANGE(""https://docs.google.com/spreadsheets/d/1ItG2mGa2ceCfYo0BwxsXqNm01IGEUdYcSSLTEv9YCik/edit?usp=sharing"",""เบิกจ่ายกองทุน!AV55"")"),0)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IFERROR(__xludf.DUMMYFUNCTION("IMPORTRANGE(""https://docs.google.com/spreadsheets/d/1ItG2mGa2ceCfYo0BwxsXqNm01IGEUdYcSSLTEv9YCik/edit?usp=sharing"",""เบิกจ่ายกองทุน!AW55"")"),0)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IFERROR(__xludf.DUMMYFUNCTION("IMPORTRANGE(""https://docs.google.com/spreadsheets/d/1ItG2mGa2ceCfYo0BwxsXqNm01IGEUdYcSSLTEv9YCik/edit?usp=sharing"",""เบิกจ่ายกองทุน!AX55"")"),0)</f>
        <v>0</v>
      </c>
      <c r="T604" s="684">
        <f t="shared" ca="1" si="151"/>
        <v>0</v>
      </c>
      <c r="U604" s="684">
        <f t="shared" ca="1" si="152"/>
        <v>0</v>
      </c>
    </row>
    <row r="605" spans="1:21" ht="19.5" x14ac:dyDescent="0.3">
      <c r="A605" s="207"/>
      <c r="B605" s="367"/>
      <c r="C605" s="367"/>
      <c r="D605" s="941" t="s">
        <v>23</v>
      </c>
      <c r="E605" s="367"/>
      <c r="F605" s="65"/>
      <c r="G605" s="67"/>
      <c r="H605" s="686" t="s">
        <v>14</v>
      </c>
      <c r="I605" s="217"/>
      <c r="J605" s="217"/>
      <c r="K605" s="218"/>
      <c r="L605" s="683">
        <f ca="1">L606+L607</f>
        <v>0</v>
      </c>
      <c r="M605" s="684">
        <f ca="1">M606+M607</f>
        <v>0</v>
      </c>
      <c r="N605" s="684">
        <f ca="1">N606+N607</f>
        <v>0</v>
      </c>
      <c r="O605" s="684">
        <f t="shared" ca="1" si="149"/>
        <v>0</v>
      </c>
      <c r="P605" s="684">
        <f t="shared" ca="1" si="150"/>
        <v>0</v>
      </c>
      <c r="Q605" s="684">
        <f ca="1">Q606+Q607</f>
        <v>0</v>
      </c>
      <c r="R605" s="684">
        <f ca="1">R606+R607</f>
        <v>0</v>
      </c>
      <c r="S605" s="684">
        <f ca="1">S606+S607</f>
        <v>0</v>
      </c>
      <c r="T605" s="684">
        <f t="shared" ca="1" si="151"/>
        <v>0</v>
      </c>
      <c r="U605" s="684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684">
        <f t="shared" si="149"/>
        <v>0</v>
      </c>
      <c r="P606" s="684">
        <f t="shared" si="150"/>
        <v>0</v>
      </c>
      <c r="Q606" s="86">
        <v>0</v>
      </c>
      <c r="R606" s="86">
        <v>0</v>
      </c>
      <c r="S606" s="86">
        <v>0</v>
      </c>
      <c r="T606" s="684">
        <f t="shared" si="151"/>
        <v>0</v>
      </c>
      <c r="U606" s="684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IFERROR(__xludf.DUMMYFUNCTION("IMPORTRANGE(""https://docs.google.com/spreadsheets/d/1-uDff_7J0KD5mKrp0Vvzr7lt3OU09vwQwhkpOPPYv2Y/edit?usp=sharing"",""งบพรบ!HN55"")"),0)</f>
        <v>0</v>
      </c>
      <c r="M607" s="86">
        <f ca="1">IFERROR(__xludf.DUMMYFUNCTION("IMPORTRANGE(""https://docs.google.com/spreadsheets/d/1-uDff_7J0KD5mKrp0Vvzr7lt3OU09vwQwhkpOPPYv2Y/edit?usp=sharing"",""งบพรบ!HQ55"")"),0)</f>
        <v>0</v>
      </c>
      <c r="N607" s="86">
        <f ca="1">IFERROR(__xludf.DUMMYFUNCTION("IMPORTRANGE(""https://docs.google.com/spreadsheets/d/1-uDff_7J0KD5mKrp0Vvzr7lt3OU09vwQwhkpOPPYv2Y/edit?usp=sharing"",""งบพรบ!HS55"")"),0)</f>
        <v>0</v>
      </c>
      <c r="O607" s="684">
        <f t="shared" ca="1" si="149"/>
        <v>0</v>
      </c>
      <c r="P607" s="684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IFERROR(__xludf.DUMMYFUNCTION("IMPORTRANGE(""https://docs.google.com/spreadsheets/d/1ItG2mGa2ceCfYo0BwxsXqNm01IGEUdYcSSLTEv9YCik/edit?usp=sharing"",""เบิกจ่ายกองทุน!AY55"")"),0)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IFERROR(__xludf.DUMMYFUNCTION("IMPORTRANGE(""https://docs.google.com/spreadsheets/d/1ItG2mGa2ceCfYo0BwxsXqNm01IGEUdYcSSLTEv9YCik/edit?usp=sharing"",""เบิกจ่ายกองทุน!AZ55"")"),0)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IFERROR(__xludf.DUMMYFUNCTION("IMPORTRANGE(""https://docs.google.com/spreadsheets/d/1ItG2mGa2ceCfYo0BwxsXqNm01IGEUdYcSSLTEv9YCik/edit?usp=sharing"",""เบิกจ่ายกองทุน!BA55"")"),0)</f>
        <v>0</v>
      </c>
      <c r="T607" s="684">
        <f t="shared" ca="1" si="151"/>
        <v>0</v>
      </c>
      <c r="U607" s="684">
        <f t="shared" ca="1" si="152"/>
        <v>0</v>
      </c>
    </row>
    <row r="608" spans="1:21" ht="19.5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340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17">
        <f ca="1">I626</f>
        <v>0</v>
      </c>
      <c r="J615" s="1317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304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1275</v>
      </c>
      <c r="R616" s="213">
        <f ca="1">R617+R618</f>
        <v>1275</v>
      </c>
      <c r="S616" s="213">
        <f ca="1">S617+S618</f>
        <v>0</v>
      </c>
      <c r="T616" s="213">
        <f t="shared" ref="T616:T624" ca="1" si="157">IF(Q616&gt;0,S616*100/Q616,0)</f>
        <v>0</v>
      </c>
      <c r="U616" s="213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1275</v>
      </c>
      <c r="R618" s="130">
        <f t="shared" ca="1" si="160"/>
        <v>1275</v>
      </c>
      <c r="S618" s="130">
        <f t="shared" ca="1" si="160"/>
        <v>0</v>
      </c>
      <c r="T618" s="130">
        <f t="shared" ca="1" si="157"/>
        <v>0</v>
      </c>
      <c r="U618" s="130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1275</v>
      </c>
      <c r="R619" s="130">
        <f ca="1">R620+R621</f>
        <v>1275</v>
      </c>
      <c r="S619" s="130">
        <f ca="1">S620+S621</f>
        <v>0</v>
      </c>
      <c r="T619" s="130">
        <f t="shared" ca="1" si="157"/>
        <v>0</v>
      </c>
      <c r="U619" s="130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IFERROR(__xludf.DUMMYFUNCTION("IMPORTRANGE(""https://docs.google.com/spreadsheets/d/1ItG2mGa2ceCfYo0BwxsXqNm01IGEUdYcSSLTEv9YCik/edit?usp=sharing"",""เบิกจ่ายกองทุน!F55"")"),1275)</f>
        <v>1275</v>
      </c>
      <c r="R621" s="130">
        <f ca="1">IFERROR(__xludf.DUMMYFUNCTION("IMPORTRANGE(""https://docs.google.com/spreadsheets/d/1ItG2mGa2ceCfYo0BwxsXqNm01IGEUdYcSSLTEv9YCik/edit?usp=sharing"",""เบิกจ่ายกองทุน!G55"")"),1275)</f>
        <v>1275</v>
      </c>
      <c r="S621" s="130">
        <f ca="1">IFERROR(__xludf.DUMMYFUNCTION("IMPORTRANGE(""https://docs.google.com/spreadsheets/d/1ItG2mGa2ceCfYo0BwxsXqNm01IGEUdYcSSLTEv9YCik/edit?usp=sharing"",""เบิกจ่ายกองทุน!H55"")"),0)</f>
        <v>0</v>
      </c>
      <c r="T621" s="130">
        <f t="shared" ca="1" si="157"/>
        <v>0</v>
      </c>
      <c r="U621" s="130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hidden="1" x14ac:dyDescent="0.3">
      <c r="A625" s="274"/>
      <c r="B625" s="275"/>
      <c r="C625" s="304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hidden="1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1135">
        <f ca="1">IFERROR(__xludf.DUMMYFUNCTION("IMPORTRANGE(""https://docs.google.com/spreadsheets/d/1eHaY18a8A9IcSdp1K8H6x8fbOy06t2VsZHhMHf-1x7Y/edit?usp=sharing"",""แผน!ID55"")"),0)</f>
        <v>0</v>
      </c>
      <c r="J626" s="1134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hidden="1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66">
        <f ca="1">IFERROR(__xludf.DUMMYFUNCTION("IMPORTRANGE(""https://docs.google.com/spreadsheets/d/1eHaY18a8A9IcSdp1K8H6x8fbOy06t2VsZHhMHf-1x7Y/edit?usp=sharing"",""แผน!IC55"")"),0)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hidden="1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66">
        <f ca="1">IFERROR(__xludf.DUMMYFUNCTION("IMPORTRANGE(""https://docs.google.com/spreadsheets/d/1eHaY18a8A9IcSdp1K8H6x8fbOy06t2VsZHhMHf-1x7Y/edit?usp=sharing"",""แผน!IC55"")"),0)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hidden="1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1074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hidden="1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1074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hidden="1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1074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hidden="1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1074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hidden="1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1074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hidden="1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1074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hidden="1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70">
        <f ca="1">IFERROR(__xludf.DUMMYFUNCTION("IMPORTRANGE(""https://docs.google.com/spreadsheets/d/1eHaY18a8A9IcSdp1K8H6x8fbOy06t2VsZHhMHf-1x7Y/edit?usp=sharing"",""แผน!IE55"")"),0)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hidden="1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1074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hidden="1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1074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hidden="1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1074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hidden="1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1074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hidden="1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1074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567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65360</v>
      </c>
      <c r="R642" s="213">
        <f ca="1">R643+R644</f>
        <v>65360</v>
      </c>
      <c r="S642" s="213">
        <f ca="1">S643+S644</f>
        <v>8170</v>
      </c>
      <c r="T642" s="213">
        <f t="shared" ref="T642:T650" ca="1" si="163">IF(Q642&gt;0,S642*100/Q642,0)</f>
        <v>12.5</v>
      </c>
      <c r="U642" s="213">
        <f t="shared" ref="U642:U650" ca="1" si="164">IF(R642&gt;0,S642*100/R642,0)</f>
        <v>12.5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65360</v>
      </c>
      <c r="R644" s="130">
        <f t="shared" ca="1" si="166"/>
        <v>65360</v>
      </c>
      <c r="S644" s="130">
        <f t="shared" ca="1" si="166"/>
        <v>8170</v>
      </c>
      <c r="T644" s="130">
        <f t="shared" ca="1" si="163"/>
        <v>12.5</v>
      </c>
      <c r="U644" s="130">
        <f t="shared" ca="1" si="164"/>
        <v>12.5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65360</v>
      </c>
      <c r="R645" s="130">
        <f ca="1">R646+R647</f>
        <v>65360</v>
      </c>
      <c r="S645" s="130">
        <f ca="1">S646+S647</f>
        <v>8170</v>
      </c>
      <c r="T645" s="130">
        <f t="shared" ca="1" si="163"/>
        <v>12.5</v>
      </c>
      <c r="U645" s="130">
        <f t="shared" ca="1" si="164"/>
        <v>12.5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IFERROR(__xludf.DUMMYFUNCTION("IMPORTRANGE(""https://docs.google.com/spreadsheets/d/1ItG2mGa2ceCfYo0BwxsXqNm01IGEUdYcSSLTEv9YCik/edit?usp=sharing"",""เบิกจ่ายกองทุน!I55"")"),65360)</f>
        <v>65360</v>
      </c>
      <c r="R647" s="130">
        <f ca="1">IFERROR(__xludf.DUMMYFUNCTION("IMPORTRANGE(""https://docs.google.com/spreadsheets/d/1ItG2mGa2ceCfYo0BwxsXqNm01IGEUdYcSSLTEv9YCik/edit?usp=sharing"",""เบิกจ่ายกองทุน!J55"")"),65360)</f>
        <v>65360</v>
      </c>
      <c r="S647" s="130">
        <f ca="1">IFERROR(__xludf.DUMMYFUNCTION("IMPORTRANGE(""https://docs.google.com/spreadsheets/d/1ItG2mGa2ceCfYo0BwxsXqNm01IGEUdYcSSLTEv9YCik/edit?usp=sharing"",""เบิกจ่ายกองทุน!K55"")"),8170)</f>
        <v>8170</v>
      </c>
      <c r="T647" s="130">
        <f t="shared" ca="1" si="163"/>
        <v>12.5</v>
      </c>
      <c r="U647" s="130">
        <f t="shared" ca="1" si="164"/>
        <v>12.5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67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x14ac:dyDescent="0.3">
      <c r="A651" s="274"/>
      <c r="B651" s="275"/>
      <c r="C651" s="567" t="s">
        <v>18</v>
      </c>
      <c r="D651" s="792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567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IFERROR(__xludf.DUMMYFUNCTION("IMPORTRANGE(""https://docs.google.com/spreadsheets/d/1eHaY18a8A9IcSdp1K8H6x8fbOy06t2VsZHhMHf-1x7Y/edit?usp=sharing"",""แผน!IF55"")"),0)</f>
        <v>0</v>
      </c>
      <c r="J652" s="291">
        <f ca="1">IFERROR(__xludf.DUMMYFUNCTION("IMPORTRANGE(""https://docs.google.com/spreadsheets/d/1tdoBKaGub7dwA3U6UFTqxio9LNnvDCQjHKmttSEBsFQ/edit?usp=sharing"",""จัดที่ดิน!AU55"")"),0)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567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IFERROR(__xludf.DUMMYFUNCTION("IMPORTRANGE(""https://docs.google.com/spreadsheets/d/1eHaY18a8A9IcSdp1K8H6x8fbOy06t2VsZHhMHf-1x7Y/edit?usp=sharing"",""แผน!IG55"")"),10)</f>
        <v>10</v>
      </c>
      <c r="J653" s="291">
        <f ca="1">IFERROR(__xludf.DUMMYFUNCTION("IMPORTRANGE(""https://docs.google.com/spreadsheets/d/1tdoBKaGub7dwA3U6UFTqxio9LNnvDCQjHKmttSEBsFQ/edit?usp=sharing"",""จัดที่ดิน!AW55"")"),5)</f>
        <v>5</v>
      </c>
      <c r="K653" s="72">
        <f ca="1">IF(I653&gt;0,J653*100/I653,0)</f>
        <v>50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567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IFERROR(__xludf.DUMMYFUNCTION("IMPORTRANGE(""https://docs.google.com/spreadsheets/d/1eHaY18a8A9IcSdp1K8H6x8fbOy06t2VsZHhMHf-1x7Y/edit?usp=sharing"",""แผน!IH55"")"),50)</f>
        <v>50</v>
      </c>
      <c r="J654" s="601">
        <f>J657+J660</f>
        <v>1.44</v>
      </c>
      <c r="K654" s="262">
        <f ca="1">IF(I654&gt;0,J654*100/I654,0)</f>
        <v>2.88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67"/>
      <c r="E655" s="265" t="s">
        <v>244</v>
      </c>
      <c r="F655" s="256"/>
      <c r="G655" s="259"/>
      <c r="H655" s="273" t="s">
        <v>35</v>
      </c>
      <c r="I655" s="307"/>
      <c r="J655" s="292">
        <v>1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67"/>
      <c r="E656" s="256"/>
      <c r="F656" s="256"/>
      <c r="G656" s="259"/>
      <c r="H656" s="273" t="s">
        <v>34</v>
      </c>
      <c r="I656" s="307"/>
      <c r="J656" s="292">
        <v>1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67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IFERROR(__xludf.DUMMYFUNCTION("IMPORTRANGE(""https://docs.google.com/spreadsheets/d/1eHaY18a8A9IcSdp1K8H6x8fbOy06t2VsZHhMHf-1x7Y/edit?usp=sharing"",""แผน!II55"")"),50)</f>
        <v>50</v>
      </c>
      <c r="J657" s="292">
        <v>1.44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67"/>
      <c r="E658" s="265" t="s">
        <v>245</v>
      </c>
      <c r="F658" s="256"/>
      <c r="G658" s="259"/>
      <c r="H658" s="273" t="s">
        <v>35</v>
      </c>
      <c r="I658" s="307"/>
      <c r="J658" s="292"/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67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67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IFERROR(__xludf.DUMMYFUNCTION("IMPORTRANGE(""https://docs.google.com/spreadsheets/d/1eHaY18a8A9IcSdp1K8H6x8fbOy06t2VsZHhMHf-1x7Y/edit?usp=sharing"",""แผน!IJ55"")"),0)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1316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IFERROR(__xludf.DUMMYFUNCTION("IMPORTRANGE(""https://docs.google.com/spreadsheets/d/1eHaY18a8A9IcSdp1K8H6x8fbOy06t2VsZHhMHf-1x7Y/edit?usp=sharing"",""แผน!IK55"")"),400)</f>
        <v>400</v>
      </c>
      <c r="J661" s="601">
        <f>J667+J670</f>
        <v>240</v>
      </c>
      <c r="K661" s="262">
        <f ca="1">IF(I661&gt;0,J661*100/I661,0)</f>
        <v>60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67"/>
      <c r="E662" s="265" t="s">
        <v>247</v>
      </c>
      <c r="F662" s="256"/>
      <c r="G662" s="259"/>
      <c r="H662" s="273" t="s">
        <v>34</v>
      </c>
      <c r="I662" s="307"/>
      <c r="J662" s="292"/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67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67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67"/>
      <c r="E665" s="256"/>
      <c r="F665" s="265" t="s">
        <v>249</v>
      </c>
      <c r="G665" s="259"/>
      <c r="H665" s="273" t="s">
        <v>35</v>
      </c>
      <c r="I665" s="307"/>
      <c r="J665" s="292">
        <f>4+6</f>
        <v>10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67"/>
      <c r="E666" s="256"/>
      <c r="F666" s="256"/>
      <c r="G666" s="259"/>
      <c r="H666" s="273" t="s">
        <v>34</v>
      </c>
      <c r="I666" s="307"/>
      <c r="J666" s="292">
        <f>4+6</f>
        <v>10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67"/>
      <c r="E667" s="256"/>
      <c r="F667" s="256"/>
      <c r="G667" s="259"/>
      <c r="H667" s="273" t="s">
        <v>46</v>
      </c>
      <c r="I667" s="307"/>
      <c r="J667" s="292">
        <f>42+156</f>
        <v>198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4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4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42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IFERROR(__xludf.DUMMYFUNCTION("IMPORTRANGE(""https://docs.google.com/spreadsheets/d/1tdoBKaGub7dwA3U6UFTqxio9LNnvDCQjHKmttSEBsFQ/edit?usp=sharing"",""จัดที่ดิน!AY55"")"),0)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IFERROR(__xludf.DUMMYFUNCTION("IMPORTRANGE(""https://docs.google.com/spreadsheets/d/1tdoBKaGub7dwA3U6UFTqxio9LNnvDCQjHKmttSEBsFQ/edit?usp=sharing"",""จัดที่ดิน!AZ55"")"),0)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IFERROR(__xludf.DUMMYFUNCTION("IMPORTRANGE(""https://docs.google.com/spreadsheets/d/1eHaY18a8A9IcSdp1K8H6x8fbOy06t2VsZHhMHf-1x7Y/edit?usp=sharing"",""แผน!IL55"")"),30)</f>
        <v>30</v>
      </c>
      <c r="J673" s="291">
        <f ca="1">IFERROR(__xludf.DUMMYFUNCTION("IMPORTRANGE(""https://docs.google.com/spreadsheets/d/1tdoBKaGub7dwA3U6UFTqxio9LNnvDCQjHKmttSEBsFQ/edit?usp=sharing"",""จัดที่ดิน!BA55"")"),0)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IFERROR(__xludf.DUMMYFUNCTION("IMPORTRANGE(""https://docs.google.com/spreadsheets/d/1eHaY18a8A9IcSdp1K8H6x8fbOy06t2VsZHhMHf-1x7Y/edit?usp=sharing"",""แผน!IM55"")"),78)</f>
        <v>78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IFERROR(__xludf.DUMMYFUNCTION("IMPORTRANGE(""https://docs.google.com/spreadsheets/d/1eHaY18a8A9IcSdp1K8H6x8fbOy06t2VsZHhMHf-1x7Y/edit?usp=sharing"",""แผน!IN55"")"),550)</f>
        <v>550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IFERROR(__xludf.DUMMYFUNCTION("IMPORTRANGE(""https://docs.google.com/spreadsheets/d/1eHaY18a8A9IcSdp1K8H6x8fbOy06t2VsZHhMHf-1x7Y/edit?usp=sharing"",""แผน!IO55"")"),40)</f>
        <v>40</v>
      </c>
      <c r="J676" s="291">
        <f ca="1">IFERROR(__xludf.DUMMYFUNCTION("IMPORTRANGE(""https://docs.google.com/spreadsheets/d/1tdoBKaGub7dwA3U6UFTqxio9LNnvDCQjHKmttSEBsFQ/edit?usp=sharing"",""จัดที่ดิน!BF55"")"),0)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IFERROR(__xludf.DUMMYFUNCTION("IMPORTRANGE(""https://docs.google.com/spreadsheets/d/1tdoBKaGub7dwA3U6UFTqxio9LNnvDCQjHKmttSEBsFQ/edit?usp=sharing"",""จัดที่ดิน!BG55"")"),0)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IFERROR(__xludf.DUMMYFUNCTION("IMPORTRANGE(""https://docs.google.com/spreadsheets/d/1eHaY18a8A9IcSdp1K8H6x8fbOy06t2VsZHhMHf-1x7Y/edit?usp=sharing"",""แผน!IP55"")"),250)</f>
        <v>250</v>
      </c>
      <c r="J678" s="291">
        <f ca="1">IFERROR(__xludf.DUMMYFUNCTION("IMPORTRANGE(""https://docs.google.com/spreadsheets/d/1tdoBKaGub7dwA3U6UFTqxio9LNnvDCQjHKmttSEBsFQ/edit?usp=sharing"",""จัดที่ดิน!BH55"")"),0)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IFERROR(__xludf.DUMMYFUNCTION("IMPORTRANGE(""https://docs.google.com/spreadsheets/d/1eHaY18a8A9IcSdp1K8H6x8fbOy06t2VsZHhMHf-1x7Y/edit?usp=sharing"",""แผน!IQ55"")"),38)</f>
        <v>38</v>
      </c>
      <c r="J679" s="291">
        <f ca="1">IFERROR(__xludf.DUMMYFUNCTION("IMPORTRANGE(""https://docs.google.com/spreadsheets/d/1tdoBKaGub7dwA3U6UFTqxio9LNnvDCQjHKmttSEBsFQ/edit?usp=sharing"",""จัดที่ดิน!BK55"")"),0)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IFERROR(__xludf.DUMMYFUNCTION("IMPORTRANGE(""https://docs.google.com/spreadsheets/d/1tdoBKaGub7dwA3U6UFTqxio9LNnvDCQjHKmttSEBsFQ/edit?usp=sharing"",""จัดที่ดิน!BL55"")"),0)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IFERROR(__xludf.DUMMYFUNCTION("IMPORTRANGE(""https://docs.google.com/spreadsheets/d/1eHaY18a8A9IcSdp1K8H6x8fbOy06t2VsZHhMHf-1x7Y/edit?usp=sharing"",""แผน!IR55"")"),300)</f>
        <v>300</v>
      </c>
      <c r="J681" s="291">
        <f ca="1">IFERROR(__xludf.DUMMYFUNCTION("IMPORTRANGE(""https://docs.google.com/spreadsheets/d/1tdoBKaGub7dwA3U6UFTqxio9LNnvDCQjHKmttSEBsFQ/edit?usp=sharing"",""จัดที่ดิน!BM55"")"),0)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IFERROR(__xludf.DUMMYFUNCTION("IMPORTRANGE(""https://docs.google.com/spreadsheets/d/1eHaY18a8A9IcSdp1K8H6x8fbOy06t2VsZHhMHf-1x7Y/edit?usp=sharing"",""แผน!IS55"")"),50)</f>
        <v>50</v>
      </c>
      <c r="J682" s="601">
        <f>J685+J688</f>
        <v>81</v>
      </c>
      <c r="K682" s="262">
        <f ca="1">IF(I682&gt;0,J682*100/I682,0)</f>
        <v>162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6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2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42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15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3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39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339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150</v>
      </c>
      <c r="J689" s="743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304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296950</v>
      </c>
      <c r="R690" s="213">
        <f ca="1">R691+R692</f>
        <v>296950</v>
      </c>
      <c r="S690" s="213">
        <f ca="1">S691+S692</f>
        <v>97876</v>
      </c>
      <c r="T690" s="213">
        <f t="shared" ref="T690:T698" ca="1" si="169">IF(Q690&gt;0,S690*100/Q690,0)</f>
        <v>32.960431048998146</v>
      </c>
      <c r="U690" s="213">
        <f t="shared" ref="U690:U698" ca="1" si="170">IF(R690&gt;0,S690*100/R690,0)</f>
        <v>32.960431048998146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296950</v>
      </c>
      <c r="R692" s="130">
        <f t="shared" ca="1" si="172"/>
        <v>296950</v>
      </c>
      <c r="S692" s="130">
        <f t="shared" ca="1" si="172"/>
        <v>97876</v>
      </c>
      <c r="T692" s="130">
        <f t="shared" ca="1" si="169"/>
        <v>32.960431048998146</v>
      </c>
      <c r="U692" s="130">
        <f t="shared" ca="1" si="170"/>
        <v>32.960431048998146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296950</v>
      </c>
      <c r="R693" s="130">
        <f ca="1">R694+R695</f>
        <v>296950</v>
      </c>
      <c r="S693" s="130">
        <f ca="1">S694+S695</f>
        <v>97876</v>
      </c>
      <c r="T693" s="130">
        <f t="shared" ca="1" si="169"/>
        <v>32.960431048998146</v>
      </c>
      <c r="U693" s="130">
        <f t="shared" ca="1" si="170"/>
        <v>32.960431048998146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IFERROR(__xludf.DUMMYFUNCTION("IMPORTRANGE(""https://docs.google.com/spreadsheets/d/1ItG2mGa2ceCfYo0BwxsXqNm01IGEUdYcSSLTEv9YCik/edit?usp=sharing"",""เบิกจ่ายกองทุน!L55"")"),296950)</f>
        <v>296950</v>
      </c>
      <c r="R695" s="130">
        <f ca="1">IFERROR(__xludf.DUMMYFUNCTION("IMPORTRANGE(""https://docs.google.com/spreadsheets/d/1ItG2mGa2ceCfYo0BwxsXqNm01IGEUdYcSSLTEv9YCik/edit?usp=sharing"",""เบิกจ่ายกองทุน!M55"")"),296950)</f>
        <v>296950</v>
      </c>
      <c r="S695" s="130">
        <f ca="1">IFERROR(__xludf.DUMMYFUNCTION("IMPORTRANGE(""https://docs.google.com/spreadsheets/d/1ItG2mGa2ceCfYo0BwxsXqNm01IGEUdYcSSLTEv9YCik/edit?usp=sharing"",""เบิกจ่ายกองทุน!N55"")"),97876)</f>
        <v>97876</v>
      </c>
      <c r="T695" s="130">
        <f t="shared" ca="1" si="169"/>
        <v>32.960431048998146</v>
      </c>
      <c r="U695" s="130">
        <f t="shared" ca="1" si="170"/>
        <v>32.960431048998146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304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IFERROR(__xludf.DUMMYFUNCTION("IMPORTRANGE(""https://docs.google.com/spreadsheets/d/1eHaY18a8A9IcSdp1K8H6x8fbOy06t2VsZHhMHf-1x7Y/edit?usp=sharing"",""แผน!LC55"")"),2)</f>
        <v>2</v>
      </c>
      <c r="J700" s="292">
        <v>0</v>
      </c>
      <c r="K700" s="746">
        <f t="shared" ref="K700:K708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IFERROR(__xludf.DUMMYFUNCTION("IMPORTRANGE(""https://docs.google.com/spreadsheets/d/1eHaY18a8A9IcSdp1K8H6x8fbOy06t2VsZHhMHf-1x7Y/edit?usp=sharing"",""แผน!LI55"")"),155)</f>
        <v>155</v>
      </c>
      <c r="J701" s="601">
        <f ca="1">IFERROR(__xludf.DUMMYFUNCTION("IMPORTRANGE(""https://docs.google.com/spreadsheets/d/1tdoBKaGub7dwA3U6UFTqxio9LNnvDCQjHKmttSEBsFQ/edit?usp=sharing"",""จัดที่ดิน!AP55"")"),50)</f>
        <v>50</v>
      </c>
      <c r="K701" s="262">
        <f t="shared" ca="1" si="173"/>
        <v>32.258064516129032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IFERROR(__xludf.DUMMYFUNCTION("IMPORTRANGE(""https://docs.google.com/spreadsheets/d/1tdoBKaGub7dwA3U6UFTqxio9LNnvDCQjHKmttSEBsFQ/edit?usp=sharing"",""จัดที่ดิน!AQ55"")"),29.52)</f>
        <v>29.52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IFERROR(__xludf.DUMMYFUNCTION("IMPORTRANGE(""https://docs.google.com/spreadsheets/d/1eHaY18a8A9IcSdp1K8H6x8fbOy06t2VsZHhMHf-1x7Y/edit?usp=sharing"",""แผน!LJ55"")"),150)</f>
        <v>150</v>
      </c>
      <c r="J703" s="291">
        <f ca="1">IFERROR(__xludf.DUMMYFUNCTION("IMPORTRANGE(""https://docs.google.com/spreadsheets/d/1tdoBKaGub7dwA3U6UFTqxio9LNnvDCQjHKmttSEBsFQ/edit?usp=sharing"",""จัดที่ดิน!AP55"")"),50)</f>
        <v>50</v>
      </c>
      <c r="K703" s="72">
        <f t="shared" ca="1" si="173"/>
        <v>33.333333333333336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IFERROR(__xludf.DUMMYFUNCTION("IMPORTRANGE(""https://docs.google.com/spreadsheets/d/1tdoBKaGub7dwA3U6UFTqxio9LNnvDCQjHKmttSEBsFQ/edit?usp=sharing"",""จัดที่ดิน!AP55"")"),50)</f>
        <v>50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IFERROR(__xludf.DUMMYFUNCTION("IMPORTRANGE(""https://docs.google.com/spreadsheets/d/1eHaY18a8A9IcSdp1K8H6x8fbOy06t2VsZHhMHf-1x7Y/edit?usp=sharing"",""แผน!LK55"")"),5)</f>
        <v>5</v>
      </c>
      <c r="J705" s="291">
        <f ca="1">IFERROR(__xludf.DUMMYFUNCTION("IMPORTRANGE(""https://docs.google.com/spreadsheets/d/1tdoBKaGub7dwA3U6UFTqxio9LNnvDCQjHKmttSEBsFQ/edit?usp=sharing"",""จัดที่ดิน!AQ55"")"),29.52)</f>
        <v>29.52</v>
      </c>
      <c r="K705" s="746">
        <f t="shared" ca="1" si="173"/>
        <v>590.4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IFERROR(__xludf.DUMMYFUNCTION("IMPORTRANGE(""https://docs.google.com/spreadsheets/d/1tdoBKaGub7dwA3U6UFTqxio9LNnvDCQjHKmttSEBsFQ/edit?usp=sharing"",""จัดที่ดิน!AP55"")"),50)</f>
        <v>50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IFERROR(__xludf.DUMMYFUNCTION("IMPORTRANGE(""https://docs.google.com/spreadsheets/d/1eHaY18a8A9IcSdp1K8H6x8fbOy06t2VsZHhMHf-1x7Y/edit?usp=sharing"",""แผน!LJ55"")"),150)</f>
        <v>150</v>
      </c>
      <c r="J707" s="291">
        <f ca="1">IFERROR(__xludf.DUMMYFUNCTION("IMPORTRANGE(""https://docs.google.com/spreadsheets/d/1tdoBKaGub7dwA3U6UFTqxio9LNnvDCQjHKmttSEBsFQ/edit?usp=sharing"",""จัดที่ดิน!AR55"")"),0)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IFERROR(__xludf.DUMMYFUNCTION("IMPORTRANGE(""https://docs.google.com/spreadsheets/d/1tdoBKaGub7dwA3U6UFTqxio9LNnvDCQjHKmttSEBsFQ/edit?usp=sharing"",""จัดที่ดิน!AS55"")"),0)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IFERROR(__xludf.DUMMYFUNCTION("IMPORTRANGE(""https://docs.google.com/spreadsheets/d/1eHaY18a8A9IcSdp1K8H6x8fbOy06t2VsZHhMHf-1x7Y/edit?usp=sharing"",""แผน!LK55"")"),5)</f>
        <v>5</v>
      </c>
      <c r="J709" s="291">
        <v>0</v>
      </c>
      <c r="K709" s="72"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v>0</v>
      </c>
      <c r="K710" s="72"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321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338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IFERROR(__xludf.DUMMYFUNCTION("IMPORTRANGE(""https://docs.google.com/spreadsheets/d/1eHaY18a8A9IcSdp1K8H6x8fbOy06t2VsZHhMHf-1x7Y/edit?usp=sharing"",""แผน!GA55"")"),128)</f>
        <v>128</v>
      </c>
      <c r="J726" s="743">
        <f>J742+J746+J749</f>
        <v>128</v>
      </c>
      <c r="K726" s="744">
        <f ca="1">IF(I726&gt;0,J726*100/I726,0)</f>
        <v>100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IFERROR(__xludf.DUMMYFUNCTION("IMPORTRANGE(""https://docs.google.com/spreadsheets/d/1eHaY18a8A9IcSdp1K8H6x8fbOy06t2VsZHhMHf-1x7Y/edit?usp=sharing"",""แผน!FZ55"")"),1250)</f>
        <v>1250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304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1008470</v>
      </c>
      <c r="R728" s="213">
        <f ca="1">R729+R730</f>
        <v>1008470</v>
      </c>
      <c r="S728" s="213">
        <f ca="1">S729+S730</f>
        <v>197602.01</v>
      </c>
      <c r="T728" s="213">
        <f t="shared" ref="T728:T736" ca="1" si="182">IF(Q728&gt;0,S728*100/Q728,0)</f>
        <v>19.594237805784999</v>
      </c>
      <c r="U728" s="213">
        <f t="shared" ref="U728:U736" ca="1" si="183">IF(R728&gt;0,S728*100/R728,0)</f>
        <v>19.594237805784999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1008470</v>
      </c>
      <c r="R730" s="130">
        <f t="shared" ca="1" si="185"/>
        <v>1008470</v>
      </c>
      <c r="S730" s="130">
        <f t="shared" ca="1" si="185"/>
        <v>197602.01</v>
      </c>
      <c r="T730" s="130">
        <f t="shared" ca="1" si="182"/>
        <v>19.594237805784999</v>
      </c>
      <c r="U730" s="130">
        <f t="shared" ca="1" si="183"/>
        <v>19.594237805784999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1008470</v>
      </c>
      <c r="R731" s="130">
        <f ca="1">R732+R733</f>
        <v>1008470</v>
      </c>
      <c r="S731" s="130">
        <f ca="1">S732+S733</f>
        <v>197602.01</v>
      </c>
      <c r="T731" s="130">
        <f t="shared" ca="1" si="182"/>
        <v>19.594237805784999</v>
      </c>
      <c r="U731" s="130">
        <f t="shared" ca="1" si="183"/>
        <v>19.594237805784999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IFERROR(__xludf.DUMMYFUNCTION("IMPORTRANGE(""https://docs.google.com/spreadsheets/d/1ItG2mGa2ceCfYo0BwxsXqNm01IGEUdYcSSLTEv9YCik/edit?usp=sharing"",""เบิกจ่ายกองทุน!O55"")"),1008470)</f>
        <v>1008470</v>
      </c>
      <c r="R733" s="130">
        <f ca="1">IFERROR(__xludf.DUMMYFUNCTION("IMPORTRANGE(""https://docs.google.com/spreadsheets/d/1ItG2mGa2ceCfYo0BwxsXqNm01IGEUdYcSSLTEv9YCik/edit?usp=sharing"",""เบิกจ่ายกองทุน!P55"")"),1008470)</f>
        <v>1008470</v>
      </c>
      <c r="S733" s="130">
        <f ca="1">IFERROR(__xludf.DUMMYFUNCTION("IMPORTRANGE(""https://docs.google.com/spreadsheets/d/1ItG2mGa2ceCfYo0BwxsXqNm01IGEUdYcSSLTEv9YCik/edit?usp=sharing"",""เบิกจ่ายกองทุน!Q55"")"),197602.01)</f>
        <v>197602.01</v>
      </c>
      <c r="T733" s="130">
        <f t="shared" ca="1" si="182"/>
        <v>19.594237805784999</v>
      </c>
      <c r="U733" s="130">
        <f t="shared" ca="1" si="183"/>
        <v>19.594237805784999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304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IFERROR(__xludf.DUMMYFUNCTION("IMPORTRANGE(""https://docs.google.com/spreadsheets/d/1eHaY18a8A9IcSdp1K8H6x8fbOy06t2VsZHhMHf-1x7Y/edit?usp=sharing"",""แผน!GB55"")"),1000)</f>
        <v>1000</v>
      </c>
      <c r="J740" s="292">
        <v>1000</v>
      </c>
      <c r="K740" s="72">
        <f ca="1">IF(I740&gt;0,J740*100/I740,0)</f>
        <v>100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IFERROR(__xludf.DUMMYFUNCTION("IMPORTRANGE(""https://docs.google.com/spreadsheets/d/1eHaY18a8A9IcSdp1K8H6x8fbOy06t2VsZHhMHf-1x7Y/edit?usp=sharing"",""แผน!GC55"")"),100)</f>
        <v>100</v>
      </c>
      <c r="J742" s="794">
        <v>100</v>
      </c>
      <c r="K742" s="86">
        <f ca="1">IF(I742&gt;0,J742*100/I742,0)</f>
        <v>100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IFERROR(__xludf.DUMMYFUNCTION("IMPORTRANGE(""https://docs.google.com/spreadsheets/d/1eHaY18a8A9IcSdp1K8H6x8fbOy06t2VsZHhMHf-1x7Y/edit?usp=sharing"",""แผน!GD55"")"),250)</f>
        <v>250</v>
      </c>
      <c r="J744" s="794">
        <v>250</v>
      </c>
      <c r="K744" s="86">
        <f ca="1">IF(I744&gt;0,J744*100/I744,0)</f>
        <v>100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IFERROR(__xludf.DUMMYFUNCTION("IMPORTRANGE(""https://docs.google.com/spreadsheets/d/1eHaY18a8A9IcSdp1K8H6x8fbOy06t2VsZHhMHf-1x7Y/edit?usp=sharing"",""แผน!GE55"")"),25)</f>
        <v>25</v>
      </c>
      <c r="J746" s="794">
        <v>25</v>
      </c>
      <c r="K746" s="86">
        <f ca="1">IF(I746&gt;0,J746*100/I746,0)</f>
        <v>100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IFERROR(__xludf.DUMMYFUNCTION("IMPORTRANGE(""https://docs.google.com/spreadsheets/d/1eHaY18a8A9IcSdp1K8H6x8fbOy06t2VsZHhMHf-1x7Y/edit?usp=sharing"",""แผน!GF55"")"),3)</f>
        <v>3</v>
      </c>
      <c r="J749" s="794">
        <v>3</v>
      </c>
      <c r="K749" s="86">
        <f ca="1">IF(I749&gt;0,J749*100/I749,0)</f>
        <v>100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IFERROR(__xludf.DUMMYFUNCTION("IMPORTRANGE(""https://docs.google.com/spreadsheets/d/1eHaY18a8A9IcSdp1K8H6x8fbOy06t2VsZHhMHf-1x7Y/edit?usp=sharing"",""แผน!GB55"")"),1000)</f>
        <v>1000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IFERROR(__xludf.DUMMYFUNCTION("IMPORTRANGE(""https://docs.google.com/spreadsheets/d/1eHaY18a8A9IcSdp1K8H6x8fbOy06t2VsZHhMHf-1x7Y/edit?usp=sharing"",""แผน!GD55"")"),250)</f>
        <v>250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334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70</v>
      </c>
      <c r="J758" s="743">
        <f>J772</f>
        <v>70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85</v>
      </c>
      <c r="J759" s="743">
        <f>J774</f>
        <v>85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409400</v>
      </c>
      <c r="R760" s="213">
        <f ca="1">R761+R762</f>
        <v>409400</v>
      </c>
      <c r="S760" s="213">
        <f ca="1">S761+S762</f>
        <v>344053.34</v>
      </c>
      <c r="T760" s="213">
        <f t="shared" ref="T760:T768" ca="1" si="188">IF(Q760&gt;0,S760*100/Q760,0)</f>
        <v>84.038431851489989</v>
      </c>
      <c r="U760" s="213">
        <f t="shared" ref="U760:U768" ca="1" si="189">IF(R760&gt;0,S760*100/R760,0)</f>
        <v>84.038431851489989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409400</v>
      </c>
      <c r="R762" s="130">
        <f t="shared" ca="1" si="191"/>
        <v>409400</v>
      </c>
      <c r="S762" s="130">
        <f t="shared" ca="1" si="191"/>
        <v>344053.34</v>
      </c>
      <c r="T762" s="130">
        <f t="shared" ca="1" si="188"/>
        <v>84.038431851489989</v>
      </c>
      <c r="U762" s="130">
        <f t="shared" ca="1" si="189"/>
        <v>84.038431851489989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409400</v>
      </c>
      <c r="R763" s="130">
        <f ca="1">R764+R765</f>
        <v>409400</v>
      </c>
      <c r="S763" s="130">
        <f ca="1">S764+S765</f>
        <v>344053.34</v>
      </c>
      <c r="T763" s="130">
        <f t="shared" ca="1" si="188"/>
        <v>84.038431851489989</v>
      </c>
      <c r="U763" s="130">
        <f t="shared" ca="1" si="189"/>
        <v>84.038431851489989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IFERROR(__xludf.DUMMYFUNCTION("IMPORTRANGE(""https://docs.google.com/spreadsheets/d/1ItG2mGa2ceCfYo0BwxsXqNm01IGEUdYcSSLTEv9YCik/edit?usp=sharing"",""เบิกจ่ายกองทุน!AA55"")"),409400)</f>
        <v>409400</v>
      </c>
      <c r="R765" s="130">
        <f ca="1">IFERROR(__xludf.DUMMYFUNCTION("IMPORTRANGE(""https://docs.google.com/spreadsheets/d/1ItG2mGa2ceCfYo0BwxsXqNm01IGEUdYcSSLTEv9YCik/edit?usp=sharing"",""เบิกจ่ายกองทุน!AB55"")"),409400)</f>
        <v>409400</v>
      </c>
      <c r="S765" s="130">
        <f ca="1">IFERROR(__xludf.DUMMYFUNCTION("IMPORTRANGE(""https://docs.google.com/spreadsheets/d/1ItG2mGa2ceCfYo0BwxsXqNm01IGEUdYcSSLTEv9YCik/edit?usp=sharing"",""เบิกจ่ายกองทุน!AC55"")"),344053.34)</f>
        <v>344053.34</v>
      </c>
      <c r="T765" s="130">
        <f t="shared" ca="1" si="188"/>
        <v>84.038431851489989</v>
      </c>
      <c r="U765" s="130">
        <f t="shared" ca="1" si="189"/>
        <v>84.038431851489989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IFERROR(__xludf.DUMMYFUNCTION("IMPORTRANGE(""https://docs.google.com/spreadsheets/d/1eHaY18a8A9IcSdp1K8H6x8fbOy06t2VsZHhMHf-1x7Y/edit?usp=sharing"",""แผน!FI55"")"),0)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IFERROR(__xludf.DUMMYFUNCTION("IMPORTRANGE(""https://docs.google.com/spreadsheets/d/1eHaY18a8A9IcSdp1K8H6x8fbOy06t2VsZHhMHf-1x7Y/edit?usp=sharing"",""แผน!FQ55"")"),70)</f>
        <v>70</v>
      </c>
      <c r="J772" s="292">
        <v>70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IFERROR(__xludf.DUMMYFUNCTION("IMPORTRANGE(""https://docs.google.com/spreadsheets/d/1eHaY18a8A9IcSdp1K8H6x8fbOy06t2VsZHhMHf-1x7Y/edit?usp=sharing"",""แผน!FR55"")"),85)</f>
        <v>85</v>
      </c>
      <c r="J774" s="292">
        <v>85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IFERROR(__xludf.DUMMYFUNCTION("IMPORTRANGE(""https://docs.google.com/spreadsheets/d/1eHaY18a8A9IcSdp1K8H6x8fbOy06t2VsZHhMHf-1x7Y/edit?usp=sharing"",""แผน!FS55"")"),85)</f>
        <v>85</v>
      </c>
      <c r="J775" s="292">
        <v>85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IFERROR(__xludf.DUMMYFUNCTION("IMPORTRANGE(""https://docs.google.com/spreadsheets/d/1eHaY18a8A9IcSdp1K8H6x8fbOy06t2VsZHhMHf-1x7Y/edit?usp=sharing"",""แผน!FT55"")"),70)</f>
        <v>70</v>
      </c>
      <c r="J776" s="739">
        <v>70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IFERROR(__xludf.DUMMYFUNCTION("IMPORTRANGE(""https://docs.google.com/spreadsheets/d/10OvvATaaLtwErnr3qtWFcTmtbfpFEt5Bsqel9sXx0uE/edit?usp=sharing"",""งานกองทุน!D55"")"),923401.45)</f>
        <v>923401.45</v>
      </c>
      <c r="J778" s="291">
        <f ca="1">IFERROR(__xludf.DUMMYFUNCTION("IMPORTRANGE(""https://docs.google.com/spreadsheets/d/10OvvATaaLtwErnr3qtWFcTmtbfpFEt5Bsqel9sXx0uE/edit?usp=sharing"",""งานกองทุน!F55"")"),908565.94)</f>
        <v>908565.94</v>
      </c>
      <c r="K778" s="72">
        <f t="shared" ref="K778:K785" ca="1" si="192">IF(I778&gt;0,J778*100/I778,0)</f>
        <v>98.393384589118853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IFERROR(__xludf.DUMMYFUNCTION("IMPORTRANGE(""https://docs.google.com/spreadsheets/d/10OvvATaaLtwErnr3qtWFcTmtbfpFEt5Bsqel9sXx0uE/edit?usp=sharing"",""งานกองทุน!C55"")"),39)</f>
        <v>39</v>
      </c>
      <c r="J779" s="291">
        <f ca="1">IFERROR(__xludf.DUMMYFUNCTION("IMPORTRANGE(""https://docs.google.com/spreadsheets/d/10OvvATaaLtwErnr3qtWFcTmtbfpFEt5Bsqel9sXx0uE/edit?usp=sharing"",""งานกองทุน!E55"")"),41)</f>
        <v>41</v>
      </c>
      <c r="K779" s="72">
        <f t="shared" ca="1" si="192"/>
        <v>105.12820512820512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IFERROR(__xludf.DUMMYFUNCTION("IMPORTRANGE(""https://docs.google.com/spreadsheets/d/10OvvATaaLtwErnr3qtWFcTmtbfpFEt5Bsqel9sXx0uE/edit?usp=sharing"",""งานกองทุน!I55"")"),9589497.22)</f>
        <v>9589497.2200000007</v>
      </c>
      <c r="J780" s="291">
        <f ca="1">IFERROR(__xludf.DUMMYFUNCTION("IMPORTRANGE(""https://docs.google.com/spreadsheets/d/10OvvATaaLtwErnr3qtWFcTmtbfpFEt5Bsqel9sXx0uE/edit?usp=sharing"",""งานกองทุน!K55"")"),601175.12)</f>
        <v>601175.12</v>
      </c>
      <c r="K780" s="72">
        <f t="shared" ca="1" si="192"/>
        <v>6.2690994763122729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IFERROR(__xludf.DUMMYFUNCTION("IMPORTRANGE(""https://docs.google.com/spreadsheets/d/10OvvATaaLtwErnr3qtWFcTmtbfpFEt5Bsqel9sXx0uE/edit?usp=sharing"",""งานกองทุน!H55"")"),236)</f>
        <v>236</v>
      </c>
      <c r="J781" s="291">
        <f ca="1">IFERROR(__xludf.DUMMYFUNCTION("IMPORTRANGE(""https://docs.google.com/spreadsheets/d/10OvvATaaLtwErnr3qtWFcTmtbfpFEt5Bsqel9sXx0uE/edit?usp=sharing"",""งานกองทุน!J55"")"),50)</f>
        <v>50</v>
      </c>
      <c r="K781" s="72">
        <f t="shared" ca="1" si="192"/>
        <v>21.1864406779661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IFERROR(__xludf.DUMMYFUNCTION("IMPORTRANGE(""https://docs.google.com/spreadsheets/d/10OvvATaaLtwErnr3qtWFcTmtbfpFEt5Bsqel9sXx0uE/edit?usp=sharing"",""งานกองทุน!N55"")"),5665825.07)</f>
        <v>5665825.0700000003</v>
      </c>
      <c r="J782" s="291">
        <f ca="1">IFERROR(__xludf.DUMMYFUNCTION("IMPORTRANGE(""https://docs.google.com/spreadsheets/d/10OvvATaaLtwErnr3qtWFcTmtbfpFEt5Bsqel9sXx0uE/edit?usp=sharing"",""งานกองทุน!P55"")"),2685503.25)</f>
        <v>2685503.25</v>
      </c>
      <c r="K782" s="72">
        <f t="shared" ca="1" si="192"/>
        <v>47.398273275669624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IFERROR(__xludf.DUMMYFUNCTION("IMPORTRANGE(""https://docs.google.com/spreadsheets/d/10OvvATaaLtwErnr3qtWFcTmtbfpFEt5Bsqel9sXx0uE/edit?usp=sharing"",""งานกองทุน!M55"")"),2544)</f>
        <v>2544</v>
      </c>
      <c r="J783" s="291">
        <f ca="1">IFERROR(__xludf.DUMMYFUNCTION("IMPORTRANGE(""https://docs.google.com/spreadsheets/d/10OvvATaaLtwErnr3qtWFcTmtbfpFEt5Bsqel9sXx0uE/edit?usp=sharing"",""งานกองทุน!O55"")"),695)</f>
        <v>695</v>
      </c>
      <c r="K783" s="72">
        <f t="shared" ca="1" si="192"/>
        <v>27.319182389937108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IFERROR(__xludf.DUMMYFUNCTION("IMPORTRANGE(""https://docs.google.com/spreadsheets/d/10OvvATaaLtwErnr3qtWFcTmtbfpFEt5Bsqel9sXx0uE/edit?usp=sharing"",""งานกองทุน!S55"")"),5264000)</f>
        <v>5264000</v>
      </c>
      <c r="J784" s="291">
        <f ca="1">IFERROR(__xludf.DUMMYFUNCTION("IMPORTRANGE(""https://docs.google.com/spreadsheets/d/10OvvATaaLtwErnr3qtWFcTmtbfpFEt5Bsqel9sXx0uE/edit?usp=sharing"",""งานกองทุน!U55"")"),2970000)</f>
        <v>2970000</v>
      </c>
      <c r="K784" s="72">
        <f t="shared" ca="1" si="192"/>
        <v>56.420972644376903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IFERROR(__xludf.DUMMYFUNCTION("IMPORTRANGE(""https://docs.google.com/spreadsheets/d/10OvvATaaLtwErnr3qtWFcTmtbfpFEt5Bsqel9sXx0uE/edit?usp=sharing"",""งานกองทุน!R55"")"),188)</f>
        <v>188</v>
      </c>
      <c r="J785" s="773">
        <f ca="1">IFERROR(__xludf.DUMMYFUNCTION("IMPORTRANGE(""https://docs.google.com/spreadsheets/d/10OvvATaaLtwErnr3qtWFcTmtbfpFEt5Bsqel9sXx0uE/edit?usp=sharing"",""งานกองทุน!T55"")"),94)</f>
        <v>94</v>
      </c>
      <c r="K785" s="181">
        <f t="shared" ca="1" si="192"/>
        <v>50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446AA-CCC4-4EC2-B04E-B680EB37B91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347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249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1252">
        <f ca="1">L19+L20</f>
        <v>3162050</v>
      </c>
      <c r="M18" s="1251">
        <f ca="1">M19+M20</f>
        <v>3212774</v>
      </c>
      <c r="N18" s="1251">
        <f ca="1">N19+N20</f>
        <v>2392581.5099999998</v>
      </c>
      <c r="O18" s="1251">
        <f t="shared" ref="O18:O26" ca="1" si="0">IF(L18&gt;0,N18*100/L18,0)</f>
        <v>75.665517939311513</v>
      </c>
      <c r="P18" s="1251">
        <f t="shared" ref="P18:P26" ca="1" si="1">IF(M18&gt;0,N18*100/M18,0)</f>
        <v>74.470893688756192</v>
      </c>
      <c r="Q18" s="1251">
        <f ca="1">Q19+Q20</f>
        <v>1784652.3900000001</v>
      </c>
      <c r="R18" s="1251">
        <f ca="1">R19+R20</f>
        <v>1792352</v>
      </c>
      <c r="S18" s="1251">
        <f ca="1">S19+S20</f>
        <v>819286.8</v>
      </c>
      <c r="T18" s="1251">
        <f t="shared" ref="T18:T26" ca="1" si="2">IF(Q18&gt;0,S18*100/Q18,0)</f>
        <v>45.907360144235142</v>
      </c>
      <c r="U18" s="1251">
        <f t="shared" ref="U18:U26" ca="1" si="3">IF(R18&gt;0,S18*100/R18,0)</f>
        <v>45.710150684686937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1245">
        <f t="shared" ref="L19:N20" si="4">L22+L25</f>
        <v>0</v>
      </c>
      <c r="M19" s="1244">
        <f t="shared" si="4"/>
        <v>0</v>
      </c>
      <c r="N19" s="1244">
        <f t="shared" si="4"/>
        <v>0</v>
      </c>
      <c r="O19" s="1244">
        <f t="shared" si="0"/>
        <v>0</v>
      </c>
      <c r="P19" s="1244">
        <f t="shared" si="1"/>
        <v>0</v>
      </c>
      <c r="Q19" s="1244">
        <f t="shared" ref="Q19:S20" si="5">Q22+Q25</f>
        <v>0</v>
      </c>
      <c r="R19" s="1244">
        <f t="shared" si="5"/>
        <v>0</v>
      </c>
      <c r="S19" s="1244">
        <f t="shared" si="5"/>
        <v>0</v>
      </c>
      <c r="T19" s="1244">
        <f t="shared" si="2"/>
        <v>0</v>
      </c>
      <c r="U19" s="1244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1243">
        <f t="shared" ca="1" si="4"/>
        <v>3162050</v>
      </c>
      <c r="M20" s="1242">
        <f t="shared" ca="1" si="4"/>
        <v>3212774</v>
      </c>
      <c r="N20" s="1242">
        <f t="shared" ca="1" si="4"/>
        <v>2392581.5099999998</v>
      </c>
      <c r="O20" s="1242">
        <f t="shared" ca="1" si="0"/>
        <v>75.665517939311513</v>
      </c>
      <c r="P20" s="1242">
        <f t="shared" ca="1" si="1"/>
        <v>74.470893688756192</v>
      </c>
      <c r="Q20" s="1242">
        <f t="shared" ca="1" si="5"/>
        <v>1784652.3900000001</v>
      </c>
      <c r="R20" s="1242">
        <f t="shared" ca="1" si="5"/>
        <v>1792352</v>
      </c>
      <c r="S20" s="1242">
        <f t="shared" ca="1" si="5"/>
        <v>819286.8</v>
      </c>
      <c r="T20" s="1242">
        <f t="shared" ca="1" si="2"/>
        <v>45.907360144235142</v>
      </c>
      <c r="U20" s="1242">
        <f t="shared" ca="1" si="3"/>
        <v>45.710150684686937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129">
        <f ca="1">L22+L23</f>
        <v>2932050</v>
      </c>
      <c r="M21" s="130">
        <f ca="1">M22+M23</f>
        <v>2982774</v>
      </c>
      <c r="N21" s="130">
        <f ca="1">N22+N23</f>
        <v>2162581.5099999998</v>
      </c>
      <c r="O21" s="130">
        <f t="shared" ca="1" si="0"/>
        <v>73.756638188298282</v>
      </c>
      <c r="P21" s="130">
        <f t="shared" ca="1" si="1"/>
        <v>72.502358878010867</v>
      </c>
      <c r="Q21" s="130">
        <f ca="1">Q22+Q23</f>
        <v>1784652.3900000001</v>
      </c>
      <c r="R21" s="130">
        <f ca="1">R22+R23</f>
        <v>1792352</v>
      </c>
      <c r="S21" s="130">
        <f ca="1">S22+S23</f>
        <v>819286.8</v>
      </c>
      <c r="T21" s="130">
        <f t="shared" ca="1" si="2"/>
        <v>45.907360144235142</v>
      </c>
      <c r="U21" s="130">
        <f t="shared" ca="1" si="3"/>
        <v>45.710150684686937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215">
        <f>L48+L63+L76+L98+L129+L143+L161+L190+L177+L270+L286+L307+L324+L337+L360+L517</f>
        <v>0</v>
      </c>
      <c r="M22" s="131">
        <f>M48+M63+M76+M98+M129+M143+M161+M190+M177+M270+M286+M307+M324+M337+M360+M517</f>
        <v>0</v>
      </c>
      <c r="N22" s="131">
        <f>N48+N63+N76+N98+N129+N143+N161+N190+N177+N270+N286+N307+N324+N337+N360+N517</f>
        <v>0</v>
      </c>
      <c r="O22" s="131">
        <f t="shared" si="0"/>
        <v>0</v>
      </c>
      <c r="P22" s="131">
        <f t="shared" si="1"/>
        <v>0</v>
      </c>
      <c r="Q22" s="131">
        <f t="shared" ref="Q22:S23" si="6">Q76+Q98+Q121+Q143+Q161+Q177+Q190+Q270+Q286+Q307+Q337+Q379+Q396+Q417+Q497+Q603+Q620+Q646+Q694+Q718+Q732+Q764</f>
        <v>0</v>
      </c>
      <c r="R22" s="131">
        <f t="shared" si="6"/>
        <v>0</v>
      </c>
      <c r="S22" s="131">
        <f t="shared" si="6"/>
        <v>0</v>
      </c>
      <c r="T22" s="131">
        <f t="shared" si="2"/>
        <v>0</v>
      </c>
      <c r="U22" s="131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129">
        <f ca="1">L49+L64+L77+L99+L122+L144+L162+L191+L178+L271+L287+L308+L325+L338+L361+L380+L418+L498+L518+L539+L560+L581+L604+L621+L647+L695+L719+L733+L765</f>
        <v>2932050</v>
      </c>
      <c r="M23" s="130">
        <f ca="1">M49+M64+M77+M99+M122+M144+M162+M191+M178+M271+M287+M308+M325+M338+M361+M380+M418+M498+M518+M539+M560+M581+M604+M621+M647+M695+M719+M733+M765</f>
        <v>2982774</v>
      </c>
      <c r="N23" s="130">
        <f ca="1">N49+N64+N77+N99+N122+N144+N162+N191+N178+N271+N287+N308+N325+N338+N361+N380+N418+N498+N518+N539+N560+N581+N604+N621+N647+N695+N719+N733+N765</f>
        <v>2162581.5099999998</v>
      </c>
      <c r="O23" s="130">
        <f t="shared" ca="1" si="0"/>
        <v>73.756638188298282</v>
      </c>
      <c r="P23" s="130">
        <f t="shared" ca="1" si="1"/>
        <v>72.502358878010867</v>
      </c>
      <c r="Q23" s="130">
        <f t="shared" ca="1" si="6"/>
        <v>1784652.3900000001</v>
      </c>
      <c r="R23" s="130">
        <f t="shared" ca="1" si="6"/>
        <v>1792352</v>
      </c>
      <c r="S23" s="130">
        <f t="shared" ca="1" si="6"/>
        <v>819286.8</v>
      </c>
      <c r="T23" s="130">
        <f t="shared" ca="1" si="2"/>
        <v>45.907360144235142</v>
      </c>
      <c r="U23" s="130">
        <f t="shared" ca="1" si="3"/>
        <v>45.710150684686937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129">
        <f ca="1">L25+L26</f>
        <v>230000</v>
      </c>
      <c r="M24" s="130">
        <f ca="1">M25+M26</f>
        <v>230000</v>
      </c>
      <c r="N24" s="130">
        <f ca="1">N25+N26</f>
        <v>230000</v>
      </c>
      <c r="O24" s="130">
        <f t="shared" ca="1" si="0"/>
        <v>100</v>
      </c>
      <c r="P24" s="130">
        <f t="shared" ca="1" si="1"/>
        <v>100</v>
      </c>
      <c r="Q24" s="130">
        <f ca="1">Q25+Q26</f>
        <v>0</v>
      </c>
      <c r="R24" s="130">
        <f ca="1">R25+R26</f>
        <v>0</v>
      </c>
      <c r="S24" s="130">
        <f ca="1">S25+S26</f>
        <v>0</v>
      </c>
      <c r="T24" s="130">
        <f t="shared" ca="1" si="2"/>
        <v>0</v>
      </c>
      <c r="U24" s="130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215">
        <f>L51+L66+L79+L101+L132+L146+L164+L193+L180+L273+L289+L310+L327+L340+L363+L520</f>
        <v>0</v>
      </c>
      <c r="M25" s="131">
        <f>M51+M66+M79+M101+M132+M146+M164+M193+M180+M273+M289+M310+M327+M340+M363+M520</f>
        <v>0</v>
      </c>
      <c r="N25" s="131">
        <f>N51+N66+N79+N101+N132+N146+N164+N193+N180+N273+N289+N310+N327+N340+N363+N520</f>
        <v>0</v>
      </c>
      <c r="O25" s="131">
        <f t="shared" si="0"/>
        <v>0</v>
      </c>
      <c r="P25" s="131">
        <f t="shared" si="1"/>
        <v>0</v>
      </c>
      <c r="Q25" s="131">
        <f t="shared" ref="Q25:S26" si="7">Q79+Q101+Q124+Q146+Q164+Q180+Q193+Q273+Q289+Q310+Q340+Q382+Q399+Q420+Q500+Q606+Q623+Q649+Q697+Q721+Q735+Q767</f>
        <v>0</v>
      </c>
      <c r="R25" s="131">
        <f t="shared" si="7"/>
        <v>0</v>
      </c>
      <c r="S25" s="131">
        <f t="shared" si="7"/>
        <v>0</v>
      </c>
      <c r="T25" s="131">
        <f t="shared" si="2"/>
        <v>0</v>
      </c>
      <c r="U25" s="131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129">
        <f ca="1">L52+L67+L80+L102+L125+L147+L165+L194+L181+L274+L290+L311+L328+L341+L364+L383+L421+L501+L521+L542+L563+L584+L607+L624+L650+L698+L722+L736+L768</f>
        <v>230000</v>
      </c>
      <c r="M26" s="130">
        <f ca="1">M52+M67+M80+M102+M125+M147+M165+M194+M181+M274+M290+M311+M328+M341+M364+M383+M421+M501+M521+M542+M563+M584+M607+M624+M650+M698+M722+M736+M768</f>
        <v>230000</v>
      </c>
      <c r="N26" s="130">
        <f ca="1">N52+N67+N80+N102+N125+N147+N165+N194+N181+N274+N290+N311+N328+N341+N364+N383+N421+N501+N521+N542+N563+N584+N607+N624+N650+N698+N722+N736+N768</f>
        <v>230000</v>
      </c>
      <c r="O26" s="130">
        <f t="shared" ca="1" si="0"/>
        <v>100</v>
      </c>
      <c r="P26" s="130">
        <f t="shared" ca="1" si="1"/>
        <v>100</v>
      </c>
      <c r="Q26" s="131">
        <f t="shared" ca="1" si="7"/>
        <v>0</v>
      </c>
      <c r="R26" s="131">
        <f t="shared" ca="1" si="7"/>
        <v>0</v>
      </c>
      <c r="S26" s="131">
        <f t="shared" ca="1" si="7"/>
        <v>0</v>
      </c>
      <c r="T26" s="130">
        <f t="shared" ca="1" si="2"/>
        <v>0</v>
      </c>
      <c r="U26" s="130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230">
        <f ca="1">L44+L59+L72+L94+L125+L139+L157+L173+L186+L266+L282+L303+L320+L333+L356</f>
        <v>3058280</v>
      </c>
      <c r="M40" s="1229">
        <f ca="1">M44+M59+M72+M94+M125+M139+M157+M173+M186+M266+M282+M303+M320+M333+M356</f>
        <v>3109004</v>
      </c>
      <c r="N40" s="1229">
        <f ca="1">N44+N59+N72+N94+N125+N139+N157+N173+N186+N266+N282+N303+N320+N333+N356</f>
        <v>2343181.5099999998</v>
      </c>
      <c r="O40" s="1229">
        <f ca="1">IF(L40&gt;0,N40*100/L40,0)</f>
        <v>76.617625266489654</v>
      </c>
      <c r="P40" s="1229">
        <f ca="1">IF(M40&gt;0,N40*100/M40,0)</f>
        <v>75.36759393040343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327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225">
        <f ca="1">L45+L46</f>
        <v>576268</v>
      </c>
      <c r="M44" s="1224">
        <f ca="1">M45+M46</f>
        <v>435670</v>
      </c>
      <c r="N44" s="1224">
        <f ca="1">N45+N46</f>
        <v>322485</v>
      </c>
      <c r="O44" s="1224">
        <f t="shared" ref="O44:O52" ca="1" si="8">IF(L44&gt;0,N44*100/L44,0)</f>
        <v>55.960941784031043</v>
      </c>
      <c r="P44" s="1224">
        <f t="shared" ref="P44:P52" ca="1" si="9">IF(M44&gt;0,N44*100/M44,0)</f>
        <v>74.020474212133038</v>
      </c>
      <c r="Q44" s="1224">
        <f>Q45+Q46</f>
        <v>0</v>
      </c>
      <c r="R44" s="1224">
        <f>R45+R46</f>
        <v>0</v>
      </c>
      <c r="S44" s="1224">
        <f>S45+S46</f>
        <v>0</v>
      </c>
      <c r="T44" s="1224">
        <f t="shared" ref="T44:T52" si="10">IF(Q44&gt;0,S44*100/Q44,0)</f>
        <v>0</v>
      </c>
      <c r="U44" s="1224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25">
        <f t="shared" ref="L45:N46" si="12">L48+L51</f>
        <v>0</v>
      </c>
      <c r="M45" s="126">
        <f t="shared" si="12"/>
        <v>0</v>
      </c>
      <c r="N45" s="126">
        <f t="shared" si="12"/>
        <v>0</v>
      </c>
      <c r="O45" s="126">
        <f t="shared" si="8"/>
        <v>0</v>
      </c>
      <c r="P45" s="126">
        <f t="shared" si="9"/>
        <v>0</v>
      </c>
      <c r="Q45" s="126">
        <f t="shared" ref="Q45:S46" si="13">Q48+Q51</f>
        <v>0</v>
      </c>
      <c r="R45" s="126">
        <f t="shared" si="13"/>
        <v>0</v>
      </c>
      <c r="S45" s="126">
        <f t="shared" si="13"/>
        <v>0</v>
      </c>
      <c r="T45" s="126">
        <f t="shared" si="10"/>
        <v>0</v>
      </c>
      <c r="U45" s="126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27">
        <f t="shared" ca="1" si="12"/>
        <v>576268</v>
      </c>
      <c r="M46" s="128">
        <f t="shared" ca="1" si="12"/>
        <v>435670</v>
      </c>
      <c r="N46" s="128">
        <f t="shared" ca="1" si="12"/>
        <v>322485</v>
      </c>
      <c r="O46" s="128">
        <f t="shared" ca="1" si="8"/>
        <v>55.960941784031043</v>
      </c>
      <c r="P46" s="128">
        <f t="shared" ca="1" si="9"/>
        <v>74.020474212133038</v>
      </c>
      <c r="Q46" s="128">
        <f t="shared" si="13"/>
        <v>0</v>
      </c>
      <c r="R46" s="128">
        <f t="shared" si="13"/>
        <v>0</v>
      </c>
      <c r="S46" s="128">
        <f t="shared" si="13"/>
        <v>0</v>
      </c>
      <c r="T46" s="128">
        <f t="shared" si="10"/>
        <v>0</v>
      </c>
      <c r="U46" s="12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129">
        <f ca="1">L48+L49</f>
        <v>576268</v>
      </c>
      <c r="M47" s="130">
        <f ca="1">M48+M49</f>
        <v>435670</v>
      </c>
      <c r="N47" s="130">
        <f ca="1">N48+N49</f>
        <v>322485</v>
      </c>
      <c r="O47" s="130">
        <f t="shared" ca="1" si="8"/>
        <v>55.960941784031043</v>
      </c>
      <c r="P47" s="130">
        <f t="shared" ca="1" si="9"/>
        <v>74.020474212133038</v>
      </c>
      <c r="Q47" s="130">
        <f>Q48+Q49</f>
        <v>0</v>
      </c>
      <c r="R47" s="130">
        <f>R48+R49</f>
        <v>0</v>
      </c>
      <c r="S47" s="130">
        <f>S48+S49</f>
        <v>0</v>
      </c>
      <c r="T47" s="130">
        <f t="shared" si="10"/>
        <v>0</v>
      </c>
      <c r="U47" s="130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131">
        <f t="shared" si="8"/>
        <v>0</v>
      </c>
      <c r="P48" s="131">
        <f t="shared" si="9"/>
        <v>0</v>
      </c>
      <c r="Q48" s="75">
        <v>0</v>
      </c>
      <c r="R48" s="75">
        <v>0</v>
      </c>
      <c r="S48" s="75">
        <v>0</v>
      </c>
      <c r="T48" s="131">
        <f t="shared" si="10"/>
        <v>0</v>
      </c>
      <c r="U48" s="131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129">
        <f ca="1">IFERROR(__xludf.DUMMYFUNCTION("IMPORTRANGE(""https://docs.google.com/spreadsheets/d/1-uDff_7J0KD5mKrp0Vvzr7lt3OU09vwQwhkpOPPYv2Y/edit?usp=sharing"",""งบพรบ!P56"")"),576268)</f>
        <v>576268</v>
      </c>
      <c r="M49" s="130">
        <f ca="1">IFERROR(__xludf.DUMMYFUNCTION("IMPORTRANGE(""https://docs.google.com/spreadsheets/d/1-uDff_7J0KD5mKrp0Vvzr7lt3OU09vwQwhkpOPPYv2Y/edit?usp=sharing"",""งบพรบ!V56"")"),435670)</f>
        <v>435670</v>
      </c>
      <c r="N49" s="130">
        <f ca="1">IFERROR(__xludf.DUMMYFUNCTION("IMPORTRANGE(""https://docs.google.com/spreadsheets/d/1-uDff_7J0KD5mKrp0Vvzr7lt3OU09vwQwhkpOPPYv2Y/edit?usp=sharing"",""งบพรบ!Y56"")"),322485)</f>
        <v>322485</v>
      </c>
      <c r="O49" s="130">
        <f t="shared" ca="1" si="8"/>
        <v>55.960941784031043</v>
      </c>
      <c r="P49" s="130">
        <f t="shared" ca="1" si="9"/>
        <v>74.020474212133038</v>
      </c>
      <c r="Q49" s="72">
        <v>0</v>
      </c>
      <c r="R49" s="72">
        <v>0</v>
      </c>
      <c r="S49" s="72">
        <v>0</v>
      </c>
      <c r="T49" s="130">
        <f t="shared" si="10"/>
        <v>0</v>
      </c>
      <c r="U49" s="130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129">
        <f ca="1">L51+L52</f>
        <v>0</v>
      </c>
      <c r="M50" s="130">
        <f ca="1">M51+M52</f>
        <v>0</v>
      </c>
      <c r="N50" s="130">
        <f ca="1">N51+N52</f>
        <v>0</v>
      </c>
      <c r="O50" s="130">
        <f t="shared" ca="1" si="8"/>
        <v>0</v>
      </c>
      <c r="P50" s="130">
        <f t="shared" ca="1" si="9"/>
        <v>0</v>
      </c>
      <c r="Q50" s="130">
        <f>Q51+Q52</f>
        <v>0</v>
      </c>
      <c r="R50" s="130">
        <f>R51+R52</f>
        <v>0</v>
      </c>
      <c r="S50" s="130">
        <f>S51+S52</f>
        <v>0</v>
      </c>
      <c r="T50" s="130">
        <f t="shared" si="10"/>
        <v>0</v>
      </c>
      <c r="U50" s="130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131">
        <f t="shared" si="8"/>
        <v>0</v>
      </c>
      <c r="P51" s="131">
        <f t="shared" si="9"/>
        <v>0</v>
      </c>
      <c r="Q51" s="75">
        <v>0</v>
      </c>
      <c r="R51" s="75">
        <v>0</v>
      </c>
      <c r="S51" s="75">
        <v>0</v>
      </c>
      <c r="T51" s="131">
        <f t="shared" si="10"/>
        <v>0</v>
      </c>
      <c r="U51" s="131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129">
        <f ca="1">IFERROR(__xludf.DUMMYFUNCTION("IMPORTRANGE(""https://docs.google.com/spreadsheets/d/1-uDff_7J0KD5mKrp0Vvzr7lt3OU09vwQwhkpOPPYv2Y/edit?usp=sharing"",""งบพรบ!S56"")"),0)</f>
        <v>0</v>
      </c>
      <c r="M52" s="130">
        <f ca="1">IFERROR(__xludf.DUMMYFUNCTION("IMPORTRANGE(""https://docs.google.com/spreadsheets/d/1-uDff_7J0KD5mKrp0Vvzr7lt3OU09vwQwhkpOPPYv2Y/edit?usp=sharing"",""งบพรบ!W56"")"),0)</f>
        <v>0</v>
      </c>
      <c r="N52" s="130">
        <f ca="1">IFERROR(__xludf.DUMMYFUNCTION("IMPORTRANGE(""https://docs.google.com/spreadsheets/d/1-uDff_7J0KD5mKrp0Vvzr7lt3OU09vwQwhkpOPPYv2Y/edit?usp=sharing"",""งบพรบ!Z56"")"),0)</f>
        <v>0</v>
      </c>
      <c r="O52" s="130">
        <f t="shared" ca="1" si="8"/>
        <v>0</v>
      </c>
      <c r="P52" s="130">
        <f t="shared" ca="1" si="9"/>
        <v>0</v>
      </c>
      <c r="Q52" s="72">
        <v>0</v>
      </c>
      <c r="R52" s="72">
        <v>0</v>
      </c>
      <c r="S52" s="72">
        <v>0</v>
      </c>
      <c r="T52" s="130">
        <f t="shared" si="10"/>
        <v>0</v>
      </c>
      <c r="U52" s="130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326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63">
        <f ca="1">L60+L61</f>
        <v>943900</v>
      </c>
      <c r="M59" s="164">
        <f ca="1">M60+M61</f>
        <v>943900</v>
      </c>
      <c r="N59" s="164">
        <f ca="1">N60+N61</f>
        <v>894552.51</v>
      </c>
      <c r="O59" s="164">
        <f t="shared" ref="O59:O67" ca="1" si="14">IF(L59&gt;0,N59*100/L59,0)</f>
        <v>94.771957834516371</v>
      </c>
      <c r="P59" s="164">
        <f t="shared" ref="P59:P67" ca="1" si="15">IF(M59&gt;0,N59*100/M59,0)</f>
        <v>94.771957834516371</v>
      </c>
      <c r="Q59" s="164">
        <f>Q60+Q61</f>
        <v>0</v>
      </c>
      <c r="R59" s="164">
        <f>R60+R61</f>
        <v>0</v>
      </c>
      <c r="S59" s="164">
        <f>S60+S61</f>
        <v>0</v>
      </c>
      <c r="T59" s="164">
        <f t="shared" ref="T59:T67" si="16">IF(Q59&gt;0,S59*100/Q59,0)</f>
        <v>0</v>
      </c>
      <c r="U59" s="164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168">
        <f t="shared" ref="L60:N61" si="18">L63+L66</f>
        <v>0</v>
      </c>
      <c r="M60" s="169">
        <f t="shared" si="18"/>
        <v>0</v>
      </c>
      <c r="N60" s="169">
        <f t="shared" si="18"/>
        <v>0</v>
      </c>
      <c r="O60" s="169">
        <f t="shared" si="14"/>
        <v>0</v>
      </c>
      <c r="P60" s="169">
        <f t="shared" si="15"/>
        <v>0</v>
      </c>
      <c r="Q60" s="169">
        <f t="shared" ref="Q60:S61" si="19">Q63+Q66</f>
        <v>0</v>
      </c>
      <c r="R60" s="169">
        <f t="shared" si="19"/>
        <v>0</v>
      </c>
      <c r="S60" s="169">
        <f t="shared" si="19"/>
        <v>0</v>
      </c>
      <c r="T60" s="169">
        <f t="shared" si="16"/>
        <v>0</v>
      </c>
      <c r="U60" s="169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170">
        <f t="shared" ca="1" si="18"/>
        <v>943900</v>
      </c>
      <c r="M61" s="171">
        <f t="shared" ca="1" si="18"/>
        <v>943900</v>
      </c>
      <c r="N61" s="171">
        <f t="shared" ca="1" si="18"/>
        <v>894552.51</v>
      </c>
      <c r="O61" s="171">
        <f t="shared" ca="1" si="14"/>
        <v>94.771957834516371</v>
      </c>
      <c r="P61" s="171">
        <f t="shared" ca="1" si="15"/>
        <v>94.771957834516371</v>
      </c>
      <c r="Q61" s="171">
        <f t="shared" si="19"/>
        <v>0</v>
      </c>
      <c r="R61" s="171">
        <f t="shared" si="19"/>
        <v>0</v>
      </c>
      <c r="S61" s="171">
        <f t="shared" si="19"/>
        <v>0</v>
      </c>
      <c r="T61" s="171">
        <f t="shared" si="16"/>
        <v>0</v>
      </c>
      <c r="U61" s="171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129">
        <f ca="1">L63+L64</f>
        <v>713900</v>
      </c>
      <c r="M62" s="130">
        <f ca="1">M63+M64</f>
        <v>713900</v>
      </c>
      <c r="N62" s="130">
        <f ca="1">N63+N64</f>
        <v>664552.51</v>
      </c>
      <c r="O62" s="130">
        <f t="shared" ca="1" si="14"/>
        <v>93.087618714105616</v>
      </c>
      <c r="P62" s="130">
        <f t="shared" ca="1" si="15"/>
        <v>93.087618714105616</v>
      </c>
      <c r="Q62" s="130">
        <f>Q63+Q64</f>
        <v>0</v>
      </c>
      <c r="R62" s="130">
        <f>R63+R64</f>
        <v>0</v>
      </c>
      <c r="S62" s="130">
        <f>S63+S64</f>
        <v>0</v>
      </c>
      <c r="T62" s="130">
        <f t="shared" si="16"/>
        <v>0</v>
      </c>
      <c r="U62" s="130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131">
        <f t="shared" si="14"/>
        <v>0</v>
      </c>
      <c r="P63" s="131">
        <f t="shared" si="15"/>
        <v>0</v>
      </c>
      <c r="Q63" s="75">
        <v>0</v>
      </c>
      <c r="R63" s="75">
        <v>0</v>
      </c>
      <c r="S63" s="75">
        <v>0</v>
      </c>
      <c r="T63" s="131">
        <f t="shared" si="16"/>
        <v>0</v>
      </c>
      <c r="U63" s="131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129">
        <f ca="1">IFERROR(__xludf.DUMMYFUNCTION("IMPORTRANGE(""https://docs.google.com/spreadsheets/d/1-uDff_7J0KD5mKrp0Vvzr7lt3OU09vwQwhkpOPPYv2Y/edit?usp=sharing"",""งบพรบ!AC56"")"),713900)</f>
        <v>713900</v>
      </c>
      <c r="M64" s="130">
        <f ca="1">IFERROR(__xludf.DUMMYFUNCTION("IMPORTRANGE(""https://docs.google.com/spreadsheets/d/1-uDff_7J0KD5mKrp0Vvzr7lt3OU09vwQwhkpOPPYv2Y/edit?usp=sharing"",""งบพรบ!AH56"")"),713900)</f>
        <v>713900</v>
      </c>
      <c r="N64" s="130">
        <f ca="1">IFERROR(__xludf.DUMMYFUNCTION("IMPORTRANGE(""https://docs.google.com/spreadsheets/d/1-uDff_7J0KD5mKrp0Vvzr7lt3OU09vwQwhkpOPPYv2Y/edit?usp=sharing"",""งบพรบ!AJ56"")"),664552.51)</f>
        <v>664552.51</v>
      </c>
      <c r="O64" s="130">
        <f t="shared" ca="1" si="14"/>
        <v>93.087618714105616</v>
      </c>
      <c r="P64" s="130">
        <f t="shared" ca="1" si="15"/>
        <v>93.087618714105616</v>
      </c>
      <c r="Q64" s="72">
        <v>0</v>
      </c>
      <c r="R64" s="72">
        <v>0</v>
      </c>
      <c r="S64" s="72">
        <v>0</v>
      </c>
      <c r="T64" s="130">
        <f t="shared" si="16"/>
        <v>0</v>
      </c>
      <c r="U64" s="130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129">
        <f ca="1">L66+L67</f>
        <v>230000</v>
      </c>
      <c r="M65" s="130">
        <f ca="1">M66+M67</f>
        <v>230000</v>
      </c>
      <c r="N65" s="130">
        <f ca="1">N66+N67</f>
        <v>230000</v>
      </c>
      <c r="O65" s="130">
        <f t="shared" ca="1" si="14"/>
        <v>100</v>
      </c>
      <c r="P65" s="130">
        <f t="shared" ca="1" si="15"/>
        <v>100</v>
      </c>
      <c r="Q65" s="130">
        <f>Q66+Q67</f>
        <v>0</v>
      </c>
      <c r="R65" s="130">
        <f>R66+R67</f>
        <v>0</v>
      </c>
      <c r="S65" s="130">
        <f>S66+S67</f>
        <v>0</v>
      </c>
      <c r="T65" s="130">
        <f t="shared" si="16"/>
        <v>0</v>
      </c>
      <c r="U65" s="130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131">
        <f t="shared" si="14"/>
        <v>0</v>
      </c>
      <c r="P66" s="131">
        <f t="shared" si="15"/>
        <v>0</v>
      </c>
      <c r="Q66" s="75">
        <v>0</v>
      </c>
      <c r="R66" s="75">
        <v>0</v>
      </c>
      <c r="S66" s="75">
        <v>0</v>
      </c>
      <c r="T66" s="131">
        <f t="shared" si="16"/>
        <v>0</v>
      </c>
      <c r="U66" s="131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208">
        <f ca="1">IFERROR(__xludf.DUMMYFUNCTION("IMPORTRANGE(""https://docs.google.com/spreadsheets/d/1-uDff_7J0KD5mKrp0Vvzr7lt3OU09vwQwhkpOPPYv2Y/edit?usp=sharing"",""งบพรบ!AF56"")"),230000)</f>
        <v>230000</v>
      </c>
      <c r="M67" s="182">
        <f ca="1">IFERROR(__xludf.DUMMYFUNCTION("IMPORTRANGE(""https://docs.google.com/spreadsheets/d/1-uDff_7J0KD5mKrp0Vvzr7lt3OU09vwQwhkpOPPYv2Y/edit?usp=sharing"",""งบพรบ!AI56"")"),230000)</f>
        <v>230000</v>
      </c>
      <c r="N67" s="182">
        <f ca="1">IFERROR(__xludf.DUMMYFUNCTION("IMPORTRANGE(""https://docs.google.com/spreadsheets/d/1-uDff_7J0KD5mKrp0Vvzr7lt3OU09vwQwhkpOPPYv2Y/edit?usp=sharing"",""งบพรบ!AK56"")"),230000)</f>
        <v>230000</v>
      </c>
      <c r="O67" s="182">
        <f t="shared" ca="1" si="14"/>
        <v>100</v>
      </c>
      <c r="P67" s="182">
        <f t="shared" ca="1" si="15"/>
        <v>100</v>
      </c>
      <c r="Q67" s="181">
        <v>0</v>
      </c>
      <c r="R67" s="181">
        <v>0</v>
      </c>
      <c r="S67" s="181">
        <v>0</v>
      </c>
      <c r="T67" s="182">
        <f t="shared" si="16"/>
        <v>0</v>
      </c>
      <c r="U67" s="182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12">
        <f ca="1">L73+L74</f>
        <v>0</v>
      </c>
      <c r="M72" s="213">
        <f ca="1">M73+M74</f>
        <v>0</v>
      </c>
      <c r="N72" s="213">
        <f ca="1">N73+N74</f>
        <v>0</v>
      </c>
      <c r="O72" s="213">
        <f t="shared" ref="O72:O80" ca="1" si="20">IF(L72&gt;0,N72*100/L72,0)</f>
        <v>0</v>
      </c>
      <c r="P72" s="213">
        <f t="shared" ref="P72:P80" ca="1" si="21">IF(M72&gt;0,N72*100/M72,0)</f>
        <v>0</v>
      </c>
      <c r="Q72" s="213">
        <f ca="1">Q73+Q74</f>
        <v>0</v>
      </c>
      <c r="R72" s="213">
        <f ca="1">R73+R74</f>
        <v>0</v>
      </c>
      <c r="S72" s="213">
        <f ca="1">S73+S74</f>
        <v>0</v>
      </c>
      <c r="T72" s="213">
        <f t="shared" ref="T72:T80" ca="1" si="22">IF(Q72&gt;0,S72*100/Q72,0)</f>
        <v>0</v>
      </c>
      <c r="U72" s="213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215">
        <f t="shared" ref="L73:N74" si="24">L76+L79</f>
        <v>0</v>
      </c>
      <c r="M73" s="131">
        <f t="shared" si="24"/>
        <v>0</v>
      </c>
      <c r="N73" s="131">
        <f t="shared" si="24"/>
        <v>0</v>
      </c>
      <c r="O73" s="131">
        <f t="shared" si="20"/>
        <v>0</v>
      </c>
      <c r="P73" s="131">
        <f t="shared" si="21"/>
        <v>0</v>
      </c>
      <c r="Q73" s="131">
        <f t="shared" ref="Q73:S74" si="25">Q76+Q79</f>
        <v>0</v>
      </c>
      <c r="R73" s="131">
        <f t="shared" si="25"/>
        <v>0</v>
      </c>
      <c r="S73" s="131">
        <f t="shared" si="25"/>
        <v>0</v>
      </c>
      <c r="T73" s="131">
        <f t="shared" si="22"/>
        <v>0</v>
      </c>
      <c r="U73" s="131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129">
        <f t="shared" ca="1" si="24"/>
        <v>0</v>
      </c>
      <c r="M74" s="130">
        <f t="shared" ca="1" si="24"/>
        <v>0</v>
      </c>
      <c r="N74" s="130">
        <f t="shared" ca="1" si="24"/>
        <v>0</v>
      </c>
      <c r="O74" s="130">
        <f t="shared" ca="1" si="20"/>
        <v>0</v>
      </c>
      <c r="P74" s="130">
        <f t="shared" ca="1" si="21"/>
        <v>0</v>
      </c>
      <c r="Q74" s="130">
        <f t="shared" ca="1" si="25"/>
        <v>0</v>
      </c>
      <c r="R74" s="130">
        <f t="shared" ca="1" si="25"/>
        <v>0</v>
      </c>
      <c r="S74" s="130">
        <f t="shared" ca="1" si="25"/>
        <v>0</v>
      </c>
      <c r="T74" s="130">
        <f t="shared" ca="1" si="22"/>
        <v>0</v>
      </c>
      <c r="U74" s="130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129">
        <f ca="1">L76+L77</f>
        <v>0</v>
      </c>
      <c r="M75" s="130">
        <f ca="1">M76+M77</f>
        <v>0</v>
      </c>
      <c r="N75" s="130">
        <f ca="1">N76+N77</f>
        <v>0</v>
      </c>
      <c r="O75" s="130">
        <f t="shared" ca="1" si="20"/>
        <v>0</v>
      </c>
      <c r="P75" s="130">
        <f t="shared" ca="1" si="21"/>
        <v>0</v>
      </c>
      <c r="Q75" s="130">
        <f ca="1">Q76+Q77</f>
        <v>0</v>
      </c>
      <c r="R75" s="130">
        <f ca="1">R76+R77</f>
        <v>0</v>
      </c>
      <c r="S75" s="130">
        <f ca="1">S76+S77</f>
        <v>0</v>
      </c>
      <c r="T75" s="130">
        <f t="shared" ca="1" si="22"/>
        <v>0</v>
      </c>
      <c r="U75" s="130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131">
        <f t="shared" si="20"/>
        <v>0</v>
      </c>
      <c r="P76" s="131">
        <f t="shared" si="21"/>
        <v>0</v>
      </c>
      <c r="Q76" s="75">
        <v>0</v>
      </c>
      <c r="R76" s="75">
        <v>0</v>
      </c>
      <c r="S76" s="75">
        <v>0</v>
      </c>
      <c r="T76" s="131">
        <f t="shared" si="22"/>
        <v>0</v>
      </c>
      <c r="U76" s="131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129">
        <f ca="1">IFERROR(__xludf.DUMMYFUNCTION("IMPORTRANGE(""https://docs.google.com/spreadsheets/d/1-uDff_7J0KD5mKrp0Vvzr7lt3OU09vwQwhkpOPPYv2Y/edit?usp=sharing"",""งบพรบ!AM56"")"),0)</f>
        <v>0</v>
      </c>
      <c r="M77" s="130">
        <f ca="1">IFERROR(__xludf.DUMMYFUNCTION("IMPORTRANGE(""https://docs.google.com/spreadsheets/d/1-uDff_7J0KD5mKrp0Vvzr7lt3OU09vwQwhkpOPPYv2Y/edit?usp=sharing"",""งบพรบ!AR56"")"),0)</f>
        <v>0</v>
      </c>
      <c r="N77" s="130">
        <f ca="1">IFERROR(__xludf.DUMMYFUNCTION("IMPORTRANGE(""https://docs.google.com/spreadsheets/d/1-uDff_7J0KD5mKrp0Vvzr7lt3OU09vwQwhkpOPPYv2Y/edit?usp=sharing"",""งบพรบ!AT56"")"),0)</f>
        <v>0</v>
      </c>
      <c r="O77" s="130">
        <f t="shared" ca="1" si="20"/>
        <v>0</v>
      </c>
      <c r="P77" s="130">
        <f t="shared" ca="1" si="21"/>
        <v>0</v>
      </c>
      <c r="Q77" s="130">
        <f ca="1">IFERROR(__xludf.DUMMYFUNCTION("IMPORTRANGE(""https://docs.google.com/spreadsheets/d/1ItG2mGa2ceCfYo0BwxsXqNm01IGEUdYcSSLTEv9YCik/edit?usp=sharing"",""เบิกจ่ายกองทุน!BH56"")"),0)</f>
        <v>0</v>
      </c>
      <c r="R77" s="130">
        <f ca="1">IFERROR(__xludf.DUMMYFUNCTION("IMPORTRANGE(""https://docs.google.com/spreadsheets/d/1ItG2mGa2ceCfYo0BwxsXqNm01IGEUdYcSSLTEv9YCik/edit?usp=sharing"",""เบิกจ่ายกองทุน!BI56"")"),0)</f>
        <v>0</v>
      </c>
      <c r="S77" s="130">
        <f ca="1">IFERROR(__xludf.DUMMYFUNCTION("IMPORTRANGE(""https://docs.google.com/spreadsheets/d/1ItG2mGa2ceCfYo0BwxsXqNm01IGEUdYcSSLTEv9YCik/edit?usp=sharing"",""เบิกจ่ายกองทุน!BJ56"")"),0)</f>
        <v>0</v>
      </c>
      <c r="T77" s="130">
        <f t="shared" ca="1" si="22"/>
        <v>0</v>
      </c>
      <c r="U77" s="130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129">
        <f ca="1">L79+L80</f>
        <v>0</v>
      </c>
      <c r="M78" s="130">
        <f ca="1">M79+M80</f>
        <v>0</v>
      </c>
      <c r="N78" s="130">
        <f ca="1">N79+N80</f>
        <v>0</v>
      </c>
      <c r="O78" s="130">
        <f t="shared" ca="1" si="20"/>
        <v>0</v>
      </c>
      <c r="P78" s="130">
        <f t="shared" ca="1" si="21"/>
        <v>0</v>
      </c>
      <c r="Q78" s="130">
        <f ca="1">Q79+Q80</f>
        <v>0</v>
      </c>
      <c r="R78" s="130">
        <f ca="1">R79+R80</f>
        <v>0</v>
      </c>
      <c r="S78" s="130">
        <f ca="1">S79+S80</f>
        <v>0</v>
      </c>
      <c r="T78" s="130">
        <f t="shared" ca="1" si="22"/>
        <v>0</v>
      </c>
      <c r="U78" s="130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131">
        <f t="shared" si="20"/>
        <v>0</v>
      </c>
      <c r="P79" s="131">
        <f t="shared" si="21"/>
        <v>0</v>
      </c>
      <c r="Q79" s="75">
        <v>0</v>
      </c>
      <c r="R79" s="72">
        <v>0</v>
      </c>
      <c r="S79" s="72">
        <v>0</v>
      </c>
      <c r="T79" s="131">
        <f t="shared" si="22"/>
        <v>0</v>
      </c>
      <c r="U79" s="131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129">
        <f ca="1">IFERROR(__xludf.DUMMYFUNCTION("IMPORTRANGE(""https://docs.google.com/spreadsheets/d/1-uDff_7J0KD5mKrp0Vvzr7lt3OU09vwQwhkpOPPYv2Y/edit?usp=sharing"",""งบพรบ!AP56"")"),0)</f>
        <v>0</v>
      </c>
      <c r="M80" s="130">
        <f ca="1">IFERROR(__xludf.DUMMYFUNCTION("IMPORTRANGE(""https://docs.google.com/spreadsheets/d/1-uDff_7J0KD5mKrp0Vvzr7lt3OU09vwQwhkpOPPYv2Y/edit?usp=sharing"",""งบพรบ!AS56"")"),0)</f>
        <v>0</v>
      </c>
      <c r="N80" s="130">
        <f ca="1">IFERROR(__xludf.DUMMYFUNCTION("IMPORTRANGE(""https://docs.google.com/spreadsheets/d/1-uDff_7J0KD5mKrp0Vvzr7lt3OU09vwQwhkpOPPYv2Y/edit?usp=sharing"",""งบพรบ!AU56"")"),0)</f>
        <v>0</v>
      </c>
      <c r="O80" s="130">
        <f t="shared" ca="1" si="20"/>
        <v>0</v>
      </c>
      <c r="P80" s="130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IFERROR(__xludf.DUMMYFUNCTION("IMPORTRANGE(""https://docs.google.com/spreadsheets/d/1ItG2mGa2ceCfYo0BwxsXqNm01IGEUdYcSSLTEv9YCik/edit?usp=sharing"",""เบิกจ่ายกองทุน!BK56"")"),0)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IFERROR(__xludf.DUMMYFUNCTION("IMPORTRANGE(""https://docs.google.com/spreadsheets/d/1ItG2mGa2ceCfYo0BwxsXqNm01IGEUdYcSSLTEv9YCik/edit?usp=sharing"",""เบิกจ่ายกองทุน!BL56"")"),0)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IFERROR(__xludf.DUMMYFUNCTION("IMPORTRANGE(""https://docs.google.com/spreadsheets/d/1ItG2mGa2ceCfYo0BwxsXqNm01IGEUdYcSSLTEv9YCik/edit?usp=sharing"",""เบิกจ่ายกองทุน!BM56"")"),0)</f>
        <v>0</v>
      </c>
      <c r="T80" s="130">
        <f t="shared" ca="1" si="22"/>
        <v>0</v>
      </c>
      <c r="U80" s="130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IFERROR(__xludf.DUMMYFUNCTION("IMPORTRANGE(""https://docs.google.com/spreadsheets/d/1eHaY18a8A9IcSdp1K8H6x8fbOy06t2VsZHhMHf-1x7Y/edit?usp=sharing"",""แผน!H56"")"),0)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IFERROR(__xludf.DUMMYFUNCTION("IMPORTRANGE(""https://docs.google.com/spreadsheets/d/1eHaY18a8A9IcSdp1K8H6x8fbOy06t2VsZHhMHf-1x7Y/edit?usp=sharing"",""แผน!I56"")"),0)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IFERROR(__xludf.DUMMYFUNCTION("IMPORTRANGE(""https://docs.google.com/spreadsheets/d/1eHaY18a8A9IcSdp1K8H6x8fbOy06t2VsZHhMHf-1x7Y/edit?usp=sharing"",""แผน!F56"")"),0)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IFERROR(__xludf.DUMMYFUNCTION("IMPORTRANGE(""https://docs.google.com/spreadsheets/d/1eHaY18a8A9IcSdp1K8H6x8fbOy06t2VsZHhMHf-1x7Y/edit?usp=sharing"",""แผน!G56"")"),0)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IFERROR(__xludf.DUMMYFUNCTION("IMPORTRANGE(""https://docs.google.com/spreadsheets/d/1eHaY18a8A9IcSdp1K8H6x8fbOy06t2VsZHhMHf-1x7Y/edit?usp=sharing"",""แผน!D56"")"),0)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IFERROR(__xludf.DUMMYFUNCTION("IMPORTRANGE(""https://docs.google.com/spreadsheets/d/1eHaY18a8A9IcSdp1K8H6x8fbOy06t2VsZHhMHf-1x7Y/edit?usp=sharing"",""แผน!E56"")"),0)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IFERROR(__xludf.DUMMYFUNCTION("IMPORTRANGE(""https://docs.google.com/spreadsheets/d/1eHaY18a8A9IcSdp1K8H6x8fbOy06t2VsZHhMHf-1x7Y/edit?usp=sharing"",""แผน!J56"")"),0)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12">
        <f ca="1">L95+L96</f>
        <v>0</v>
      </c>
      <c r="M94" s="213">
        <f ca="1">M95+M96</f>
        <v>0</v>
      </c>
      <c r="N94" s="213">
        <f ca="1">N95+N96</f>
        <v>0</v>
      </c>
      <c r="O94" s="213">
        <f t="shared" ref="O94:O102" ca="1" si="27">IF(L94&gt;0,N94*100/L94,0)</f>
        <v>0</v>
      </c>
      <c r="P94" s="213">
        <f t="shared" ref="P94:P102" ca="1" si="28">IF(M94&gt;0,N94*100/M94,0)</f>
        <v>0</v>
      </c>
      <c r="Q94" s="213">
        <f ca="1">Q95+Q96</f>
        <v>0</v>
      </c>
      <c r="R94" s="213">
        <f ca="1">R95+R96</f>
        <v>0</v>
      </c>
      <c r="S94" s="213">
        <f ca="1">S95+S96</f>
        <v>0</v>
      </c>
      <c r="T94" s="213">
        <f t="shared" ref="T94:T102" ca="1" si="29">IF(Q94&gt;0,S94*100/Q94,0)</f>
        <v>0</v>
      </c>
      <c r="U94" s="213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215">
        <f t="shared" ref="L95:N96" si="31">L98+L101</f>
        <v>0</v>
      </c>
      <c r="M95" s="131">
        <f t="shared" si="31"/>
        <v>0</v>
      </c>
      <c r="N95" s="131">
        <f t="shared" si="31"/>
        <v>0</v>
      </c>
      <c r="O95" s="131">
        <f t="shared" si="27"/>
        <v>0</v>
      </c>
      <c r="P95" s="131">
        <f t="shared" si="28"/>
        <v>0</v>
      </c>
      <c r="Q95" s="131">
        <f t="shared" ref="Q95:S96" si="32">Q98+Q101</f>
        <v>0</v>
      </c>
      <c r="R95" s="131">
        <f t="shared" si="32"/>
        <v>0</v>
      </c>
      <c r="S95" s="131">
        <f t="shared" si="32"/>
        <v>0</v>
      </c>
      <c r="T95" s="131">
        <f t="shared" si="29"/>
        <v>0</v>
      </c>
      <c r="U95" s="131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129">
        <f t="shared" ca="1" si="31"/>
        <v>0</v>
      </c>
      <c r="M96" s="130">
        <f t="shared" ca="1" si="31"/>
        <v>0</v>
      </c>
      <c r="N96" s="130">
        <f t="shared" ca="1" si="31"/>
        <v>0</v>
      </c>
      <c r="O96" s="130">
        <f t="shared" ca="1" si="27"/>
        <v>0</v>
      </c>
      <c r="P96" s="130">
        <f t="shared" ca="1" si="28"/>
        <v>0</v>
      </c>
      <c r="Q96" s="130">
        <f t="shared" ca="1" si="32"/>
        <v>0</v>
      </c>
      <c r="R96" s="130">
        <f t="shared" ca="1" si="32"/>
        <v>0</v>
      </c>
      <c r="S96" s="130">
        <f t="shared" ca="1" si="32"/>
        <v>0</v>
      </c>
      <c r="T96" s="130">
        <f t="shared" ca="1" si="29"/>
        <v>0</v>
      </c>
      <c r="U96" s="130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129">
        <f ca="1">L98+L99</f>
        <v>0</v>
      </c>
      <c r="M97" s="130">
        <f ca="1">M98+M99</f>
        <v>0</v>
      </c>
      <c r="N97" s="130">
        <f ca="1">N98+N99</f>
        <v>0</v>
      </c>
      <c r="O97" s="130">
        <f t="shared" ca="1" si="27"/>
        <v>0</v>
      </c>
      <c r="P97" s="130">
        <f t="shared" ca="1" si="28"/>
        <v>0</v>
      </c>
      <c r="Q97" s="130">
        <f ca="1">Q98+Q99</f>
        <v>0</v>
      </c>
      <c r="R97" s="130">
        <f ca="1">R98+R99</f>
        <v>0</v>
      </c>
      <c r="S97" s="130">
        <f ca="1">S98+S99</f>
        <v>0</v>
      </c>
      <c r="T97" s="130">
        <f t="shared" ca="1" si="29"/>
        <v>0</v>
      </c>
      <c r="U97" s="130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131">
        <f t="shared" si="27"/>
        <v>0</v>
      </c>
      <c r="P98" s="131">
        <f t="shared" si="28"/>
        <v>0</v>
      </c>
      <c r="Q98" s="75">
        <v>0</v>
      </c>
      <c r="R98" s="75">
        <v>0</v>
      </c>
      <c r="S98" s="75">
        <v>0</v>
      </c>
      <c r="T98" s="131">
        <f t="shared" si="29"/>
        <v>0</v>
      </c>
      <c r="U98" s="131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129">
        <f ca="1">IFERROR(__xludf.DUMMYFUNCTION("IMPORTRANGE(""https://docs.google.com/spreadsheets/d/1-uDff_7J0KD5mKrp0Vvzr7lt3OU09vwQwhkpOPPYv2Y/edit?usp=sharing"",""งบพรบ!AW56"")"),0)</f>
        <v>0</v>
      </c>
      <c r="M99" s="130">
        <f ca="1">IFERROR(__xludf.DUMMYFUNCTION("IMPORTRANGE(""https://docs.google.com/spreadsheets/d/1-uDff_7J0KD5mKrp0Vvzr7lt3OU09vwQwhkpOPPYv2Y/edit?usp=sharing"",""งบพรบ!BB56"")"),0)</f>
        <v>0</v>
      </c>
      <c r="N99" s="130">
        <f ca="1">IFERROR(__xludf.DUMMYFUNCTION("IMPORTRANGE(""https://docs.google.com/spreadsheets/d/1-uDff_7J0KD5mKrp0Vvzr7lt3OU09vwQwhkpOPPYv2Y/edit?usp=sharing"",""งบพรบ!BD56"")"),0)</f>
        <v>0</v>
      </c>
      <c r="O99" s="130">
        <f t="shared" ca="1" si="27"/>
        <v>0</v>
      </c>
      <c r="P99" s="130">
        <f t="shared" ca="1" si="28"/>
        <v>0</v>
      </c>
      <c r="Q99" s="130">
        <f ca="1">IFERROR(__xludf.DUMMYFUNCTION("IMPORTRANGE(""https://docs.google.com/spreadsheets/d/1ItG2mGa2ceCfYo0BwxsXqNm01IGEUdYcSSLTEv9YCik/edit?usp=sharing"",""เบิกจ่ายกองทุน!AJ56"")"),0)</f>
        <v>0</v>
      </c>
      <c r="R99" s="130">
        <f ca="1">IFERROR(__xludf.DUMMYFUNCTION("IMPORTRANGE(""https://docs.google.com/spreadsheets/d/1ItG2mGa2ceCfYo0BwxsXqNm01IGEUdYcSSLTEv9YCik/edit?usp=sharing"",""เบิกจ่ายกองทุน!AK56"")"),0)</f>
        <v>0</v>
      </c>
      <c r="S99" s="130">
        <f ca="1">IFERROR(__xludf.DUMMYFUNCTION("IMPORTRANGE(""https://docs.google.com/spreadsheets/d/1ItG2mGa2ceCfYo0BwxsXqNm01IGEUdYcSSLTEv9YCik/edit?usp=sharing"",""เบิกจ่ายกองทุน!AL56"")"),0)</f>
        <v>0</v>
      </c>
      <c r="T99" s="130">
        <f t="shared" ca="1" si="29"/>
        <v>0</v>
      </c>
      <c r="U99" s="130">
        <f t="shared" ca="1" si="30"/>
        <v>0</v>
      </c>
    </row>
    <row r="100" spans="1:21" ht="18.75" hidden="1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129">
        <f ca="1">L101+L102</f>
        <v>0</v>
      </c>
      <c r="M100" s="130">
        <f ca="1">M101+M102</f>
        <v>0</v>
      </c>
      <c r="N100" s="130">
        <f ca="1">N101+N102</f>
        <v>0</v>
      </c>
      <c r="O100" s="130">
        <f t="shared" ca="1" si="27"/>
        <v>0</v>
      </c>
      <c r="P100" s="130">
        <f t="shared" ca="1" si="28"/>
        <v>0</v>
      </c>
      <c r="Q100" s="130">
        <f>Q101+Q102</f>
        <v>0</v>
      </c>
      <c r="R100" s="130">
        <f>R101+R102</f>
        <v>0</v>
      </c>
      <c r="S100" s="130">
        <f>S101+S102</f>
        <v>0</v>
      </c>
      <c r="T100" s="130">
        <f t="shared" si="29"/>
        <v>0</v>
      </c>
      <c r="U100" s="130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131">
        <f t="shared" si="27"/>
        <v>0</v>
      </c>
      <c r="P101" s="131">
        <f t="shared" si="28"/>
        <v>0</v>
      </c>
      <c r="Q101" s="75">
        <v>0</v>
      </c>
      <c r="R101" s="75">
        <v>0</v>
      </c>
      <c r="S101" s="75">
        <v>0</v>
      </c>
      <c r="T101" s="131">
        <f t="shared" si="29"/>
        <v>0</v>
      </c>
      <c r="U101" s="131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129">
        <f ca="1">IFERROR(__xludf.DUMMYFUNCTION("IMPORTRANGE(""https://docs.google.com/spreadsheets/d/1-uDff_7J0KD5mKrp0Vvzr7lt3OU09vwQwhkpOPPYv2Y/edit?usp=sharing"",""งบพรบ!AZ56"")"),0)</f>
        <v>0</v>
      </c>
      <c r="M102" s="130">
        <f ca="1">IFERROR(__xludf.DUMMYFUNCTION("IMPORTRANGE(""https://docs.google.com/spreadsheets/d/1-uDff_7J0KD5mKrp0Vvzr7lt3OU09vwQwhkpOPPYv2Y/edit?usp=sharing"",""งบพรบ!BC56"")"),0)</f>
        <v>0</v>
      </c>
      <c r="N102" s="130">
        <f ca="1">IFERROR(__xludf.DUMMYFUNCTION("IMPORTRANGE(""https://docs.google.com/spreadsheets/d/1-uDff_7J0KD5mKrp0Vvzr7lt3OU09vwQwhkpOPPYv2Y/edit?usp=sharing"",""งบพรบ!BE56"")"),0)</f>
        <v>0</v>
      </c>
      <c r="O102" s="130">
        <f t="shared" ca="1" si="27"/>
        <v>0</v>
      </c>
      <c r="P102" s="130">
        <f t="shared" ca="1" si="28"/>
        <v>0</v>
      </c>
      <c r="Q102" s="72">
        <v>0</v>
      </c>
      <c r="R102" s="72">
        <v>0</v>
      </c>
      <c r="S102" s="72">
        <v>0</v>
      </c>
      <c r="T102" s="130">
        <f t="shared" si="29"/>
        <v>0</v>
      </c>
      <c r="U102" s="130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IFERROR(__xludf.DUMMYFUNCTION("IMPORTRANGE(""https://docs.google.com/spreadsheets/d/1eHaY18a8A9IcSdp1K8H6x8fbOy06t2VsZHhMHf-1x7Y/edit?usp=sharing"",""แผน!N56"")"),0)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IFERROR(__xludf.DUMMYFUNCTION("IMPORTRANGE(""https://docs.google.com/spreadsheets/d/1eHaY18a8A9IcSdp1K8H6x8fbOy06t2VsZHhMHf-1x7Y/edit?usp=sharing"",""แผน!O56"")"),0)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IFERROR(__xludf.DUMMYFUNCTION("IMPORTRANGE(""https://docs.google.com/spreadsheets/d/1eHaY18a8A9IcSdp1K8H6x8fbOy06t2VsZHhMHf-1x7Y/edit?usp=sharing"",""แผน!R56"")"),0)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1203">
        <f ca="1">I127</f>
        <v>10</v>
      </c>
      <c r="J116" s="1202">
        <f>J127</f>
        <v>10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12">
        <f ca="1">L118+L119</f>
        <v>0</v>
      </c>
      <c r="M117" s="213">
        <f ca="1">M118+M119</f>
        <v>0</v>
      </c>
      <c r="N117" s="213">
        <f ca="1">N118+N119</f>
        <v>0</v>
      </c>
      <c r="O117" s="213">
        <f t="shared" ref="O117:O125" ca="1" si="33">IF(L117&gt;0,N117*100/L117,0)</f>
        <v>0</v>
      </c>
      <c r="P117" s="213">
        <f t="shared" ref="P117:P125" ca="1" si="34">IF(M117&gt;0,N117*100/M117,0)</f>
        <v>0</v>
      </c>
      <c r="Q117" s="213">
        <f ca="1">Q118+Q119</f>
        <v>173660</v>
      </c>
      <c r="R117" s="213">
        <f ca="1">R118+R119</f>
        <v>173660</v>
      </c>
      <c r="S117" s="213">
        <f ca="1">S118+S119</f>
        <v>112980</v>
      </c>
      <c r="T117" s="213">
        <f t="shared" ref="T117:T125" ca="1" si="35">IF(Q117&gt;0,S117*100/Q117,0)</f>
        <v>65.058159622250372</v>
      </c>
      <c r="U117" s="213">
        <f t="shared" ref="U117:U125" ca="1" si="36">IF(R117&gt;0,S117*100/R117,0)</f>
        <v>65.058159622250372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215">
        <f t="shared" ref="L118:N119" si="37">L121+L124</f>
        <v>0</v>
      </c>
      <c r="M118" s="131">
        <f t="shared" si="37"/>
        <v>0</v>
      </c>
      <c r="N118" s="131">
        <f t="shared" si="37"/>
        <v>0</v>
      </c>
      <c r="O118" s="131">
        <f t="shared" si="33"/>
        <v>0</v>
      </c>
      <c r="P118" s="131">
        <f t="shared" si="34"/>
        <v>0</v>
      </c>
      <c r="Q118" s="131">
        <f t="shared" ref="Q118:S119" si="38">Q121+Q124</f>
        <v>0</v>
      </c>
      <c r="R118" s="131">
        <f t="shared" si="38"/>
        <v>0</v>
      </c>
      <c r="S118" s="131">
        <f t="shared" si="38"/>
        <v>0</v>
      </c>
      <c r="T118" s="131">
        <f t="shared" si="35"/>
        <v>0</v>
      </c>
      <c r="U118" s="131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129">
        <f t="shared" ca="1" si="37"/>
        <v>0</v>
      </c>
      <c r="M119" s="130">
        <f t="shared" ca="1" si="37"/>
        <v>0</v>
      </c>
      <c r="N119" s="130">
        <f t="shared" ca="1" si="37"/>
        <v>0</v>
      </c>
      <c r="O119" s="130">
        <f t="shared" ca="1" si="33"/>
        <v>0</v>
      </c>
      <c r="P119" s="130">
        <f t="shared" ca="1" si="34"/>
        <v>0</v>
      </c>
      <c r="Q119" s="130">
        <f t="shared" ca="1" si="38"/>
        <v>173660</v>
      </c>
      <c r="R119" s="130">
        <f t="shared" ca="1" si="38"/>
        <v>173660</v>
      </c>
      <c r="S119" s="130">
        <f t="shared" ca="1" si="38"/>
        <v>112980</v>
      </c>
      <c r="T119" s="130">
        <f t="shared" ca="1" si="35"/>
        <v>65.058159622250372</v>
      </c>
      <c r="U119" s="130">
        <f t="shared" ca="1" si="36"/>
        <v>65.058159622250372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129">
        <f ca="1">L121+L122</f>
        <v>0</v>
      </c>
      <c r="M120" s="130">
        <f ca="1">M121+M122</f>
        <v>0</v>
      </c>
      <c r="N120" s="130">
        <f ca="1">N121+N122</f>
        <v>0</v>
      </c>
      <c r="O120" s="130">
        <f t="shared" ca="1" si="33"/>
        <v>0</v>
      </c>
      <c r="P120" s="130">
        <f t="shared" ca="1" si="34"/>
        <v>0</v>
      </c>
      <c r="Q120" s="130">
        <f ca="1">Q121+Q122</f>
        <v>173660</v>
      </c>
      <c r="R120" s="130">
        <f ca="1">R121+R122</f>
        <v>173660</v>
      </c>
      <c r="S120" s="130">
        <f ca="1">S121+S122</f>
        <v>112980</v>
      </c>
      <c r="T120" s="130">
        <f t="shared" ca="1" si="35"/>
        <v>65.058159622250372</v>
      </c>
      <c r="U120" s="130">
        <f t="shared" ca="1" si="36"/>
        <v>65.058159622250372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131">
        <f t="shared" si="33"/>
        <v>0</v>
      </c>
      <c r="P121" s="131">
        <f t="shared" si="34"/>
        <v>0</v>
      </c>
      <c r="Q121" s="75">
        <v>0</v>
      </c>
      <c r="R121" s="75">
        <v>0</v>
      </c>
      <c r="S121" s="75">
        <v>0</v>
      </c>
      <c r="T121" s="131">
        <f t="shared" si="35"/>
        <v>0</v>
      </c>
      <c r="U121" s="131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129">
        <f ca="1">IFERROR(__xludf.DUMMYFUNCTION("IMPORTRANGE(""https://docs.google.com/spreadsheets/d/1-uDff_7J0KD5mKrp0Vvzr7lt3OU09vwQwhkpOPPYv2Y/edit?usp=sharing"",""งบพรบ!BG56"")"),0)</f>
        <v>0</v>
      </c>
      <c r="M122" s="130">
        <f ca="1">IFERROR(__xludf.DUMMYFUNCTION("IMPORTRANGE(""https://docs.google.com/spreadsheets/d/1-uDff_7J0KD5mKrp0Vvzr7lt3OU09vwQwhkpOPPYv2Y/edit?usp=sharing"",""งบพรบ!BL56"")"),0)</f>
        <v>0</v>
      </c>
      <c r="N122" s="130">
        <f ca="1">IFERROR(__xludf.DUMMYFUNCTION("IMPORTRANGE(""https://docs.google.com/spreadsheets/d/1-uDff_7J0KD5mKrp0Vvzr7lt3OU09vwQwhkpOPPYv2Y/edit?usp=sharing"",""งบพรบ!BN56"")"),0)</f>
        <v>0</v>
      </c>
      <c r="O122" s="130">
        <f t="shared" ca="1" si="33"/>
        <v>0</v>
      </c>
      <c r="P122" s="130">
        <f t="shared" ca="1" si="34"/>
        <v>0</v>
      </c>
      <c r="Q122" s="130">
        <f ca="1">IFERROR(__xludf.DUMMYFUNCTION("IMPORTRANGE(""https://docs.google.com/spreadsheets/d/1ItG2mGa2ceCfYo0BwxsXqNm01IGEUdYcSSLTEv9YCik/edit?usp=sharing"",""เบิกจ่ายกองทุน!U56"")"),173660)</f>
        <v>173660</v>
      </c>
      <c r="R122" s="130">
        <f ca="1">IFERROR(__xludf.DUMMYFUNCTION("IMPORTRANGE(""https://docs.google.com/spreadsheets/d/1ItG2mGa2ceCfYo0BwxsXqNm01IGEUdYcSSLTEv9YCik/edit?usp=sharing"",""เบิกจ่ายกองทุน!V56"")"),173660)</f>
        <v>173660</v>
      </c>
      <c r="S122" s="130">
        <f ca="1">IFERROR(__xludf.DUMMYFUNCTION("IMPORTRANGE(""https://docs.google.com/spreadsheets/d/1ItG2mGa2ceCfYo0BwxsXqNm01IGEUdYcSSLTEv9YCik/edit?usp=sharing"",""เบิกจ่ายกองทุน!W56"")"),112980)</f>
        <v>112980</v>
      </c>
      <c r="T122" s="130">
        <f t="shared" ca="1" si="35"/>
        <v>65.058159622250372</v>
      </c>
      <c r="U122" s="130">
        <f t="shared" ca="1" si="36"/>
        <v>65.058159622250372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129">
        <f ca="1">L124+L125</f>
        <v>0</v>
      </c>
      <c r="M123" s="130">
        <f ca="1">M124+M125</f>
        <v>0</v>
      </c>
      <c r="N123" s="130">
        <f ca="1">N124+N125</f>
        <v>0</v>
      </c>
      <c r="O123" s="130">
        <f t="shared" ca="1" si="33"/>
        <v>0</v>
      </c>
      <c r="P123" s="130">
        <f t="shared" ca="1" si="34"/>
        <v>0</v>
      </c>
      <c r="Q123" s="130">
        <f ca="1">Q124+Q125</f>
        <v>0</v>
      </c>
      <c r="R123" s="130">
        <f ca="1">R124+R125</f>
        <v>0</v>
      </c>
      <c r="S123" s="130">
        <f ca="1">S124+S125</f>
        <v>0</v>
      </c>
      <c r="T123" s="130">
        <f t="shared" ca="1" si="35"/>
        <v>0</v>
      </c>
      <c r="U123" s="130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131">
        <f t="shared" si="33"/>
        <v>0</v>
      </c>
      <c r="P124" s="131">
        <f t="shared" si="34"/>
        <v>0</v>
      </c>
      <c r="Q124" s="75">
        <v>0</v>
      </c>
      <c r="R124" s="75">
        <v>0</v>
      </c>
      <c r="S124" s="75">
        <v>0</v>
      </c>
      <c r="T124" s="131">
        <f t="shared" si="35"/>
        <v>0</v>
      </c>
      <c r="U124" s="131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129">
        <f ca="1">IFERROR(__xludf.DUMMYFUNCTION("IMPORTRANGE(""https://docs.google.com/spreadsheets/d/1-uDff_7J0KD5mKrp0Vvzr7lt3OU09vwQwhkpOPPYv2Y/edit?usp=sharing"",""งบพรบ!BJ56"")"),0)</f>
        <v>0</v>
      </c>
      <c r="M125" s="130">
        <f ca="1">IFERROR(__xludf.DUMMYFUNCTION("IMPORTRANGE(""https://docs.google.com/spreadsheets/d/1-uDff_7J0KD5mKrp0Vvzr7lt3OU09vwQwhkpOPPYv2Y/edit?usp=sharing"",""งบพรบ!BM56"")"),0)</f>
        <v>0</v>
      </c>
      <c r="N125" s="130">
        <f ca="1">IFERROR(__xludf.DUMMYFUNCTION("IMPORTRANGE(""https://docs.google.com/spreadsheets/d/1-uDff_7J0KD5mKrp0Vvzr7lt3OU09vwQwhkpOPPYv2Y/edit?usp=sharing"",""งบพรบ!BO56"")"),0)</f>
        <v>0</v>
      </c>
      <c r="O125" s="130">
        <f t="shared" ca="1" si="33"/>
        <v>0</v>
      </c>
      <c r="P125" s="130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IFERROR(__xludf.DUMMYFUNCTION("IMPORTRANGE(""https://docs.google.com/spreadsheets/d/1ItG2mGa2ceCfYo0BwxsXqNm01IGEUdYcSSLTEv9YCik/edit?usp=sharing"",""เบิกจ่ายกองทุน!X56"")"),0)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IFERROR(__xludf.DUMMYFUNCTION("IMPORTRANGE(""https://docs.google.com/spreadsheets/d/1ItG2mGa2ceCfYo0BwxsXqNm01IGEUdYcSSLTEv9YCik/edit?usp=sharing"",""เบิกจ่ายกองทุน!Y56"")"),0)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IFERROR(__xludf.DUMMYFUNCTION("IMPORTRANGE(""https://docs.google.com/spreadsheets/d/1ItG2mGa2ceCfYo0BwxsXqNm01IGEUdYcSSLTEv9YCik/edit?usp=sharing"",""เบิกจ่ายกองทุน!Z56"")"),0)</f>
        <v>0</v>
      </c>
      <c r="T125" s="130">
        <f t="shared" ca="1" si="35"/>
        <v>0</v>
      </c>
      <c r="U125" s="130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IFERROR(__xludf.DUMMYFUNCTION("IMPORTRANGE(""https://docs.google.com/spreadsheets/d/1eHaY18a8A9IcSdp1K8H6x8fbOy06t2VsZHhMHf-1x7Y/edit?usp=sharing"",""แผน!FF56"")"),10)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IFERROR(__xludf.DUMMYFUNCTION("IMPORTRANGE(""https://docs.google.com/spreadsheets/d/1eHaY18a8A9IcSdp1K8H6x8fbOy06t2VsZHhMHf-1x7Y/edit?usp=sharing"",""แผน!FG56"")"),0)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IFERROR(__xludf.DUMMYFUNCTION("IMPORTRANGE(""https://docs.google.com/spreadsheets/d/1eHaY18a8A9IcSdp1K8H6x8fbOy06t2VsZHhMHf-1x7Y/edit?usp=sharing"",""แผน!FH56"")"),10)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IFERROR(__xludf.DUMMYFUNCTION("IMPORTRANGE(""https://docs.google.com/spreadsheets/d/1eHaY18a8A9IcSdp1K8H6x8fbOy06t2VsZHhMHf-1x7Y/edit?usp=sharing"",""แผน!FI56"")"),0)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10</v>
      </c>
      <c r="J137" s="254">
        <f>J152</f>
        <v>10</v>
      </c>
      <c r="K137" s="57">
        <f ca="1">IF(I137&gt;0,J137*100/I137,0)</f>
        <v>100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1</v>
      </c>
      <c r="J138" s="254">
        <f>J153</f>
        <v>1</v>
      </c>
      <c r="K138" s="57">
        <f ca="1">IF(I138&gt;0,J138*100/I138,0)</f>
        <v>100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x14ac:dyDescent="0.3">
      <c r="A139" s="255"/>
      <c r="B139" s="256"/>
      <c r="C139" s="668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12">
        <f ca="1">L140+L141</f>
        <v>95500</v>
      </c>
      <c r="M139" s="213">
        <f ca="1">M140+M141</f>
        <v>90500</v>
      </c>
      <c r="N139" s="213">
        <f ca="1">N140+N141</f>
        <v>85080</v>
      </c>
      <c r="O139" s="213">
        <f t="shared" ref="O139:O147" ca="1" si="39">IF(L139&gt;0,N139*100/L139,0)</f>
        <v>89.089005235602087</v>
      </c>
      <c r="P139" s="213">
        <f t="shared" ref="P139:P147" ca="1" si="40">IF(M139&gt;0,N139*100/M139,0)</f>
        <v>94.011049723756912</v>
      </c>
      <c r="Q139" s="213">
        <f ca="1">Q140+Q141</f>
        <v>39860</v>
      </c>
      <c r="R139" s="213">
        <f ca="1">R140+R141</f>
        <v>39860</v>
      </c>
      <c r="S139" s="213">
        <f ca="1">S140+S141</f>
        <v>3290</v>
      </c>
      <c r="T139" s="213">
        <f t="shared" ref="T139:T147" ca="1" si="41">IF(Q139&gt;0,S139*100/Q139,0)</f>
        <v>8.2538886101354745</v>
      </c>
      <c r="U139" s="213">
        <f t="shared" ref="U139:U147" ca="1" si="42">IF(R139&gt;0,S139*100/R139,0)</f>
        <v>8.2538886101354745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215">
        <f t="shared" ref="L140:N141" si="43">L143+L146</f>
        <v>0</v>
      </c>
      <c r="M140" s="131">
        <f t="shared" si="43"/>
        <v>0</v>
      </c>
      <c r="N140" s="131">
        <f t="shared" si="43"/>
        <v>0</v>
      </c>
      <c r="O140" s="131">
        <f t="shared" si="39"/>
        <v>0</v>
      </c>
      <c r="P140" s="131">
        <f t="shared" si="40"/>
        <v>0</v>
      </c>
      <c r="Q140" s="131">
        <f t="shared" ref="Q140:S141" si="44">Q143+Q146</f>
        <v>0</v>
      </c>
      <c r="R140" s="131">
        <f t="shared" si="44"/>
        <v>0</v>
      </c>
      <c r="S140" s="131">
        <f t="shared" si="44"/>
        <v>0</v>
      </c>
      <c r="T140" s="131">
        <f t="shared" si="41"/>
        <v>0</v>
      </c>
      <c r="U140" s="131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129">
        <f t="shared" ca="1" si="43"/>
        <v>95500</v>
      </c>
      <c r="M141" s="130">
        <f t="shared" ca="1" si="43"/>
        <v>90500</v>
      </c>
      <c r="N141" s="130">
        <f t="shared" ca="1" si="43"/>
        <v>85080</v>
      </c>
      <c r="O141" s="130">
        <f t="shared" ca="1" si="39"/>
        <v>89.089005235602087</v>
      </c>
      <c r="P141" s="130">
        <f t="shared" ca="1" si="40"/>
        <v>94.011049723756912</v>
      </c>
      <c r="Q141" s="130">
        <f t="shared" ca="1" si="44"/>
        <v>39860</v>
      </c>
      <c r="R141" s="130">
        <f t="shared" ca="1" si="44"/>
        <v>39860</v>
      </c>
      <c r="S141" s="130">
        <f t="shared" ca="1" si="44"/>
        <v>3290</v>
      </c>
      <c r="T141" s="130">
        <f t="shared" ca="1" si="41"/>
        <v>8.2538886101354745</v>
      </c>
      <c r="U141" s="130">
        <f t="shared" ca="1" si="42"/>
        <v>8.2538886101354745</v>
      </c>
    </row>
    <row r="142" spans="1:21" ht="18.75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129">
        <f ca="1">L143+L144</f>
        <v>95500</v>
      </c>
      <c r="M142" s="130">
        <f ca="1">M143+M144</f>
        <v>90500</v>
      </c>
      <c r="N142" s="130">
        <f ca="1">N143+N144</f>
        <v>85080</v>
      </c>
      <c r="O142" s="130">
        <f t="shared" ca="1" si="39"/>
        <v>89.089005235602087</v>
      </c>
      <c r="P142" s="130">
        <f t="shared" ca="1" si="40"/>
        <v>94.011049723756912</v>
      </c>
      <c r="Q142" s="130">
        <f ca="1">Q143+Q144</f>
        <v>39860</v>
      </c>
      <c r="R142" s="130">
        <f ca="1">R143+R144</f>
        <v>39860</v>
      </c>
      <c r="S142" s="130">
        <f ca="1">S143+S144</f>
        <v>3290</v>
      </c>
      <c r="T142" s="130">
        <f t="shared" ca="1" si="41"/>
        <v>8.2538886101354745</v>
      </c>
      <c r="U142" s="130">
        <f t="shared" ca="1" si="42"/>
        <v>8.2538886101354745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131">
        <f t="shared" si="39"/>
        <v>0</v>
      </c>
      <c r="P143" s="131">
        <f t="shared" si="40"/>
        <v>0</v>
      </c>
      <c r="Q143" s="75">
        <v>0</v>
      </c>
      <c r="R143" s="75">
        <v>0</v>
      </c>
      <c r="S143" s="75">
        <v>0</v>
      </c>
      <c r="T143" s="131">
        <f t="shared" si="41"/>
        <v>0</v>
      </c>
      <c r="U143" s="131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129">
        <f ca="1">IFERROR(__xludf.DUMMYFUNCTION("IMPORTRANGE(""https://docs.google.com/spreadsheets/d/1-uDff_7J0KD5mKrp0Vvzr7lt3OU09vwQwhkpOPPYv2Y/edit?usp=sharing"",""งบพรบ!BQ56"")"),95500)</f>
        <v>95500</v>
      </c>
      <c r="M144" s="130">
        <f ca="1">IFERROR(__xludf.DUMMYFUNCTION("IMPORTRANGE(""https://docs.google.com/spreadsheets/d/1-uDff_7J0KD5mKrp0Vvzr7lt3OU09vwQwhkpOPPYv2Y/edit?usp=sharing"",""งบพรบ!BV56"")"),90500)</f>
        <v>90500</v>
      </c>
      <c r="N144" s="130">
        <f ca="1">IFERROR(__xludf.DUMMYFUNCTION("IMPORTRANGE(""https://docs.google.com/spreadsheets/d/1-uDff_7J0KD5mKrp0Vvzr7lt3OU09vwQwhkpOPPYv2Y/edit?usp=sharing"",""งบพรบ!BX56"")"),85080)</f>
        <v>85080</v>
      </c>
      <c r="O144" s="130">
        <f t="shared" ca="1" si="39"/>
        <v>89.089005235602087</v>
      </c>
      <c r="P144" s="130">
        <f t="shared" ca="1" si="40"/>
        <v>94.011049723756912</v>
      </c>
      <c r="Q144" s="130">
        <f ca="1">IFERROR(__xludf.DUMMYFUNCTION("IMPORTRANGE(""https://docs.google.com/spreadsheets/d/1ItG2mGa2ceCfYo0BwxsXqNm01IGEUdYcSSLTEv9YCik/edit?usp=sharing"",""เบิกจ่ายกองทุน!CF56"")"),39860)</f>
        <v>39860</v>
      </c>
      <c r="R144" s="130">
        <f ca="1">IFERROR(__xludf.DUMMYFUNCTION("IMPORTRANGE(""https://docs.google.com/spreadsheets/d/1ItG2mGa2ceCfYo0BwxsXqNm01IGEUdYcSSLTEv9YCik/edit?usp=sharing"",""เบิกจ่ายกองทุน!CG56"")"),39860)</f>
        <v>39860</v>
      </c>
      <c r="S144" s="130">
        <f ca="1">IFERROR(__xludf.DUMMYFUNCTION("IMPORTRANGE(""https://docs.google.com/spreadsheets/d/1ItG2mGa2ceCfYo0BwxsXqNm01IGEUdYcSSLTEv9YCik/edit?usp=sharing"",""เบิกจ่ายกองทุน!CH56"")"),3290)</f>
        <v>3290</v>
      </c>
      <c r="T144" s="130">
        <f t="shared" ca="1" si="41"/>
        <v>8.2538886101354745</v>
      </c>
      <c r="U144" s="130">
        <f t="shared" ca="1" si="42"/>
        <v>8.2538886101354745</v>
      </c>
    </row>
    <row r="145" spans="1:21" ht="18.75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129">
        <f ca="1">L146+L147</f>
        <v>0</v>
      </c>
      <c r="M145" s="130">
        <f ca="1">M146+M147</f>
        <v>0</v>
      </c>
      <c r="N145" s="130">
        <f ca="1">N146+N147</f>
        <v>0</v>
      </c>
      <c r="O145" s="130">
        <f t="shared" ca="1" si="39"/>
        <v>0</v>
      </c>
      <c r="P145" s="130">
        <f t="shared" ca="1" si="40"/>
        <v>0</v>
      </c>
      <c r="Q145" s="130">
        <f ca="1">Q146+Q147</f>
        <v>0</v>
      </c>
      <c r="R145" s="130">
        <f ca="1">R146+R147</f>
        <v>0</v>
      </c>
      <c r="S145" s="130">
        <f ca="1">S146+S147</f>
        <v>0</v>
      </c>
      <c r="T145" s="130">
        <f t="shared" ca="1" si="41"/>
        <v>0</v>
      </c>
      <c r="U145" s="130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131">
        <f t="shared" si="39"/>
        <v>0</v>
      </c>
      <c r="P146" s="131">
        <f t="shared" si="40"/>
        <v>0</v>
      </c>
      <c r="Q146" s="75">
        <v>0</v>
      </c>
      <c r="R146" s="75">
        <v>0</v>
      </c>
      <c r="S146" s="75">
        <v>0</v>
      </c>
      <c r="T146" s="131">
        <f t="shared" si="41"/>
        <v>0</v>
      </c>
      <c r="U146" s="131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129">
        <f ca="1">IFERROR(__xludf.DUMMYFUNCTION("IMPORTRANGE(""https://docs.google.com/spreadsheets/d/1-uDff_7J0KD5mKrp0Vvzr7lt3OU09vwQwhkpOPPYv2Y/edit?usp=sharing"",""งบพรบ!BT56"")"),0)</f>
        <v>0</v>
      </c>
      <c r="M147" s="130">
        <f ca="1">IFERROR(__xludf.DUMMYFUNCTION("IMPORTRANGE(""https://docs.google.com/spreadsheets/d/1-uDff_7J0KD5mKrp0Vvzr7lt3OU09vwQwhkpOPPYv2Y/edit?usp=sharing"",""งบพรบ!BW56"")"),0)</f>
        <v>0</v>
      </c>
      <c r="N147" s="130">
        <f ca="1">IFERROR(__xludf.DUMMYFUNCTION("IMPORTRANGE(""https://docs.google.com/spreadsheets/d/1-uDff_7J0KD5mKrp0Vvzr7lt3OU09vwQwhkpOPPYv2Y/edit?usp=sharing"",""งบพรบ!BY56"")"),0)</f>
        <v>0</v>
      </c>
      <c r="O147" s="130">
        <f t="shared" ca="1" si="39"/>
        <v>0</v>
      </c>
      <c r="P147" s="130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IFERROR(__xludf.DUMMYFUNCTION("IMPORTRANGE(""https://docs.google.com/spreadsheets/d/1ItG2mGa2ceCfYo0BwxsXqNm01IGEUdYcSSLTEv9YCik/edit?usp=sharing"",""เบิกจ่ายกองทุน!CI56"")"),0)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IFERROR(__xludf.DUMMYFUNCTION("IMPORTRANGE(""https://docs.google.com/spreadsheets/d/1ItG2mGa2ceCfYo0BwxsXqNm01IGEUdYcSSLTEv9YCik/edit?usp=sharing"",""เบิกจ่ายกองทุน!CJ56"")"),0)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IFERROR(__xludf.DUMMYFUNCTION("IMPORTRANGE(""https://docs.google.com/spreadsheets/d/1ItG2mGa2ceCfYo0BwxsXqNm01IGEUdYcSSLTEv9YCik/edit?usp=sharing"",""เบิกจ่ายกองทุน!CK56"")"),0)</f>
        <v>0</v>
      </c>
      <c r="T147" s="130">
        <f t="shared" ca="1" si="41"/>
        <v>0</v>
      </c>
      <c r="U147" s="130">
        <f t="shared" ca="1" si="42"/>
        <v>0</v>
      </c>
    </row>
    <row r="148" spans="1:21" ht="19.5" x14ac:dyDescent="0.3">
      <c r="A148" s="274"/>
      <c r="B148" s="275"/>
      <c r="C148" s="668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IFERROR(__xludf.DUMMYFUNCTION("IMPORTRANGE(""https://docs.google.com/spreadsheets/d/1eHaY18a8A9IcSdp1K8H6x8fbOy06t2VsZHhMHf-1x7Y/edit?usp=sharing"",""แผน!U56"")"),0)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IFERROR(__xludf.DUMMYFUNCTION("IMPORTRANGE(""https://docs.google.com/spreadsheets/d/1eHaY18a8A9IcSdp1K8H6x8fbOy06t2VsZHhMHf-1x7Y/edit?usp=sharing"",""แผน!V56"")"),0)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IFERROR(__xludf.DUMMYFUNCTION("IMPORTRANGE(""https://docs.google.com/spreadsheets/d/1eHaY18a8A9IcSdp1K8H6x8fbOy06t2VsZHhMHf-1x7Y/edit?usp=sharing"",""แผน!W56"")"),10)</f>
        <v>10</v>
      </c>
      <c r="J152" s="292">
        <v>10</v>
      </c>
      <c r="K152" s="72">
        <f ca="1">IF(I152&gt;0,J152*100/I152,0)</f>
        <v>100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IFERROR(__xludf.DUMMYFUNCTION("IMPORTRANGE(""https://docs.google.com/spreadsheets/d/1eHaY18a8A9IcSdp1K8H6x8fbOy06t2VsZHhMHf-1x7Y/edit?usp=sharing"",""แผน!X56"")"),1)</f>
        <v>1</v>
      </c>
      <c r="J153" s="292">
        <v>1</v>
      </c>
      <c r="K153" s="72">
        <f ca="1">IF(I153&gt;0,J153*100/I153,0)</f>
        <v>100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IFERROR(__xludf.DUMMYFUNCTION("IMPORTRANGE(""https://docs.google.com/spreadsheets/d/1eHaY18a8A9IcSdp1K8H6x8fbOy06t2VsZHhMHf-1x7Y/edit?usp=sharing"",""แผน!Y56"")"),0)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12">
        <f ca="1">L158+L159</f>
        <v>0</v>
      </c>
      <c r="M157" s="213">
        <f ca="1">M158+M159</f>
        <v>2043</v>
      </c>
      <c r="N157" s="213">
        <f ca="1">N158+N159</f>
        <v>2043</v>
      </c>
      <c r="O157" s="213">
        <f t="shared" ref="O157:O165" ca="1" si="45">IF(L157&gt;0,N157*100/L157,0)</f>
        <v>0</v>
      </c>
      <c r="P157" s="213">
        <f t="shared" ref="P157:P165" ca="1" si="46">IF(M157&gt;0,N157*100/M157,0)</f>
        <v>100</v>
      </c>
      <c r="Q157" s="213">
        <f ca="1">Q158+Q159</f>
        <v>0</v>
      </c>
      <c r="R157" s="213">
        <f ca="1">R158+R159</f>
        <v>0</v>
      </c>
      <c r="S157" s="213">
        <f ca="1">S158+S159</f>
        <v>0</v>
      </c>
      <c r="T157" s="213">
        <f t="shared" ref="T157:T165" ca="1" si="47">IF(Q157&gt;0,S157*100/Q157,0)</f>
        <v>0</v>
      </c>
      <c r="U157" s="213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215">
        <f t="shared" ref="L158:N159" si="49">L161+L164</f>
        <v>0</v>
      </c>
      <c r="M158" s="131">
        <f t="shared" si="49"/>
        <v>0</v>
      </c>
      <c r="N158" s="131">
        <f t="shared" si="49"/>
        <v>0</v>
      </c>
      <c r="O158" s="131">
        <f t="shared" si="45"/>
        <v>0</v>
      </c>
      <c r="P158" s="131">
        <f t="shared" si="46"/>
        <v>0</v>
      </c>
      <c r="Q158" s="131">
        <f t="shared" ref="Q158:S159" si="50">Q161+Q164</f>
        <v>0</v>
      </c>
      <c r="R158" s="131">
        <f t="shared" si="50"/>
        <v>0</v>
      </c>
      <c r="S158" s="131">
        <f t="shared" si="50"/>
        <v>0</v>
      </c>
      <c r="T158" s="131">
        <f t="shared" si="47"/>
        <v>0</v>
      </c>
      <c r="U158" s="131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129">
        <f t="shared" ca="1" si="49"/>
        <v>0</v>
      </c>
      <c r="M159" s="130">
        <f t="shared" ca="1" si="49"/>
        <v>2043</v>
      </c>
      <c r="N159" s="130">
        <f t="shared" ca="1" si="49"/>
        <v>2043</v>
      </c>
      <c r="O159" s="130">
        <f t="shared" ca="1" si="45"/>
        <v>0</v>
      </c>
      <c r="P159" s="130">
        <f t="shared" ca="1" si="46"/>
        <v>100</v>
      </c>
      <c r="Q159" s="130">
        <f t="shared" ca="1" si="50"/>
        <v>0</v>
      </c>
      <c r="R159" s="130">
        <f t="shared" ca="1" si="50"/>
        <v>0</v>
      </c>
      <c r="S159" s="130">
        <f t="shared" ca="1" si="50"/>
        <v>0</v>
      </c>
      <c r="T159" s="130">
        <f t="shared" ca="1" si="47"/>
        <v>0</v>
      </c>
      <c r="U159" s="130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129">
        <f ca="1">L161+L162</f>
        <v>0</v>
      </c>
      <c r="M160" s="130">
        <f ca="1">M161+M162</f>
        <v>2043</v>
      </c>
      <c r="N160" s="130">
        <f ca="1">N161+N162</f>
        <v>2043</v>
      </c>
      <c r="O160" s="130">
        <f t="shared" ca="1" si="45"/>
        <v>0</v>
      </c>
      <c r="P160" s="130">
        <f t="shared" ca="1" si="46"/>
        <v>100</v>
      </c>
      <c r="Q160" s="130">
        <f ca="1">Q161+Q162</f>
        <v>0</v>
      </c>
      <c r="R160" s="130">
        <f ca="1">R161+R162</f>
        <v>0</v>
      </c>
      <c r="S160" s="130">
        <f ca="1">S161+S162</f>
        <v>0</v>
      </c>
      <c r="T160" s="130">
        <f t="shared" ca="1" si="47"/>
        <v>0</v>
      </c>
      <c r="U160" s="130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131">
        <f t="shared" si="45"/>
        <v>0</v>
      </c>
      <c r="P161" s="131">
        <f t="shared" si="46"/>
        <v>0</v>
      </c>
      <c r="Q161" s="75">
        <v>0</v>
      </c>
      <c r="R161" s="75">
        <v>0</v>
      </c>
      <c r="S161" s="75">
        <v>0</v>
      </c>
      <c r="T161" s="131">
        <f t="shared" si="47"/>
        <v>0</v>
      </c>
      <c r="U161" s="131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129">
        <f ca="1">IFERROR(__xludf.DUMMYFUNCTION("IMPORTRANGE(""https://docs.google.com/spreadsheets/d/1-uDff_7J0KD5mKrp0Vvzr7lt3OU09vwQwhkpOPPYv2Y/edit?usp=sharing"",""งบพรบ!CA56"")"),0)</f>
        <v>0</v>
      </c>
      <c r="M162" s="130">
        <f ca="1">IFERROR(__xludf.DUMMYFUNCTION("IMPORTRANGE(""https://docs.google.com/spreadsheets/d/1-uDff_7J0KD5mKrp0Vvzr7lt3OU09vwQwhkpOPPYv2Y/edit?usp=sharing"",""งบพรบ!CF56"")"),2043)</f>
        <v>2043</v>
      </c>
      <c r="N162" s="130">
        <f ca="1">IFERROR(__xludf.DUMMYFUNCTION("IMPORTRANGE(""https://docs.google.com/spreadsheets/d/1-uDff_7J0KD5mKrp0Vvzr7lt3OU09vwQwhkpOPPYv2Y/edit?usp=sharing"",""งบพรบ!CH56"")"),2043)</f>
        <v>2043</v>
      </c>
      <c r="O162" s="130">
        <f t="shared" ca="1" si="45"/>
        <v>0</v>
      </c>
      <c r="P162" s="130">
        <f t="shared" ca="1" si="46"/>
        <v>100</v>
      </c>
      <c r="Q162" s="130">
        <f ca="1">IFERROR(__xludf.DUMMYFUNCTION("IMPORTRANGE(""https://docs.google.com/spreadsheets/d/1ItG2mGa2ceCfYo0BwxsXqNm01IGEUdYcSSLTEv9YCik/edit?usp=sharing"",""เบิกจ่ายกองทุน!AM56"")"),0)</f>
        <v>0</v>
      </c>
      <c r="R162" s="130">
        <f ca="1">IFERROR(__xludf.DUMMYFUNCTION("IMPORTRANGE(""https://docs.google.com/spreadsheets/d/1ItG2mGa2ceCfYo0BwxsXqNm01IGEUdYcSSLTEv9YCik/edit?usp=sharing"",""เบิกจ่ายกองทุน!AN56"")"),0)</f>
        <v>0</v>
      </c>
      <c r="S162" s="130">
        <f ca="1">IFERROR(__xludf.DUMMYFUNCTION("IMPORTRANGE(""https://docs.google.com/spreadsheets/d/1ItG2mGa2ceCfYo0BwxsXqNm01IGEUdYcSSLTEv9YCik/edit?usp=sharing"",""เบิกจ่ายกองทุน!AO56"")"),0)</f>
        <v>0</v>
      </c>
      <c r="T162" s="130">
        <f t="shared" ca="1" si="47"/>
        <v>0</v>
      </c>
      <c r="U162" s="130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129">
        <f ca="1">L164+L165</f>
        <v>0</v>
      </c>
      <c r="M163" s="130">
        <f ca="1">M164+M165</f>
        <v>0</v>
      </c>
      <c r="N163" s="130">
        <f ca="1">N164+N165</f>
        <v>0</v>
      </c>
      <c r="O163" s="130">
        <f t="shared" ca="1" si="45"/>
        <v>0</v>
      </c>
      <c r="P163" s="130">
        <f t="shared" ca="1" si="46"/>
        <v>0</v>
      </c>
      <c r="Q163" s="130">
        <f>Q164+Q165</f>
        <v>0</v>
      </c>
      <c r="R163" s="130">
        <f>R164+R165</f>
        <v>0</v>
      </c>
      <c r="S163" s="130">
        <f>S164+S165</f>
        <v>0</v>
      </c>
      <c r="T163" s="130">
        <f t="shared" si="47"/>
        <v>0</v>
      </c>
      <c r="U163" s="130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131">
        <f t="shared" si="45"/>
        <v>0</v>
      </c>
      <c r="P164" s="131">
        <f t="shared" si="46"/>
        <v>0</v>
      </c>
      <c r="Q164" s="75">
        <v>0</v>
      </c>
      <c r="R164" s="75">
        <v>0</v>
      </c>
      <c r="S164" s="75">
        <v>0</v>
      </c>
      <c r="T164" s="131">
        <f t="shared" si="47"/>
        <v>0</v>
      </c>
      <c r="U164" s="131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129">
        <f ca="1">IFERROR(__xludf.DUMMYFUNCTION("IMPORTRANGE(""https://docs.google.com/spreadsheets/d/1-uDff_7J0KD5mKrp0Vvzr7lt3OU09vwQwhkpOPPYv2Y/edit?usp=sharing"",""งบพรบ!CD56"")"),0)</f>
        <v>0</v>
      </c>
      <c r="M165" s="130">
        <f ca="1">IFERROR(__xludf.DUMMYFUNCTION("IMPORTRANGE(""https://docs.google.com/spreadsheets/d/1-uDff_7J0KD5mKrp0Vvzr7lt3OU09vwQwhkpOPPYv2Y/edit?usp=sharing"",""งบพรบ!CG56"")"),0)</f>
        <v>0</v>
      </c>
      <c r="N165" s="130">
        <f ca="1">IFERROR(__xludf.DUMMYFUNCTION("IMPORTRANGE(""https://docs.google.com/spreadsheets/d/1-uDff_7J0KD5mKrp0Vvzr7lt3OU09vwQwhkpOPPYv2Y/edit?usp=sharing"",""งบพรบ!CI56"")"),0)</f>
        <v>0</v>
      </c>
      <c r="O165" s="130">
        <f t="shared" ca="1" si="45"/>
        <v>0</v>
      </c>
      <c r="P165" s="130">
        <f t="shared" ca="1" si="46"/>
        <v>0</v>
      </c>
      <c r="Q165" s="72">
        <v>0</v>
      </c>
      <c r="R165" s="72">
        <v>0</v>
      </c>
      <c r="S165" s="72">
        <v>0</v>
      </c>
      <c r="T165" s="130">
        <f t="shared" si="47"/>
        <v>0</v>
      </c>
      <c r="U165" s="130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IFERROR(__xludf.DUMMYFUNCTION("IMPORTRANGE(""https://docs.google.com/spreadsheets/d/1eHaY18a8A9IcSdp1K8H6x8fbOy06t2VsZHhMHf-1x7Y/edit?usp=sharing"",""แผน!Z56"")"),0)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IFERROR(__xludf.DUMMYFUNCTION("IMPORTRANGE(""https://docs.google.com/spreadsheets/d/1eHaY18a8A9IcSdp1K8H6x8fbOy06t2VsZHhMHf-1x7Y/edit?usp=sharing"",""แผน!Z56"")"),0)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IFERROR(__xludf.DUMMYFUNCTION("IMPORTRANGE(""https://docs.google.com/spreadsheets/d/1eHaY18a8A9IcSdp1K8H6x8fbOy06t2VsZHhMHf-1x7Y/edit?usp=sharing"",""แผน!Z56"")"),0)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hidden="1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hidden="1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0</v>
      </c>
      <c r="J172" s="963">
        <f>J183+J184</f>
        <v>0</v>
      </c>
      <c r="K172" s="962">
        <f ca="1">IF(I172&gt;0,J172*100/I172,0)</f>
        <v>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hidden="1" x14ac:dyDescent="0.3">
      <c r="A173" s="255"/>
      <c r="B173" s="256"/>
      <c r="C173" s="257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12">
        <f ca="1">L174+L175</f>
        <v>0</v>
      </c>
      <c r="M173" s="213">
        <f ca="1">M174+M175</f>
        <v>0</v>
      </c>
      <c r="N173" s="213">
        <f ca="1">N174+N175</f>
        <v>0</v>
      </c>
      <c r="O173" s="213">
        <f t="shared" ref="O173:O181" ca="1" si="51">IF(L173&gt;0,N173*100/L173,0)</f>
        <v>0</v>
      </c>
      <c r="P173" s="213">
        <f t="shared" ref="P173:P181" ca="1" si="52">IF(M173&gt;0,N173*100/M173,0)</f>
        <v>0</v>
      </c>
      <c r="Q173" s="213">
        <f ca="1">Q174+Q175</f>
        <v>0</v>
      </c>
      <c r="R173" s="213">
        <f ca="1">R174+R175</f>
        <v>0</v>
      </c>
      <c r="S173" s="213">
        <f ca="1">S174+S175</f>
        <v>0</v>
      </c>
      <c r="T173" s="213">
        <f t="shared" ref="T173:T181" ca="1" si="53">IF(Q173&gt;0,S173*100/Q173,0)</f>
        <v>0</v>
      </c>
      <c r="U173" s="213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215">
        <f t="shared" ref="L174:N175" si="55">L177+L180</f>
        <v>0</v>
      </c>
      <c r="M174" s="131">
        <f t="shared" si="55"/>
        <v>0</v>
      </c>
      <c r="N174" s="131">
        <f t="shared" si="55"/>
        <v>0</v>
      </c>
      <c r="O174" s="131">
        <f t="shared" si="51"/>
        <v>0</v>
      </c>
      <c r="P174" s="131">
        <f t="shared" si="52"/>
        <v>0</v>
      </c>
      <c r="Q174" s="131">
        <f t="shared" ref="Q174:S175" si="56">Q177+Q180</f>
        <v>0</v>
      </c>
      <c r="R174" s="131">
        <f t="shared" si="56"/>
        <v>0</v>
      </c>
      <c r="S174" s="131">
        <f t="shared" si="56"/>
        <v>0</v>
      </c>
      <c r="T174" s="131">
        <f t="shared" si="53"/>
        <v>0</v>
      </c>
      <c r="U174" s="131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129">
        <f t="shared" ca="1" si="55"/>
        <v>0</v>
      </c>
      <c r="M175" s="130">
        <f t="shared" ca="1" si="55"/>
        <v>0</v>
      </c>
      <c r="N175" s="130">
        <f t="shared" ca="1" si="55"/>
        <v>0</v>
      </c>
      <c r="O175" s="130">
        <f t="shared" ca="1" si="51"/>
        <v>0</v>
      </c>
      <c r="P175" s="130">
        <f t="shared" ca="1" si="52"/>
        <v>0</v>
      </c>
      <c r="Q175" s="130">
        <f t="shared" ca="1" si="56"/>
        <v>0</v>
      </c>
      <c r="R175" s="130">
        <f t="shared" ca="1" si="56"/>
        <v>0</v>
      </c>
      <c r="S175" s="130">
        <f t="shared" ca="1" si="56"/>
        <v>0</v>
      </c>
      <c r="T175" s="130">
        <f t="shared" ca="1" si="53"/>
        <v>0</v>
      </c>
      <c r="U175" s="130">
        <f t="shared" ca="1" si="54"/>
        <v>0</v>
      </c>
    </row>
    <row r="176" spans="1:21" ht="18.75" hidden="1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129">
        <f ca="1">L177+L178</f>
        <v>0</v>
      </c>
      <c r="M176" s="130">
        <f ca="1">M177+M178</f>
        <v>0</v>
      </c>
      <c r="N176" s="130">
        <f ca="1">N177+N178</f>
        <v>0</v>
      </c>
      <c r="O176" s="130">
        <f t="shared" ca="1" si="51"/>
        <v>0</v>
      </c>
      <c r="P176" s="130">
        <f t="shared" ca="1" si="52"/>
        <v>0</v>
      </c>
      <c r="Q176" s="130">
        <f ca="1">Q177+Q178</f>
        <v>0</v>
      </c>
      <c r="R176" s="130">
        <f ca="1">R177+R178</f>
        <v>0</v>
      </c>
      <c r="S176" s="130">
        <f ca="1">S177+S178</f>
        <v>0</v>
      </c>
      <c r="T176" s="130">
        <f t="shared" ca="1" si="53"/>
        <v>0</v>
      </c>
      <c r="U176" s="130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131">
        <f t="shared" si="51"/>
        <v>0</v>
      </c>
      <c r="P177" s="131">
        <f t="shared" si="52"/>
        <v>0</v>
      </c>
      <c r="Q177" s="75">
        <v>0</v>
      </c>
      <c r="R177" s="75">
        <v>0</v>
      </c>
      <c r="S177" s="75">
        <v>0</v>
      </c>
      <c r="T177" s="131">
        <f t="shared" si="53"/>
        <v>0</v>
      </c>
      <c r="U177" s="131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129">
        <f ca="1">IFERROR(__xludf.DUMMYFUNCTION("IMPORTRANGE(""https://docs.google.com/spreadsheets/d/1-uDff_7J0KD5mKrp0Vvzr7lt3OU09vwQwhkpOPPYv2Y/edit?usp=sharing"",""งบพรบ!CK56"")"),0)</f>
        <v>0</v>
      </c>
      <c r="M178" s="130">
        <f ca="1">IFERROR(__xludf.DUMMYFUNCTION("IMPORTRANGE(""https://docs.google.com/spreadsheets/d/1-uDff_7J0KD5mKrp0Vvzr7lt3OU09vwQwhkpOPPYv2Y/edit?usp=sharing"",""งบพรบ!CP56"")"),0)</f>
        <v>0</v>
      </c>
      <c r="N178" s="130">
        <f ca="1">IFERROR(__xludf.DUMMYFUNCTION("IMPORTRANGE(""https://docs.google.com/spreadsheets/d/1-uDff_7J0KD5mKrp0Vvzr7lt3OU09vwQwhkpOPPYv2Y/edit?usp=sharing"",""งบพรบ!CR56"")"),0)</f>
        <v>0</v>
      </c>
      <c r="O178" s="130">
        <f t="shared" ca="1" si="51"/>
        <v>0</v>
      </c>
      <c r="P178" s="130">
        <f t="shared" ca="1" si="52"/>
        <v>0</v>
      </c>
      <c r="Q178" s="130">
        <f ca="1">IFERROR(__xludf.DUMMYFUNCTION("IMPORTRANGE(""https://docs.google.com/spreadsheets/d/1ItG2mGa2ceCfYo0BwxsXqNm01IGEUdYcSSLTEv9YCik/edit?usp=sharing"",""เบิกจ่ายกองทุน!DG56"")"),0)</f>
        <v>0</v>
      </c>
      <c r="R178" s="130">
        <f ca="1">IFERROR(__xludf.DUMMYFUNCTION("IMPORTRANGE(""https://docs.google.com/spreadsheets/d/1ItG2mGa2ceCfYo0BwxsXqNm01IGEUdYcSSLTEv9YCik/edit?usp=sharing"",""เบิกจ่ายกองทุน!DH56"")"),0)</f>
        <v>0</v>
      </c>
      <c r="S178" s="130">
        <f ca="1">IFERROR(__xludf.DUMMYFUNCTION("IMPORTRANGE(""https://docs.google.com/spreadsheets/d/1ItG2mGa2ceCfYo0BwxsXqNm01IGEUdYcSSLTEv9YCik/edit?usp=sharing"",""เบิกจ่ายกองทุน!DI56"")"),0)</f>
        <v>0</v>
      </c>
      <c r="T178" s="130">
        <f t="shared" ca="1" si="53"/>
        <v>0</v>
      </c>
      <c r="U178" s="130">
        <f t="shared" ca="1" si="54"/>
        <v>0</v>
      </c>
    </row>
    <row r="179" spans="1:21" ht="18.75" hidden="1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129">
        <f ca="1">L180+L181</f>
        <v>0</v>
      </c>
      <c r="M179" s="130">
        <f ca="1">M180+M181</f>
        <v>0</v>
      </c>
      <c r="N179" s="130">
        <f ca="1">N180+N181</f>
        <v>0</v>
      </c>
      <c r="O179" s="130">
        <f t="shared" ca="1" si="51"/>
        <v>0</v>
      </c>
      <c r="P179" s="130">
        <f t="shared" ca="1" si="52"/>
        <v>0</v>
      </c>
      <c r="Q179" s="130">
        <f>Q180+Q181</f>
        <v>0</v>
      </c>
      <c r="R179" s="130">
        <f>R180+R181</f>
        <v>0</v>
      </c>
      <c r="S179" s="130">
        <f>S180+S181</f>
        <v>0</v>
      </c>
      <c r="T179" s="130">
        <f t="shared" si="53"/>
        <v>0</v>
      </c>
      <c r="U179" s="130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131">
        <f t="shared" si="51"/>
        <v>0</v>
      </c>
      <c r="P180" s="131">
        <f t="shared" si="52"/>
        <v>0</v>
      </c>
      <c r="Q180" s="75">
        <v>0</v>
      </c>
      <c r="R180" s="75">
        <v>0</v>
      </c>
      <c r="S180" s="75">
        <v>0</v>
      </c>
      <c r="T180" s="131">
        <f t="shared" si="53"/>
        <v>0</v>
      </c>
      <c r="U180" s="131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129">
        <f ca="1">IFERROR(__xludf.DUMMYFUNCTION("IMPORTRANGE(""https://docs.google.com/spreadsheets/d/1-uDff_7J0KD5mKrp0Vvzr7lt3OU09vwQwhkpOPPYv2Y/edit?usp=sharing"",""งบพรบ!CN56"")"),0)</f>
        <v>0</v>
      </c>
      <c r="M181" s="130">
        <f ca="1">IFERROR(__xludf.DUMMYFUNCTION("IMPORTRANGE(""https://docs.google.com/spreadsheets/d/1-uDff_7J0KD5mKrp0Vvzr7lt3OU09vwQwhkpOPPYv2Y/edit?usp=sharing"",""งบพรบ!CQ56"")"),0)</f>
        <v>0</v>
      </c>
      <c r="N181" s="130">
        <f ca="1">IFERROR(__xludf.DUMMYFUNCTION("IMPORTRANGE(""https://docs.google.com/spreadsheets/d/1-uDff_7J0KD5mKrp0Vvzr7lt3OU09vwQwhkpOPPYv2Y/edit?usp=sharing"",""งบพรบ!CS56"")"),0)</f>
        <v>0</v>
      </c>
      <c r="O181" s="130">
        <f t="shared" ca="1" si="51"/>
        <v>0</v>
      </c>
      <c r="P181" s="130">
        <f t="shared" ca="1" si="52"/>
        <v>0</v>
      </c>
      <c r="Q181" s="72">
        <v>0</v>
      </c>
      <c r="R181" s="72">
        <v>0</v>
      </c>
      <c r="S181" s="72">
        <v>0</v>
      </c>
      <c r="T181" s="130">
        <f t="shared" si="53"/>
        <v>0</v>
      </c>
      <c r="U181" s="130">
        <f t="shared" si="54"/>
        <v>0</v>
      </c>
    </row>
    <row r="182" spans="1:21" ht="19.5" hidden="1" x14ac:dyDescent="0.3">
      <c r="A182" s="274"/>
      <c r="B182" s="275"/>
      <c r="C182" s="257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hidden="1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IFERROR(__xludf.DUMMYFUNCTION("IMPORTRANGE(""https://docs.google.com/spreadsheets/d/1eHaY18a8A9IcSdp1K8H6x8fbOy06t2VsZHhMHf-1x7Y/edit?usp=sharing"",""แผน!AA56"")"),0)</f>
        <v>0</v>
      </c>
      <c r="J183" s="292">
        <v>0</v>
      </c>
      <c r="K183" s="72">
        <f ca="1">IF(I183&gt;0,J183*100/I183,0)</f>
        <v>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30</v>
      </c>
      <c r="J185" s="963">
        <f>J230+J231</f>
        <v>20</v>
      </c>
      <c r="K185" s="962">
        <f ca="1">IF(I185&gt;0,J185*100/I185,0)</f>
        <v>66.666666666666671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12">
        <f ca="1">L187+L188</f>
        <v>121662</v>
      </c>
      <c r="M186" s="213">
        <f ca="1">M187+M188</f>
        <v>150776</v>
      </c>
      <c r="N186" s="213">
        <f ca="1">N187+N188</f>
        <v>87769</v>
      </c>
      <c r="O186" s="213">
        <f t="shared" ref="O186:O194" ca="1" si="57">IF(L186&gt;0,N186*100/L186,0)</f>
        <v>72.141671187388013</v>
      </c>
      <c r="P186" s="213">
        <f t="shared" ref="P186:P194" ca="1" si="58">IF(M186&gt;0,N186*100/M186,0)</f>
        <v>58.211519074653793</v>
      </c>
      <c r="Q186" s="213">
        <f ca="1">Q187+Q188</f>
        <v>43838</v>
      </c>
      <c r="R186" s="213">
        <f ca="1">R187+R188</f>
        <v>43838</v>
      </c>
      <c r="S186" s="213">
        <f ca="1">S187+S188</f>
        <v>43838</v>
      </c>
      <c r="T186" s="213">
        <f t="shared" ref="T186:T194" ca="1" si="59">IF(Q186&gt;0,S186*100/Q186,0)</f>
        <v>100</v>
      </c>
      <c r="U186" s="213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215">
        <f t="shared" ref="L187:N188" si="61">L190+L193</f>
        <v>0</v>
      </c>
      <c r="M187" s="131">
        <f t="shared" si="61"/>
        <v>0</v>
      </c>
      <c r="N187" s="131">
        <f t="shared" si="61"/>
        <v>0</v>
      </c>
      <c r="O187" s="131">
        <f t="shared" si="57"/>
        <v>0</v>
      </c>
      <c r="P187" s="131">
        <f t="shared" si="58"/>
        <v>0</v>
      </c>
      <c r="Q187" s="131">
        <f t="shared" ref="Q187:S188" si="62">Q190+Q193</f>
        <v>0</v>
      </c>
      <c r="R187" s="131">
        <f t="shared" si="62"/>
        <v>0</v>
      </c>
      <c r="S187" s="131">
        <f t="shared" si="62"/>
        <v>0</v>
      </c>
      <c r="T187" s="131">
        <f t="shared" si="59"/>
        <v>0</v>
      </c>
      <c r="U187" s="131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129">
        <f t="shared" ca="1" si="61"/>
        <v>121662</v>
      </c>
      <c r="M188" s="130">
        <f t="shared" ca="1" si="61"/>
        <v>150776</v>
      </c>
      <c r="N188" s="130">
        <f t="shared" ca="1" si="61"/>
        <v>87769</v>
      </c>
      <c r="O188" s="130">
        <f t="shared" ca="1" si="57"/>
        <v>72.141671187388013</v>
      </c>
      <c r="P188" s="130">
        <f t="shared" ca="1" si="58"/>
        <v>58.211519074653793</v>
      </c>
      <c r="Q188" s="130">
        <f t="shared" ca="1" si="62"/>
        <v>43838</v>
      </c>
      <c r="R188" s="130">
        <f t="shared" ca="1" si="62"/>
        <v>43838</v>
      </c>
      <c r="S188" s="130">
        <f t="shared" ca="1" si="62"/>
        <v>43838</v>
      </c>
      <c r="T188" s="130">
        <f t="shared" ca="1" si="59"/>
        <v>100</v>
      </c>
      <c r="U188" s="130">
        <f t="shared" ca="1" si="60"/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129">
        <f ca="1">L190+L191</f>
        <v>121662</v>
      </c>
      <c r="M189" s="130">
        <f ca="1">M190+M191</f>
        <v>150776</v>
      </c>
      <c r="N189" s="130">
        <f ca="1">N190+N191</f>
        <v>87769</v>
      </c>
      <c r="O189" s="130">
        <f t="shared" ca="1" si="57"/>
        <v>72.141671187388013</v>
      </c>
      <c r="P189" s="130">
        <f t="shared" ca="1" si="58"/>
        <v>58.211519074653793</v>
      </c>
      <c r="Q189" s="130">
        <f ca="1">Q190+Q191</f>
        <v>43838</v>
      </c>
      <c r="R189" s="130">
        <f ca="1">R190+R191</f>
        <v>43838</v>
      </c>
      <c r="S189" s="130">
        <f ca="1">S190+S191</f>
        <v>43838</v>
      </c>
      <c r="T189" s="130">
        <f t="shared" ca="1" si="59"/>
        <v>100</v>
      </c>
      <c r="U189" s="130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131">
        <f t="shared" si="57"/>
        <v>0</v>
      </c>
      <c r="P190" s="131">
        <f t="shared" si="58"/>
        <v>0</v>
      </c>
      <c r="Q190" s="75">
        <v>0</v>
      </c>
      <c r="R190" s="75">
        <v>0</v>
      </c>
      <c r="S190" s="75">
        <v>0</v>
      </c>
      <c r="T190" s="131">
        <f t="shared" si="59"/>
        <v>0</v>
      </c>
      <c r="U190" s="131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129">
        <f ca="1">IFERROR(__xludf.DUMMYFUNCTION("IMPORTRANGE(""https://docs.google.com/spreadsheets/d/1-uDff_7J0KD5mKrp0Vvzr7lt3OU09vwQwhkpOPPYv2Y/edit?usp=sharing"",""งบพรบ!CU56"")"),121662)</f>
        <v>121662</v>
      </c>
      <c r="M191" s="130">
        <f ca="1">IFERROR(__xludf.DUMMYFUNCTION("IMPORTRANGE(""https://docs.google.com/spreadsheets/d/1-uDff_7J0KD5mKrp0Vvzr7lt3OU09vwQwhkpOPPYv2Y/edit?usp=sharing"",""งบพรบ!CZ56"")"),150776)</f>
        <v>150776</v>
      </c>
      <c r="N191" s="130">
        <f ca="1">IFERROR(__xludf.DUMMYFUNCTION("IMPORTRANGE(""https://docs.google.com/spreadsheets/d/1-uDff_7J0KD5mKrp0Vvzr7lt3OU09vwQwhkpOPPYv2Y/edit?usp=sharing"",""งบพรบ!DB56"")"),87769)</f>
        <v>87769</v>
      </c>
      <c r="O191" s="130">
        <f t="shared" ca="1" si="57"/>
        <v>72.141671187388013</v>
      </c>
      <c r="P191" s="130">
        <f t="shared" ca="1" si="58"/>
        <v>58.211519074653793</v>
      </c>
      <c r="Q191" s="130">
        <f ca="1">IFERROR(__xludf.DUMMYFUNCTION("IMPORTRANGE(""https://docs.google.com/spreadsheets/d/1ItG2mGa2ceCfYo0BwxsXqNm01IGEUdYcSSLTEv9YCik/edit?usp=sharing"",""เบิกจ่ายกองทุน!BQ56"")"),43838)</f>
        <v>43838</v>
      </c>
      <c r="R191" s="130">
        <f ca="1">IFERROR(__xludf.DUMMYFUNCTION("IMPORTRANGE(""https://docs.google.com/spreadsheets/d/1ItG2mGa2ceCfYo0BwxsXqNm01IGEUdYcSSLTEv9YCik/edit?usp=sharing"",""เบิกจ่ายกองทุน!BR56"")"),43838)</f>
        <v>43838</v>
      </c>
      <c r="S191" s="130">
        <f ca="1">IFERROR(__xludf.DUMMYFUNCTION("IMPORTRANGE(""https://docs.google.com/spreadsheets/d/1ItG2mGa2ceCfYo0BwxsXqNm01IGEUdYcSSLTEv9YCik/edit?usp=sharing"",""เบิกจ่ายกองทุน!BS56"")"),43838)</f>
        <v>43838</v>
      </c>
      <c r="T191" s="130">
        <f t="shared" ca="1" si="59"/>
        <v>100</v>
      </c>
      <c r="U191" s="130">
        <f t="shared" ca="1" si="60"/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129">
        <f ca="1">L193+L194</f>
        <v>0</v>
      </c>
      <c r="M192" s="130">
        <f ca="1">M193+M194</f>
        <v>0</v>
      </c>
      <c r="N192" s="130">
        <f ca="1">N193+N194</f>
        <v>0</v>
      </c>
      <c r="O192" s="130">
        <f t="shared" ca="1" si="57"/>
        <v>0</v>
      </c>
      <c r="P192" s="130">
        <f t="shared" ca="1" si="58"/>
        <v>0</v>
      </c>
      <c r="Q192" s="130">
        <f ca="1">Q193+Q194</f>
        <v>0</v>
      </c>
      <c r="R192" s="130">
        <f ca="1">R193+R194</f>
        <v>0</v>
      </c>
      <c r="S192" s="130">
        <f ca="1">S193+S194</f>
        <v>0</v>
      </c>
      <c r="T192" s="130">
        <f t="shared" ca="1" si="59"/>
        <v>0</v>
      </c>
      <c r="U192" s="130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131">
        <f t="shared" si="57"/>
        <v>0</v>
      </c>
      <c r="P193" s="131">
        <f t="shared" si="58"/>
        <v>0</v>
      </c>
      <c r="Q193" s="75">
        <v>0</v>
      </c>
      <c r="R193" s="75">
        <v>0</v>
      </c>
      <c r="S193" s="75">
        <v>0</v>
      </c>
      <c r="T193" s="131">
        <f t="shared" si="59"/>
        <v>0</v>
      </c>
      <c r="U193" s="131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129">
        <f ca="1">IFERROR(__xludf.DUMMYFUNCTION("IMPORTRANGE(""https://docs.google.com/spreadsheets/d/1-uDff_7J0KD5mKrp0Vvzr7lt3OU09vwQwhkpOPPYv2Y/edit?usp=sharing"",""งบพรบ!CX56"")"),0)</f>
        <v>0</v>
      </c>
      <c r="M194" s="130">
        <f ca="1">IFERROR(__xludf.DUMMYFUNCTION("IMPORTRANGE(""https://docs.google.com/spreadsheets/d/1-uDff_7J0KD5mKrp0Vvzr7lt3OU09vwQwhkpOPPYv2Y/edit?usp=sharing"",""งบพรบ!DA56"")"),0)</f>
        <v>0</v>
      </c>
      <c r="N194" s="130">
        <f ca="1">IFERROR(__xludf.DUMMYFUNCTION("IMPORTRANGE(""https://docs.google.com/spreadsheets/d/1-uDff_7J0KD5mKrp0Vvzr7lt3OU09vwQwhkpOPPYv2Y/edit?usp=sharing"",""งบพรบ!DC56"")"),0)</f>
        <v>0</v>
      </c>
      <c r="O194" s="130">
        <f t="shared" ca="1" si="57"/>
        <v>0</v>
      </c>
      <c r="P194" s="130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IFERROR(__xludf.DUMMYFUNCTION("IMPORTRANGE(""https://docs.google.com/spreadsheets/d/1ItG2mGa2ceCfYo0BwxsXqNm01IGEUdYcSSLTEv9YCik/edit?usp=sharing"",""เบิกจ่ายกองทุน!BT56"")"),0)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IFERROR(__xludf.DUMMYFUNCTION("IMPORTRANGE(""https://docs.google.com/spreadsheets/d/1ItG2mGa2ceCfYo0BwxsXqNm01IGEUdYcSSLTEv9YCik/edit?usp=sharing"",""เบิกจ่ายกองทุน!BU56"")"),0)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IFERROR(__xludf.DUMMYFUNCTION("IMPORTRANGE(""https://docs.google.com/spreadsheets/d/1ItG2mGa2ceCfYo0BwxsXqNm01IGEUdYcSSLTEv9YCik/edit?usp=sharing"",""เบิกจ่ายกองทุน!BV56"")"),0)</f>
        <v>0</v>
      </c>
      <c r="T194" s="130">
        <f t="shared" ca="1" si="59"/>
        <v>0</v>
      </c>
      <c r="U194" s="130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12">
        <f ca="1">IFERROR(__xludf.DUMMYFUNCTION("IMPORTRANGE(""https://docs.google.com/spreadsheets/d/1eHaY18a8A9IcSdp1K8H6x8fbOy06t2VsZHhMHf-1x7Y/edit?usp=sharing"",""แผน!AB56"")"),6000)</f>
        <v>6000</v>
      </c>
      <c r="M196" s="85"/>
      <c r="N196" s="961">
        <v>6000</v>
      </c>
      <c r="O196" s="213">
        <f ca="1">IF(L196&gt;0,N196*100/L196,0)</f>
        <v>100</v>
      </c>
      <c r="P196" s="213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IFERROR(__xludf.DUMMYFUNCTION("IMPORTRANGE(""https://docs.google.com/spreadsheets/d/1eHaY18a8A9IcSdp1K8H6x8fbOy06t2VsZHhMHf-1x7Y/edit?usp=sharing"",""แผน!AE56"")"),4)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273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273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4</v>
      </c>
      <c r="J202" s="538">
        <f>J209</f>
        <v>4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12">
        <f ca="1">L204+L205+L206+L207</f>
        <v>35162</v>
      </c>
      <c r="M203" s="85"/>
      <c r="N203" s="213">
        <f>N204+N205+N206+N207</f>
        <v>35162</v>
      </c>
      <c r="O203" s="213">
        <f ca="1">IF(L203&gt;0,N203*100/L203,0)</f>
        <v>100</v>
      </c>
      <c r="P203" s="213">
        <f>IF(M203&gt;0,N203*100/M203,0)</f>
        <v>0</v>
      </c>
      <c r="Q203" s="383">
        <f ca="1">Q204+Q205+Q206+Q207</f>
        <v>43838</v>
      </c>
      <c r="R203" s="384"/>
      <c r="S203" s="385">
        <f>S204+S205+S206+S207</f>
        <v>43838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129">
        <f ca="1">IFERROR(__xludf.DUMMYFUNCTION("IMPORTRANGE(""https://docs.google.com/spreadsheets/d/1eHaY18a8A9IcSdp1K8H6x8fbOy06t2VsZHhMHf-1x7Y/edit?usp=sharing"",""แผน!AG56"")"),4000)</f>
        <v>4000</v>
      </c>
      <c r="M204" s="85"/>
      <c r="N204" s="387">
        <v>4000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129">
        <f ca="1">IFERROR(__xludf.DUMMYFUNCTION("IMPORTRANGE(""https://docs.google.com/spreadsheets/d/1eHaY18a8A9IcSdp1K8H6x8fbOy06t2VsZHhMHf-1x7Y/edit?usp=sharing"",""แผน!AH56"")"),0)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129">
        <f ca="1">IFERROR(__xludf.DUMMYFUNCTION("IMPORTRANGE(""https://docs.google.com/spreadsheets/d/1eHaY18a8A9IcSdp1K8H6x8fbOy06t2VsZHhMHf-1x7Y/edit?usp=sharing"",""แผน!AI56"")"),12162)</f>
        <v>12162</v>
      </c>
      <c r="M206" s="85"/>
      <c r="N206" s="387">
        <v>12162</v>
      </c>
      <c r="O206" s="227"/>
      <c r="P206" s="85"/>
      <c r="Q206" s="71">
        <f ca="1">IFERROR(__xludf.DUMMYFUNCTION("IMPORTRANGE(""https://docs.google.com/spreadsheets/d/1eHaY18a8A9IcSdp1K8H6x8fbOy06t2VsZHhMHf-1x7Y/edit?usp=sharing"",""แผน!LV56"")"),43838)</f>
        <v>43838</v>
      </c>
      <c r="R206" s="85"/>
      <c r="S206" s="387">
        <v>43838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129">
        <f ca="1">IFERROR(__xludf.DUMMYFUNCTION("IMPORTRANGE(""https://docs.google.com/spreadsheets/d/1eHaY18a8A9IcSdp1K8H6x8fbOy06t2VsZHhMHf-1x7Y/edit?usp=sharing"",""แผน!AJ56"")"),19000)</f>
        <v>19000</v>
      </c>
      <c r="M207" s="85"/>
      <c r="N207" s="387">
        <v>19000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IFERROR(__xludf.DUMMYFUNCTION("IMPORTRANGE(""https://docs.google.com/spreadsheets/d/1eHaY18a8A9IcSdp1K8H6x8fbOy06t2VsZHhMHf-1x7Y/edit?usp=sharing"",""แผน!AK56"")"),4)</f>
        <v>4</v>
      </c>
      <c r="J209" s="292">
        <v>4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IFERROR(__xludf.DUMMYFUNCTION("IMPORTRANGE(""https://docs.google.com/spreadsheets/d/1eHaY18a8A9IcSdp1K8H6x8fbOy06t2VsZHhMHf-1x7Y/edit?usp=sharing"",""แผน!JX56"")"),2)</f>
        <v>2</v>
      </c>
      <c r="J211" s="292">
        <v>2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IFERROR(__xludf.DUMMYFUNCTION("IMPORTRANGE(""https://docs.google.com/spreadsheets/d/1eHaY18a8A9IcSdp1K8H6x8fbOy06t2VsZHhMHf-1x7Y/edit?usp=sharing"",""แผน!JY56"")"),1)</f>
        <v>1</v>
      </c>
      <c r="J212" s="292">
        <v>1</v>
      </c>
      <c r="K212" s="746">
        <f ca="1">IF(I212&gt;0,J212*100/I212,0)</f>
        <v>100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12">
        <f ca="1">L215+L216+L217</f>
        <v>0</v>
      </c>
      <c r="M214" s="85"/>
      <c r="N214" s="213">
        <f>N215+N216+N217</f>
        <v>0</v>
      </c>
      <c r="O214" s="213">
        <f ca="1">IF(L214&gt;0,N214*100/L214,0)</f>
        <v>0</v>
      </c>
      <c r="P214" s="213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129">
        <f ca="1">IFERROR(__xludf.DUMMYFUNCTION("IMPORTRANGE(""https://docs.google.com/spreadsheets/d/1eHaY18a8A9IcSdp1K8H6x8fbOy06t2VsZHhMHf-1x7Y/edit?usp=sharing"",""แผน!AM56"")"),0)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129">
        <f ca="1">IFERROR(__xludf.DUMMYFUNCTION("IMPORTRANGE(""https://docs.google.com/spreadsheets/d/1eHaY18a8A9IcSdp1K8H6x8fbOy06t2VsZHhMHf-1x7Y/edit?usp=sharing"",""แผน!AN56"")"),0)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129">
        <f ca="1">IFERROR(__xludf.DUMMYFUNCTION("IMPORTRANGE(""https://docs.google.com/spreadsheets/d/1eHaY18a8A9IcSdp1K8H6x8fbOy06t2VsZHhMHf-1x7Y/edit?usp=sharing"",""แผน!AO56"")"),0)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IFERROR(__xludf.DUMMYFUNCTION("IMPORTRANGE(""https://docs.google.com/spreadsheets/d/1eHaY18a8A9IcSdp1K8H6x8fbOy06t2VsZHhMHf-1x7Y/edit?usp=sharing"",""แผน!LY56"")"),0)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IFERROR(__xludf.DUMMYFUNCTION("IMPORTRANGE(""https://docs.google.com/spreadsheets/d/1eHaY18a8A9IcSdp1K8H6x8fbOy06t2VsZHhMHf-1x7Y/edit?usp=sharing"",""แผน!AP56"")"),0)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IFERROR(__xludf.DUMMYFUNCTION("IMPORTRANGE(""https://docs.google.com/spreadsheets/d/1eHaY18a8A9IcSdp1K8H6x8fbOy06t2VsZHhMHf-1x7Y/edit?usp=sharing"",""แผน!AP56"")"),0)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5000</v>
      </c>
      <c r="J221" s="538">
        <f>J229</f>
        <v>5000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12">
        <f ca="1">L223+L224+L225</f>
        <v>4500</v>
      </c>
      <c r="M222" s="85"/>
      <c r="N222" s="213">
        <f>N223+N224+N225</f>
        <v>4500</v>
      </c>
      <c r="O222" s="213">
        <f ca="1">IF(L222&gt;0,N222*100/L222,0)</f>
        <v>100</v>
      </c>
      <c r="P222" s="213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129">
        <f ca="1">IFERROR(__xludf.DUMMYFUNCTION("IMPORTRANGE(""https://docs.google.com/spreadsheets/d/1eHaY18a8A9IcSdp1K8H6x8fbOy06t2VsZHhMHf-1x7Y/edit?usp=sharing"",""แผน!AR56"")"),2500)</f>
        <v>2500</v>
      </c>
      <c r="M223" s="85"/>
      <c r="N223" s="387">
        <f>1660+840</f>
        <v>2500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129">
        <f ca="1">IFERROR(__xludf.DUMMYFUNCTION("IMPORTRANGE(""https://docs.google.com/spreadsheets/d/1eHaY18a8A9IcSdp1K8H6x8fbOy06t2VsZHhMHf-1x7Y/edit?usp=sharing"",""แผน!AS56"")"),2000)</f>
        <v>2000</v>
      </c>
      <c r="M224" s="85"/>
      <c r="N224" s="387">
        <v>2000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129">
        <f ca="1">IFERROR(__xludf.DUMMYFUNCTION("IMPORTRANGE(""https://docs.google.com/spreadsheets/d/1eHaY18a8A9IcSdp1K8H6x8fbOy06t2VsZHhMHf-1x7Y/edit?usp=sharing"",""แผน!AT56"")"),0)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IFERROR(__xludf.DUMMYFUNCTION("IMPORTRANGE(""https://docs.google.com/spreadsheets/d/1eHaY18a8A9IcSdp1K8H6x8fbOy06t2VsZHhMHf-1x7Y/edit?usp=sharing"",""แผน!AV56"")"),5000)</f>
        <v>5000</v>
      </c>
      <c r="J228" s="292">
        <v>5000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IFERROR(__xludf.DUMMYFUNCTION("IMPORTRANGE(""https://docs.google.com/spreadsheets/d/1eHaY18a8A9IcSdp1K8H6x8fbOy06t2VsZHhMHf-1x7Y/edit?usp=sharing"",""แผน!AV56"")"),5000)</f>
        <v>5000</v>
      </c>
      <c r="J229" s="292">
        <v>5000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IFERROR(__xludf.DUMMYFUNCTION("IMPORTRANGE(""https://docs.google.com/spreadsheets/d/1eHaY18a8A9IcSdp1K8H6x8fbOy06t2VsZHhMHf-1x7Y/edit?usp=sharing"",""แผน!AU56"")"),0)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30</v>
      </c>
      <c r="J231" s="951">
        <f>J242+J253</f>
        <v>20</v>
      </c>
      <c r="K231" s="950">
        <f ca="1">IF(I231&gt;0,J231*100/I231,0)</f>
        <v>66.666666666666671</v>
      </c>
      <c r="L231" s="1189"/>
      <c r="M231" s="1188"/>
      <c r="N231" s="1188"/>
      <c r="O231" s="1188"/>
      <c r="P231" s="1188"/>
      <c r="Q231" s="1335"/>
      <c r="R231" s="1335"/>
      <c r="S231" s="1335"/>
      <c r="T231" s="1188"/>
      <c r="U231" s="118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1187">
        <f ca="1">L243+L254</f>
        <v>76000</v>
      </c>
      <c r="M232" s="938"/>
      <c r="N232" s="1186">
        <f>N243+N254</f>
        <v>40963</v>
      </c>
      <c r="O232" s="938"/>
      <c r="P232" s="938"/>
      <c r="Q232" s="131">
        <v>0</v>
      </c>
      <c r="R232" s="131"/>
      <c r="S232" s="131">
        <v>0</v>
      </c>
      <c r="T232" s="938"/>
      <c r="U232" s="938"/>
    </row>
    <row r="233" spans="1:21" ht="18.75" hidden="1" x14ac:dyDescent="0.25">
      <c r="A233" s="936"/>
      <c r="B233" s="1082"/>
      <c r="C233" s="1082"/>
      <c r="D233" s="598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215">
        <f ca="1">L244+L255</f>
        <v>16000</v>
      </c>
      <c r="M233" s="938"/>
      <c r="N233" s="131">
        <f>N244+N255</f>
        <v>7363</v>
      </c>
      <c r="O233" s="938"/>
      <c r="P233" s="938"/>
      <c r="Q233" s="1184">
        <v>0</v>
      </c>
      <c r="R233" s="1183"/>
      <c r="S233" s="1183">
        <v>0</v>
      </c>
      <c r="T233" s="938"/>
      <c r="U233" s="938"/>
    </row>
    <row r="234" spans="1:21" ht="18.75" hidden="1" x14ac:dyDescent="0.25">
      <c r="A234" s="1083"/>
      <c r="B234" s="1082"/>
      <c r="C234" s="1082"/>
      <c r="D234" s="569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215">
        <f ca="1">L245+L256</f>
        <v>4000</v>
      </c>
      <c r="M234" s="938"/>
      <c r="N234" s="131">
        <f>N245+N256</f>
        <v>2000</v>
      </c>
      <c r="O234" s="938"/>
      <c r="P234" s="938"/>
      <c r="Q234" s="74">
        <v>0</v>
      </c>
      <c r="R234" s="75"/>
      <c r="S234" s="75">
        <v>0</v>
      </c>
      <c r="T234" s="938"/>
      <c r="U234" s="938"/>
    </row>
    <row r="235" spans="1:21" ht="18.75" hidden="1" x14ac:dyDescent="0.25">
      <c r="A235" s="1083"/>
      <c r="B235" s="1082"/>
      <c r="C235" s="1082"/>
      <c r="D235" s="569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215">
        <f ca="1">L246+L257</f>
        <v>21000</v>
      </c>
      <c r="M235" s="938"/>
      <c r="N235" s="131">
        <f>N246+N257</f>
        <v>12600</v>
      </c>
      <c r="O235" s="938"/>
      <c r="P235" s="938"/>
      <c r="Q235" s="74">
        <v>0</v>
      </c>
      <c r="R235" s="75"/>
      <c r="S235" s="75">
        <v>0</v>
      </c>
      <c r="T235" s="938"/>
      <c r="U235" s="938"/>
    </row>
    <row r="236" spans="1:21" ht="18.75" hidden="1" x14ac:dyDescent="0.25">
      <c r="A236" s="1083"/>
      <c r="B236" s="1082"/>
      <c r="C236" s="1082"/>
      <c r="D236" s="263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215">
        <f ca="1">L247+L258</f>
        <v>35000</v>
      </c>
      <c r="M236" s="938"/>
      <c r="N236" s="131">
        <f>N247+N258</f>
        <v>19000</v>
      </c>
      <c r="O236" s="938"/>
      <c r="P236" s="938"/>
      <c r="Q236" s="74">
        <v>0</v>
      </c>
      <c r="R236" s="75"/>
      <c r="S236" s="75">
        <v>0</v>
      </c>
      <c r="T236" s="938"/>
      <c r="U236" s="938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1182"/>
      <c r="M237" s="938"/>
      <c r="N237" s="938"/>
      <c r="O237" s="932"/>
      <c r="P237" s="932"/>
      <c r="Q237" s="938"/>
      <c r="R237" s="938"/>
      <c r="S237" s="938"/>
      <c r="T237" s="932"/>
      <c r="U237" s="932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30</v>
      </c>
      <c r="J238" s="570">
        <f>J249+J260</f>
        <v>20</v>
      </c>
      <c r="K238" s="75">
        <f ca="1">IF(I238&gt;0,J238*100/I238,0)</f>
        <v>66.666666666666671</v>
      </c>
      <c r="L238" s="1182"/>
      <c r="M238" s="938"/>
      <c r="N238" s="938"/>
      <c r="O238" s="938"/>
      <c r="P238" s="938"/>
      <c r="Q238" s="938"/>
      <c r="R238" s="938"/>
      <c r="S238" s="938"/>
      <c r="T238" s="938"/>
      <c r="U238" s="938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1182"/>
      <c r="M239" s="938"/>
      <c r="N239" s="938"/>
      <c r="O239" s="932"/>
      <c r="P239" s="932"/>
      <c r="Q239" s="938"/>
      <c r="R239" s="938"/>
      <c r="S239" s="938"/>
      <c r="T239" s="932"/>
      <c r="U239" s="932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 ca="1">I251+I262</f>
        <v>20</v>
      </c>
      <c r="J240" s="570">
        <f>J251+J262</f>
        <v>20</v>
      </c>
      <c r="K240" s="75">
        <f ca="1">IF(I240&gt;0,J240*100/I240,0)</f>
        <v>100</v>
      </c>
      <c r="L240" s="1182"/>
      <c r="M240" s="938"/>
      <c r="N240" s="938"/>
      <c r="O240" s="938"/>
      <c r="P240" s="938"/>
      <c r="Q240" s="938"/>
      <c r="R240" s="938"/>
      <c r="S240" s="938"/>
      <c r="T240" s="938"/>
      <c r="U240" s="938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1182"/>
      <c r="M241" s="938"/>
      <c r="N241" s="938"/>
      <c r="O241" s="938"/>
      <c r="P241" s="938"/>
      <c r="Q241" s="938"/>
      <c r="R241" s="938"/>
      <c r="S241" s="938"/>
      <c r="T241" s="938"/>
      <c r="U241" s="938"/>
    </row>
    <row r="242" spans="1:21" ht="19.5" x14ac:dyDescent="0.3">
      <c r="A242" s="368"/>
      <c r="B242" s="369"/>
      <c r="C242" s="1305" t="s">
        <v>336</v>
      </c>
      <c r="D242" s="371"/>
      <c r="E242" s="371"/>
      <c r="F242" s="371"/>
      <c r="G242" s="372"/>
      <c r="H242" s="373" t="s">
        <v>35</v>
      </c>
      <c r="I242" s="374">
        <f ca="1">I249</f>
        <v>30</v>
      </c>
      <c r="J242" s="374">
        <f>J249</f>
        <v>20</v>
      </c>
      <c r="K242" s="375">
        <f ca="1">IF(I242&gt;0,J242*100/I242,0)</f>
        <v>66.666666666666671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212">
        <f ca="1">L244+L245+L246+L247</f>
        <v>76000</v>
      </c>
      <c r="M243" s="85"/>
      <c r="N243" s="213">
        <f>N244+N245+N246+N247</f>
        <v>40963</v>
      </c>
      <c r="O243" s="213">
        <f ca="1">IF(L243&gt;0,N243*100/L243,0)</f>
        <v>53.898684210526319</v>
      </c>
      <c r="P243" s="213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129">
        <f ca="1">IFERROR(__xludf.DUMMYFUNCTION("IMPORTRANGE(""https://docs.google.com/spreadsheets/d/1eHaY18a8A9IcSdp1K8H6x8fbOy06t2VsZHhMHf-1x7Y/edit?usp=sharing"",""แผน!AX56"")"),16000)</f>
        <v>16000</v>
      </c>
      <c r="M244" s="85"/>
      <c r="N244" s="387">
        <f>1000+2443+480+1700+740+1000</f>
        <v>7363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87</v>
      </c>
      <c r="E245" s="65"/>
      <c r="F245" s="65"/>
      <c r="G245" s="67"/>
      <c r="H245" s="216" t="s">
        <v>14</v>
      </c>
      <c r="I245" s="69"/>
      <c r="J245" s="69"/>
      <c r="K245" s="70"/>
      <c r="L245" s="129">
        <f ca="1">IFERROR(__xludf.DUMMYFUNCTION("IMPORTRANGE(""https://docs.google.com/spreadsheets/d/1eHaY18a8A9IcSdp1K8H6x8fbOy06t2VsZHhMHf-1x7Y/edit?usp=sharing"",""แผน!dg56"")"),4000)</f>
        <v>4000</v>
      </c>
      <c r="M245" s="85"/>
      <c r="N245" s="387">
        <v>2000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129">
        <f ca="1">IFERROR(__xludf.DUMMYFUNCTION("IMPORTRANGE(""https://docs.google.com/spreadsheets/d/1eHaY18a8A9IcSdp1K8H6x8fbOy06t2VsZHhMHf-1x7Y/edit?usp=sharing"",""แผน!AZ56"")"),21000)</f>
        <v>21000</v>
      </c>
      <c r="M246" s="85"/>
      <c r="N246" s="387">
        <f>1400+11200</f>
        <v>12600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129">
        <f ca="1">IFERROR(__xludf.DUMMYFUNCTION("IMPORTRANGE(""https://docs.google.com/spreadsheets/d/1eHaY18a8A9IcSdp1K8H6x8fbOy06t2VsZHhMHf-1x7Y/edit?usp=sharing"",""แผน!BA56"")"),35000)</f>
        <v>35000</v>
      </c>
      <c r="M247" s="85"/>
      <c r="N247" s="387">
        <v>19000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IFERROR(__xludf.DUMMYFUNCTION("IMPORTRANGE(""https://docs.google.com/spreadsheets/d/1eHaY18a8A9IcSdp1K8H6x8fbOy06t2VsZHhMHf-1x7Y/edit?usp=sharing"",""แผน!BG56"")"),30)</f>
        <v>30</v>
      </c>
      <c r="J249" s="794">
        <v>20</v>
      </c>
      <c r="K249" s="86">
        <f ca="1">IF(I249&gt;0,J249*100/I249,0)</f>
        <v>66.666666666666671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109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IFERROR(__xludf.DUMMYFUNCTION("IMPORTRANGE(""https://docs.google.com/spreadsheets/d/1eHaY18a8A9IcSdp1K8H6x8fbOy06t2VsZHhMHf-1x7Y/edit?usp=sharing"",""แผน!KD56"")"),20)</f>
        <v>20</v>
      </c>
      <c r="J251" s="794">
        <v>20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110</v>
      </c>
      <c r="F252" s="229"/>
      <c r="G252" s="225"/>
      <c r="H252" s="219" t="s">
        <v>61</v>
      </c>
      <c r="I252" s="237">
        <f ca="1">IFERROR(__xludf.DUMMYFUNCTION("IMPORTRANGE(""https://docs.google.com/spreadsheets/d/1eHaY18a8A9IcSdp1K8H6x8fbOy06t2VsZHhMHf-1x7Y/edit?usp=sharing"",""แผน!KE56"")"),1)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304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48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212">
        <f ca="1">L255+L256+L257+L258</f>
        <v>0</v>
      </c>
      <c r="M254" s="85"/>
      <c r="N254" s="213">
        <f>N255+N256+N257+N258</f>
        <v>0</v>
      </c>
      <c r="O254" s="213">
        <f ca="1">IF(L254&gt;0,N254*100/L254,0)</f>
        <v>0</v>
      </c>
      <c r="P254" s="213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129">
        <f ca="1">IFERROR(__xludf.DUMMYFUNCTION("IMPORTRANGE(""https://docs.google.com/spreadsheets/d/1eHaY18a8A9IcSdp1K8H6x8fbOy06t2VsZHhMHf-1x7Y/edit?usp=sharing"",""แผน!BB56"")"),0)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129">
        <f ca="1">IFERROR(__xludf.DUMMYFUNCTION("IMPORTRANGE(""https://docs.google.com/spreadsheets/d/1eHaY18a8A9IcSdp1K8H6x8fbOy06t2VsZHhMHf-1x7Y/edit?usp=sharing"",""แผน!BC56"")"),0)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129">
        <f ca="1">IFERROR(__xludf.DUMMYFUNCTION("IMPORTRANGE(""https://docs.google.com/spreadsheets/d/1eHaY18a8A9IcSdp1K8H6x8fbOy06t2VsZHhMHf-1x7Y/edit?usp=sharing"",""แผน!BD56"")"),0)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129">
        <f ca="1">IFERROR(__xludf.DUMMYFUNCTION("IMPORTRANGE(""https://docs.google.com/spreadsheets/d/1eHaY18a8A9IcSdp1K8H6x8fbOy06t2VsZHhMHf-1x7Y/edit?usp=sharing"",""แผน!BE56"")"),0)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IFERROR(__xludf.DUMMYFUNCTION("IMPORTRANGE(""https://docs.google.com/spreadsheets/d/1eHaY18a8A9IcSdp1K8H6x8fbOy06t2VsZHhMHf-1x7Y/edit?usp=sharing"",""แผน!BH56"")"),0)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756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756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353"/>
      <c r="M264" s="354"/>
      <c r="N264" s="354"/>
      <c r="O264" s="354"/>
      <c r="P264" s="354"/>
      <c r="Q264" s="354"/>
      <c r="R264" s="354"/>
      <c r="S264" s="354"/>
      <c r="T264" s="354"/>
      <c r="U264" s="354"/>
    </row>
    <row r="265" spans="1:21" ht="19.5" x14ac:dyDescent="0.3">
      <c r="A265" s="1334"/>
      <c r="B265" s="356" t="s">
        <v>114</v>
      </c>
      <c r="C265" s="1333"/>
      <c r="D265" s="1332"/>
      <c r="E265" s="1332"/>
      <c r="F265" s="1332"/>
      <c r="G265" s="1331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362"/>
      <c r="M265" s="363"/>
      <c r="N265" s="363"/>
      <c r="O265" s="363"/>
      <c r="P265" s="363"/>
      <c r="Q265" s="363"/>
      <c r="R265" s="363"/>
      <c r="S265" s="363"/>
      <c r="T265" s="363"/>
      <c r="U265" s="363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2">
        <f ca="1">L267+L268</f>
        <v>5000</v>
      </c>
      <c r="M266" s="213">
        <f ca="1">M267+M268</f>
        <v>17605</v>
      </c>
      <c r="N266" s="213">
        <f ca="1">N267+N268</f>
        <v>17605</v>
      </c>
      <c r="O266" s="213">
        <f t="shared" ref="O266:O274" ca="1" si="63">IF(L266&gt;0,N266*100/L266,0)</f>
        <v>352.1</v>
      </c>
      <c r="P266" s="213">
        <f t="shared" ref="P266:P274" ca="1" si="64">IF(M266&gt;0,N266*100/M266,0)</f>
        <v>100</v>
      </c>
      <c r="Q266" s="213">
        <f ca="1">Q267+Q268</f>
        <v>50660</v>
      </c>
      <c r="R266" s="213">
        <f ca="1">R267+R268</f>
        <v>50660</v>
      </c>
      <c r="S266" s="213">
        <f ca="1">S267+S268</f>
        <v>49060</v>
      </c>
      <c r="T266" s="213">
        <f t="shared" ref="T266:T274" ca="1" si="65">IF(Q266&gt;0,S266*100/Q266,0)</f>
        <v>96.841689696012637</v>
      </c>
      <c r="U266" s="213">
        <f t="shared" ref="U266:U274" ca="1" si="66">IF(R266&gt;0,S266*100/R266,0)</f>
        <v>96.841689696012637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215">
        <f t="shared" ref="L267:N268" si="67">L270+L273</f>
        <v>0</v>
      </c>
      <c r="M267" s="131">
        <f t="shared" si="67"/>
        <v>0</v>
      </c>
      <c r="N267" s="131">
        <f t="shared" si="67"/>
        <v>0</v>
      </c>
      <c r="O267" s="131">
        <f t="shared" si="63"/>
        <v>0</v>
      </c>
      <c r="P267" s="131">
        <f t="shared" si="64"/>
        <v>0</v>
      </c>
      <c r="Q267" s="131">
        <f t="shared" ref="Q267:S268" si="68">Q270+Q273</f>
        <v>0</v>
      </c>
      <c r="R267" s="131">
        <f t="shared" si="68"/>
        <v>0</v>
      </c>
      <c r="S267" s="131">
        <f t="shared" si="68"/>
        <v>0</v>
      </c>
      <c r="T267" s="131">
        <f t="shared" si="65"/>
        <v>0</v>
      </c>
      <c r="U267" s="131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129">
        <f t="shared" ca="1" si="67"/>
        <v>5000</v>
      </c>
      <c r="M268" s="130">
        <f t="shared" ca="1" si="67"/>
        <v>17605</v>
      </c>
      <c r="N268" s="130">
        <f t="shared" ca="1" si="67"/>
        <v>17605</v>
      </c>
      <c r="O268" s="130">
        <f t="shared" ca="1" si="63"/>
        <v>352.1</v>
      </c>
      <c r="P268" s="130">
        <f t="shared" ca="1" si="64"/>
        <v>100</v>
      </c>
      <c r="Q268" s="130">
        <f t="shared" ca="1" si="68"/>
        <v>50660</v>
      </c>
      <c r="R268" s="130">
        <f t="shared" ca="1" si="68"/>
        <v>50660</v>
      </c>
      <c r="S268" s="130">
        <f t="shared" ca="1" si="68"/>
        <v>49060</v>
      </c>
      <c r="T268" s="130">
        <f t="shared" ca="1" si="65"/>
        <v>96.841689696012637</v>
      </c>
      <c r="U268" s="130">
        <f t="shared" ca="1" si="66"/>
        <v>96.841689696012637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129">
        <f ca="1">L270+L271</f>
        <v>5000</v>
      </c>
      <c r="M269" s="130">
        <f ca="1">M270+M271</f>
        <v>17605</v>
      </c>
      <c r="N269" s="130">
        <f ca="1">N270+N271</f>
        <v>17605</v>
      </c>
      <c r="O269" s="130">
        <f t="shared" ca="1" si="63"/>
        <v>352.1</v>
      </c>
      <c r="P269" s="130">
        <f t="shared" ca="1" si="64"/>
        <v>100</v>
      </c>
      <c r="Q269" s="130">
        <f ca="1">Q270+Q271</f>
        <v>50660</v>
      </c>
      <c r="R269" s="130">
        <f ca="1">R270+R271</f>
        <v>50660</v>
      </c>
      <c r="S269" s="130">
        <f ca="1">S270+S271</f>
        <v>49060</v>
      </c>
      <c r="T269" s="130">
        <f t="shared" ca="1" si="65"/>
        <v>96.841689696012637</v>
      </c>
      <c r="U269" s="130">
        <f t="shared" ca="1" si="66"/>
        <v>96.841689696012637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131">
        <f t="shared" si="63"/>
        <v>0</v>
      </c>
      <c r="P270" s="131">
        <f t="shared" si="64"/>
        <v>0</v>
      </c>
      <c r="Q270" s="75">
        <v>0</v>
      </c>
      <c r="R270" s="75">
        <v>0</v>
      </c>
      <c r="S270" s="75">
        <v>0</v>
      </c>
      <c r="T270" s="131">
        <f t="shared" si="65"/>
        <v>0</v>
      </c>
      <c r="U270" s="131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129">
        <f ca="1">IFERROR(__xludf.DUMMYFUNCTION("IMPORTRANGE(""https://docs.google.com/spreadsheets/d/1-uDff_7J0KD5mKrp0Vvzr7lt3OU09vwQwhkpOPPYv2Y/edit?usp=sharing"",""งบพรบ!DE56"")"),5000)</f>
        <v>5000</v>
      </c>
      <c r="M271" s="130">
        <f ca="1">IFERROR(__xludf.DUMMYFUNCTION("IMPORTRANGE(""https://docs.google.com/spreadsheets/d/1-uDff_7J0KD5mKrp0Vvzr7lt3OU09vwQwhkpOPPYv2Y/edit?usp=sharing"",""งบพรบ!DJ56"")"),17605)</f>
        <v>17605</v>
      </c>
      <c r="N271" s="130">
        <f ca="1">IFERROR(__xludf.DUMMYFUNCTION("IMPORTRANGE(""https://docs.google.com/spreadsheets/d/1-uDff_7J0KD5mKrp0Vvzr7lt3OU09vwQwhkpOPPYv2Y/edit?usp=sharing"",""งบพรบ!DL56"")"),17605)</f>
        <v>17605</v>
      </c>
      <c r="O271" s="130">
        <f t="shared" ca="1" si="63"/>
        <v>352.1</v>
      </c>
      <c r="P271" s="130">
        <f t="shared" ca="1" si="64"/>
        <v>100</v>
      </c>
      <c r="Q271" s="130">
        <f ca="1">IFERROR(__xludf.DUMMYFUNCTION("IMPORTRANGE(""https://docs.google.com/spreadsheets/d/1ItG2mGa2ceCfYo0BwxsXqNm01IGEUdYcSSLTEv9YCik/edit?usp=sharing"",""เบิกจ่ายกองทุน!AP56"")"),50660)</f>
        <v>50660</v>
      </c>
      <c r="R271" s="130">
        <f ca="1">IFERROR(__xludf.DUMMYFUNCTION("IMPORTRANGE(""https://docs.google.com/spreadsheets/d/1ItG2mGa2ceCfYo0BwxsXqNm01IGEUdYcSSLTEv9YCik/edit?usp=sharing"",""เบิกจ่ายกองทุน!AQ56"")"),50660)</f>
        <v>50660</v>
      </c>
      <c r="S271" s="130">
        <f ca="1">IFERROR(__xludf.DUMMYFUNCTION("IMPORTRANGE(""https://docs.google.com/spreadsheets/d/1ItG2mGa2ceCfYo0BwxsXqNm01IGEUdYcSSLTEv9YCik/edit?usp=sharing"",""เบิกจ่ายกองทุน!AR56"")"),49060)</f>
        <v>49060</v>
      </c>
      <c r="T271" s="130">
        <f t="shared" ca="1" si="65"/>
        <v>96.841689696012637</v>
      </c>
      <c r="U271" s="130">
        <f t="shared" ca="1" si="66"/>
        <v>96.841689696012637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129">
        <f ca="1">L273+L274</f>
        <v>0</v>
      </c>
      <c r="M272" s="130">
        <f ca="1">M273+M274</f>
        <v>0</v>
      </c>
      <c r="N272" s="130">
        <f ca="1">N273+N274</f>
        <v>0</v>
      </c>
      <c r="O272" s="130">
        <f t="shared" ca="1" si="63"/>
        <v>0</v>
      </c>
      <c r="P272" s="130">
        <f t="shared" ca="1" si="64"/>
        <v>0</v>
      </c>
      <c r="Q272" s="130">
        <f>Q273+Q274</f>
        <v>0</v>
      </c>
      <c r="R272" s="130">
        <f>R273+R274</f>
        <v>0</v>
      </c>
      <c r="S272" s="130">
        <f>S273+S274</f>
        <v>0</v>
      </c>
      <c r="T272" s="130">
        <f t="shared" si="65"/>
        <v>0</v>
      </c>
      <c r="U272" s="130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131">
        <f t="shared" si="63"/>
        <v>0</v>
      </c>
      <c r="P273" s="131">
        <f t="shared" si="64"/>
        <v>0</v>
      </c>
      <c r="Q273" s="75">
        <v>0</v>
      </c>
      <c r="R273" s="75">
        <v>0</v>
      </c>
      <c r="S273" s="75">
        <v>0</v>
      </c>
      <c r="T273" s="131">
        <f t="shared" si="65"/>
        <v>0</v>
      </c>
      <c r="U273" s="131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129">
        <f ca="1">IFERROR(__xludf.DUMMYFUNCTION("IMPORTRANGE(""https://docs.google.com/spreadsheets/d/1-uDff_7J0KD5mKrp0Vvzr7lt3OU09vwQwhkpOPPYv2Y/edit?usp=sharing"",""งบพรบ!DH56"")"),0)</f>
        <v>0</v>
      </c>
      <c r="M274" s="130">
        <f ca="1">IFERROR(__xludf.DUMMYFUNCTION("IMPORTRANGE(""https://docs.google.com/spreadsheets/d/1-uDff_7J0KD5mKrp0Vvzr7lt3OU09vwQwhkpOPPYv2Y/edit?usp=sharing"",""งบพรบ!DK56"")"),0)</f>
        <v>0</v>
      </c>
      <c r="N274" s="130">
        <f ca="1">IFERROR(__xludf.DUMMYFUNCTION("IMPORTRANGE(""https://docs.google.com/spreadsheets/d/1-uDff_7J0KD5mKrp0Vvzr7lt3OU09vwQwhkpOPPYv2Y/edit?usp=sharing"",""งบพรบ!DM56"")"),0)</f>
        <v>0</v>
      </c>
      <c r="O274" s="130">
        <f t="shared" ca="1" si="63"/>
        <v>0</v>
      </c>
      <c r="P274" s="130">
        <f t="shared" ca="1" si="64"/>
        <v>0</v>
      </c>
      <c r="Q274" s="72">
        <v>0</v>
      </c>
      <c r="R274" s="72">
        <v>0</v>
      </c>
      <c r="S274" s="72">
        <v>0</v>
      </c>
      <c r="T274" s="130">
        <f t="shared" si="65"/>
        <v>0</v>
      </c>
      <c r="U274" s="130">
        <f t="shared" si="66"/>
        <v>0</v>
      </c>
    </row>
    <row r="275" spans="1:21" ht="19.5" x14ac:dyDescent="0.3">
      <c r="A275" s="220"/>
      <c r="B275" s="221"/>
      <c r="C275" s="668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669"/>
      <c r="B276" s="425"/>
      <c r="C276" s="425"/>
      <c r="D276" s="426" t="s">
        <v>115</v>
      </c>
      <c r="E276" s="427"/>
      <c r="F276" s="427"/>
      <c r="G276" s="428"/>
      <c r="H276" s="429" t="s">
        <v>35</v>
      </c>
      <c r="I276" s="431">
        <f ca="1">IFERROR(__xludf.DUMMYFUNCTION("IMPORTRANGE(""https://docs.google.com/spreadsheets/d/1eHaY18a8A9IcSdp1K8H6x8fbOy06t2VsZHhMHf-1x7Y/edit?usp=sharing"",""แผน!EC56"")"),22)</f>
        <v>22</v>
      </c>
      <c r="J276" s="672">
        <v>22</v>
      </c>
      <c r="K276" s="671">
        <f ca="1">IF(I276&gt;0,J276*100/I276,0)</f>
        <v>100</v>
      </c>
      <c r="L276" s="84"/>
      <c r="M276" s="85"/>
      <c r="N276" s="85"/>
      <c r="O276" s="85"/>
      <c r="P276" s="85"/>
      <c r="Q276" s="85"/>
      <c r="R276" s="85"/>
      <c r="S276" s="85"/>
      <c r="T276" s="85"/>
      <c r="U276" s="85"/>
    </row>
    <row r="277" spans="1:21" ht="18.75" hidden="1" x14ac:dyDescent="0.25">
      <c r="A277" s="733"/>
      <c r="B277" s="735"/>
      <c r="C277" s="735"/>
      <c r="D277" s="929" t="s">
        <v>116</v>
      </c>
      <c r="E277" s="736"/>
      <c r="F277" s="736"/>
      <c r="G277" s="737"/>
      <c r="H277" s="1297" t="s">
        <v>35</v>
      </c>
      <c r="I277" s="760">
        <v>0</v>
      </c>
      <c r="J277" s="760">
        <v>0</v>
      </c>
      <c r="K277" s="927">
        <v>0</v>
      </c>
      <c r="L277" s="440"/>
      <c r="M277" s="441"/>
      <c r="N277" s="441"/>
      <c r="O277" s="441"/>
      <c r="P277" s="441"/>
      <c r="Q277" s="441"/>
      <c r="R277" s="441"/>
      <c r="S277" s="441"/>
      <c r="T277" s="441"/>
      <c r="U277" s="44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12">
        <f ca="1">L283+L284</f>
        <v>0</v>
      </c>
      <c r="M282" s="213">
        <f ca="1">M283+M284</f>
        <v>0</v>
      </c>
      <c r="N282" s="213">
        <f ca="1">N283+N284</f>
        <v>0</v>
      </c>
      <c r="O282" s="213">
        <f t="shared" ref="O282:O290" ca="1" si="69">IF(L282&gt;0,N282*100/L282,0)</f>
        <v>0</v>
      </c>
      <c r="P282" s="213">
        <f t="shared" ref="P282:P290" ca="1" si="70">IF(M282&gt;0,N282*100/M282,0)</f>
        <v>0</v>
      </c>
      <c r="Q282" s="213">
        <f>Q283+Q284</f>
        <v>0</v>
      </c>
      <c r="R282" s="213">
        <f>R283+R284</f>
        <v>0</v>
      </c>
      <c r="S282" s="213">
        <f>S283+S284</f>
        <v>0</v>
      </c>
      <c r="T282" s="213">
        <f t="shared" ref="T282:T290" si="71">IF(Q282&gt;0,S282*100/Q282,0)</f>
        <v>0</v>
      </c>
      <c r="U282" s="213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215">
        <f t="shared" ref="L283:N284" si="73">L286+L289</f>
        <v>0</v>
      </c>
      <c r="M283" s="131">
        <f t="shared" si="73"/>
        <v>0</v>
      </c>
      <c r="N283" s="131">
        <f t="shared" si="73"/>
        <v>0</v>
      </c>
      <c r="O283" s="131">
        <f t="shared" si="69"/>
        <v>0</v>
      </c>
      <c r="P283" s="131">
        <f t="shared" si="70"/>
        <v>0</v>
      </c>
      <c r="Q283" s="131">
        <f t="shared" ref="Q283:S284" si="74">Q286+Q289</f>
        <v>0</v>
      </c>
      <c r="R283" s="131">
        <f t="shared" si="74"/>
        <v>0</v>
      </c>
      <c r="S283" s="131">
        <f t="shared" si="74"/>
        <v>0</v>
      </c>
      <c r="T283" s="131">
        <f t="shared" si="71"/>
        <v>0</v>
      </c>
      <c r="U283" s="131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129">
        <f t="shared" ca="1" si="73"/>
        <v>0</v>
      </c>
      <c r="M284" s="130">
        <f t="shared" ca="1" si="73"/>
        <v>0</v>
      </c>
      <c r="N284" s="130">
        <f t="shared" ca="1" si="73"/>
        <v>0</v>
      </c>
      <c r="O284" s="130">
        <f t="shared" ca="1" si="69"/>
        <v>0</v>
      </c>
      <c r="P284" s="130">
        <f t="shared" ca="1" si="70"/>
        <v>0</v>
      </c>
      <c r="Q284" s="130">
        <f t="shared" si="74"/>
        <v>0</v>
      </c>
      <c r="R284" s="130">
        <f t="shared" si="74"/>
        <v>0</v>
      </c>
      <c r="S284" s="130">
        <f t="shared" si="74"/>
        <v>0</v>
      </c>
      <c r="T284" s="130">
        <f t="shared" si="71"/>
        <v>0</v>
      </c>
      <c r="U284" s="130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129">
        <f ca="1">L286+L287</f>
        <v>0</v>
      </c>
      <c r="M285" s="130">
        <f ca="1">M286+M287</f>
        <v>0</v>
      </c>
      <c r="N285" s="130">
        <f ca="1">N286+N287</f>
        <v>0</v>
      </c>
      <c r="O285" s="130">
        <f t="shared" ca="1" si="69"/>
        <v>0</v>
      </c>
      <c r="P285" s="130">
        <f t="shared" ca="1" si="70"/>
        <v>0</v>
      </c>
      <c r="Q285" s="130">
        <f>Q286+Q287</f>
        <v>0</v>
      </c>
      <c r="R285" s="130">
        <f>R286+R287</f>
        <v>0</v>
      </c>
      <c r="S285" s="130">
        <f>S286+S287</f>
        <v>0</v>
      </c>
      <c r="T285" s="130">
        <f t="shared" si="71"/>
        <v>0</v>
      </c>
      <c r="U285" s="130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131">
        <f t="shared" si="69"/>
        <v>0</v>
      </c>
      <c r="P286" s="131">
        <f t="shared" si="70"/>
        <v>0</v>
      </c>
      <c r="Q286" s="75">
        <v>0</v>
      </c>
      <c r="R286" s="75">
        <v>0</v>
      </c>
      <c r="S286" s="75">
        <v>0</v>
      </c>
      <c r="T286" s="131">
        <f t="shared" si="71"/>
        <v>0</v>
      </c>
      <c r="U286" s="131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129">
        <f ca="1">IFERROR(__xludf.DUMMYFUNCTION("IMPORTRANGE(""https://docs.google.com/spreadsheets/d/1-uDff_7J0KD5mKrp0Vvzr7lt3OU09vwQwhkpOPPYv2Y/edit?usp=sharing"",""งบพรบ!DO56"")"),0)</f>
        <v>0</v>
      </c>
      <c r="M287" s="130">
        <f ca="1">IFERROR(__xludf.DUMMYFUNCTION("IMPORTRANGE(""https://docs.google.com/spreadsheets/d/1-uDff_7J0KD5mKrp0Vvzr7lt3OU09vwQwhkpOPPYv2Y/edit?usp=sharing"",""งบพรบ!DT56"")"),0)</f>
        <v>0</v>
      </c>
      <c r="N287" s="130">
        <f ca="1">IFERROR(__xludf.DUMMYFUNCTION("IMPORTRANGE(""https://docs.google.com/spreadsheets/d/1-uDff_7J0KD5mKrp0Vvzr7lt3OU09vwQwhkpOPPYv2Y/edit?usp=sharing"",""งบพรบ!DV56"")"),0)</f>
        <v>0</v>
      </c>
      <c r="O287" s="130">
        <f t="shared" ca="1" si="69"/>
        <v>0</v>
      </c>
      <c r="P287" s="130">
        <f t="shared" ca="1" si="70"/>
        <v>0</v>
      </c>
      <c r="Q287" s="72">
        <v>0</v>
      </c>
      <c r="R287" s="72">
        <v>0</v>
      </c>
      <c r="S287" s="72">
        <v>0</v>
      </c>
      <c r="T287" s="131">
        <f t="shared" si="71"/>
        <v>0</v>
      </c>
      <c r="U287" s="131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129">
        <f ca="1">L289+L290</f>
        <v>0</v>
      </c>
      <c r="M288" s="130">
        <f ca="1">M289+M290</f>
        <v>0</v>
      </c>
      <c r="N288" s="130">
        <f ca="1">N289+N290</f>
        <v>0</v>
      </c>
      <c r="O288" s="130">
        <f t="shared" ca="1" si="69"/>
        <v>0</v>
      </c>
      <c r="P288" s="130">
        <f t="shared" ca="1" si="70"/>
        <v>0</v>
      </c>
      <c r="Q288" s="130">
        <f>Q289+Q290</f>
        <v>0</v>
      </c>
      <c r="R288" s="130">
        <f>R289+R290</f>
        <v>0</v>
      </c>
      <c r="S288" s="130">
        <f>S289+S290</f>
        <v>0</v>
      </c>
      <c r="T288" s="130">
        <f t="shared" si="71"/>
        <v>0</v>
      </c>
      <c r="U288" s="130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131">
        <f t="shared" si="69"/>
        <v>0</v>
      </c>
      <c r="P289" s="131">
        <f t="shared" si="70"/>
        <v>0</v>
      </c>
      <c r="Q289" s="75">
        <v>0</v>
      </c>
      <c r="R289" s="75">
        <v>0</v>
      </c>
      <c r="S289" s="75">
        <v>0</v>
      </c>
      <c r="T289" s="131">
        <f t="shared" si="71"/>
        <v>0</v>
      </c>
      <c r="U289" s="131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129">
        <f ca="1">IFERROR(__xludf.DUMMYFUNCTION("IMPORTRANGE(""https://docs.google.com/spreadsheets/d/1-uDff_7J0KD5mKrp0Vvzr7lt3OU09vwQwhkpOPPYv2Y/edit?usp=sharing"",""งบพรบ!DR56"")"),0)</f>
        <v>0</v>
      </c>
      <c r="M290" s="130">
        <f ca="1">IFERROR(__xludf.DUMMYFUNCTION("IMPORTRANGE(""https://docs.google.com/spreadsheets/d/1-uDff_7J0KD5mKrp0Vvzr7lt3OU09vwQwhkpOPPYv2Y/edit?usp=sharing"",""งบพรบ!DU56"")"),0)</f>
        <v>0</v>
      </c>
      <c r="N290" s="130">
        <f ca="1">IFERROR(__xludf.DUMMYFUNCTION("IMPORTRANGE(""https://docs.google.com/spreadsheets/d/1-uDff_7J0KD5mKrp0Vvzr7lt3OU09vwQwhkpOPPYv2Y/edit?usp=sharing"",""งบพรบ!DW56"")"),0)</f>
        <v>0</v>
      </c>
      <c r="O290" s="130">
        <f t="shared" ca="1" si="69"/>
        <v>0</v>
      </c>
      <c r="P290" s="130">
        <f t="shared" ca="1" si="70"/>
        <v>0</v>
      </c>
      <c r="Q290" s="72">
        <v>0</v>
      </c>
      <c r="R290" s="72">
        <v>0</v>
      </c>
      <c r="S290" s="72">
        <v>0</v>
      </c>
      <c r="T290" s="130">
        <f t="shared" si="71"/>
        <v>0</v>
      </c>
      <c r="U290" s="130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IFERROR(__xludf.DUMMYFUNCTION("IMPORTRANGE(""https://docs.google.com/spreadsheets/d/1eHaY18a8A9IcSdp1K8H6x8fbOy06t2VsZHhMHf-1x7Y/edit?usp=sharing"",""แผน!EE56"")"),0)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IFERROR(__xludf.DUMMYFUNCTION("IMPORTRANGE(""https://docs.google.com/spreadsheets/d/1eHaY18a8A9IcSdp1K8H6x8fbOy06t2VsZHhMHf-1x7Y/edit?usp=sharing"",""แผน!ED56"")"),0)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IFERROR(__xludf.DUMMYFUNCTION("IMPORTRANGE(""https://docs.google.com/spreadsheets/d/1eHaY18a8A9IcSdp1K8H6x8fbOy06t2VsZHhMHf-1x7Y/edit?usp=sharing"",""แผน!ED56"")"),0)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IFERROR(__xludf.DUMMYFUNCTION("IMPORTRANGE(""https://docs.google.com/spreadsheets/d/1eHaY18a8A9IcSdp1K8H6x8fbOy06t2VsZHhMHf-1x7Y/edit?usp=sharing"",""แผน!ED56"")"),0)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25</v>
      </c>
      <c r="J302" s="595">
        <f>J314</f>
        <v>25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12">
        <f ca="1">L304+L305</f>
        <v>0</v>
      </c>
      <c r="M303" s="213">
        <f ca="1">M304+M305</f>
        <v>100560</v>
      </c>
      <c r="N303" s="213">
        <f ca="1">N304+N305</f>
        <v>0</v>
      </c>
      <c r="O303" s="213">
        <f t="shared" ref="O303:O311" ca="1" si="75">IF(L303&gt;0,N303*100/L303,0)</f>
        <v>0</v>
      </c>
      <c r="P303" s="213">
        <f t="shared" ref="P303:P311" ca="1" si="76">IF(M303&gt;0,N303*100/M303,0)</f>
        <v>0</v>
      </c>
      <c r="Q303" s="213">
        <f ca="1">Q304+Q305</f>
        <v>228095.39</v>
      </c>
      <c r="R303" s="213">
        <f ca="1">R304+R305</f>
        <v>228095</v>
      </c>
      <c r="S303" s="213">
        <f ca="1">S304+S305</f>
        <v>174795</v>
      </c>
      <c r="T303" s="213">
        <f t="shared" ref="T303:T311" ca="1" si="77">IF(Q303&gt;0,S303*100/Q303,0)</f>
        <v>76.632412430606337</v>
      </c>
      <c r="U303" s="213">
        <f t="shared" ref="U303:U311" ca="1" si="78">IF(R303&gt;0,S303*100/R303,0)</f>
        <v>76.632543457769785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215">
        <f t="shared" ref="L304:N305" si="79">L307+L310</f>
        <v>0</v>
      </c>
      <c r="M304" s="131">
        <f t="shared" si="79"/>
        <v>0</v>
      </c>
      <c r="N304" s="131">
        <f t="shared" si="79"/>
        <v>0</v>
      </c>
      <c r="O304" s="131">
        <f t="shared" si="75"/>
        <v>0</v>
      </c>
      <c r="P304" s="131">
        <f t="shared" si="76"/>
        <v>0</v>
      </c>
      <c r="Q304" s="131">
        <f t="shared" ref="Q304:S305" si="80">Q307+Q310</f>
        <v>0</v>
      </c>
      <c r="R304" s="131">
        <f t="shared" si="80"/>
        <v>0</v>
      </c>
      <c r="S304" s="131">
        <f t="shared" si="80"/>
        <v>0</v>
      </c>
      <c r="T304" s="131">
        <f t="shared" si="77"/>
        <v>0</v>
      </c>
      <c r="U304" s="131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129">
        <f t="shared" ca="1" si="79"/>
        <v>0</v>
      </c>
      <c r="M305" s="130">
        <f t="shared" ca="1" si="79"/>
        <v>100560</v>
      </c>
      <c r="N305" s="130">
        <f t="shared" ca="1" si="79"/>
        <v>0</v>
      </c>
      <c r="O305" s="130">
        <f t="shared" ca="1" si="75"/>
        <v>0</v>
      </c>
      <c r="P305" s="130">
        <f t="shared" ca="1" si="76"/>
        <v>0</v>
      </c>
      <c r="Q305" s="130">
        <f t="shared" ca="1" si="80"/>
        <v>228095.39</v>
      </c>
      <c r="R305" s="130">
        <f t="shared" ca="1" si="80"/>
        <v>228095</v>
      </c>
      <c r="S305" s="130">
        <f t="shared" ca="1" si="80"/>
        <v>174795</v>
      </c>
      <c r="T305" s="130">
        <f t="shared" ca="1" si="77"/>
        <v>76.632412430606337</v>
      </c>
      <c r="U305" s="130">
        <f t="shared" ca="1" si="78"/>
        <v>76.632543457769785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129">
        <f ca="1">L307+L308</f>
        <v>0</v>
      </c>
      <c r="M306" s="130">
        <f ca="1">M307+M308</f>
        <v>100560</v>
      </c>
      <c r="N306" s="130">
        <f ca="1">N307+N308</f>
        <v>0</v>
      </c>
      <c r="O306" s="130">
        <f t="shared" ca="1" si="75"/>
        <v>0</v>
      </c>
      <c r="P306" s="130">
        <f t="shared" ca="1" si="76"/>
        <v>0</v>
      </c>
      <c r="Q306" s="130">
        <f ca="1">Q307+Q308</f>
        <v>228095.39</v>
      </c>
      <c r="R306" s="130">
        <f ca="1">R307+R308</f>
        <v>228095</v>
      </c>
      <c r="S306" s="130">
        <f ca="1">S307+S308</f>
        <v>174795</v>
      </c>
      <c r="T306" s="130">
        <f t="shared" ca="1" si="77"/>
        <v>76.632412430606337</v>
      </c>
      <c r="U306" s="130">
        <f t="shared" ca="1" si="78"/>
        <v>76.632543457769785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131">
        <f t="shared" si="75"/>
        <v>0</v>
      </c>
      <c r="P307" s="131">
        <f t="shared" si="76"/>
        <v>0</v>
      </c>
      <c r="Q307" s="75">
        <v>0</v>
      </c>
      <c r="R307" s="75">
        <v>0</v>
      </c>
      <c r="S307" s="75">
        <v>0</v>
      </c>
      <c r="T307" s="131">
        <f t="shared" si="77"/>
        <v>0</v>
      </c>
      <c r="U307" s="131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129">
        <f ca="1">IFERROR(__xludf.DUMMYFUNCTION("IMPORTRANGE(""https://docs.google.com/spreadsheets/d/1-uDff_7J0KD5mKrp0Vvzr7lt3OU09vwQwhkpOPPYv2Y/edit?usp=sharing"",""งบพรบ!DY56"")"),0)</f>
        <v>0</v>
      </c>
      <c r="M308" s="130">
        <f ca="1">IFERROR(__xludf.DUMMYFUNCTION("IMPORTRANGE(""https://docs.google.com/spreadsheets/d/1-uDff_7J0KD5mKrp0Vvzr7lt3OU09vwQwhkpOPPYv2Y/edit?usp=sharing"",""งบพรบ!ED56"")"),100560)</f>
        <v>100560</v>
      </c>
      <c r="N308" s="130">
        <f ca="1">IFERROR(__xludf.DUMMYFUNCTION("IMPORTRANGE(""https://docs.google.com/spreadsheets/d/1-uDff_7J0KD5mKrp0Vvzr7lt3OU09vwQwhkpOPPYv2Y/edit?usp=sharing"",""งบพรบ!EF56"")"),0)</f>
        <v>0</v>
      </c>
      <c r="O308" s="130">
        <f t="shared" ca="1" si="75"/>
        <v>0</v>
      </c>
      <c r="P308" s="130">
        <f t="shared" ca="1" si="76"/>
        <v>0</v>
      </c>
      <c r="Q308" s="130">
        <f ca="1">IFERROR(__xludf.DUMMYFUNCTION("IMPORTRANGE(""https://docs.google.com/spreadsheets/d/1ItG2mGa2ceCfYo0BwxsXqNm01IGEUdYcSSLTEv9YCik/edit?usp=sharing"",""เบิกจ่ายกองทุน!BB56"")"),228095.39)</f>
        <v>228095.39</v>
      </c>
      <c r="R308" s="130">
        <f ca="1">IFERROR(__xludf.DUMMYFUNCTION("IMPORTRANGE(""https://docs.google.com/spreadsheets/d/1ItG2mGa2ceCfYo0BwxsXqNm01IGEUdYcSSLTEv9YCik/edit?usp=sharing"",""เบิกจ่ายกองทุน!BC56"")"),228095)</f>
        <v>228095</v>
      </c>
      <c r="S308" s="130">
        <f ca="1">IFERROR(__xludf.DUMMYFUNCTION("IMPORTRANGE(""https://docs.google.com/spreadsheets/d/1ItG2mGa2ceCfYo0BwxsXqNm01IGEUdYcSSLTEv9YCik/edit?usp=sharing"",""เบิกจ่ายกองทุน!BD56"")"),174795)</f>
        <v>174795</v>
      </c>
      <c r="T308" s="130">
        <f t="shared" ca="1" si="77"/>
        <v>76.632412430606337</v>
      </c>
      <c r="U308" s="130">
        <f t="shared" ca="1" si="78"/>
        <v>76.632543457769785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129">
        <f ca="1">L310+L311</f>
        <v>0</v>
      </c>
      <c r="M309" s="130">
        <f ca="1">M310+M311</f>
        <v>0</v>
      </c>
      <c r="N309" s="130">
        <f ca="1">N310+N311</f>
        <v>0</v>
      </c>
      <c r="O309" s="130">
        <f t="shared" ca="1" si="75"/>
        <v>0</v>
      </c>
      <c r="P309" s="130">
        <f t="shared" ca="1" si="76"/>
        <v>0</v>
      </c>
      <c r="Q309" s="130">
        <f>Q310+Q311</f>
        <v>0</v>
      </c>
      <c r="R309" s="130">
        <f>R310+R311</f>
        <v>0</v>
      </c>
      <c r="S309" s="130">
        <f>S310+S311</f>
        <v>0</v>
      </c>
      <c r="T309" s="130">
        <f t="shared" si="77"/>
        <v>0</v>
      </c>
      <c r="U309" s="130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131">
        <f t="shared" si="75"/>
        <v>0</v>
      </c>
      <c r="P310" s="131">
        <f t="shared" si="76"/>
        <v>0</v>
      </c>
      <c r="Q310" s="75">
        <v>0</v>
      </c>
      <c r="R310" s="75">
        <v>0</v>
      </c>
      <c r="S310" s="75">
        <v>0</v>
      </c>
      <c r="T310" s="131">
        <f t="shared" si="77"/>
        <v>0</v>
      </c>
      <c r="U310" s="131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129">
        <f ca="1">IFERROR(__xludf.DUMMYFUNCTION("IMPORTRANGE(""https://docs.google.com/spreadsheets/d/1-uDff_7J0KD5mKrp0Vvzr7lt3OU09vwQwhkpOPPYv2Y/edit?usp=sharing"",""งบพรบ!EB56"")"),0)</f>
        <v>0</v>
      </c>
      <c r="M311" s="130">
        <f ca="1">IFERROR(__xludf.DUMMYFUNCTION("IMPORTRANGE(""https://docs.google.com/spreadsheets/d/1-uDff_7J0KD5mKrp0Vvzr7lt3OU09vwQwhkpOPPYv2Y/edit?usp=sharing"",""งบพรบ!EE56"")"),0)</f>
        <v>0</v>
      </c>
      <c r="N311" s="130">
        <f ca="1">IFERROR(__xludf.DUMMYFUNCTION("IMPORTRANGE(""https://docs.google.com/spreadsheets/d/1-uDff_7J0KD5mKrp0Vvzr7lt3OU09vwQwhkpOPPYv2Y/edit?usp=sharing"",""งบพรบ!EG56"")"),0)</f>
        <v>0</v>
      </c>
      <c r="O311" s="130">
        <f t="shared" ca="1" si="75"/>
        <v>0</v>
      </c>
      <c r="P311" s="130">
        <f t="shared" ca="1" si="76"/>
        <v>0</v>
      </c>
      <c r="Q311" s="72">
        <v>0</v>
      </c>
      <c r="R311" s="72">
        <v>0</v>
      </c>
      <c r="S311" s="72">
        <v>0</v>
      </c>
      <c r="T311" s="130">
        <f t="shared" si="77"/>
        <v>0</v>
      </c>
      <c r="U311" s="130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30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IFERROR(__xludf.DUMMYFUNCTION("IMPORTRANGE(""https://docs.google.com/spreadsheets/d/1eHaY18a8A9IcSdp1K8H6x8fbOy06t2VsZHhMHf-1x7Y/edit?usp=sharing"",""แผน!EF56"")"),25)</f>
        <v>25</v>
      </c>
      <c r="J314" s="292">
        <v>25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1329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1329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1328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2</v>
      </c>
      <c r="J319" s="595">
        <f>J330</f>
        <v>1</v>
      </c>
      <c r="K319" s="589">
        <f ca="1">IF(I319&gt;0,J319*100/I319,0)</f>
        <v>50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x14ac:dyDescent="0.3">
      <c r="A320" s="255"/>
      <c r="B320" s="256"/>
      <c r="C320" s="668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12">
        <f ca="1">L321+L322</f>
        <v>175000</v>
      </c>
      <c r="M320" s="213">
        <f ca="1">M321+M322</f>
        <v>175000</v>
      </c>
      <c r="N320" s="213">
        <f ca="1">N321+N322</f>
        <v>81349</v>
      </c>
      <c r="O320" s="213">
        <f t="shared" ref="O320:O328" ca="1" si="81">IF(L320&gt;0,N320*100/L320,0)</f>
        <v>46.485142857142854</v>
      </c>
      <c r="P320" s="213">
        <f t="shared" ref="P320:P328" ca="1" si="82">IF(M320&gt;0,N320*100/M320,0)</f>
        <v>46.485142857142854</v>
      </c>
      <c r="Q320" s="213">
        <f>Q321+Q322</f>
        <v>0</v>
      </c>
      <c r="R320" s="213">
        <f>R321+R322</f>
        <v>0</v>
      </c>
      <c r="S320" s="213">
        <f>S321+S322</f>
        <v>0</v>
      </c>
      <c r="T320" s="213">
        <f t="shared" ref="T320:T328" si="83">IF(Q320&gt;0,S320*100/Q320,0)</f>
        <v>0</v>
      </c>
      <c r="U320" s="213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215">
        <f t="shared" ref="L321:N322" si="85">L324+L327</f>
        <v>0</v>
      </c>
      <c r="M321" s="131">
        <f t="shared" si="85"/>
        <v>0</v>
      </c>
      <c r="N321" s="131">
        <f t="shared" si="85"/>
        <v>0</v>
      </c>
      <c r="O321" s="131">
        <f t="shared" si="81"/>
        <v>0</v>
      </c>
      <c r="P321" s="131">
        <f t="shared" si="82"/>
        <v>0</v>
      </c>
      <c r="Q321" s="131">
        <f t="shared" ref="Q321:S322" si="86">Q324+Q327</f>
        <v>0</v>
      </c>
      <c r="R321" s="131">
        <f t="shared" si="86"/>
        <v>0</v>
      </c>
      <c r="S321" s="131">
        <f t="shared" si="86"/>
        <v>0</v>
      </c>
      <c r="T321" s="131">
        <f t="shared" si="83"/>
        <v>0</v>
      </c>
      <c r="U321" s="131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129">
        <f t="shared" ca="1" si="85"/>
        <v>175000</v>
      </c>
      <c r="M322" s="130">
        <f t="shared" ca="1" si="85"/>
        <v>175000</v>
      </c>
      <c r="N322" s="130">
        <f t="shared" ca="1" si="85"/>
        <v>81349</v>
      </c>
      <c r="O322" s="130">
        <f t="shared" ca="1" si="81"/>
        <v>46.485142857142854</v>
      </c>
      <c r="P322" s="130">
        <f t="shared" ca="1" si="82"/>
        <v>46.485142857142854</v>
      </c>
      <c r="Q322" s="130">
        <f t="shared" si="86"/>
        <v>0</v>
      </c>
      <c r="R322" s="130">
        <f t="shared" si="86"/>
        <v>0</v>
      </c>
      <c r="S322" s="130">
        <f t="shared" si="86"/>
        <v>0</v>
      </c>
      <c r="T322" s="130">
        <f t="shared" si="83"/>
        <v>0</v>
      </c>
      <c r="U322" s="130">
        <f t="shared" si="84"/>
        <v>0</v>
      </c>
    </row>
    <row r="323" spans="1:21" ht="18.75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129">
        <f ca="1">L324+L325</f>
        <v>175000</v>
      </c>
      <c r="M323" s="130">
        <f ca="1">M324+M325</f>
        <v>175000</v>
      </c>
      <c r="N323" s="130">
        <f ca="1">N324+N325</f>
        <v>81349</v>
      </c>
      <c r="O323" s="130">
        <f t="shared" ca="1" si="81"/>
        <v>46.485142857142854</v>
      </c>
      <c r="P323" s="130">
        <f t="shared" ca="1" si="82"/>
        <v>46.485142857142854</v>
      </c>
      <c r="Q323" s="130">
        <f>Q324+Q325</f>
        <v>0</v>
      </c>
      <c r="R323" s="130">
        <f>R324+R325</f>
        <v>0</v>
      </c>
      <c r="S323" s="130">
        <f>S324+S325</f>
        <v>0</v>
      </c>
      <c r="T323" s="130">
        <f t="shared" si="83"/>
        <v>0</v>
      </c>
      <c r="U323" s="130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131">
        <f t="shared" si="81"/>
        <v>0</v>
      </c>
      <c r="P324" s="131">
        <f t="shared" si="82"/>
        <v>0</v>
      </c>
      <c r="Q324" s="75">
        <v>0</v>
      </c>
      <c r="R324" s="75">
        <v>0</v>
      </c>
      <c r="S324" s="75">
        <v>0</v>
      </c>
      <c r="T324" s="131">
        <f t="shared" si="83"/>
        <v>0</v>
      </c>
      <c r="U324" s="131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129">
        <f ca="1">IFERROR(__xludf.DUMMYFUNCTION("IMPORTRANGE(""https://docs.google.com/spreadsheets/d/1-uDff_7J0KD5mKrp0Vvzr7lt3OU09vwQwhkpOPPYv2Y/edit?usp=sharing"",""งบพรบ!EI56"")"),175000)</f>
        <v>175000</v>
      </c>
      <c r="M325" s="130">
        <f ca="1">IFERROR(__xludf.DUMMYFUNCTION("IMPORTRANGE(""https://docs.google.com/spreadsheets/d/1-uDff_7J0KD5mKrp0Vvzr7lt3OU09vwQwhkpOPPYv2Y/edit?usp=sharing"",""งบพรบ!EN56"")"),175000)</f>
        <v>175000</v>
      </c>
      <c r="N325" s="130">
        <f ca="1">IFERROR(__xludf.DUMMYFUNCTION("IMPORTRANGE(""https://docs.google.com/spreadsheets/d/1-uDff_7J0KD5mKrp0Vvzr7lt3OU09vwQwhkpOPPYv2Y/edit?usp=sharing"",""งบพรบ!EP56"")"),81349)</f>
        <v>81349</v>
      </c>
      <c r="O325" s="130">
        <f t="shared" ca="1" si="81"/>
        <v>46.485142857142854</v>
      </c>
      <c r="P325" s="130">
        <f t="shared" ca="1" si="82"/>
        <v>46.485142857142854</v>
      </c>
      <c r="Q325" s="72">
        <v>0</v>
      </c>
      <c r="R325" s="72">
        <v>0</v>
      </c>
      <c r="S325" s="72">
        <v>0</v>
      </c>
      <c r="T325" s="130">
        <f t="shared" si="83"/>
        <v>0</v>
      </c>
      <c r="U325" s="130">
        <f t="shared" si="84"/>
        <v>0</v>
      </c>
    </row>
    <row r="326" spans="1:21" ht="18.75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129">
        <f ca="1">L327+L328</f>
        <v>0</v>
      </c>
      <c r="M326" s="130">
        <f ca="1">M327+M328</f>
        <v>0</v>
      </c>
      <c r="N326" s="130">
        <f ca="1">N327+N328</f>
        <v>0</v>
      </c>
      <c r="O326" s="130">
        <f t="shared" ca="1" si="81"/>
        <v>0</v>
      </c>
      <c r="P326" s="130">
        <f t="shared" ca="1" si="82"/>
        <v>0</v>
      </c>
      <c r="Q326" s="130">
        <f>Q327+Q328</f>
        <v>0</v>
      </c>
      <c r="R326" s="130">
        <f>R327+R328</f>
        <v>0</v>
      </c>
      <c r="S326" s="130">
        <f>S327+S328</f>
        <v>0</v>
      </c>
      <c r="T326" s="130">
        <f t="shared" si="83"/>
        <v>0</v>
      </c>
      <c r="U326" s="130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131">
        <f t="shared" si="81"/>
        <v>0</v>
      </c>
      <c r="P327" s="131">
        <f t="shared" si="82"/>
        <v>0</v>
      </c>
      <c r="Q327" s="75">
        <v>0</v>
      </c>
      <c r="R327" s="75">
        <v>0</v>
      </c>
      <c r="S327" s="75">
        <v>0</v>
      </c>
      <c r="T327" s="131">
        <f t="shared" si="83"/>
        <v>0</v>
      </c>
      <c r="U327" s="131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129">
        <f ca="1">IFERROR(__xludf.DUMMYFUNCTION("IMPORTRANGE(""https://docs.google.com/spreadsheets/d/1-uDff_7J0KD5mKrp0Vvzr7lt3OU09vwQwhkpOPPYv2Y/edit?usp=sharing"",""งบพรบ!EL56"")"),0)</f>
        <v>0</v>
      </c>
      <c r="M328" s="130">
        <f ca="1">IFERROR(__xludf.DUMMYFUNCTION("IMPORTRANGE(""https://docs.google.com/spreadsheets/d/1-uDff_7J0KD5mKrp0Vvzr7lt3OU09vwQwhkpOPPYv2Y/edit?usp=sharing"",""งบพรบ!EO56"")"),0)</f>
        <v>0</v>
      </c>
      <c r="N328" s="130">
        <f ca="1">IFERROR(__xludf.DUMMYFUNCTION("IMPORTRANGE(""https://docs.google.com/spreadsheets/d/1-uDff_7J0KD5mKrp0Vvzr7lt3OU09vwQwhkpOPPYv2Y/edit?usp=sharing"",""งบพรบ!EQ56"")"),0)</f>
        <v>0</v>
      </c>
      <c r="O328" s="130">
        <f t="shared" ca="1" si="81"/>
        <v>0</v>
      </c>
      <c r="P328" s="130">
        <f t="shared" ca="1" si="82"/>
        <v>0</v>
      </c>
      <c r="Q328" s="72">
        <v>0</v>
      </c>
      <c r="R328" s="72">
        <v>0</v>
      </c>
      <c r="S328" s="72">
        <v>0</v>
      </c>
      <c r="T328" s="130">
        <f t="shared" si="83"/>
        <v>0</v>
      </c>
      <c r="U328" s="130">
        <f t="shared" si="84"/>
        <v>0</v>
      </c>
    </row>
    <row r="329" spans="1:21" ht="19.5" x14ac:dyDescent="0.3">
      <c r="A329" s="274"/>
      <c r="B329" s="275"/>
      <c r="C329" s="668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IFERROR(__xludf.DUMMYFUNCTION("IMPORTRANGE(""https://docs.google.com/spreadsheets/d/1eHaY18a8A9IcSdp1K8H6x8fbOy06t2VsZHhMHf-1x7Y/edit?usp=sharing"",""แผน!EJ56"")"),2)</f>
        <v>2</v>
      </c>
      <c r="J330" s="292">
        <v>1</v>
      </c>
      <c r="K330" s="72">
        <f ca="1">IF(I330&gt;0,J330*100/I330,0)</f>
        <v>50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940</v>
      </c>
      <c r="J332" s="515">
        <f ca="1">J344+J347+J348+J349+J353+J354</f>
        <v>7223</v>
      </c>
      <c r="K332" s="516">
        <f ca="1">IF(I332&gt;0,J332*100/I332,0)</f>
        <v>768.40425531914889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12">
        <f ca="1">L334+L335</f>
        <v>181000</v>
      </c>
      <c r="M333" s="213">
        <f ca="1">M334+M335</f>
        <v>181000</v>
      </c>
      <c r="N333" s="213">
        <f ca="1">N334+N335</f>
        <v>112045.2</v>
      </c>
      <c r="O333" s="213">
        <f t="shared" ref="O333:O341" ca="1" si="87">IF(L333&gt;0,N333*100/L333,0)</f>
        <v>61.903425414364641</v>
      </c>
      <c r="P333" s="213">
        <f t="shared" ref="P333:P341" ca="1" si="88">IF(M333&gt;0,N333*100/M333,0)</f>
        <v>61.903425414364641</v>
      </c>
      <c r="Q333" s="213">
        <f>Q334+Q335</f>
        <v>0</v>
      </c>
      <c r="R333" s="213">
        <f>R334+R335</f>
        <v>0</v>
      </c>
      <c r="S333" s="213">
        <f>S334+S335</f>
        <v>0</v>
      </c>
      <c r="T333" s="213">
        <f t="shared" ref="T333:T341" si="89">IF(Q333&gt;0,S333*100/Q333,0)</f>
        <v>0</v>
      </c>
      <c r="U333" s="213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215">
        <f t="shared" ref="L334:N335" si="91">L337+L340</f>
        <v>0</v>
      </c>
      <c r="M334" s="131">
        <f t="shared" si="91"/>
        <v>0</v>
      </c>
      <c r="N334" s="131">
        <f t="shared" si="91"/>
        <v>0</v>
      </c>
      <c r="O334" s="131">
        <f t="shared" si="87"/>
        <v>0</v>
      </c>
      <c r="P334" s="131">
        <f t="shared" si="88"/>
        <v>0</v>
      </c>
      <c r="Q334" s="131">
        <f t="shared" ref="Q334:S335" si="92">Q337+Q340</f>
        <v>0</v>
      </c>
      <c r="R334" s="131">
        <f t="shared" si="92"/>
        <v>0</v>
      </c>
      <c r="S334" s="131">
        <f t="shared" si="92"/>
        <v>0</v>
      </c>
      <c r="T334" s="131">
        <f t="shared" si="89"/>
        <v>0</v>
      </c>
      <c r="U334" s="131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129">
        <f t="shared" ca="1" si="91"/>
        <v>181000</v>
      </c>
      <c r="M335" s="130">
        <f t="shared" ca="1" si="91"/>
        <v>181000</v>
      </c>
      <c r="N335" s="130">
        <f t="shared" ca="1" si="91"/>
        <v>112045.2</v>
      </c>
      <c r="O335" s="130">
        <f t="shared" ca="1" si="87"/>
        <v>61.903425414364641</v>
      </c>
      <c r="P335" s="130">
        <f t="shared" ca="1" si="88"/>
        <v>61.903425414364641</v>
      </c>
      <c r="Q335" s="130">
        <f t="shared" si="92"/>
        <v>0</v>
      </c>
      <c r="R335" s="130">
        <f t="shared" si="92"/>
        <v>0</v>
      </c>
      <c r="S335" s="130">
        <f t="shared" si="92"/>
        <v>0</v>
      </c>
      <c r="T335" s="130">
        <f t="shared" si="89"/>
        <v>0</v>
      </c>
      <c r="U335" s="130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129">
        <f ca="1">L337+L338</f>
        <v>181000</v>
      </c>
      <c r="M336" s="130">
        <f ca="1">M337+M338</f>
        <v>181000</v>
      </c>
      <c r="N336" s="130">
        <f ca="1">N337+N338</f>
        <v>112045.2</v>
      </c>
      <c r="O336" s="130">
        <f t="shared" ca="1" si="87"/>
        <v>61.903425414364641</v>
      </c>
      <c r="P336" s="130">
        <f t="shared" ca="1" si="88"/>
        <v>61.903425414364641</v>
      </c>
      <c r="Q336" s="130">
        <f>Q337+Q338</f>
        <v>0</v>
      </c>
      <c r="R336" s="130">
        <f>R337+R338</f>
        <v>0</v>
      </c>
      <c r="S336" s="130">
        <f>S337+S338</f>
        <v>0</v>
      </c>
      <c r="T336" s="130">
        <f t="shared" si="89"/>
        <v>0</v>
      </c>
      <c r="U336" s="130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131">
        <f t="shared" si="87"/>
        <v>0</v>
      </c>
      <c r="P337" s="131">
        <f t="shared" si="88"/>
        <v>0</v>
      </c>
      <c r="Q337" s="75">
        <v>0</v>
      </c>
      <c r="R337" s="75">
        <v>0</v>
      </c>
      <c r="S337" s="75">
        <v>0</v>
      </c>
      <c r="T337" s="131">
        <f t="shared" si="89"/>
        <v>0</v>
      </c>
      <c r="U337" s="131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129">
        <f ca="1">IFERROR(__xludf.DUMMYFUNCTION("IMPORTRANGE(""https://docs.google.com/spreadsheets/d/1-uDff_7J0KD5mKrp0Vvzr7lt3OU09vwQwhkpOPPYv2Y/edit?usp=sharing"",""งบพรบ!ES56"")"),181000)</f>
        <v>181000</v>
      </c>
      <c r="M338" s="130">
        <f ca="1">IFERROR(__xludf.DUMMYFUNCTION("IMPORTRANGE(""https://docs.google.com/spreadsheets/d/1-uDff_7J0KD5mKrp0Vvzr7lt3OU09vwQwhkpOPPYv2Y/edit?usp=sharing"",""งบพรบ!EX56"")"),181000)</f>
        <v>181000</v>
      </c>
      <c r="N338" s="130">
        <f ca="1">IFERROR(__xludf.DUMMYFUNCTION("IMPORTRANGE(""https://docs.google.com/spreadsheets/d/1-uDff_7J0KD5mKrp0Vvzr7lt3OU09vwQwhkpOPPYv2Y/edit?usp=sharing"",""งบพรบ!EZ56"")"),112045.2)</f>
        <v>112045.2</v>
      </c>
      <c r="O338" s="130">
        <f t="shared" ca="1" si="87"/>
        <v>61.903425414364641</v>
      </c>
      <c r="P338" s="130">
        <f t="shared" ca="1" si="88"/>
        <v>61.903425414364641</v>
      </c>
      <c r="Q338" s="72">
        <v>0</v>
      </c>
      <c r="R338" s="72">
        <v>0</v>
      </c>
      <c r="S338" s="72">
        <v>0</v>
      </c>
      <c r="T338" s="130">
        <f t="shared" si="89"/>
        <v>0</v>
      </c>
      <c r="U338" s="130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129">
        <f ca="1">L340+L341</f>
        <v>0</v>
      </c>
      <c r="M339" s="130">
        <f ca="1">M340+M341</f>
        <v>0</v>
      </c>
      <c r="N339" s="130">
        <f ca="1">N340+N341</f>
        <v>0</v>
      </c>
      <c r="O339" s="130">
        <f t="shared" ca="1" si="87"/>
        <v>0</v>
      </c>
      <c r="P339" s="130">
        <f t="shared" ca="1" si="88"/>
        <v>0</v>
      </c>
      <c r="Q339" s="130">
        <f>Q340+Q341</f>
        <v>0</v>
      </c>
      <c r="R339" s="130">
        <f>R340+R341</f>
        <v>0</v>
      </c>
      <c r="S339" s="130">
        <f>S340+S341</f>
        <v>0</v>
      </c>
      <c r="T339" s="130">
        <f t="shared" si="89"/>
        <v>0</v>
      </c>
      <c r="U339" s="130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131">
        <f t="shared" si="87"/>
        <v>0</v>
      </c>
      <c r="P340" s="131">
        <f t="shared" si="88"/>
        <v>0</v>
      </c>
      <c r="Q340" s="75">
        <v>0</v>
      </c>
      <c r="R340" s="75">
        <v>0</v>
      </c>
      <c r="S340" s="75">
        <v>0</v>
      </c>
      <c r="T340" s="131">
        <f t="shared" si="89"/>
        <v>0</v>
      </c>
      <c r="U340" s="131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129">
        <f ca="1">IFERROR(__xludf.DUMMYFUNCTION("IMPORTRANGE(""https://docs.google.com/spreadsheets/d/1-uDff_7J0KD5mKrp0Vvzr7lt3OU09vwQwhkpOPPYv2Y/edit?usp=sharing"",""งบพรบ!EV56"")"),0)</f>
        <v>0</v>
      </c>
      <c r="M341" s="130">
        <f ca="1">IFERROR(__xludf.DUMMYFUNCTION("IMPORTRANGE(""https://docs.google.com/spreadsheets/d/1-uDff_7J0KD5mKrp0Vvzr7lt3OU09vwQwhkpOPPYv2Y/edit?usp=sharing"",""งบพรบ!EY56"")"),0)</f>
        <v>0</v>
      </c>
      <c r="N341" s="130">
        <f ca="1">IFERROR(__xludf.DUMMYFUNCTION("IMPORTRANGE(""https://docs.google.com/spreadsheets/d/1-uDff_7J0KD5mKrp0Vvzr7lt3OU09vwQwhkpOPPYv2Y/edit?usp=sharing"",""งบพรบ!FA56"")"),0)</f>
        <v>0</v>
      </c>
      <c r="O341" s="130">
        <f t="shared" ca="1" si="87"/>
        <v>0</v>
      </c>
      <c r="P341" s="130">
        <f t="shared" ca="1" si="88"/>
        <v>0</v>
      </c>
      <c r="Q341" s="72">
        <v>0</v>
      </c>
      <c r="R341" s="72">
        <v>0</v>
      </c>
      <c r="S341" s="72">
        <v>0</v>
      </c>
      <c r="T341" s="130">
        <f t="shared" si="89"/>
        <v>0</v>
      </c>
      <c r="U341" s="130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1025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IFERROR(__xludf.DUMMYFUNCTION("IMPORTRANGE(""https://docs.google.com/spreadsheets/d/1eHaY18a8A9IcSdp1K8H6x8fbOy06t2VsZHhMHf-1x7Y/edit?usp=sharing"",""แผน!EK56"")"),940)</f>
        <v>940</v>
      </c>
      <c r="J344" s="291">
        <f ca="1">IFERROR(__xludf.DUMMYFUNCTION("IMPORTRANGE(""https://docs.google.com/spreadsheets/d/1awYsYK3VOup2i3Pq_Yjnu8DRu_mYwSBnCR2QPthd0rU/edit?usp=sharing"",""ศูนย์ยกเว้นโฉนด!D56"")"),1016)</f>
        <v>1016</v>
      </c>
      <c r="K344" s="72">
        <f ca="1">IF(I344&gt;0,J344*100/I344,0)</f>
        <v>108.08510638297872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IFERROR(__xludf.DUMMYFUNCTION("IMPORTRANGE(""https://docs.google.com/spreadsheets/d/1eHaY18a8A9IcSdp1K8H6x8fbOy06t2VsZHhMHf-1x7Y/edit?usp=sharing"",""แผน!EL56"")"),3)</f>
        <v>3</v>
      </c>
      <c r="J346" s="291">
        <f ca="1">IFERROR(__xludf.DUMMYFUNCTION("IMPORTRANGE(""https://docs.google.com/spreadsheets/d/1awYsYK3VOup2i3Pq_Yjnu8DRu_mYwSBnCR2QPthd0rU/edit?usp=sharing"",""ศูนย์รวม!E56"")"),7)</f>
        <v>7</v>
      </c>
      <c r="K346" s="72">
        <f ca="1">IF(I346&gt;0,J346*100/I346,0)</f>
        <v>233.33333333333334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IFERROR(__xludf.DUMMYFUNCTION("IMPORTRANGE(""https://docs.google.com/spreadsheets/d/1awYsYK3VOup2i3Pq_Yjnu8DRu_mYwSBnCR2QPthd0rU/edit?usp=sharing"",""ศูนย์ยกเว้นโฉนด!F56"")"),0)</f>
        <v>0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IFERROR(__xludf.DUMMYFUNCTION("IMPORTRANGE(""https://docs.google.com/spreadsheets/d/1awYsYK3VOup2i3Pq_Yjnu8DRu_mYwSBnCR2QPthd0rU/edit?usp=sharing"",""ศูนย์ยกเว้นโฉนด!G56"")"),9)</f>
        <v>9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IFERROR(__xludf.DUMMYFUNCTION("IMPORTRANGE(""https://docs.google.com/spreadsheets/d/1awYsYK3VOup2i3Pq_Yjnu8DRu_mYwSBnCR2QPthd0rU/edit?usp=sharing"",""ศูนย์ยกเว้นโฉนด!H56"")"),0)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>
        <f ca="1">J352+J353+J354</f>
        <v>6369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IFERROR(__xludf.DUMMYFUNCTION("IMPORTRANGE(""https://docs.google.com/spreadsheets/d/1awYsYK3VOup2i3Pq_Yjnu8DRu_mYwSBnCR2QPthd0rU/edit?usp=sharing"",""โฉนดM3!G56"")"),171)</f>
        <v>171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IFERROR(__xludf.DUMMYFUNCTION("IMPORTRANGE(""https://docs.google.com/spreadsheets/d/1awYsYK3VOup2i3Pq_Yjnu8DRu_mYwSBnCR2QPthd0rU/edit?usp=sharing"",""โฉนดM3!H56"")"),5925)</f>
        <v>5925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IFERROR(__xludf.DUMMYFUNCTION("IMPORTRANGE(""https://docs.google.com/spreadsheets/d/1awYsYK3VOup2i3Pq_Yjnu8DRu_mYwSBnCR2QPthd0rU/edit?usp=sharing"",""โฉนดM3!I56"")"),273)</f>
        <v>273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12">
        <f ca="1">L357+L358</f>
        <v>959950</v>
      </c>
      <c r="M356" s="213">
        <f ca="1">M357+M358</f>
        <v>1011950</v>
      </c>
      <c r="N356" s="213">
        <f ca="1">N357+N358</f>
        <v>740252.8</v>
      </c>
      <c r="O356" s="213">
        <f t="shared" ref="O356:O364" ca="1" si="93">IF(L356&gt;0,N356*100/L356,0)</f>
        <v>77.113683004323136</v>
      </c>
      <c r="P356" s="213">
        <f t="shared" ref="P356:P364" ca="1" si="94">IF(M356&gt;0,N356*100/M356,0)</f>
        <v>73.151124067394633</v>
      </c>
      <c r="Q356" s="213">
        <f>Q357+Q358</f>
        <v>0</v>
      </c>
      <c r="R356" s="213">
        <f>R357+R358</f>
        <v>0</v>
      </c>
      <c r="S356" s="213">
        <f>S357+S358</f>
        <v>0</v>
      </c>
      <c r="T356" s="213">
        <f t="shared" ref="T356:T364" si="95">IF(Q356&gt;0,S356*100/Q356,0)</f>
        <v>0</v>
      </c>
      <c r="U356" s="213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215">
        <f t="shared" ref="L357:N358" si="97">L360+L363</f>
        <v>0</v>
      </c>
      <c r="M357" s="131">
        <f t="shared" si="97"/>
        <v>0</v>
      </c>
      <c r="N357" s="131">
        <f t="shared" si="97"/>
        <v>0</v>
      </c>
      <c r="O357" s="131">
        <f t="shared" si="93"/>
        <v>0</v>
      </c>
      <c r="P357" s="131">
        <f t="shared" si="94"/>
        <v>0</v>
      </c>
      <c r="Q357" s="131">
        <f t="shared" ref="Q357:S358" si="98">Q360+Q363</f>
        <v>0</v>
      </c>
      <c r="R357" s="131">
        <f t="shared" si="98"/>
        <v>0</v>
      </c>
      <c r="S357" s="131">
        <f t="shared" si="98"/>
        <v>0</v>
      </c>
      <c r="T357" s="131">
        <f t="shared" si="95"/>
        <v>0</v>
      </c>
      <c r="U357" s="131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129">
        <f t="shared" ca="1" si="97"/>
        <v>959950</v>
      </c>
      <c r="M358" s="130">
        <f t="shared" ca="1" si="97"/>
        <v>1011950</v>
      </c>
      <c r="N358" s="130">
        <f t="shared" ca="1" si="97"/>
        <v>740252.8</v>
      </c>
      <c r="O358" s="130">
        <f t="shared" ca="1" si="93"/>
        <v>77.113683004323136</v>
      </c>
      <c r="P358" s="130">
        <f t="shared" ca="1" si="94"/>
        <v>73.151124067394633</v>
      </c>
      <c r="Q358" s="130">
        <f t="shared" si="98"/>
        <v>0</v>
      </c>
      <c r="R358" s="130">
        <f t="shared" si="98"/>
        <v>0</v>
      </c>
      <c r="S358" s="130">
        <f t="shared" si="98"/>
        <v>0</v>
      </c>
      <c r="T358" s="130">
        <f t="shared" si="95"/>
        <v>0</v>
      </c>
      <c r="U358" s="130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129">
        <f ca="1">L360+L361</f>
        <v>959950</v>
      </c>
      <c r="M359" s="130">
        <f ca="1">M360+M361</f>
        <v>1011950</v>
      </c>
      <c r="N359" s="130">
        <f ca="1">N360+N361</f>
        <v>740252.8</v>
      </c>
      <c r="O359" s="130">
        <f t="shared" ca="1" si="93"/>
        <v>77.113683004323136</v>
      </c>
      <c r="P359" s="130">
        <f t="shared" ca="1" si="94"/>
        <v>73.151124067394633</v>
      </c>
      <c r="Q359" s="130">
        <f>Q360+Q361</f>
        <v>0</v>
      </c>
      <c r="R359" s="130">
        <f>R360+R361</f>
        <v>0</v>
      </c>
      <c r="S359" s="130">
        <f>S360+S361</f>
        <v>0</v>
      </c>
      <c r="T359" s="130">
        <f t="shared" si="95"/>
        <v>0</v>
      </c>
      <c r="U359" s="130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131">
        <f t="shared" si="93"/>
        <v>0</v>
      </c>
      <c r="P360" s="131">
        <f t="shared" si="94"/>
        <v>0</v>
      </c>
      <c r="Q360" s="75">
        <v>0</v>
      </c>
      <c r="R360" s="75">
        <v>0</v>
      </c>
      <c r="S360" s="75">
        <v>0</v>
      </c>
      <c r="T360" s="131">
        <f t="shared" si="95"/>
        <v>0</v>
      </c>
      <c r="U360" s="131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129">
        <f ca="1">IFERROR(__xludf.DUMMYFUNCTION("IMPORTRANGE(""https://docs.google.com/spreadsheets/d/1-uDff_7J0KD5mKrp0Vvzr7lt3OU09vwQwhkpOPPYv2Y/edit?usp=sharing"",""งบพรบ!FC56"")"),959950)</f>
        <v>959950</v>
      </c>
      <c r="M361" s="130">
        <f ca="1">IFERROR(__xludf.DUMMYFUNCTION("IMPORTRANGE(""https://docs.google.com/spreadsheets/d/1-uDff_7J0KD5mKrp0Vvzr7lt3OU09vwQwhkpOPPYv2Y/edit?usp=sharing"",""งบพรบ!FH56"")"),1011950)</f>
        <v>1011950</v>
      </c>
      <c r="N361" s="130">
        <f ca="1">IFERROR(__xludf.DUMMYFUNCTION("IMPORTRANGE(""https://docs.google.com/spreadsheets/d/1-uDff_7J0KD5mKrp0Vvzr7lt3OU09vwQwhkpOPPYv2Y/edit?usp=sharing"",""งบพรบ!FJ56"")"),740252.8)</f>
        <v>740252.8</v>
      </c>
      <c r="O361" s="130">
        <f t="shared" ca="1" si="93"/>
        <v>77.113683004323136</v>
      </c>
      <c r="P361" s="130">
        <f t="shared" ca="1" si="94"/>
        <v>73.151124067394633</v>
      </c>
      <c r="Q361" s="72">
        <v>0</v>
      </c>
      <c r="R361" s="72">
        <v>0</v>
      </c>
      <c r="S361" s="72">
        <v>0</v>
      </c>
      <c r="T361" s="130">
        <f t="shared" si="95"/>
        <v>0</v>
      </c>
      <c r="U361" s="130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129">
        <f ca="1">L363+L364</f>
        <v>0</v>
      </c>
      <c r="M362" s="130">
        <f ca="1">M363+M364</f>
        <v>0</v>
      </c>
      <c r="N362" s="130">
        <f ca="1">N363+N364</f>
        <v>0</v>
      </c>
      <c r="O362" s="130">
        <f t="shared" ca="1" si="93"/>
        <v>0</v>
      </c>
      <c r="P362" s="130">
        <f t="shared" ca="1" si="94"/>
        <v>0</v>
      </c>
      <c r="Q362" s="130">
        <f>Q363+Q364</f>
        <v>0</v>
      </c>
      <c r="R362" s="130">
        <f>R363+R364</f>
        <v>0</v>
      </c>
      <c r="S362" s="130">
        <f>S363+S364</f>
        <v>0</v>
      </c>
      <c r="T362" s="130">
        <f t="shared" si="95"/>
        <v>0</v>
      </c>
      <c r="U362" s="130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131">
        <f t="shared" si="93"/>
        <v>0</v>
      </c>
      <c r="P363" s="131">
        <f t="shared" si="94"/>
        <v>0</v>
      </c>
      <c r="Q363" s="75">
        <v>0</v>
      </c>
      <c r="R363" s="75">
        <v>0</v>
      </c>
      <c r="S363" s="75">
        <v>0</v>
      </c>
      <c r="T363" s="131">
        <f t="shared" si="95"/>
        <v>0</v>
      </c>
      <c r="U363" s="131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129">
        <f ca="1">IFERROR(__xludf.DUMMYFUNCTION("IMPORTRANGE(""https://docs.google.com/spreadsheets/d/1-uDff_7J0KD5mKrp0Vvzr7lt3OU09vwQwhkpOPPYv2Y/edit?usp=sharing"",""งบพรบ!FF56"")"),0)</f>
        <v>0</v>
      </c>
      <c r="M364" s="130">
        <f ca="1">IFERROR(__xludf.DUMMYFUNCTION("IMPORTRANGE(""https://docs.google.com/spreadsheets/d/1-uDff_7J0KD5mKrp0Vvzr7lt3OU09vwQwhkpOPPYv2Y/edit?usp=sharing"",""งบพรบ!FI56"")"),0)</f>
        <v>0</v>
      </c>
      <c r="N364" s="130">
        <f ca="1">IFERROR(__xludf.DUMMYFUNCTION("IMPORTRANGE(""https://docs.google.com/spreadsheets/d/1-uDff_7J0KD5mKrp0Vvzr7lt3OU09vwQwhkpOPPYv2Y/edit?usp=sharing"",""งบพรบ!FK56"")"),0)</f>
        <v>0</v>
      </c>
      <c r="O364" s="130">
        <f t="shared" ca="1" si="93"/>
        <v>0</v>
      </c>
      <c r="P364" s="130">
        <f t="shared" ca="1" si="94"/>
        <v>0</v>
      </c>
      <c r="Q364" s="72">
        <v>0</v>
      </c>
      <c r="R364" s="72">
        <v>0</v>
      </c>
      <c r="S364" s="72">
        <v>0</v>
      </c>
      <c r="T364" s="130">
        <f t="shared" si="95"/>
        <v>0</v>
      </c>
      <c r="U364" s="130">
        <f t="shared" si="96"/>
        <v>0</v>
      </c>
    </row>
    <row r="365" spans="1:21" ht="19.5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420</v>
      </c>
      <c r="J365" s="538">
        <f ca="1">J371</f>
        <v>351</v>
      </c>
      <c r="K365" s="539">
        <f ca="1">IF(I365&gt;0,J365*100/I365,0)</f>
        <v>83.571428571428569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IFERROR(__xludf.DUMMYFUNCTION("IMPORTRANGE(""https://docs.google.com/spreadsheets/d/1tdoBKaGub7dwA3U6UFTqxio9LNnvDCQjHKmttSEBsFQ/edit?usp=sharing"",""จัดที่ดิน!AB56"")"),313)</f>
        <v>313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IFERROR(__xludf.DUMMYFUNCTION("IMPORTRANGE(""https://docs.google.com/spreadsheets/d/1eHaY18a8A9IcSdp1K8H6x8fbOy06t2VsZHhMHf-1x7Y/edit?usp=sharing"",""แผน!EW56"")"),2000)</f>
        <v>2000</v>
      </c>
      <c r="J368" s="879">
        <f ca="1">IFERROR(__xludf.DUMMYFUNCTION("IMPORTRANGE(""https://docs.google.com/spreadsheets/d/1tdoBKaGub7dwA3U6UFTqxio9LNnvDCQjHKmttSEBsFQ/edit?usp=sharing"",""จัดที่ดิน!AC56"")"),3180.2)</f>
        <v>3180.2</v>
      </c>
      <c r="K368" s="72">
        <f t="shared" ca="1" si="99"/>
        <v>159.01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IFERROR(__xludf.DUMMYFUNCTION("IMPORTRANGE(""https://docs.google.com/spreadsheets/d/1eHaY18a8A9IcSdp1K8H6x8fbOy06t2VsZHhMHf-1x7Y/edit?usp=sharing"",""แผน!EX56"")"),420)</f>
        <v>420</v>
      </c>
      <c r="J369" s="291">
        <f ca="1">IFERROR(__xludf.DUMMYFUNCTION("IMPORTRANGE(""https://docs.google.com/spreadsheets/d/1tdoBKaGub7dwA3U6UFTqxio9LNnvDCQjHKmttSEBsFQ/edit?usp=sharing"",""จัดที่ดิน!AD56"")"),401)</f>
        <v>401</v>
      </c>
      <c r="K369" s="72">
        <f t="shared" ca="1" si="99"/>
        <v>95.476190476190482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IFERROR(__xludf.DUMMYFUNCTION("IMPORTRANGE(""https://docs.google.com/spreadsheets/d/1tdoBKaGub7dwA3U6UFTqxio9LNnvDCQjHKmttSEBsFQ/edit?usp=sharing"",""จัดที่ดิน!AE56"")"),6321.72)</f>
        <v>6321.72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IFERROR(__xludf.DUMMYFUNCTION("IMPORTRANGE(""https://docs.google.com/spreadsheets/d/1eHaY18a8A9IcSdp1K8H6x8fbOy06t2VsZHhMHf-1x7Y/edit?usp=sharing"",""แผน!EY56"")"),420)</f>
        <v>420</v>
      </c>
      <c r="J371" s="291">
        <f ca="1">IFERROR(__xludf.DUMMYFUNCTION("IMPORTRANGE(""https://docs.google.com/spreadsheets/d/1tdoBKaGub7dwA3U6UFTqxio9LNnvDCQjHKmttSEBsFQ/edit?usp=sharing"",""จัดที่ดิน!AF56"")"),351)</f>
        <v>351</v>
      </c>
      <c r="K371" s="72">
        <f t="shared" ca="1" si="99"/>
        <v>83.571428571428569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IFERROR(__xludf.DUMMYFUNCTION("IMPORTRANGE(""https://docs.google.com/spreadsheets/d/1tdoBKaGub7dwA3U6UFTqxio9LNnvDCQjHKmttSEBsFQ/edit?usp=sharing"",""จัดที่ดิน!AG56"")"),5180.48)</f>
        <v>5180.4799999999996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12">
        <f ca="1">L376+L377</f>
        <v>39800</v>
      </c>
      <c r="M375" s="213">
        <f ca="1">M376+M377</f>
        <v>39800</v>
      </c>
      <c r="N375" s="213">
        <f ca="1">N376+N377</f>
        <v>11700</v>
      </c>
      <c r="O375" s="213">
        <f t="shared" ref="O375:O383" ca="1" si="100">IF(L375&gt;0,N375*100/L375,0)</f>
        <v>29.396984924623116</v>
      </c>
      <c r="P375" s="213">
        <f t="shared" ref="P375:P383" ca="1" si="101">IF(M375&gt;0,N375*100/M375,0)</f>
        <v>29.396984924623116</v>
      </c>
      <c r="Q375" s="213">
        <f ca="1">Q376+Q377</f>
        <v>62500</v>
      </c>
      <c r="R375" s="213">
        <f ca="1">R376+R377</f>
        <v>62500</v>
      </c>
      <c r="S375" s="213">
        <f ca="1">S376+S377</f>
        <v>0</v>
      </c>
      <c r="T375" s="213">
        <f t="shared" ref="T375:T383" ca="1" si="102">IF(Q375&gt;0,S375*100/Q375,0)</f>
        <v>0</v>
      </c>
      <c r="U375" s="213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215">
        <f t="shared" ref="L376:N377" si="104">L379+L382</f>
        <v>0</v>
      </c>
      <c r="M376" s="131">
        <f t="shared" si="104"/>
        <v>0</v>
      </c>
      <c r="N376" s="131">
        <f t="shared" si="104"/>
        <v>0</v>
      </c>
      <c r="O376" s="131">
        <f t="shared" si="100"/>
        <v>0</v>
      </c>
      <c r="P376" s="131">
        <f t="shared" si="101"/>
        <v>0</v>
      </c>
      <c r="Q376" s="131">
        <f t="shared" ref="Q376:S377" si="105">Q379+Q382</f>
        <v>0</v>
      </c>
      <c r="R376" s="131">
        <f t="shared" si="105"/>
        <v>0</v>
      </c>
      <c r="S376" s="131">
        <f t="shared" si="105"/>
        <v>0</v>
      </c>
      <c r="T376" s="131">
        <f t="shared" si="102"/>
        <v>0</v>
      </c>
      <c r="U376" s="131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129">
        <f t="shared" ca="1" si="104"/>
        <v>39800</v>
      </c>
      <c r="M377" s="130">
        <f t="shared" ca="1" si="104"/>
        <v>39800</v>
      </c>
      <c r="N377" s="130">
        <f t="shared" ca="1" si="104"/>
        <v>11700</v>
      </c>
      <c r="O377" s="130">
        <f t="shared" ca="1" si="100"/>
        <v>29.396984924623116</v>
      </c>
      <c r="P377" s="130">
        <f t="shared" ca="1" si="101"/>
        <v>29.396984924623116</v>
      </c>
      <c r="Q377" s="130">
        <f t="shared" ca="1" si="105"/>
        <v>62500</v>
      </c>
      <c r="R377" s="130">
        <f t="shared" ca="1" si="105"/>
        <v>62500</v>
      </c>
      <c r="S377" s="130">
        <f t="shared" ca="1" si="105"/>
        <v>0</v>
      </c>
      <c r="T377" s="130">
        <f t="shared" ca="1" si="102"/>
        <v>0</v>
      </c>
      <c r="U377" s="130">
        <f t="shared" ca="1" si="103"/>
        <v>0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129">
        <f ca="1">L379+L380</f>
        <v>39800</v>
      </c>
      <c r="M378" s="130">
        <f ca="1">M379+M380</f>
        <v>39800</v>
      </c>
      <c r="N378" s="130">
        <f ca="1">N379+N380</f>
        <v>11700</v>
      </c>
      <c r="O378" s="130">
        <f t="shared" ca="1" si="100"/>
        <v>29.396984924623116</v>
      </c>
      <c r="P378" s="130">
        <f t="shared" ca="1" si="101"/>
        <v>29.396984924623116</v>
      </c>
      <c r="Q378" s="130">
        <f ca="1">Q379+Q380</f>
        <v>62500</v>
      </c>
      <c r="R378" s="130">
        <f ca="1">R379+R380</f>
        <v>62500</v>
      </c>
      <c r="S378" s="130">
        <f ca="1">S379+S380</f>
        <v>0</v>
      </c>
      <c r="T378" s="130">
        <f t="shared" ca="1" si="102"/>
        <v>0</v>
      </c>
      <c r="U378" s="130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131">
        <f t="shared" si="100"/>
        <v>0</v>
      </c>
      <c r="P379" s="131">
        <f t="shared" si="101"/>
        <v>0</v>
      </c>
      <c r="Q379" s="75">
        <v>0</v>
      </c>
      <c r="R379" s="75">
        <v>0</v>
      </c>
      <c r="S379" s="75">
        <v>0</v>
      </c>
      <c r="T379" s="131">
        <f t="shared" si="102"/>
        <v>0</v>
      </c>
      <c r="U379" s="131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IFERROR(__xludf.DUMMYFUNCTION("IMPORTRANGE(""https://docs.google.com/spreadsheets/d/1-uDff_7J0KD5mKrp0Vvzr7lt3OU09vwQwhkpOPPYv2Y/edit?usp=sharing"",""งบพรบ!IE56"")"),39800)</f>
        <v>39800</v>
      </c>
      <c r="M380" s="72">
        <f ca="1">IFERROR(__xludf.DUMMYFUNCTION("IMPORTRANGE(""https://docs.google.com/spreadsheets/d/1-uDff_7J0KD5mKrp0Vvzr7lt3OU09vwQwhkpOPPYv2Y/edit?usp=sharing"",""งบพรบ!IJ56"")"),39800)</f>
        <v>39800</v>
      </c>
      <c r="N380" s="72">
        <f ca="1">IFERROR(__xludf.DUMMYFUNCTION("IMPORTRANGE(""https://docs.google.com/spreadsheets/d/1-uDff_7J0KD5mKrp0Vvzr7lt3OU09vwQwhkpOPPYv2Y/edit?usp=sharing"",""งบพรบ!IL56"")"),11700)</f>
        <v>11700</v>
      </c>
      <c r="O380" s="130">
        <f t="shared" ca="1" si="100"/>
        <v>29.396984924623116</v>
      </c>
      <c r="P380" s="130">
        <f t="shared" ca="1" si="101"/>
        <v>29.396984924623116</v>
      </c>
      <c r="Q380" s="130">
        <f ca="1">IFERROR(__xludf.DUMMYFUNCTION("IMPORTRANGE(""https://docs.google.com/spreadsheets/d/1ItG2mGa2ceCfYo0BwxsXqNm01IGEUdYcSSLTEv9YCik/edit?usp=sharing"",""เบิกจ่ายกองทุน!BW56"")"),62500)</f>
        <v>62500</v>
      </c>
      <c r="R380" s="130">
        <f ca="1">IFERROR(__xludf.DUMMYFUNCTION("IMPORTRANGE(""https://docs.google.com/spreadsheets/d/1ItG2mGa2ceCfYo0BwxsXqNm01IGEUdYcSSLTEv9YCik/edit?usp=sharing"",""เบิกจ่ายกองทุน!BX56"")"),62500)</f>
        <v>62500</v>
      </c>
      <c r="S380" s="130">
        <f ca="1">IFERROR(__xludf.DUMMYFUNCTION("IMPORTRANGE(""https://docs.google.com/spreadsheets/d/1ItG2mGa2ceCfYo0BwxsXqNm01IGEUdYcSSLTEv9YCik/edit?usp=sharing"",""เบิกจ่ายกองทุน!BY56"")"),0)</f>
        <v>0</v>
      </c>
      <c r="T380" s="130">
        <f t="shared" ca="1" si="102"/>
        <v>0</v>
      </c>
      <c r="U380" s="130">
        <f t="shared" ca="1" si="103"/>
        <v>0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129">
        <f ca="1">L382+L383</f>
        <v>0</v>
      </c>
      <c r="M381" s="130">
        <f ca="1">M382+M383</f>
        <v>0</v>
      </c>
      <c r="N381" s="130">
        <f ca="1">N382+N383</f>
        <v>0</v>
      </c>
      <c r="O381" s="130">
        <f t="shared" ca="1" si="100"/>
        <v>0</v>
      </c>
      <c r="P381" s="130">
        <f t="shared" ca="1" si="101"/>
        <v>0</v>
      </c>
      <c r="Q381" s="130">
        <f>Q382+Q383</f>
        <v>0</v>
      </c>
      <c r="R381" s="130">
        <f>R382+R383</f>
        <v>0</v>
      </c>
      <c r="S381" s="130">
        <f>S382+S383</f>
        <v>0</v>
      </c>
      <c r="T381" s="130">
        <f t="shared" si="102"/>
        <v>0</v>
      </c>
      <c r="U381" s="130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131">
        <f t="shared" si="100"/>
        <v>0</v>
      </c>
      <c r="P382" s="131">
        <f t="shared" si="101"/>
        <v>0</v>
      </c>
      <c r="Q382" s="75">
        <v>0</v>
      </c>
      <c r="R382" s="75">
        <v>0</v>
      </c>
      <c r="S382" s="75">
        <v>0</v>
      </c>
      <c r="T382" s="131">
        <f t="shared" si="102"/>
        <v>0</v>
      </c>
      <c r="U382" s="131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IFERROR(__xludf.DUMMYFUNCTION("IMPORTRANGE(""https://docs.google.com/spreadsheets/d/1-uDff_7J0KD5mKrp0Vvzr7lt3OU09vwQwhkpOPPYv2Y/edit?usp=sharing"",""งบพรบ!IH56"")"),0)</f>
        <v>0</v>
      </c>
      <c r="M383" s="72">
        <f ca="1">IFERROR(__xludf.DUMMYFUNCTION("IMPORTRANGE(""https://docs.google.com/spreadsheets/d/1-uDff_7J0KD5mKrp0Vvzr7lt3OU09vwQwhkpOPPYv2Y/edit?usp=sharing"",""งบพรบ!IK56"")"),0)</f>
        <v>0</v>
      </c>
      <c r="N383" s="72">
        <f ca="1">IFERROR(__xludf.DUMMYFUNCTION("IMPORTRANGE(""https://docs.google.com/spreadsheets/d/1-uDff_7J0KD5mKrp0Vvzr7lt3OU09vwQwhkpOPPYv2Y/edit?usp=sharing"",""งบพรบ!IM56"")"),0)</f>
        <v>0</v>
      </c>
      <c r="O383" s="130">
        <f t="shared" ca="1" si="100"/>
        <v>0</v>
      </c>
      <c r="P383" s="130">
        <f t="shared" ca="1" si="101"/>
        <v>0</v>
      </c>
      <c r="Q383" s="72">
        <v>0</v>
      </c>
      <c r="R383" s="72">
        <v>0</v>
      </c>
      <c r="S383" s="72">
        <v>0</v>
      </c>
      <c r="T383" s="130">
        <f t="shared" si="102"/>
        <v>0</v>
      </c>
      <c r="U383" s="130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IFERROR(__xludf.DUMMYFUNCTION("IMPORTRANGE(""https://docs.google.com/spreadsheets/d/1w5rwWK1o49a35cNtocGL0gxDwhFSTZUQu90BiH9_zqM/edit?usp=sharing"",""RTK!H56"")"),0)</f>
        <v>0</v>
      </c>
      <c r="K385" s="72">
        <f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IFERROR(__xludf.DUMMYFUNCTION("IMPORTRANGE(""https://docs.google.com/spreadsheets/d/1w5rwWK1o49a35cNtocGL0gxDwhFSTZUQu90BiH9_zqM/edit?usp=sharing"",""RTK!G56"")"),1000)</f>
        <v>1000</v>
      </c>
      <c r="J386" s="291">
        <f ca="1">IFERROR(__xludf.DUMMYFUNCTION("IMPORTRANGE(""https://docs.google.com/spreadsheets/d/1w5rwWK1o49a35cNtocGL0gxDwhFSTZUQu90BiH9_zqM/edit?usp=sharing"",""RTK!I56"")"),0)</f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IFERROR(__xludf.DUMMYFUNCTION("IMPORTRANGE(""https://docs.google.com/spreadsheets/d/1w5rwWK1o49a35cNtocGL0gxDwhFSTZUQu90BiH9_zqM/edit?usp=sharing"",""RTK!L56"")"),0)</f>
        <v>0</v>
      </c>
      <c r="K387" s="86">
        <f>IF(I387&gt;0,J387*100/I387,0)</f>
        <v>0</v>
      </c>
      <c r="L387" s="519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IFERROR(__xludf.DUMMYFUNCTION("IMPORTRANGE(""https://docs.google.com/spreadsheets/d/1w5rwWK1o49a35cNtocGL0gxDwhFSTZUQu90BiH9_zqM/edit?usp=sharing"",""RTK!K56"")"),0)</f>
        <v>0</v>
      </c>
      <c r="J388" s="237">
        <f ca="1">IFERROR(__xludf.DUMMYFUNCTION("IMPORTRANGE(""https://docs.google.com/spreadsheets/d/1w5rwWK1o49a35cNtocGL0gxDwhFSTZUQu90BiH9_zqM/edit?usp=sharing"",""RTK!M56"")"),0)</f>
        <v>0</v>
      </c>
      <c r="K388" s="86">
        <f ca="1">IF(I388&gt;0,J388*100/I388,0)</f>
        <v>0</v>
      </c>
      <c r="L388" s="519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12">
        <f>L393+L394</f>
        <v>0</v>
      </c>
      <c r="M392" s="213">
        <f>M393+M394</f>
        <v>0</v>
      </c>
      <c r="N392" s="213">
        <f>N393+N394</f>
        <v>0</v>
      </c>
      <c r="O392" s="213">
        <f t="shared" ref="O392:O400" si="106">IF(L392&gt;0,N392*100/L392,0)</f>
        <v>0</v>
      </c>
      <c r="P392" s="213">
        <f t="shared" ref="P392:P400" si="107">IF(M392&gt;0,N392*100/M392,0)</f>
        <v>0</v>
      </c>
      <c r="Q392" s="213">
        <f ca="1">Q393+Q394</f>
        <v>0</v>
      </c>
      <c r="R392" s="213">
        <f ca="1">R393+R394</f>
        <v>0</v>
      </c>
      <c r="S392" s="213">
        <f ca="1">S393+S394</f>
        <v>0</v>
      </c>
      <c r="T392" s="213">
        <f t="shared" ref="T392:T400" ca="1" si="108">IF(Q392&gt;0,S392*100/Q392,0)</f>
        <v>0</v>
      </c>
      <c r="U392" s="213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215">
        <f t="shared" ref="L393:N394" si="110">L396+L399</f>
        <v>0</v>
      </c>
      <c r="M393" s="131">
        <f t="shared" si="110"/>
        <v>0</v>
      </c>
      <c r="N393" s="131">
        <f t="shared" si="110"/>
        <v>0</v>
      </c>
      <c r="O393" s="131">
        <f t="shared" si="106"/>
        <v>0</v>
      </c>
      <c r="P393" s="131">
        <f t="shared" si="107"/>
        <v>0</v>
      </c>
      <c r="Q393" s="131">
        <f t="shared" ref="Q393:S394" si="111">Q396+Q399</f>
        <v>0</v>
      </c>
      <c r="R393" s="131">
        <f t="shared" si="111"/>
        <v>0</v>
      </c>
      <c r="S393" s="131">
        <f t="shared" si="111"/>
        <v>0</v>
      </c>
      <c r="T393" s="131">
        <f t="shared" si="108"/>
        <v>0</v>
      </c>
      <c r="U393" s="131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129">
        <f t="shared" si="110"/>
        <v>0</v>
      </c>
      <c r="M394" s="130">
        <f t="shared" si="110"/>
        <v>0</v>
      </c>
      <c r="N394" s="130">
        <f t="shared" si="110"/>
        <v>0</v>
      </c>
      <c r="O394" s="130">
        <f t="shared" si="106"/>
        <v>0</v>
      </c>
      <c r="P394" s="130">
        <f t="shared" si="107"/>
        <v>0</v>
      </c>
      <c r="Q394" s="130">
        <f t="shared" ca="1" si="111"/>
        <v>0</v>
      </c>
      <c r="R394" s="130">
        <f t="shared" ca="1" si="111"/>
        <v>0</v>
      </c>
      <c r="S394" s="130">
        <f t="shared" ca="1" si="111"/>
        <v>0</v>
      </c>
      <c r="T394" s="130">
        <f t="shared" ca="1" si="108"/>
        <v>0</v>
      </c>
      <c r="U394" s="130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129">
        <f>L396+L397</f>
        <v>0</v>
      </c>
      <c r="M395" s="130">
        <f>M396+M397</f>
        <v>0</v>
      </c>
      <c r="N395" s="130">
        <f>N396+N397</f>
        <v>0</v>
      </c>
      <c r="O395" s="130">
        <f t="shared" si="106"/>
        <v>0</v>
      </c>
      <c r="P395" s="130">
        <f t="shared" si="107"/>
        <v>0</v>
      </c>
      <c r="Q395" s="130">
        <f ca="1">Q396+Q397</f>
        <v>0</v>
      </c>
      <c r="R395" s="130">
        <f ca="1">R396+R397</f>
        <v>0</v>
      </c>
      <c r="S395" s="130">
        <f ca="1">S396+S397</f>
        <v>0</v>
      </c>
      <c r="T395" s="130">
        <f t="shared" ca="1" si="108"/>
        <v>0</v>
      </c>
      <c r="U395" s="130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131">
        <f t="shared" si="106"/>
        <v>0</v>
      </c>
      <c r="P396" s="131">
        <f t="shared" si="107"/>
        <v>0</v>
      </c>
      <c r="Q396" s="75">
        <v>0</v>
      </c>
      <c r="R396" s="75">
        <v>0</v>
      </c>
      <c r="S396" s="75">
        <v>0</v>
      </c>
      <c r="T396" s="131">
        <f t="shared" si="108"/>
        <v>0</v>
      </c>
      <c r="U396" s="131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130">
        <f t="shared" si="106"/>
        <v>0</v>
      </c>
      <c r="P397" s="130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IFERROR(__xludf.DUMMYFUNCTION("IMPORTRANGE(""https://docs.google.com/spreadsheets/d/1ItG2mGa2ceCfYo0BwxsXqNm01IGEUdYcSSLTEv9YCik/edit?usp=sharing"",""เบิกจ่ายกองทุน!CL56"")"),0)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IFERROR(__xludf.DUMMYFUNCTION("IMPORTRANGE(""https://docs.google.com/spreadsheets/d/1ItG2mGa2ceCfYo0BwxsXqNm01IGEUdYcSSLTEv9YCik/edit?usp=sharing"",""เบิกจ่ายกองทุน!CM56"")"),0)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IFERROR(__xludf.DUMMYFUNCTION("IMPORTRANGE(""https://docs.google.com/spreadsheets/d/1ItG2mGa2ceCfYo0BwxsXqNm01IGEUdYcSSLTEv9YCik/edit?usp=sharing"",""เบิกจ่ายกองทุน!CN56"")"),0)</f>
        <v>0</v>
      </c>
      <c r="T397" s="130">
        <f t="shared" ca="1" si="108"/>
        <v>0</v>
      </c>
      <c r="U397" s="130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129">
        <f>L399+L400</f>
        <v>0</v>
      </c>
      <c r="M398" s="130">
        <f>M399+M400</f>
        <v>0</v>
      </c>
      <c r="N398" s="130">
        <f>N399+N400</f>
        <v>0</v>
      </c>
      <c r="O398" s="130">
        <f t="shared" si="106"/>
        <v>0</v>
      </c>
      <c r="P398" s="130">
        <f t="shared" si="107"/>
        <v>0</v>
      </c>
      <c r="Q398" s="130">
        <f>Q399+Q400</f>
        <v>0</v>
      </c>
      <c r="R398" s="130">
        <f>R399+R400</f>
        <v>0</v>
      </c>
      <c r="S398" s="130">
        <f>S399+S400</f>
        <v>0</v>
      </c>
      <c r="T398" s="130">
        <f t="shared" si="108"/>
        <v>0</v>
      </c>
      <c r="U398" s="130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131">
        <f t="shared" si="106"/>
        <v>0</v>
      </c>
      <c r="P399" s="131">
        <f t="shared" si="107"/>
        <v>0</v>
      </c>
      <c r="Q399" s="75">
        <v>0</v>
      </c>
      <c r="R399" s="75">
        <v>0</v>
      </c>
      <c r="S399" s="75">
        <v>0</v>
      </c>
      <c r="T399" s="131">
        <f t="shared" si="108"/>
        <v>0</v>
      </c>
      <c r="U399" s="131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130">
        <f t="shared" si="106"/>
        <v>0</v>
      </c>
      <c r="P400" s="130">
        <f t="shared" si="107"/>
        <v>0</v>
      </c>
      <c r="Q400" s="72">
        <v>0</v>
      </c>
      <c r="R400" s="72">
        <v>0</v>
      </c>
      <c r="S400" s="72">
        <v>0</v>
      </c>
      <c r="T400" s="130">
        <f t="shared" si="108"/>
        <v>0</v>
      </c>
      <c r="U400" s="130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212">
        <f ca="1">L414+L415</f>
        <v>19660</v>
      </c>
      <c r="M413" s="213">
        <f ca="1">M414+M415</f>
        <v>19660</v>
      </c>
      <c r="N413" s="213">
        <f ca="1">N414+N415</f>
        <v>0</v>
      </c>
      <c r="O413" s="213">
        <f t="shared" ref="O413:O421" ca="1" si="112">IF(L413&gt;0,N413*100/L413,0)</f>
        <v>0</v>
      </c>
      <c r="P413" s="213">
        <f t="shared" ref="P413:P421" ca="1" si="113">IF(M413&gt;0,N413*100/M413,0)</f>
        <v>0</v>
      </c>
      <c r="Q413" s="213">
        <f ca="1">Q414+Q415</f>
        <v>16890</v>
      </c>
      <c r="R413" s="213">
        <f ca="1">R414+R415</f>
        <v>16890</v>
      </c>
      <c r="S413" s="213">
        <f ca="1">S414+S415</f>
        <v>0</v>
      </c>
      <c r="T413" s="213">
        <f t="shared" ref="T413:T421" ca="1" si="114">IF(Q413&gt;0,S413*100/Q413,0)</f>
        <v>0</v>
      </c>
      <c r="U413" s="213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215">
        <f t="shared" ref="L414:N415" si="116">L417+L420</f>
        <v>0</v>
      </c>
      <c r="M414" s="131">
        <f t="shared" si="116"/>
        <v>0</v>
      </c>
      <c r="N414" s="131">
        <f t="shared" si="116"/>
        <v>0</v>
      </c>
      <c r="O414" s="131">
        <f t="shared" si="112"/>
        <v>0</v>
      </c>
      <c r="P414" s="131">
        <f t="shared" si="113"/>
        <v>0</v>
      </c>
      <c r="Q414" s="131">
        <f t="shared" ref="Q414:S415" si="117">Q417+Q420</f>
        <v>0</v>
      </c>
      <c r="R414" s="131">
        <f t="shared" si="117"/>
        <v>0</v>
      </c>
      <c r="S414" s="131">
        <f t="shared" si="117"/>
        <v>0</v>
      </c>
      <c r="T414" s="131">
        <f t="shared" si="114"/>
        <v>0</v>
      </c>
      <c r="U414" s="131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129">
        <f t="shared" ca="1" si="116"/>
        <v>19660</v>
      </c>
      <c r="M415" s="130">
        <f t="shared" ca="1" si="116"/>
        <v>19660</v>
      </c>
      <c r="N415" s="130">
        <f t="shared" ca="1" si="116"/>
        <v>0</v>
      </c>
      <c r="O415" s="130">
        <f t="shared" ca="1" si="112"/>
        <v>0</v>
      </c>
      <c r="P415" s="130">
        <f t="shared" ca="1" si="113"/>
        <v>0</v>
      </c>
      <c r="Q415" s="130">
        <f t="shared" ca="1" si="117"/>
        <v>16890</v>
      </c>
      <c r="R415" s="130">
        <f t="shared" ca="1" si="117"/>
        <v>16890</v>
      </c>
      <c r="S415" s="130">
        <f t="shared" ca="1" si="117"/>
        <v>0</v>
      </c>
      <c r="T415" s="130">
        <f t="shared" ca="1" si="114"/>
        <v>0</v>
      </c>
      <c r="U415" s="130">
        <f t="shared" ca="1" si="115"/>
        <v>0</v>
      </c>
    </row>
    <row r="416" spans="1:21" ht="18.75" x14ac:dyDescent="0.25">
      <c r="A416" s="255"/>
      <c r="B416" s="267"/>
      <c r="C416" s="267"/>
      <c r="D416" s="852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129">
        <f ca="1">L417+L418</f>
        <v>19660</v>
      </c>
      <c r="M416" s="130">
        <f ca="1">M417+M418</f>
        <v>19660</v>
      </c>
      <c r="N416" s="130">
        <f ca="1">N417+N418</f>
        <v>0</v>
      </c>
      <c r="O416" s="130">
        <f t="shared" ca="1" si="112"/>
        <v>0</v>
      </c>
      <c r="P416" s="130">
        <f t="shared" ca="1" si="113"/>
        <v>0</v>
      </c>
      <c r="Q416" s="130">
        <f ca="1">Q417+Q418</f>
        <v>16890</v>
      </c>
      <c r="R416" s="130">
        <f ca="1">R417+R418</f>
        <v>16890</v>
      </c>
      <c r="S416" s="130">
        <f ca="1">S417+S418</f>
        <v>0</v>
      </c>
      <c r="T416" s="130">
        <f t="shared" ca="1" si="114"/>
        <v>0</v>
      </c>
      <c r="U416" s="130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131">
        <f t="shared" si="112"/>
        <v>0</v>
      </c>
      <c r="P417" s="131">
        <f t="shared" si="113"/>
        <v>0</v>
      </c>
      <c r="Q417" s="75">
        <v>0</v>
      </c>
      <c r="R417" s="75">
        <v>0</v>
      </c>
      <c r="S417" s="75">
        <v>0</v>
      </c>
      <c r="T417" s="131">
        <f t="shared" si="114"/>
        <v>0</v>
      </c>
      <c r="U417" s="131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IFERROR(__xludf.DUMMYFUNCTION("IMPORTRANGE(""https://docs.google.com/spreadsheets/d/1-uDff_7J0KD5mKrp0Vvzr7lt3OU09vwQwhkpOPPYv2Y/edit?usp=sharing"",""งบพรบ!IO56"")"),19660)</f>
        <v>19660</v>
      </c>
      <c r="M418" s="72">
        <f ca="1">IFERROR(__xludf.DUMMYFUNCTION("IMPORTRANGE(""https://docs.google.com/spreadsheets/d/1-uDff_7J0KD5mKrp0Vvzr7lt3OU09vwQwhkpOPPYv2Y/edit?usp=sharing"",""งบพรบ!IT56"")"),19660)</f>
        <v>19660</v>
      </c>
      <c r="N418" s="72">
        <f ca="1">IFERROR(__xludf.DUMMYFUNCTION("IMPORTRANGE(""https://docs.google.com/spreadsheets/d/1-uDff_7J0KD5mKrp0Vvzr7lt3OU09vwQwhkpOPPYv2Y/edit?usp=sharing"",""งบพรบ!IV56"")"),0)</f>
        <v>0</v>
      </c>
      <c r="O418" s="130">
        <f t="shared" ca="1" si="112"/>
        <v>0</v>
      </c>
      <c r="P418" s="130">
        <f t="shared" ca="1" si="113"/>
        <v>0</v>
      </c>
      <c r="Q418" s="130">
        <f ca="1">IFERROR(__xludf.DUMMYFUNCTION("IMPORTRANGE(""https://docs.google.com/spreadsheets/d/1ItG2mGa2ceCfYo0BwxsXqNm01IGEUdYcSSLTEv9YCik/edit?usp=sharing"",""เบิกจ่ายกองทุน!BZ56"")"),16890)</f>
        <v>16890</v>
      </c>
      <c r="R418" s="130">
        <f ca="1">IFERROR(__xludf.DUMMYFUNCTION("IMPORTRANGE(""https://docs.google.com/spreadsheets/d/1ItG2mGa2ceCfYo0BwxsXqNm01IGEUdYcSSLTEv9YCik/edit?usp=sharing"",""เบิกจ่ายกองทุน!CA56"")"),16890)</f>
        <v>16890</v>
      </c>
      <c r="S418" s="130">
        <f ca="1">IFERROR(__xludf.DUMMYFUNCTION("IMPORTRANGE(""https://docs.google.com/spreadsheets/d/1ItG2mGa2ceCfYo0BwxsXqNm01IGEUdYcSSLTEv9YCik/edit?usp=sharing"",""เบิกจ่ายกองทุน!CB56"")"),0)</f>
        <v>0</v>
      </c>
      <c r="T418" s="130">
        <f t="shared" ca="1" si="114"/>
        <v>0</v>
      </c>
      <c r="U418" s="130">
        <f t="shared" ca="1" si="115"/>
        <v>0</v>
      </c>
    </row>
    <row r="419" spans="1:21" ht="18.75" x14ac:dyDescent="0.25">
      <c r="A419" s="255"/>
      <c r="B419" s="267"/>
      <c r="C419" s="267"/>
      <c r="D419" s="852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129">
        <f ca="1">L420+L421</f>
        <v>0</v>
      </c>
      <c r="M419" s="130">
        <f ca="1">M420+M421</f>
        <v>0</v>
      </c>
      <c r="N419" s="130">
        <f ca="1">N420+N421</f>
        <v>0</v>
      </c>
      <c r="O419" s="130">
        <f t="shared" ca="1" si="112"/>
        <v>0</v>
      </c>
      <c r="P419" s="130">
        <f t="shared" ca="1" si="113"/>
        <v>0</v>
      </c>
      <c r="Q419" s="130">
        <f>Q420+Q421</f>
        <v>0</v>
      </c>
      <c r="R419" s="130">
        <f>R420+R421</f>
        <v>0</v>
      </c>
      <c r="S419" s="130">
        <f>S420+S421</f>
        <v>0</v>
      </c>
      <c r="T419" s="130">
        <f t="shared" si="114"/>
        <v>0</v>
      </c>
      <c r="U419" s="130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131">
        <f t="shared" si="112"/>
        <v>0</v>
      </c>
      <c r="P420" s="131">
        <f t="shared" si="113"/>
        <v>0</v>
      </c>
      <c r="Q420" s="75">
        <v>0</v>
      </c>
      <c r="R420" s="75">
        <v>0</v>
      </c>
      <c r="S420" s="75">
        <v>0</v>
      </c>
      <c r="T420" s="131">
        <f t="shared" si="114"/>
        <v>0</v>
      </c>
      <c r="U420" s="131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IFERROR(__xludf.DUMMYFUNCTION("IMPORTRANGE(""https://docs.google.com/spreadsheets/d/1-uDff_7J0KD5mKrp0Vvzr7lt3OU09vwQwhkpOPPYv2Y/edit?usp=sharing"",""งบพรบ!IR56"")"),0)</f>
        <v>0</v>
      </c>
      <c r="M421" s="72">
        <f ca="1">IFERROR(__xludf.DUMMYFUNCTION("IMPORTRANGE(""https://docs.google.com/spreadsheets/d/1-uDff_7J0KD5mKrp0Vvzr7lt3OU09vwQwhkpOPPYv2Y/edit?usp=sharing"",""งบพรบ!IU56"")"),0)</f>
        <v>0</v>
      </c>
      <c r="N421" s="72">
        <f ca="1">IFERROR(__xludf.DUMMYFUNCTION("IMPORTRANGE(""https://docs.google.com/spreadsheets/d/1-uDff_7J0KD5mKrp0Vvzr7lt3OU09vwQwhkpOPPYv2Y/edit?usp=sharing"",""งบพรบ!IW56"")"),0)</f>
        <v>0</v>
      </c>
      <c r="O421" s="130">
        <f t="shared" ca="1" si="112"/>
        <v>0</v>
      </c>
      <c r="P421" s="130">
        <f t="shared" ca="1" si="113"/>
        <v>0</v>
      </c>
      <c r="Q421" s="72">
        <v>0</v>
      </c>
      <c r="R421" s="72">
        <v>0</v>
      </c>
      <c r="S421" s="72">
        <v>0</v>
      </c>
      <c r="T421" s="130">
        <f t="shared" si="114"/>
        <v>0</v>
      </c>
      <c r="U421" s="130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IFERROR(__xludf.DUMMYFUNCTION("IMPORTRANGE(""https://docs.google.com/spreadsheets/d/1eHaY18a8A9IcSdp1K8H6x8fbOy06t2VsZHhMHf-1x7Y/edit?usp=sharing"",""แผน!HJ56"")"),0)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IFERROR(__xludf.DUMMYFUNCTION("IMPORTRANGE(""https://docs.google.com/spreadsheets/d/1eHaY18a8A9IcSdp1K8H6x8fbOy06t2VsZHhMHf-1x7Y/edit?usp=sharing"",""แผน!HK56"")"),0)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IFERROR(__xludf.DUMMYFUNCTION("IMPORTRANGE(""https://docs.google.com/spreadsheets/d/1eHaY18a8A9IcSdp1K8H6x8fbOy06t2VsZHhMHf-1x7Y/edit?usp=sharing"",""แผน!HJ56"")"),0)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IFERROR(__xludf.DUMMYFUNCTION("IMPORTRANGE(""https://docs.google.com/spreadsheets/d/1eHaY18a8A9IcSdp1K8H6x8fbOy06t2VsZHhMHf-1x7Y/edit?usp=sharing"",""แผน!HK56"")"),0)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IFERROR(__xludf.DUMMYFUNCTION("IMPORTRANGE(""https://docs.google.com/spreadsheets/d/1eHaY18a8A9IcSdp1K8H6x8fbOy06t2VsZHhMHf-1x7Y/edit?usp=sharing"",""แผน!HJ56"")"),0)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IFERROR(__xludf.DUMMYFUNCTION("IMPORTRANGE(""https://docs.google.com/spreadsheets/d/1eHaY18a8A9IcSdp1K8H6x8fbOy06t2VsZHhMHf-1x7Y/edit?usp=sharing"",""แผน!HK56"")"),0)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16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IFERROR(__xludf.DUMMYFUNCTION("IMPORTRANGE(""https://docs.google.com/spreadsheets/d/1eHaY18a8A9IcSdp1K8H6x8fbOy06t2VsZHhMHf-1x7Y/edit?usp=sharing"",""แผน!HL56"")"),16)</f>
        <v>16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IFERROR(__xludf.DUMMYFUNCTION("IMPORTRANGE(""https://docs.google.com/spreadsheets/d/1eHaY18a8A9IcSdp1K8H6x8fbOy06t2VsZHhMHf-1x7Y/edit?usp=sharing"",""แผน!HM56"")"),0)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50</v>
      </c>
      <c r="J492" s="595">
        <f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x14ac:dyDescent="0.3">
      <c r="A493" s="255"/>
      <c r="B493" s="267"/>
      <c r="C493" s="668" t="s">
        <v>18</v>
      </c>
      <c r="D493" s="1440" t="s">
        <v>19</v>
      </c>
      <c r="E493" s="1401"/>
      <c r="F493" s="1401"/>
      <c r="G493" s="1402"/>
      <c r="H493" s="612" t="s">
        <v>14</v>
      </c>
      <c r="I493" s="261"/>
      <c r="J493" s="261"/>
      <c r="K493" s="85"/>
      <c r="L493" s="212">
        <f ca="1">L494+L495</f>
        <v>37700</v>
      </c>
      <c r="M493" s="213">
        <f ca="1">M494+M495</f>
        <v>37700</v>
      </c>
      <c r="N493" s="213">
        <f ca="1">N494+N495</f>
        <v>37700</v>
      </c>
      <c r="O493" s="213">
        <f t="shared" ref="O493:O501" ca="1" si="118">IF(L493&gt;0,N493*100/L493,0)</f>
        <v>100</v>
      </c>
      <c r="P493" s="213">
        <f t="shared" ref="P493:P501" ca="1" si="119">IF(M493&gt;0,N493*100/M493,0)</f>
        <v>100</v>
      </c>
      <c r="Q493" s="213">
        <f ca="1">Q494+Q495</f>
        <v>699850</v>
      </c>
      <c r="R493" s="213">
        <f ca="1">R494+R495</f>
        <v>707550</v>
      </c>
      <c r="S493" s="213">
        <f ca="1">S494+S495</f>
        <v>276968.8</v>
      </c>
      <c r="T493" s="213">
        <f t="shared" ref="T493:T501" ca="1" si="120">IF(Q493&gt;0,S493*100/Q493,0)</f>
        <v>39.575451882546261</v>
      </c>
      <c r="U493" s="213">
        <f t="shared" ref="U493:U501" ca="1" si="121">IF(R493&gt;0,S493*100/R493,0)</f>
        <v>39.144767154264713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215">
        <f t="shared" ref="L494:N495" si="122">L497+L500</f>
        <v>0</v>
      </c>
      <c r="M494" s="131">
        <f t="shared" si="122"/>
        <v>0</v>
      </c>
      <c r="N494" s="131">
        <f t="shared" si="122"/>
        <v>0</v>
      </c>
      <c r="O494" s="131">
        <f t="shared" si="118"/>
        <v>0</v>
      </c>
      <c r="P494" s="131">
        <f t="shared" si="119"/>
        <v>0</v>
      </c>
      <c r="Q494" s="131">
        <f t="shared" ref="Q494:S495" si="123">Q497+Q500</f>
        <v>0</v>
      </c>
      <c r="R494" s="131">
        <f t="shared" si="123"/>
        <v>0</v>
      </c>
      <c r="S494" s="131">
        <f t="shared" si="123"/>
        <v>0</v>
      </c>
      <c r="T494" s="131">
        <f t="shared" si="120"/>
        <v>0</v>
      </c>
      <c r="U494" s="131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129">
        <f t="shared" ca="1" si="122"/>
        <v>37700</v>
      </c>
      <c r="M495" s="130">
        <f t="shared" ca="1" si="122"/>
        <v>37700</v>
      </c>
      <c r="N495" s="130">
        <f t="shared" ca="1" si="122"/>
        <v>37700</v>
      </c>
      <c r="O495" s="130">
        <f t="shared" ca="1" si="118"/>
        <v>100</v>
      </c>
      <c r="P495" s="130">
        <f t="shared" ca="1" si="119"/>
        <v>100</v>
      </c>
      <c r="Q495" s="130">
        <f t="shared" ca="1" si="123"/>
        <v>699850</v>
      </c>
      <c r="R495" s="130">
        <f t="shared" ca="1" si="123"/>
        <v>707550</v>
      </c>
      <c r="S495" s="130">
        <f t="shared" ca="1" si="123"/>
        <v>276968.8</v>
      </c>
      <c r="T495" s="130">
        <f t="shared" ca="1" si="120"/>
        <v>39.575451882546261</v>
      </c>
      <c r="U495" s="130">
        <f t="shared" ca="1" si="121"/>
        <v>39.144767154264713</v>
      </c>
    </row>
    <row r="496" spans="1:21" ht="18.75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129">
        <f ca="1">L497+L498</f>
        <v>37700</v>
      </c>
      <c r="M496" s="130">
        <f ca="1">M497+M498</f>
        <v>37700</v>
      </c>
      <c r="N496" s="130">
        <f ca="1">N497+N498</f>
        <v>37700</v>
      </c>
      <c r="O496" s="130">
        <f t="shared" ca="1" si="118"/>
        <v>100</v>
      </c>
      <c r="P496" s="130">
        <f t="shared" ca="1" si="119"/>
        <v>100</v>
      </c>
      <c r="Q496" s="130">
        <f ca="1">Q497+Q498</f>
        <v>699850</v>
      </c>
      <c r="R496" s="130">
        <f ca="1">R497+R498</f>
        <v>707550</v>
      </c>
      <c r="S496" s="130">
        <f ca="1">S497+S498</f>
        <v>276968.8</v>
      </c>
      <c r="T496" s="130">
        <f t="shared" ca="1" si="120"/>
        <v>39.575451882546261</v>
      </c>
      <c r="U496" s="130">
        <f t="shared" ca="1" si="121"/>
        <v>39.144767154264713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131">
        <f t="shared" si="118"/>
        <v>0</v>
      </c>
      <c r="P497" s="131">
        <f t="shared" si="119"/>
        <v>0</v>
      </c>
      <c r="Q497" s="75">
        <v>0</v>
      </c>
      <c r="R497" s="75">
        <v>0</v>
      </c>
      <c r="S497" s="75">
        <v>0</v>
      </c>
      <c r="T497" s="131">
        <f t="shared" si="120"/>
        <v>0</v>
      </c>
      <c r="U497" s="131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IFERROR(__xludf.DUMMYFUNCTION("IMPORTRANGE(""https://docs.google.com/spreadsheets/d/1-uDff_7J0KD5mKrp0Vvzr7lt3OU09vwQwhkpOPPYv2Y/edit?usp=sharing"",""งบพรบ!HU56"")"),37700)</f>
        <v>37700</v>
      </c>
      <c r="M498" s="72">
        <f ca="1">IFERROR(__xludf.DUMMYFUNCTION("IMPORTRANGE(""https://docs.google.com/spreadsheets/d/1-uDff_7J0KD5mKrp0Vvzr7lt3OU09vwQwhkpOPPYv2Y/edit?usp=sharing"",""งบพรบ!HZ56"")"),37700)</f>
        <v>37700</v>
      </c>
      <c r="N498" s="72">
        <f ca="1">IFERROR(__xludf.DUMMYFUNCTION("IMPORTRANGE(""https://docs.google.com/spreadsheets/d/1-uDff_7J0KD5mKrp0Vvzr7lt3OU09vwQwhkpOPPYv2Y/edit?usp=sharing"",""งบพรบ!IB56"")"),37700)</f>
        <v>37700</v>
      </c>
      <c r="O498" s="130">
        <f t="shared" ca="1" si="118"/>
        <v>100</v>
      </c>
      <c r="P498" s="130">
        <f t="shared" ca="1" si="119"/>
        <v>100</v>
      </c>
      <c r="Q498" s="130">
        <f ca="1">IFERROR(__xludf.DUMMYFUNCTION("IMPORTRANGE(""https://docs.google.com/spreadsheets/d/1ItG2mGa2ceCfYo0BwxsXqNm01IGEUdYcSSLTEv9YCik/edit?usp=sharing"",""เบิกจ่ายกองทุน!AD56"")"),699850)</f>
        <v>699850</v>
      </c>
      <c r="R498" s="130">
        <f ca="1">IFERROR(__xludf.DUMMYFUNCTION("IMPORTRANGE(""https://docs.google.com/spreadsheets/d/1ItG2mGa2ceCfYo0BwxsXqNm01IGEUdYcSSLTEv9YCik/edit?usp=sharing"",""เบิกจ่ายกองทุน!AE56"")"),707550)</f>
        <v>707550</v>
      </c>
      <c r="S498" s="130">
        <f ca="1">IFERROR(__xludf.DUMMYFUNCTION("IMPORTRANGE(""https://docs.google.com/spreadsheets/d/1ItG2mGa2ceCfYo0BwxsXqNm01IGEUdYcSSLTEv9YCik/edit?usp=sharing"",""เบิกจ่ายกองทุน!AF56"")"),276968.8)</f>
        <v>276968.8</v>
      </c>
      <c r="T498" s="130">
        <f t="shared" ca="1" si="120"/>
        <v>39.575451882546261</v>
      </c>
      <c r="U498" s="130">
        <f t="shared" ca="1" si="121"/>
        <v>39.144767154264713</v>
      </c>
    </row>
    <row r="499" spans="1:21" ht="18.75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129">
        <f ca="1">L500+L501</f>
        <v>0</v>
      </c>
      <c r="M499" s="130">
        <f ca="1">M500+M501</f>
        <v>0</v>
      </c>
      <c r="N499" s="130">
        <f ca="1">N500+N501</f>
        <v>0</v>
      </c>
      <c r="O499" s="130">
        <f t="shared" ca="1" si="118"/>
        <v>0</v>
      </c>
      <c r="P499" s="130">
        <f t="shared" ca="1" si="119"/>
        <v>0</v>
      </c>
      <c r="Q499" s="130">
        <f>Q500+Q501</f>
        <v>0</v>
      </c>
      <c r="R499" s="130">
        <f>R500+R501</f>
        <v>0</v>
      </c>
      <c r="S499" s="130">
        <f>S500+S501</f>
        <v>0</v>
      </c>
      <c r="T499" s="130">
        <f t="shared" si="120"/>
        <v>0</v>
      </c>
      <c r="U499" s="130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131">
        <f t="shared" si="118"/>
        <v>0</v>
      </c>
      <c r="P500" s="131">
        <f t="shared" si="119"/>
        <v>0</v>
      </c>
      <c r="Q500" s="75">
        <v>0</v>
      </c>
      <c r="R500" s="75">
        <v>0</v>
      </c>
      <c r="S500" s="75">
        <v>0</v>
      </c>
      <c r="T500" s="131">
        <f t="shared" si="120"/>
        <v>0</v>
      </c>
      <c r="U500" s="131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IFERROR(__xludf.DUMMYFUNCTION("IMPORTRANGE(""https://docs.google.com/spreadsheets/d/1-uDff_7J0KD5mKrp0Vvzr7lt3OU09vwQwhkpOPPYv2Y/edit?usp=sharing"",""งบพรบ!HX56"")"),0)</f>
        <v>0</v>
      </c>
      <c r="M501" s="72">
        <f ca="1">IFERROR(__xludf.DUMMYFUNCTION("IMPORTRANGE(""https://docs.google.com/spreadsheets/d/1-uDff_7J0KD5mKrp0Vvzr7lt3OU09vwQwhkpOPPYv2Y/edit?usp=sharing"",""งบพรบ!IA56"")"),0)</f>
        <v>0</v>
      </c>
      <c r="N501" s="72">
        <f ca="1">IFERROR(__xludf.DUMMYFUNCTION("IMPORTRANGE(""https://docs.google.com/spreadsheets/d/1-uDff_7J0KD5mKrp0Vvzr7lt3OU09vwQwhkpOPPYv2Y/edit?usp=sharing"",""งบพรบ!IC56"")"),0)</f>
        <v>0</v>
      </c>
      <c r="O501" s="130">
        <f t="shared" ca="1" si="118"/>
        <v>0</v>
      </c>
      <c r="P501" s="130">
        <f t="shared" ca="1" si="119"/>
        <v>0</v>
      </c>
      <c r="Q501" s="72">
        <v>0</v>
      </c>
      <c r="R501" s="72">
        <v>0</v>
      </c>
      <c r="S501" s="72">
        <v>0</v>
      </c>
      <c r="T501" s="130">
        <f t="shared" si="120"/>
        <v>0</v>
      </c>
      <c r="U501" s="130">
        <f t="shared" si="121"/>
        <v>0</v>
      </c>
    </row>
    <row r="502" spans="1:21" ht="19.5" x14ac:dyDescent="0.3">
      <c r="A502" s="274"/>
      <c r="B502" s="275"/>
      <c r="C502" s="668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IFERROR(__xludf.DUMMYFUNCTION("IMPORTRANGE(""https://docs.google.com/spreadsheets/d/1eHaY18a8A9IcSdp1K8H6x8fbOy06t2VsZHhMHf-1x7Y/edit?usp=sharing"",""แผน!GX56"")"),50)</f>
        <v>50</v>
      </c>
      <c r="J503" s="601">
        <f>J505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IFERROR(__xludf.DUMMYFUNCTION("IMPORTRANGE(""https://docs.google.com/spreadsheets/d/1eHaY18a8A9IcSdp1K8H6x8fbOy06t2VsZHhMHf-1x7Y/edit?usp=sharing"",""แผน!GY56"")"),50)</f>
        <v>50</v>
      </c>
      <c r="J504" s="292">
        <v>50</v>
      </c>
      <c r="K504" s="72">
        <f t="shared" ca="1" si="124"/>
        <v>100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IFERROR(__xludf.DUMMYFUNCTION("IMPORTRANGE(""https://docs.google.com/spreadsheets/d/1eHaY18a8A9IcSdp1K8H6x8fbOy06t2VsZHhMHf-1x7Y/edit?usp=sharing"",""แผน!GZ56"")"),50)</f>
        <v>50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IFERROR(__xludf.DUMMYFUNCTION("IMPORTRANGE(""https://docs.google.com/spreadsheets/d/1eHaY18a8A9IcSdp1K8H6x8fbOy06t2VsZHhMHf-1x7Y/edit?usp=sharing"",""แผน!HA56"")"),50)</f>
        <v>50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IFERROR(__xludf.DUMMYFUNCTION("IMPORTRANGE(""https://docs.google.com/spreadsheets/d/1eHaY18a8A9IcSdp1K8H6x8fbOy06t2VsZHhMHf-1x7Y/edit?usp=sharing"",""แผน!HB56"")"),20)</f>
        <v>20</v>
      </c>
      <c r="J507" s="292">
        <v>20</v>
      </c>
      <c r="K507" s="72">
        <f t="shared" ca="1" si="124"/>
        <v>100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IFERROR(__xludf.DUMMYFUNCTION("IMPORTRANGE(""https://docs.google.com/spreadsheets/d/1eHaY18a8A9IcSdp1K8H6x8fbOy06t2VsZHhMHf-1x7Y/edit?usp=sharing"",""แผน!HC56"")"),0)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50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212">
        <f ca="1">L514+L515</f>
        <v>0</v>
      </c>
      <c r="M513" s="213">
        <f ca="1">M514+M515</f>
        <v>0</v>
      </c>
      <c r="N513" s="213">
        <f ca="1">N514+N515</f>
        <v>0</v>
      </c>
      <c r="O513" s="213">
        <f t="shared" ref="O513:O521" ca="1" si="125">IF(L513&gt;0,N513*100/L513,0)</f>
        <v>0</v>
      </c>
      <c r="P513" s="213">
        <f t="shared" ref="P513:P521" ca="1" si="126">IF(M513&gt;0,N513*100/M513,0)</f>
        <v>0</v>
      </c>
      <c r="Q513" s="213">
        <f>Q514+Q515</f>
        <v>0</v>
      </c>
      <c r="R513" s="213">
        <f>R514+R515</f>
        <v>0</v>
      </c>
      <c r="S513" s="213">
        <f>S514+S515</f>
        <v>0</v>
      </c>
      <c r="T513" s="213">
        <f t="shared" ref="T513:T521" si="127">IF(Q513&gt;0,S513*100/Q513,0)</f>
        <v>0</v>
      </c>
      <c r="U513" s="213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215">
        <f t="shared" ref="L514:N515" si="129">L517+L520</f>
        <v>0</v>
      </c>
      <c r="M514" s="131">
        <f t="shared" si="129"/>
        <v>0</v>
      </c>
      <c r="N514" s="131">
        <f t="shared" si="129"/>
        <v>0</v>
      </c>
      <c r="O514" s="131">
        <f t="shared" si="125"/>
        <v>0</v>
      </c>
      <c r="P514" s="131">
        <f t="shared" si="126"/>
        <v>0</v>
      </c>
      <c r="Q514" s="131">
        <f t="shared" ref="Q514:S515" si="130">Q517+Q520</f>
        <v>0</v>
      </c>
      <c r="R514" s="131">
        <f t="shared" si="130"/>
        <v>0</v>
      </c>
      <c r="S514" s="131">
        <f t="shared" si="130"/>
        <v>0</v>
      </c>
      <c r="T514" s="131">
        <f t="shared" si="127"/>
        <v>0</v>
      </c>
      <c r="U514" s="131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129">
        <f t="shared" ca="1" si="129"/>
        <v>0</v>
      </c>
      <c r="M515" s="130">
        <f t="shared" ca="1" si="129"/>
        <v>0</v>
      </c>
      <c r="N515" s="130">
        <f t="shared" ca="1" si="129"/>
        <v>0</v>
      </c>
      <c r="O515" s="130">
        <f t="shared" ca="1" si="125"/>
        <v>0</v>
      </c>
      <c r="P515" s="130">
        <f t="shared" ca="1" si="126"/>
        <v>0</v>
      </c>
      <c r="Q515" s="130">
        <f t="shared" si="130"/>
        <v>0</v>
      </c>
      <c r="R515" s="130">
        <f t="shared" si="130"/>
        <v>0</v>
      </c>
      <c r="S515" s="130">
        <f t="shared" si="130"/>
        <v>0</v>
      </c>
      <c r="T515" s="130">
        <f t="shared" si="127"/>
        <v>0</v>
      </c>
      <c r="U515" s="130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129">
        <f ca="1">L517+L518</f>
        <v>0</v>
      </c>
      <c r="M516" s="130">
        <f ca="1">M517+M518</f>
        <v>0</v>
      </c>
      <c r="N516" s="130">
        <f ca="1">N517+N518</f>
        <v>0</v>
      </c>
      <c r="O516" s="130">
        <f t="shared" ca="1" si="125"/>
        <v>0</v>
      </c>
      <c r="P516" s="130">
        <f t="shared" ca="1" si="126"/>
        <v>0</v>
      </c>
      <c r="Q516" s="130">
        <f>Q517+Q518</f>
        <v>0</v>
      </c>
      <c r="R516" s="130">
        <f>R517+R518</f>
        <v>0</v>
      </c>
      <c r="S516" s="130">
        <f>S517+S518</f>
        <v>0</v>
      </c>
      <c r="T516" s="130">
        <f t="shared" si="127"/>
        <v>0</v>
      </c>
      <c r="U516" s="130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131">
        <f t="shared" si="125"/>
        <v>0</v>
      </c>
      <c r="P517" s="131">
        <f t="shared" si="126"/>
        <v>0</v>
      </c>
      <c r="Q517" s="75">
        <v>0</v>
      </c>
      <c r="R517" s="75">
        <v>0</v>
      </c>
      <c r="S517" s="75">
        <v>0</v>
      </c>
      <c r="T517" s="131">
        <f t="shared" si="127"/>
        <v>0</v>
      </c>
      <c r="U517" s="131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129">
        <f ca="1">IFERROR(__xludf.DUMMYFUNCTION("IMPORTRANGE(""https://docs.google.com/spreadsheets/d/1-uDff_7J0KD5mKrp0Vvzr7lt3OU09vwQwhkpOPPYv2Y/edit?usp=sharing"",""งบพรบ!FM56"")"),0)</f>
        <v>0</v>
      </c>
      <c r="M518" s="130">
        <f ca="1">IFERROR(__xludf.DUMMYFUNCTION("IMPORTRANGE(""https://docs.google.com/spreadsheets/d/1-uDff_7J0KD5mKrp0Vvzr7lt3OU09vwQwhkpOPPYv2Y/edit?usp=sharing"",""งบพรบ!FR56"")"),0)</f>
        <v>0</v>
      </c>
      <c r="N518" s="130">
        <f ca="1">IFERROR(__xludf.DUMMYFUNCTION("IMPORTRANGE(""https://docs.google.com/spreadsheets/d/1-uDff_7J0KD5mKrp0Vvzr7lt3OU09vwQwhkpOPPYv2Y/edit?usp=sharing"",""งบพรบ!FT56"")"),0)</f>
        <v>0</v>
      </c>
      <c r="O518" s="130">
        <f t="shared" ca="1" si="125"/>
        <v>0</v>
      </c>
      <c r="P518" s="130">
        <f t="shared" ca="1" si="126"/>
        <v>0</v>
      </c>
      <c r="Q518" s="72">
        <v>0</v>
      </c>
      <c r="R518" s="72">
        <v>0</v>
      </c>
      <c r="S518" s="72">
        <v>0</v>
      </c>
      <c r="T518" s="130">
        <f t="shared" si="127"/>
        <v>0</v>
      </c>
      <c r="U518" s="130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129">
        <f ca="1">L520+L521</f>
        <v>0</v>
      </c>
      <c r="M519" s="130">
        <f ca="1">M520+M521</f>
        <v>0</v>
      </c>
      <c r="N519" s="130">
        <f ca="1">N520+N521</f>
        <v>0</v>
      </c>
      <c r="O519" s="130">
        <f t="shared" ca="1" si="125"/>
        <v>0</v>
      </c>
      <c r="P519" s="130">
        <f t="shared" ca="1" si="126"/>
        <v>0</v>
      </c>
      <c r="Q519" s="130">
        <f>Q520+Q521</f>
        <v>0</v>
      </c>
      <c r="R519" s="130">
        <f>R520+R521</f>
        <v>0</v>
      </c>
      <c r="S519" s="130">
        <f>S520+S521</f>
        <v>0</v>
      </c>
      <c r="T519" s="130">
        <f t="shared" si="127"/>
        <v>0</v>
      </c>
      <c r="U519" s="130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131">
        <f t="shared" si="125"/>
        <v>0</v>
      </c>
      <c r="P520" s="131">
        <f t="shared" si="126"/>
        <v>0</v>
      </c>
      <c r="Q520" s="75">
        <v>0</v>
      </c>
      <c r="R520" s="75">
        <v>0</v>
      </c>
      <c r="S520" s="75">
        <v>0</v>
      </c>
      <c r="T520" s="131">
        <f t="shared" si="127"/>
        <v>0</v>
      </c>
      <c r="U520" s="131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129">
        <f ca="1">IFERROR(__xludf.DUMMYFUNCTION("IMPORTRANGE(""https://docs.google.com/spreadsheets/d/1-uDff_7J0KD5mKrp0Vvzr7lt3OU09vwQwhkpOPPYv2Y/edit?usp=sharing"",""งบพรบ!FP56"")"),0)</f>
        <v>0</v>
      </c>
      <c r="M521" s="130">
        <f ca="1">IFERROR(__xludf.DUMMYFUNCTION("IMPORTRANGE(""https://docs.google.com/spreadsheets/d/1-uDff_7J0KD5mKrp0Vvzr7lt3OU09vwQwhkpOPPYv2Y/edit?usp=sharing"",""งบพรบ!FS56"")"),0)</f>
        <v>0</v>
      </c>
      <c r="N521" s="130">
        <f ca="1">IFERROR(__xludf.DUMMYFUNCTION("IMPORTRANGE(""https://docs.google.com/spreadsheets/d/1-uDff_7J0KD5mKrp0Vvzr7lt3OU09vwQwhkpOPPYv2Y/edit?usp=sharing"",""งบพรบ!FU56"")"),0)</f>
        <v>0</v>
      </c>
      <c r="O521" s="130">
        <f t="shared" ca="1" si="125"/>
        <v>0</v>
      </c>
      <c r="P521" s="130">
        <f t="shared" ca="1" si="126"/>
        <v>0</v>
      </c>
      <c r="Q521" s="72">
        <v>0</v>
      </c>
      <c r="R521" s="72">
        <v>0</v>
      </c>
      <c r="S521" s="72">
        <v>0</v>
      </c>
      <c r="T521" s="130">
        <f t="shared" si="127"/>
        <v>0</v>
      </c>
      <c r="U521" s="130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12">
        <f ca="1">L535+L536</f>
        <v>0</v>
      </c>
      <c r="M534" s="213">
        <f ca="1">M535+M536</f>
        <v>0</v>
      </c>
      <c r="N534" s="213">
        <f ca="1">N535+N536</f>
        <v>0</v>
      </c>
      <c r="O534" s="213">
        <f t="shared" ref="O534:O542" ca="1" si="131">IF(L534&gt;0,N534*100/L534,0)</f>
        <v>0</v>
      </c>
      <c r="P534" s="213">
        <f t="shared" ref="P534:P542" ca="1" si="132">IF(M534&gt;0,N534*100/M534,0)</f>
        <v>0</v>
      </c>
      <c r="Q534" s="213">
        <f>Q535+Q536</f>
        <v>0</v>
      </c>
      <c r="R534" s="213">
        <f>R535+R536</f>
        <v>0</v>
      </c>
      <c r="S534" s="213">
        <f>S535+S536</f>
        <v>0</v>
      </c>
      <c r="T534" s="213">
        <f t="shared" ref="T534:T542" si="133">IF(Q534&gt;0,S534*100/Q534,0)</f>
        <v>0</v>
      </c>
      <c r="U534" s="213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215">
        <f t="shared" ref="L535:N536" si="135">L538+L541</f>
        <v>0</v>
      </c>
      <c r="M535" s="131">
        <f t="shared" si="135"/>
        <v>0</v>
      </c>
      <c r="N535" s="131">
        <f t="shared" si="135"/>
        <v>0</v>
      </c>
      <c r="O535" s="131">
        <f t="shared" si="131"/>
        <v>0</v>
      </c>
      <c r="P535" s="131">
        <f t="shared" si="132"/>
        <v>0</v>
      </c>
      <c r="Q535" s="131">
        <f t="shared" ref="Q535:S536" si="136">Q538+Q541</f>
        <v>0</v>
      </c>
      <c r="R535" s="131">
        <f t="shared" si="136"/>
        <v>0</v>
      </c>
      <c r="S535" s="131">
        <f t="shared" si="136"/>
        <v>0</v>
      </c>
      <c r="T535" s="131">
        <f t="shared" si="133"/>
        <v>0</v>
      </c>
      <c r="U535" s="131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129">
        <f t="shared" ca="1" si="135"/>
        <v>0</v>
      </c>
      <c r="M536" s="130">
        <f t="shared" ca="1" si="135"/>
        <v>0</v>
      </c>
      <c r="N536" s="130">
        <f t="shared" ca="1" si="135"/>
        <v>0</v>
      </c>
      <c r="O536" s="130">
        <f t="shared" ca="1" si="131"/>
        <v>0</v>
      </c>
      <c r="P536" s="130">
        <f t="shared" ca="1" si="132"/>
        <v>0</v>
      </c>
      <c r="Q536" s="130">
        <f t="shared" si="136"/>
        <v>0</v>
      </c>
      <c r="R536" s="130">
        <f t="shared" si="136"/>
        <v>0</v>
      </c>
      <c r="S536" s="130">
        <f t="shared" si="136"/>
        <v>0</v>
      </c>
      <c r="T536" s="130">
        <f t="shared" si="133"/>
        <v>0</v>
      </c>
      <c r="U536" s="130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129">
        <f ca="1">L538+L539</f>
        <v>0</v>
      </c>
      <c r="M537" s="130">
        <f ca="1">M538+M539</f>
        <v>0</v>
      </c>
      <c r="N537" s="130">
        <f ca="1">N538+N539</f>
        <v>0</v>
      </c>
      <c r="O537" s="130">
        <f t="shared" ca="1" si="131"/>
        <v>0</v>
      </c>
      <c r="P537" s="130">
        <f t="shared" ca="1" si="132"/>
        <v>0</v>
      </c>
      <c r="Q537" s="130">
        <f>Q538+Q539</f>
        <v>0</v>
      </c>
      <c r="R537" s="130">
        <f>R538+R539</f>
        <v>0</v>
      </c>
      <c r="S537" s="130">
        <f>S538+S539</f>
        <v>0</v>
      </c>
      <c r="T537" s="130">
        <f t="shared" si="133"/>
        <v>0</v>
      </c>
      <c r="U537" s="130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131">
        <f t="shared" si="131"/>
        <v>0</v>
      </c>
      <c r="P538" s="131">
        <f t="shared" si="132"/>
        <v>0</v>
      </c>
      <c r="Q538" s="75">
        <v>0</v>
      </c>
      <c r="R538" s="75">
        <v>0</v>
      </c>
      <c r="S538" s="75">
        <v>0</v>
      </c>
      <c r="T538" s="131">
        <f t="shared" si="133"/>
        <v>0</v>
      </c>
      <c r="U538" s="131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IFERROR(__xludf.DUMMYFUNCTION("IMPORTRANGE(""https://docs.google.com/spreadsheets/d/1-uDff_7J0KD5mKrp0Vvzr7lt3OU09vwQwhkpOPPYv2Y/edit?usp=sharing"",""งบพรบ!FW56"")"),0)</f>
        <v>0</v>
      </c>
      <c r="M539" s="72">
        <f ca="1">IFERROR(__xludf.DUMMYFUNCTION("IMPORTRANGE(""https://docs.google.com/spreadsheets/d/1-uDff_7J0KD5mKrp0Vvzr7lt3OU09vwQwhkpOPPYv2Y/edit?usp=sharing"",""งบพรบ!GB56"")"),0)</f>
        <v>0</v>
      </c>
      <c r="N539" s="72">
        <f ca="1">IFERROR(__xludf.DUMMYFUNCTION("IMPORTRANGE(""https://docs.google.com/spreadsheets/d/1-uDff_7J0KD5mKrp0Vvzr7lt3OU09vwQwhkpOPPYv2Y/edit?usp=sharing"",""งบพรบ!GD56"")"),0)</f>
        <v>0</v>
      </c>
      <c r="O539" s="130">
        <f t="shared" ca="1" si="131"/>
        <v>0</v>
      </c>
      <c r="P539" s="130">
        <f t="shared" ca="1" si="132"/>
        <v>0</v>
      </c>
      <c r="Q539" s="72">
        <v>0</v>
      </c>
      <c r="R539" s="72">
        <v>0</v>
      </c>
      <c r="S539" s="72">
        <v>0</v>
      </c>
      <c r="T539" s="130">
        <f t="shared" si="133"/>
        <v>0</v>
      </c>
      <c r="U539" s="130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129">
        <f ca="1">L541+L542</f>
        <v>0</v>
      </c>
      <c r="M540" s="130">
        <f ca="1">M541+M542</f>
        <v>0</v>
      </c>
      <c r="N540" s="130">
        <f ca="1">N541+N542</f>
        <v>0</v>
      </c>
      <c r="O540" s="130">
        <f t="shared" ca="1" si="131"/>
        <v>0</v>
      </c>
      <c r="P540" s="130">
        <f t="shared" ca="1" si="132"/>
        <v>0</v>
      </c>
      <c r="Q540" s="130">
        <f>Q541+Q542</f>
        <v>0</v>
      </c>
      <c r="R540" s="130">
        <f>R541+R542</f>
        <v>0</v>
      </c>
      <c r="S540" s="130">
        <f>S541+S542</f>
        <v>0</v>
      </c>
      <c r="T540" s="130">
        <f t="shared" si="133"/>
        <v>0</v>
      </c>
      <c r="U540" s="130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131">
        <f t="shared" si="131"/>
        <v>0</v>
      </c>
      <c r="P541" s="131">
        <f t="shared" si="132"/>
        <v>0</v>
      </c>
      <c r="Q541" s="75">
        <v>0</v>
      </c>
      <c r="R541" s="75">
        <v>0</v>
      </c>
      <c r="S541" s="75">
        <v>0</v>
      </c>
      <c r="T541" s="131">
        <f t="shared" si="133"/>
        <v>0</v>
      </c>
      <c r="U541" s="131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IFERROR(__xludf.DUMMYFUNCTION("IMPORTRANGE(""https://docs.google.com/spreadsheets/d/1-uDff_7J0KD5mKrp0Vvzr7lt3OU09vwQwhkpOPPYv2Y/edit?usp=sharing"",""งบพรบ!FZ56"")"),0)</f>
        <v>0</v>
      </c>
      <c r="M542" s="72">
        <f ca="1">IFERROR(__xludf.DUMMYFUNCTION("IMPORTRANGE(""https://docs.google.com/spreadsheets/d/1-uDff_7J0KD5mKrp0Vvzr7lt3OU09vwQwhkpOPPYv2Y/edit?usp=sharing"",""งบพรบ!GC56"")"),0)</f>
        <v>0</v>
      </c>
      <c r="N542" s="72">
        <f ca="1">IFERROR(__xludf.DUMMYFUNCTION("IMPORTRANGE(""https://docs.google.com/spreadsheets/d/1-uDff_7J0KD5mKrp0Vvzr7lt3OU09vwQwhkpOPPYv2Y/edit?usp=sharing"",""งบพรบ!GE56"")"),0)</f>
        <v>0</v>
      </c>
      <c r="O542" s="130">
        <f t="shared" ca="1" si="131"/>
        <v>0</v>
      </c>
      <c r="P542" s="130">
        <f t="shared" ca="1" si="132"/>
        <v>0</v>
      </c>
      <c r="Q542" s="72">
        <v>0</v>
      </c>
      <c r="R542" s="72">
        <v>0</v>
      </c>
      <c r="S542" s="72">
        <v>0</v>
      </c>
      <c r="T542" s="130">
        <f t="shared" si="133"/>
        <v>0</v>
      </c>
      <c r="U542" s="130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12">
        <f ca="1">L556+L557</f>
        <v>0</v>
      </c>
      <c r="M555" s="213">
        <f ca="1">M556+M557</f>
        <v>0</v>
      </c>
      <c r="N555" s="213">
        <f ca="1">N556+N557</f>
        <v>0</v>
      </c>
      <c r="O555" s="213">
        <f t="shared" ref="O555:O563" ca="1" si="137">IF(L555&gt;0,N555*100/L555,0)</f>
        <v>0</v>
      </c>
      <c r="P555" s="213">
        <f t="shared" ref="P555:P563" ca="1" si="138">IF(M555&gt;0,N555*100/M555,0)</f>
        <v>0</v>
      </c>
      <c r="Q555" s="213">
        <f>Q556+Q557</f>
        <v>0</v>
      </c>
      <c r="R555" s="213">
        <f>R556+R557</f>
        <v>0</v>
      </c>
      <c r="S555" s="213">
        <f>S556+S557</f>
        <v>0</v>
      </c>
      <c r="T555" s="213">
        <f t="shared" ref="T555:T563" si="139">IF(Q555&gt;0,S555*100/Q555,0)</f>
        <v>0</v>
      </c>
      <c r="U555" s="213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215">
        <f t="shared" ref="L556:N557" si="141">L559+L562</f>
        <v>0</v>
      </c>
      <c r="M556" s="131">
        <f t="shared" si="141"/>
        <v>0</v>
      </c>
      <c r="N556" s="131">
        <f t="shared" si="141"/>
        <v>0</v>
      </c>
      <c r="O556" s="131">
        <f t="shared" si="137"/>
        <v>0</v>
      </c>
      <c r="P556" s="131">
        <f t="shared" si="138"/>
        <v>0</v>
      </c>
      <c r="Q556" s="131">
        <f t="shared" ref="Q556:S557" si="142">Q559+Q562</f>
        <v>0</v>
      </c>
      <c r="R556" s="131">
        <f t="shared" si="142"/>
        <v>0</v>
      </c>
      <c r="S556" s="131">
        <f t="shared" si="142"/>
        <v>0</v>
      </c>
      <c r="T556" s="131">
        <f t="shared" si="139"/>
        <v>0</v>
      </c>
      <c r="U556" s="131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129">
        <f t="shared" ca="1" si="141"/>
        <v>0</v>
      </c>
      <c r="M557" s="130">
        <f t="shared" ca="1" si="141"/>
        <v>0</v>
      </c>
      <c r="N557" s="130">
        <f t="shared" ca="1" si="141"/>
        <v>0</v>
      </c>
      <c r="O557" s="130">
        <f t="shared" ca="1" si="137"/>
        <v>0</v>
      </c>
      <c r="P557" s="130">
        <f t="shared" ca="1" si="138"/>
        <v>0</v>
      </c>
      <c r="Q557" s="130">
        <f t="shared" si="142"/>
        <v>0</v>
      </c>
      <c r="R557" s="130">
        <f t="shared" si="142"/>
        <v>0</v>
      </c>
      <c r="S557" s="130">
        <f t="shared" si="142"/>
        <v>0</v>
      </c>
      <c r="T557" s="130">
        <f t="shared" si="139"/>
        <v>0</v>
      </c>
      <c r="U557" s="130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129">
        <f ca="1">L559+L560</f>
        <v>0</v>
      </c>
      <c r="M558" s="130">
        <f ca="1">M559+M560</f>
        <v>0</v>
      </c>
      <c r="N558" s="130">
        <f ca="1">N559+N560</f>
        <v>0</v>
      </c>
      <c r="O558" s="130">
        <f t="shared" ca="1" si="137"/>
        <v>0</v>
      </c>
      <c r="P558" s="130">
        <f t="shared" ca="1" si="138"/>
        <v>0</v>
      </c>
      <c r="Q558" s="130">
        <f>Q559+Q560</f>
        <v>0</v>
      </c>
      <c r="R558" s="130">
        <f>R559+R560</f>
        <v>0</v>
      </c>
      <c r="S558" s="130">
        <f>S559+S560</f>
        <v>0</v>
      </c>
      <c r="T558" s="130">
        <f t="shared" si="139"/>
        <v>0</v>
      </c>
      <c r="U558" s="130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131">
        <f t="shared" si="137"/>
        <v>0</v>
      </c>
      <c r="P559" s="131">
        <f t="shared" si="138"/>
        <v>0</v>
      </c>
      <c r="Q559" s="75">
        <v>0</v>
      </c>
      <c r="R559" s="75">
        <v>0</v>
      </c>
      <c r="S559" s="75">
        <v>0</v>
      </c>
      <c r="T559" s="131">
        <f t="shared" si="139"/>
        <v>0</v>
      </c>
      <c r="U559" s="131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IFERROR(__xludf.DUMMYFUNCTION("IMPORTRANGE(""https://docs.google.com/spreadsheets/d/1-uDff_7J0KD5mKrp0Vvzr7lt3OU09vwQwhkpOPPYv2Y/edit?usp=sharing"",""งบพรบ!GG56"")"),0)</f>
        <v>0</v>
      </c>
      <c r="M560" s="72">
        <f ca="1">IFERROR(__xludf.DUMMYFUNCTION("IMPORTRANGE(""https://docs.google.com/spreadsheets/d/1-uDff_7J0KD5mKrp0Vvzr7lt3OU09vwQwhkpOPPYv2Y/edit?usp=sharing"",""งบพรบ!GL56"")"),0)</f>
        <v>0</v>
      </c>
      <c r="N560" s="72">
        <f ca="1">IFERROR(__xludf.DUMMYFUNCTION("IMPORTRANGE(""https://docs.google.com/spreadsheets/d/1-uDff_7J0KD5mKrp0Vvzr7lt3OU09vwQwhkpOPPYv2Y/edit?usp=sharing"",""งบพรบ!GN56"")"),0)</f>
        <v>0</v>
      </c>
      <c r="O560" s="130">
        <f t="shared" ca="1" si="137"/>
        <v>0</v>
      </c>
      <c r="P560" s="130">
        <f t="shared" ca="1" si="138"/>
        <v>0</v>
      </c>
      <c r="Q560" s="72">
        <v>0</v>
      </c>
      <c r="R560" s="72">
        <v>0</v>
      </c>
      <c r="S560" s="72">
        <v>0</v>
      </c>
      <c r="T560" s="130">
        <f t="shared" si="139"/>
        <v>0</v>
      </c>
      <c r="U560" s="130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129">
        <f ca="1">L562+L563</f>
        <v>0</v>
      </c>
      <c r="M561" s="130">
        <f ca="1">M562+M563</f>
        <v>0</v>
      </c>
      <c r="N561" s="130">
        <f ca="1">N562+N563</f>
        <v>0</v>
      </c>
      <c r="O561" s="130">
        <f t="shared" ca="1" si="137"/>
        <v>0</v>
      </c>
      <c r="P561" s="130">
        <f t="shared" ca="1" si="138"/>
        <v>0</v>
      </c>
      <c r="Q561" s="130">
        <f>Q562+Q563</f>
        <v>0</v>
      </c>
      <c r="R561" s="130">
        <f>R562+R563</f>
        <v>0</v>
      </c>
      <c r="S561" s="130">
        <f>S562+S563</f>
        <v>0</v>
      </c>
      <c r="T561" s="130">
        <f t="shared" si="139"/>
        <v>0</v>
      </c>
      <c r="U561" s="130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131">
        <f t="shared" si="137"/>
        <v>0</v>
      </c>
      <c r="P562" s="131">
        <f t="shared" si="138"/>
        <v>0</v>
      </c>
      <c r="Q562" s="75">
        <v>0</v>
      </c>
      <c r="R562" s="75">
        <v>0</v>
      </c>
      <c r="S562" s="75">
        <v>0</v>
      </c>
      <c r="T562" s="131">
        <f t="shared" si="139"/>
        <v>0</v>
      </c>
      <c r="U562" s="131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IFERROR(__xludf.DUMMYFUNCTION("IMPORTRANGE(""https://docs.google.com/spreadsheets/d/1-uDff_7J0KD5mKrp0Vvzr7lt3OU09vwQwhkpOPPYv2Y/edit?usp=sharing"",""งบพรบ!GJ56"")"),0)</f>
        <v>0</v>
      </c>
      <c r="M563" s="72">
        <f ca="1">IFERROR(__xludf.DUMMYFUNCTION("IMPORTRANGE(""https://docs.google.com/spreadsheets/d/1-uDff_7J0KD5mKrp0Vvzr7lt3OU09vwQwhkpOPPYv2Y/edit?usp=sharing"",""งบพรบ!GM56"")"),0)</f>
        <v>0</v>
      </c>
      <c r="N563" s="72">
        <f ca="1">IFERROR(__xludf.DUMMYFUNCTION("IMPORTRANGE(""https://docs.google.com/spreadsheets/d/1-uDff_7J0KD5mKrp0Vvzr7lt3OU09vwQwhkpOPPYv2Y/edit?usp=sharing"",""งบพรบ!GO56"")"),0)</f>
        <v>0</v>
      </c>
      <c r="O563" s="130">
        <f t="shared" ca="1" si="137"/>
        <v>0</v>
      </c>
      <c r="P563" s="130">
        <f t="shared" ca="1" si="138"/>
        <v>0</v>
      </c>
      <c r="Q563" s="72">
        <v>0</v>
      </c>
      <c r="R563" s="72">
        <v>0</v>
      </c>
      <c r="S563" s="72">
        <v>0</v>
      </c>
      <c r="T563" s="130">
        <f t="shared" si="139"/>
        <v>0</v>
      </c>
      <c r="U563" s="130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12">
        <f ca="1">L577+L578</f>
        <v>0</v>
      </c>
      <c r="M576" s="213">
        <f ca="1">M577+M578</f>
        <v>0</v>
      </c>
      <c r="N576" s="213">
        <f ca="1">N577+N578</f>
        <v>0</v>
      </c>
      <c r="O576" s="213">
        <f t="shared" ref="O576:O584" ca="1" si="143">IF(L576&gt;0,N576*100/L576,0)</f>
        <v>0</v>
      </c>
      <c r="P576" s="213">
        <f t="shared" ref="P576:P584" ca="1" si="144">IF(M576&gt;0,N576*100/M576,0)</f>
        <v>0</v>
      </c>
      <c r="Q576" s="213">
        <f>Q577+Q578</f>
        <v>0</v>
      </c>
      <c r="R576" s="213">
        <f>R577+R578</f>
        <v>0</v>
      </c>
      <c r="S576" s="213">
        <f>S577+S578</f>
        <v>0</v>
      </c>
      <c r="T576" s="213">
        <f t="shared" ref="T576:T584" si="145">IF(Q576&gt;0,S576*100/Q576,0)</f>
        <v>0</v>
      </c>
      <c r="U576" s="213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215">
        <f t="shared" ref="L577:N578" si="147">L580+L583</f>
        <v>0</v>
      </c>
      <c r="M577" s="131">
        <f t="shared" si="147"/>
        <v>0</v>
      </c>
      <c r="N577" s="131">
        <f t="shared" si="147"/>
        <v>0</v>
      </c>
      <c r="O577" s="131">
        <f t="shared" si="143"/>
        <v>0</v>
      </c>
      <c r="P577" s="131">
        <f t="shared" si="144"/>
        <v>0</v>
      </c>
      <c r="Q577" s="131">
        <f t="shared" ref="Q577:S578" si="148">Q580+Q583</f>
        <v>0</v>
      </c>
      <c r="R577" s="131">
        <f t="shared" si="148"/>
        <v>0</v>
      </c>
      <c r="S577" s="131">
        <f t="shared" si="148"/>
        <v>0</v>
      </c>
      <c r="T577" s="131">
        <f t="shared" si="145"/>
        <v>0</v>
      </c>
      <c r="U577" s="131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129">
        <f t="shared" ca="1" si="147"/>
        <v>0</v>
      </c>
      <c r="M578" s="130">
        <f t="shared" ca="1" si="147"/>
        <v>0</v>
      </c>
      <c r="N578" s="130">
        <f t="shared" ca="1" si="147"/>
        <v>0</v>
      </c>
      <c r="O578" s="130">
        <f t="shared" ca="1" si="143"/>
        <v>0</v>
      </c>
      <c r="P578" s="130">
        <f t="shared" ca="1" si="144"/>
        <v>0</v>
      </c>
      <c r="Q578" s="130">
        <f t="shared" si="148"/>
        <v>0</v>
      </c>
      <c r="R578" s="130">
        <f t="shared" si="148"/>
        <v>0</v>
      </c>
      <c r="S578" s="130">
        <f t="shared" si="148"/>
        <v>0</v>
      </c>
      <c r="T578" s="130">
        <f t="shared" si="145"/>
        <v>0</v>
      </c>
      <c r="U578" s="130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129">
        <f ca="1">L580+L581</f>
        <v>0</v>
      </c>
      <c r="M579" s="130">
        <f ca="1">M580+M581</f>
        <v>0</v>
      </c>
      <c r="N579" s="130">
        <f ca="1">N580+N581</f>
        <v>0</v>
      </c>
      <c r="O579" s="130">
        <f t="shared" ca="1" si="143"/>
        <v>0</v>
      </c>
      <c r="P579" s="130">
        <f t="shared" ca="1" si="144"/>
        <v>0</v>
      </c>
      <c r="Q579" s="130">
        <f>Q580+Q581</f>
        <v>0</v>
      </c>
      <c r="R579" s="130">
        <f>R580+R581</f>
        <v>0</v>
      </c>
      <c r="S579" s="130">
        <f>S580+S581</f>
        <v>0</v>
      </c>
      <c r="T579" s="130">
        <f t="shared" si="145"/>
        <v>0</v>
      </c>
      <c r="U579" s="130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131">
        <f t="shared" si="143"/>
        <v>0</v>
      </c>
      <c r="P580" s="131">
        <f t="shared" si="144"/>
        <v>0</v>
      </c>
      <c r="Q580" s="75">
        <v>0</v>
      </c>
      <c r="R580" s="75">
        <v>0</v>
      </c>
      <c r="S580" s="75">
        <v>0</v>
      </c>
      <c r="T580" s="131">
        <f t="shared" si="145"/>
        <v>0</v>
      </c>
      <c r="U580" s="131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IFERROR(__xludf.DUMMYFUNCTION("IMPORTRANGE(""https://docs.google.com/spreadsheets/d/1-uDff_7J0KD5mKrp0Vvzr7lt3OU09vwQwhkpOPPYv2Y/edit?usp=sharing"",""งบพรบ!GQ56"")"),0)</f>
        <v>0</v>
      </c>
      <c r="M581" s="72">
        <f ca="1">IFERROR(__xludf.DUMMYFUNCTION("IMPORTRANGE(""https://docs.google.com/spreadsheets/d/1-uDff_7J0KD5mKrp0Vvzr7lt3OU09vwQwhkpOPPYv2Y/edit?usp=sharing"",""งบพรบ!GV56"")"),0)</f>
        <v>0</v>
      </c>
      <c r="N581" s="72">
        <f ca="1">IFERROR(__xludf.DUMMYFUNCTION("IMPORTRANGE(""https://docs.google.com/spreadsheets/d/1-uDff_7J0KD5mKrp0Vvzr7lt3OU09vwQwhkpOPPYv2Y/edit?usp=sharing"",""งบพรบ!GX56"")"),0)</f>
        <v>0</v>
      </c>
      <c r="O581" s="130">
        <f t="shared" ca="1" si="143"/>
        <v>0</v>
      </c>
      <c r="P581" s="130">
        <f t="shared" ca="1" si="144"/>
        <v>0</v>
      </c>
      <c r="Q581" s="72">
        <v>0</v>
      </c>
      <c r="R581" s="72">
        <v>0</v>
      </c>
      <c r="S581" s="72">
        <v>0</v>
      </c>
      <c r="T581" s="130">
        <f t="shared" si="145"/>
        <v>0</v>
      </c>
      <c r="U581" s="130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129">
        <f ca="1">L583+L584</f>
        <v>0</v>
      </c>
      <c r="M582" s="130">
        <f ca="1">M583+M584</f>
        <v>0</v>
      </c>
      <c r="N582" s="130">
        <f ca="1">N583+N584</f>
        <v>0</v>
      </c>
      <c r="O582" s="130">
        <f t="shared" ca="1" si="143"/>
        <v>0</v>
      </c>
      <c r="P582" s="130">
        <f t="shared" ca="1" si="144"/>
        <v>0</v>
      </c>
      <c r="Q582" s="130">
        <f>Q583+Q584</f>
        <v>0</v>
      </c>
      <c r="R582" s="130">
        <f>R583+R584</f>
        <v>0</v>
      </c>
      <c r="S582" s="130">
        <f>S583+S584</f>
        <v>0</v>
      </c>
      <c r="T582" s="130">
        <f t="shared" si="145"/>
        <v>0</v>
      </c>
      <c r="U582" s="130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131">
        <f t="shared" si="143"/>
        <v>0</v>
      </c>
      <c r="P583" s="131">
        <f t="shared" si="144"/>
        <v>0</v>
      </c>
      <c r="Q583" s="75">
        <v>0</v>
      </c>
      <c r="R583" s="75">
        <v>0</v>
      </c>
      <c r="S583" s="75">
        <v>0</v>
      </c>
      <c r="T583" s="131">
        <f t="shared" si="145"/>
        <v>0</v>
      </c>
      <c r="U583" s="131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IFERROR(__xludf.DUMMYFUNCTION("IMPORTRANGE(""https://docs.google.com/spreadsheets/d/1-uDff_7J0KD5mKrp0Vvzr7lt3OU09vwQwhkpOPPYv2Y/edit?usp=sharing"",""งบพรบ!GT56"")"),0)</f>
        <v>0</v>
      </c>
      <c r="M584" s="72">
        <f ca="1">IFERROR(__xludf.DUMMYFUNCTION("IMPORTRANGE(""https://docs.google.com/spreadsheets/d/1-uDff_7J0KD5mKrp0Vvzr7lt3OU09vwQwhkpOPPYv2Y/edit?usp=sharing"",""งบพรบ!GW56"")"),0)</f>
        <v>0</v>
      </c>
      <c r="N584" s="72">
        <f ca="1">IFERROR(__xludf.DUMMYFUNCTION("IMPORTRANGE(""https://docs.google.com/spreadsheets/d/1-uDff_7J0KD5mKrp0Vvzr7lt3OU09vwQwhkpOPPYv2Y/edit?usp=sharing"",""งบพรบ!GY56"")"),0)</f>
        <v>0</v>
      </c>
      <c r="O584" s="130">
        <f t="shared" ca="1" si="143"/>
        <v>0</v>
      </c>
      <c r="P584" s="130">
        <f t="shared" ca="1" si="144"/>
        <v>0</v>
      </c>
      <c r="Q584" s="72">
        <v>0</v>
      </c>
      <c r="R584" s="72">
        <v>0</v>
      </c>
      <c r="S584" s="72">
        <v>0</v>
      </c>
      <c r="T584" s="130">
        <f t="shared" si="145"/>
        <v>0</v>
      </c>
      <c r="U584" s="130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681">
        <f ca="1">L600+L601</f>
        <v>6610</v>
      </c>
      <c r="M599" s="682">
        <f ca="1">M600+M601</f>
        <v>6610</v>
      </c>
      <c r="N599" s="682">
        <f ca="1">N600+N601</f>
        <v>0</v>
      </c>
      <c r="O599" s="682">
        <f t="shared" ref="O599:O607" ca="1" si="149">IF(L599&gt;0,N599*100/L599,0)</f>
        <v>0</v>
      </c>
      <c r="P599" s="682">
        <f t="shared" ref="P599:P607" ca="1" si="150">IF(M599&gt;0,N599*100/M599,0)</f>
        <v>0</v>
      </c>
      <c r="Q599" s="682">
        <f ca="1">Q600+Q601</f>
        <v>0</v>
      </c>
      <c r="R599" s="682">
        <f ca="1">R600+R601</f>
        <v>0</v>
      </c>
      <c r="S599" s="682">
        <f ca="1">S600+S601</f>
        <v>0</v>
      </c>
      <c r="T599" s="682">
        <f t="shared" ref="T599:T607" ca="1" si="151">IF(Q599&gt;0,S599*100/Q599,0)</f>
        <v>0</v>
      </c>
      <c r="U599" s="682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3">
        <f t="shared" ref="L600:N601" si="153">L603+L606</f>
        <v>0</v>
      </c>
      <c r="M600" s="684">
        <f t="shared" si="153"/>
        <v>0</v>
      </c>
      <c r="N600" s="684">
        <f t="shared" si="153"/>
        <v>0</v>
      </c>
      <c r="O600" s="684">
        <f t="shared" si="149"/>
        <v>0</v>
      </c>
      <c r="P600" s="684">
        <f t="shared" si="150"/>
        <v>0</v>
      </c>
      <c r="Q600" s="684">
        <f t="shared" ref="Q600:S601" si="154">Q603+Q606</f>
        <v>0</v>
      </c>
      <c r="R600" s="684">
        <f t="shared" si="154"/>
        <v>0</v>
      </c>
      <c r="S600" s="684">
        <f t="shared" si="154"/>
        <v>0</v>
      </c>
      <c r="T600" s="684">
        <f t="shared" si="151"/>
        <v>0</v>
      </c>
      <c r="U600" s="684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3">
        <f t="shared" ca="1" si="153"/>
        <v>6610</v>
      </c>
      <c r="M601" s="684">
        <f t="shared" ca="1" si="153"/>
        <v>6610</v>
      </c>
      <c r="N601" s="684">
        <f t="shared" ca="1" si="153"/>
        <v>0</v>
      </c>
      <c r="O601" s="684">
        <f t="shared" ca="1" si="149"/>
        <v>0</v>
      </c>
      <c r="P601" s="684">
        <f t="shared" ca="1" si="150"/>
        <v>0</v>
      </c>
      <c r="Q601" s="684">
        <f t="shared" ca="1" si="154"/>
        <v>0</v>
      </c>
      <c r="R601" s="684">
        <f t="shared" ca="1" si="154"/>
        <v>0</v>
      </c>
      <c r="S601" s="684">
        <f t="shared" ca="1" si="154"/>
        <v>0</v>
      </c>
      <c r="T601" s="684">
        <f t="shared" ca="1" si="151"/>
        <v>0</v>
      </c>
      <c r="U601" s="684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3">
        <f ca="1">L603+L604</f>
        <v>6610</v>
      </c>
      <c r="M602" s="684">
        <f ca="1">M603+M604</f>
        <v>6610</v>
      </c>
      <c r="N602" s="684">
        <f ca="1">N603+N604</f>
        <v>0</v>
      </c>
      <c r="O602" s="684">
        <f t="shared" ca="1" si="149"/>
        <v>0</v>
      </c>
      <c r="P602" s="684">
        <f t="shared" ca="1" si="150"/>
        <v>0</v>
      </c>
      <c r="Q602" s="684">
        <f ca="1">Q603+Q604</f>
        <v>0</v>
      </c>
      <c r="R602" s="684">
        <f ca="1">R603+R604</f>
        <v>0</v>
      </c>
      <c r="S602" s="684">
        <f ca="1">S603+S604</f>
        <v>0</v>
      </c>
      <c r="T602" s="684">
        <f t="shared" ca="1" si="151"/>
        <v>0</v>
      </c>
      <c r="U602" s="684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684">
        <f t="shared" si="149"/>
        <v>0</v>
      </c>
      <c r="P603" s="684">
        <f t="shared" si="150"/>
        <v>0</v>
      </c>
      <c r="Q603" s="86">
        <v>0</v>
      </c>
      <c r="R603" s="86">
        <v>0</v>
      </c>
      <c r="S603" s="86">
        <v>0</v>
      </c>
      <c r="T603" s="684">
        <f t="shared" si="151"/>
        <v>0</v>
      </c>
      <c r="U603" s="684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IFERROR(__xludf.DUMMYFUNCTION("IMPORTRANGE(""https://docs.google.com/spreadsheets/d/1-uDff_7J0KD5mKrp0Vvzr7lt3OU09vwQwhkpOPPYv2Y/edit?usp=sharing"",""งบพรบ!HK56"")"),6610)</f>
        <v>6610</v>
      </c>
      <c r="M604" s="86">
        <f ca="1">IFERROR(__xludf.DUMMYFUNCTION("IMPORTRANGE(""https://docs.google.com/spreadsheets/d/1-uDff_7J0KD5mKrp0Vvzr7lt3OU09vwQwhkpOPPYv2Y/edit?usp=sharing"",""งบพรบ!HP56"")"),6610)</f>
        <v>6610</v>
      </c>
      <c r="N604" s="86">
        <f ca="1">IFERROR(__xludf.DUMMYFUNCTION("IMPORTRANGE(""https://docs.google.com/spreadsheets/d/1-uDff_7J0KD5mKrp0Vvzr7lt3OU09vwQwhkpOPPYv2Y/edit?usp=sharing"",""งบพรบ!HR56"")"),0)</f>
        <v>0</v>
      </c>
      <c r="O604" s="684">
        <f t="shared" ca="1" si="149"/>
        <v>0</v>
      </c>
      <c r="P604" s="684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IFERROR(__xludf.DUMMYFUNCTION("IMPORTRANGE(""https://docs.google.com/spreadsheets/d/1ItG2mGa2ceCfYo0BwxsXqNm01IGEUdYcSSLTEv9YCik/edit?usp=sharing"",""เบิกจ่ายกองทุน!AV56"")"),0)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IFERROR(__xludf.DUMMYFUNCTION("IMPORTRANGE(""https://docs.google.com/spreadsheets/d/1ItG2mGa2ceCfYo0BwxsXqNm01IGEUdYcSSLTEv9YCik/edit?usp=sharing"",""เบิกจ่ายกองทุน!AW56"")"),0)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IFERROR(__xludf.DUMMYFUNCTION("IMPORTRANGE(""https://docs.google.com/spreadsheets/d/1ItG2mGa2ceCfYo0BwxsXqNm01IGEUdYcSSLTEv9YCik/edit?usp=sharing"",""เบิกจ่ายกองทุน!AX56"")"),0)</f>
        <v>0</v>
      </c>
      <c r="T604" s="684">
        <f t="shared" ca="1" si="151"/>
        <v>0</v>
      </c>
      <c r="U604" s="684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3">
        <f ca="1">L606+L607</f>
        <v>0</v>
      </c>
      <c r="M605" s="684">
        <f ca="1">M606+M607</f>
        <v>0</v>
      </c>
      <c r="N605" s="684">
        <f ca="1">N606+N607</f>
        <v>0</v>
      </c>
      <c r="O605" s="684">
        <f t="shared" ca="1" si="149"/>
        <v>0</v>
      </c>
      <c r="P605" s="684">
        <f t="shared" ca="1" si="150"/>
        <v>0</v>
      </c>
      <c r="Q605" s="684">
        <f ca="1">Q606+Q607</f>
        <v>0</v>
      </c>
      <c r="R605" s="684">
        <f ca="1">R606+R607</f>
        <v>0</v>
      </c>
      <c r="S605" s="684">
        <f ca="1">S606+S607</f>
        <v>0</v>
      </c>
      <c r="T605" s="684">
        <f t="shared" ca="1" si="151"/>
        <v>0</v>
      </c>
      <c r="U605" s="684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684">
        <f t="shared" si="149"/>
        <v>0</v>
      </c>
      <c r="P606" s="684">
        <f t="shared" si="150"/>
        <v>0</v>
      </c>
      <c r="Q606" s="86">
        <v>0</v>
      </c>
      <c r="R606" s="86">
        <v>0</v>
      </c>
      <c r="S606" s="86">
        <v>0</v>
      </c>
      <c r="T606" s="684">
        <f t="shared" si="151"/>
        <v>0</v>
      </c>
      <c r="U606" s="684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IFERROR(__xludf.DUMMYFUNCTION("IMPORTRANGE(""https://docs.google.com/spreadsheets/d/1-uDff_7J0KD5mKrp0Vvzr7lt3OU09vwQwhkpOPPYv2Y/edit?usp=sharing"",""งบพรบ!HN56"")"),0)</f>
        <v>0</v>
      </c>
      <c r="M607" s="86">
        <f ca="1">IFERROR(__xludf.DUMMYFUNCTION("IMPORTRANGE(""https://docs.google.com/spreadsheets/d/1-uDff_7J0KD5mKrp0Vvzr7lt3OU09vwQwhkpOPPYv2Y/edit?usp=sharing"",""งบพรบ!HQ56"")"),0)</f>
        <v>0</v>
      </c>
      <c r="N607" s="86">
        <f ca="1">IFERROR(__xludf.DUMMYFUNCTION("IMPORTRANGE(""https://docs.google.com/spreadsheets/d/1-uDff_7J0KD5mKrp0Vvzr7lt3OU09vwQwhkpOPPYv2Y/edit?usp=sharing"",""งบพรบ!HS56"")"),0)</f>
        <v>0</v>
      </c>
      <c r="O607" s="684">
        <f t="shared" ca="1" si="149"/>
        <v>0</v>
      </c>
      <c r="P607" s="684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IFERROR(__xludf.DUMMYFUNCTION("IMPORTRANGE(""https://docs.google.com/spreadsheets/d/1ItG2mGa2ceCfYo0BwxsXqNm01IGEUdYcSSLTEv9YCik/edit?usp=sharing"",""เบิกจ่ายกองทุน!AY56"")"),0)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IFERROR(__xludf.DUMMYFUNCTION("IMPORTRANGE(""https://docs.google.com/spreadsheets/d/1ItG2mGa2ceCfYo0BwxsXqNm01IGEUdYcSSLTEv9YCik/edit?usp=sharing"",""เบิกจ่ายกองทุน!AZ56"")"),0)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IFERROR(__xludf.DUMMYFUNCTION("IMPORTRANGE(""https://docs.google.com/spreadsheets/d/1ItG2mGa2ceCfYo0BwxsXqNm01IGEUdYcSSLTEv9YCik/edit?usp=sharing"",""เบิกจ่ายกองทุน!BA56"")"),0)</f>
        <v>0</v>
      </c>
      <c r="T607" s="684">
        <f t="shared" ca="1" si="151"/>
        <v>0</v>
      </c>
      <c r="U607" s="684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17">
        <f ca="1">I626</f>
        <v>0</v>
      </c>
      <c r="J615" s="1317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212">
        <f>L617+L618</f>
        <v>0</v>
      </c>
      <c r="M616" s="213">
        <f>M617+M618</f>
        <v>0</v>
      </c>
      <c r="N616" s="213">
        <f>N617+N618</f>
        <v>0</v>
      </c>
      <c r="O616" s="213">
        <f t="shared" ref="O616:O624" si="155">IF(L616&gt;0,N616*100/L616,0)</f>
        <v>0</v>
      </c>
      <c r="P616" s="213">
        <f t="shared" ref="P616:P624" si="156">IF(M616&gt;0,N616*100/M616,0)</f>
        <v>0</v>
      </c>
      <c r="Q616" s="213">
        <f ca="1">Q617+Q618</f>
        <v>1875</v>
      </c>
      <c r="R616" s="213">
        <f ca="1">R617+R618</f>
        <v>1875</v>
      </c>
      <c r="S616" s="213">
        <f ca="1">S617+S618</f>
        <v>1875</v>
      </c>
      <c r="T616" s="213">
        <f t="shared" ref="T616:T624" ca="1" si="157">IF(Q616&gt;0,S616*100/Q616,0)</f>
        <v>100</v>
      </c>
      <c r="U616" s="213">
        <f t="shared" ref="U616:U624" ca="1" si="158">IF(R616&gt;0,S616*100/R616,0)</f>
        <v>100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215">
        <f t="shared" ref="L617:N618" si="159">L620+L623</f>
        <v>0</v>
      </c>
      <c r="M617" s="131">
        <f t="shared" si="159"/>
        <v>0</v>
      </c>
      <c r="N617" s="131">
        <f t="shared" si="159"/>
        <v>0</v>
      </c>
      <c r="O617" s="131">
        <f t="shared" si="155"/>
        <v>0</v>
      </c>
      <c r="P617" s="131">
        <f t="shared" si="156"/>
        <v>0</v>
      </c>
      <c r="Q617" s="131">
        <f t="shared" ref="Q617:S618" si="160">Q620+Q623</f>
        <v>0</v>
      </c>
      <c r="R617" s="131">
        <f t="shared" si="160"/>
        <v>0</v>
      </c>
      <c r="S617" s="131">
        <f t="shared" si="160"/>
        <v>0</v>
      </c>
      <c r="T617" s="131">
        <f t="shared" si="157"/>
        <v>0</v>
      </c>
      <c r="U617" s="131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129">
        <f t="shared" si="159"/>
        <v>0</v>
      </c>
      <c r="M618" s="130">
        <f t="shared" si="159"/>
        <v>0</v>
      </c>
      <c r="N618" s="130">
        <f t="shared" si="159"/>
        <v>0</v>
      </c>
      <c r="O618" s="130">
        <f t="shared" si="155"/>
        <v>0</v>
      </c>
      <c r="P618" s="130">
        <f t="shared" si="156"/>
        <v>0</v>
      </c>
      <c r="Q618" s="130">
        <f t="shared" ca="1" si="160"/>
        <v>1875</v>
      </c>
      <c r="R618" s="130">
        <f t="shared" ca="1" si="160"/>
        <v>1875</v>
      </c>
      <c r="S618" s="130">
        <f t="shared" ca="1" si="160"/>
        <v>1875</v>
      </c>
      <c r="T618" s="130">
        <f t="shared" ca="1" si="157"/>
        <v>100</v>
      </c>
      <c r="U618" s="130">
        <f t="shared" ca="1" si="158"/>
        <v>100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129">
        <f>L620+L621</f>
        <v>0</v>
      </c>
      <c r="M619" s="130">
        <f>M620+M621</f>
        <v>0</v>
      </c>
      <c r="N619" s="130">
        <f>N620+N621</f>
        <v>0</v>
      </c>
      <c r="O619" s="130">
        <f t="shared" si="155"/>
        <v>0</v>
      </c>
      <c r="P619" s="130">
        <f t="shared" si="156"/>
        <v>0</v>
      </c>
      <c r="Q619" s="130">
        <f ca="1">Q620+Q621</f>
        <v>1875</v>
      </c>
      <c r="R619" s="130">
        <f ca="1">R620+R621</f>
        <v>1875</v>
      </c>
      <c r="S619" s="130">
        <f ca="1">S620+S621</f>
        <v>1875</v>
      </c>
      <c r="T619" s="130">
        <f t="shared" ca="1" si="157"/>
        <v>100</v>
      </c>
      <c r="U619" s="130">
        <f t="shared" ca="1" si="158"/>
        <v>100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131">
        <f t="shared" si="155"/>
        <v>0</v>
      </c>
      <c r="P620" s="131">
        <f t="shared" si="156"/>
        <v>0</v>
      </c>
      <c r="Q620" s="75">
        <v>0</v>
      </c>
      <c r="R620" s="75">
        <v>0</v>
      </c>
      <c r="S620" s="75">
        <v>0</v>
      </c>
      <c r="T620" s="131">
        <f t="shared" si="157"/>
        <v>0</v>
      </c>
      <c r="U620" s="131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130">
        <f t="shared" si="155"/>
        <v>0</v>
      </c>
      <c r="P621" s="130">
        <f t="shared" si="156"/>
        <v>0</v>
      </c>
      <c r="Q621" s="130">
        <f ca="1">IFERROR(__xludf.DUMMYFUNCTION("IMPORTRANGE(""https://docs.google.com/spreadsheets/d/1ItG2mGa2ceCfYo0BwxsXqNm01IGEUdYcSSLTEv9YCik/edit?usp=sharing"",""เบิกจ่ายกองทุน!F56"")"),1875)</f>
        <v>1875</v>
      </c>
      <c r="R621" s="130">
        <f ca="1">IFERROR(__xludf.DUMMYFUNCTION("IMPORTRANGE(""https://docs.google.com/spreadsheets/d/1ItG2mGa2ceCfYo0BwxsXqNm01IGEUdYcSSLTEv9YCik/edit?usp=sharing"",""เบิกจ่ายกองทุน!G56"")"),1875)</f>
        <v>1875</v>
      </c>
      <c r="S621" s="130">
        <f ca="1">IFERROR(__xludf.DUMMYFUNCTION("IMPORTRANGE(""https://docs.google.com/spreadsheets/d/1ItG2mGa2ceCfYo0BwxsXqNm01IGEUdYcSSLTEv9YCik/edit?usp=sharing"",""เบิกจ่ายกองทุน!H56"")"),1875)</f>
        <v>1875</v>
      </c>
      <c r="T621" s="130">
        <f t="shared" ca="1" si="157"/>
        <v>100</v>
      </c>
      <c r="U621" s="130">
        <f t="shared" ca="1" si="158"/>
        <v>100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129">
        <f>L623+L624</f>
        <v>0</v>
      </c>
      <c r="M622" s="130">
        <f>M623+M624</f>
        <v>0</v>
      </c>
      <c r="N622" s="130">
        <f>N623+N624</f>
        <v>0</v>
      </c>
      <c r="O622" s="130">
        <f t="shared" si="155"/>
        <v>0</v>
      </c>
      <c r="P622" s="130">
        <f t="shared" si="156"/>
        <v>0</v>
      </c>
      <c r="Q622" s="130">
        <f>Q623+Q624</f>
        <v>0</v>
      </c>
      <c r="R622" s="130">
        <f>R623+R624</f>
        <v>0</v>
      </c>
      <c r="S622" s="130">
        <f>S623+S624</f>
        <v>0</v>
      </c>
      <c r="T622" s="130">
        <f t="shared" si="157"/>
        <v>0</v>
      </c>
      <c r="U622" s="130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131">
        <f t="shared" si="155"/>
        <v>0</v>
      </c>
      <c r="P623" s="131">
        <f t="shared" si="156"/>
        <v>0</v>
      </c>
      <c r="Q623" s="75">
        <v>0</v>
      </c>
      <c r="R623" s="75">
        <v>0</v>
      </c>
      <c r="S623" s="75">
        <v>0</v>
      </c>
      <c r="T623" s="131">
        <f t="shared" si="157"/>
        <v>0</v>
      </c>
      <c r="U623" s="131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130">
        <f t="shared" si="155"/>
        <v>0</v>
      </c>
      <c r="P624" s="130">
        <f t="shared" si="156"/>
        <v>0</v>
      </c>
      <c r="Q624" s="72">
        <v>0</v>
      </c>
      <c r="R624" s="72">
        <v>0</v>
      </c>
      <c r="S624" s="72">
        <v>0</v>
      </c>
      <c r="T624" s="130">
        <f t="shared" si="157"/>
        <v>0</v>
      </c>
      <c r="U624" s="130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1135">
        <f ca="1">IFERROR(__xludf.DUMMYFUNCTION("IMPORTRANGE(""https://docs.google.com/spreadsheets/d/1eHaY18a8A9IcSdp1K8H6x8fbOy06t2VsZHhMHf-1x7Y/edit?usp=sharing"",""แผน!ID56"")"),0)</f>
        <v>0</v>
      </c>
      <c r="J626" s="1134">
        <f>J632</f>
        <v>0</v>
      </c>
      <c r="K626" s="385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866">
        <f ca="1">IFERROR(__xludf.DUMMYFUNCTION("IMPORTRANGE(""https://docs.google.com/spreadsheets/d/1eHaY18a8A9IcSdp1K8H6x8fbOy06t2VsZHhMHf-1x7Y/edit?usp=sharing"",""แผน!IC56"")"),1)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866">
        <f ca="1">IFERROR(__xludf.DUMMYFUNCTION("IMPORTRANGE(""https://docs.google.com/spreadsheets/d/1eHaY18a8A9IcSdp1K8H6x8fbOy06t2VsZHhMHf-1x7Y/edit?usp=sharing"",""แผน!IC56"")"),1)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1074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1074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1074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1074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1074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1074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870">
        <f ca="1">IFERROR(__xludf.DUMMYFUNCTION("IMPORTRANGE(""https://docs.google.com/spreadsheets/d/1eHaY18a8A9IcSdp1K8H6x8fbOy06t2VsZHhMHf-1x7Y/edit?usp=sharing"",""แผน!IE56"")"),0)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1074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1074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1074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1074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1074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hidden="1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212">
        <f>L643+L644</f>
        <v>0</v>
      </c>
      <c r="M642" s="213">
        <f>M643+M644</f>
        <v>0</v>
      </c>
      <c r="N642" s="213">
        <f>N643+N644</f>
        <v>0</v>
      </c>
      <c r="O642" s="213">
        <f t="shared" ref="O642:O650" si="161">IF(L642&gt;0,N642*100/L642,0)</f>
        <v>0</v>
      </c>
      <c r="P642" s="213">
        <f t="shared" ref="P642:P650" si="162">IF(M642&gt;0,N642*100/M642,0)</f>
        <v>0</v>
      </c>
      <c r="Q642" s="213">
        <f ca="1">Q643+Q644</f>
        <v>0</v>
      </c>
      <c r="R642" s="213">
        <f ca="1">R643+R644</f>
        <v>0</v>
      </c>
      <c r="S642" s="213">
        <f ca="1">S643+S644</f>
        <v>0</v>
      </c>
      <c r="T642" s="213">
        <f t="shared" ref="T642:T650" ca="1" si="163">IF(Q642&gt;0,S642*100/Q642,0)</f>
        <v>0</v>
      </c>
      <c r="U642" s="213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215">
        <f t="shared" ref="L643:N644" si="165">L646+L649</f>
        <v>0</v>
      </c>
      <c r="M643" s="131">
        <f t="shared" si="165"/>
        <v>0</v>
      </c>
      <c r="N643" s="131">
        <f t="shared" si="165"/>
        <v>0</v>
      </c>
      <c r="O643" s="131">
        <f t="shared" si="161"/>
        <v>0</v>
      </c>
      <c r="P643" s="131">
        <f t="shared" si="162"/>
        <v>0</v>
      </c>
      <c r="Q643" s="131">
        <f t="shared" ref="Q643:S644" si="166">Q646+Q649</f>
        <v>0</v>
      </c>
      <c r="R643" s="131">
        <f t="shared" si="166"/>
        <v>0</v>
      </c>
      <c r="S643" s="131">
        <f t="shared" si="166"/>
        <v>0</v>
      </c>
      <c r="T643" s="131">
        <f t="shared" si="163"/>
        <v>0</v>
      </c>
      <c r="U643" s="131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129">
        <f t="shared" si="165"/>
        <v>0</v>
      </c>
      <c r="M644" s="130">
        <f t="shared" si="165"/>
        <v>0</v>
      </c>
      <c r="N644" s="130">
        <f t="shared" si="165"/>
        <v>0</v>
      </c>
      <c r="O644" s="130">
        <f t="shared" si="161"/>
        <v>0</v>
      </c>
      <c r="P644" s="130">
        <f t="shared" si="162"/>
        <v>0</v>
      </c>
      <c r="Q644" s="130">
        <f t="shared" ca="1" si="166"/>
        <v>0</v>
      </c>
      <c r="R644" s="130">
        <f t="shared" ca="1" si="166"/>
        <v>0</v>
      </c>
      <c r="S644" s="130">
        <f t="shared" ca="1" si="166"/>
        <v>0</v>
      </c>
      <c r="T644" s="130">
        <f t="shared" ca="1" si="163"/>
        <v>0</v>
      </c>
      <c r="U644" s="130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129">
        <f>L646+L647</f>
        <v>0</v>
      </c>
      <c r="M645" s="130">
        <f>M646+M647</f>
        <v>0</v>
      </c>
      <c r="N645" s="130">
        <f>N646+N647</f>
        <v>0</v>
      </c>
      <c r="O645" s="130">
        <f t="shared" si="161"/>
        <v>0</v>
      </c>
      <c r="P645" s="130">
        <f t="shared" si="162"/>
        <v>0</v>
      </c>
      <c r="Q645" s="130">
        <f ca="1">Q646+Q647</f>
        <v>0</v>
      </c>
      <c r="R645" s="130">
        <f ca="1">R646+R647</f>
        <v>0</v>
      </c>
      <c r="S645" s="130">
        <f ca="1">S646+S647</f>
        <v>0</v>
      </c>
      <c r="T645" s="130">
        <f t="shared" ca="1" si="163"/>
        <v>0</v>
      </c>
      <c r="U645" s="130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131">
        <f t="shared" si="161"/>
        <v>0</v>
      </c>
      <c r="P646" s="131">
        <f t="shared" si="162"/>
        <v>0</v>
      </c>
      <c r="Q646" s="75">
        <v>0</v>
      </c>
      <c r="R646" s="75">
        <v>0</v>
      </c>
      <c r="S646" s="75">
        <v>0</v>
      </c>
      <c r="T646" s="131">
        <f t="shared" si="163"/>
        <v>0</v>
      </c>
      <c r="U646" s="131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130">
        <f t="shared" si="161"/>
        <v>0</v>
      </c>
      <c r="P647" s="130">
        <f t="shared" si="162"/>
        <v>0</v>
      </c>
      <c r="Q647" s="130">
        <f ca="1">IFERROR(__xludf.DUMMYFUNCTION("IMPORTRANGE(""https://docs.google.com/spreadsheets/d/1ItG2mGa2ceCfYo0BwxsXqNm01IGEUdYcSSLTEv9YCik/edit?usp=sharing"",""เบิกจ่ายกองทุน!I56"")"),0)</f>
        <v>0</v>
      </c>
      <c r="R647" s="130">
        <f ca="1">IFERROR(__xludf.DUMMYFUNCTION("IMPORTRANGE(""https://docs.google.com/spreadsheets/d/1ItG2mGa2ceCfYo0BwxsXqNm01IGEUdYcSSLTEv9YCik/edit?usp=sharing"",""เบิกจ่ายกองทุน!J56"")"),0)</f>
        <v>0</v>
      </c>
      <c r="S647" s="130">
        <f ca="1">IFERROR(__xludf.DUMMYFUNCTION("IMPORTRANGE(""https://docs.google.com/spreadsheets/d/1ItG2mGa2ceCfYo0BwxsXqNm01IGEUdYcSSLTEv9YCik/edit?usp=sharing"",""เบิกจ่ายกองทุน!K56"")"),0)</f>
        <v>0</v>
      </c>
      <c r="T647" s="130">
        <f t="shared" ca="1" si="163"/>
        <v>0</v>
      </c>
      <c r="U647" s="130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129">
        <f>L649+L650</f>
        <v>0</v>
      </c>
      <c r="M648" s="130">
        <f>M649+M650</f>
        <v>0</v>
      </c>
      <c r="N648" s="130">
        <f>N649+N650</f>
        <v>0</v>
      </c>
      <c r="O648" s="130">
        <f t="shared" si="161"/>
        <v>0</v>
      </c>
      <c r="P648" s="130">
        <f t="shared" si="162"/>
        <v>0</v>
      </c>
      <c r="Q648" s="130">
        <f>Q649+Q650</f>
        <v>0</v>
      </c>
      <c r="R648" s="130">
        <f>R649+R650</f>
        <v>0</v>
      </c>
      <c r="S648" s="130">
        <f>S649+S650</f>
        <v>0</v>
      </c>
      <c r="T648" s="130">
        <f t="shared" si="163"/>
        <v>0</v>
      </c>
      <c r="U648" s="130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131">
        <f t="shared" si="161"/>
        <v>0</v>
      </c>
      <c r="P649" s="131">
        <f t="shared" si="162"/>
        <v>0</v>
      </c>
      <c r="Q649" s="75">
        <v>0</v>
      </c>
      <c r="R649" s="75">
        <v>0</v>
      </c>
      <c r="S649" s="75">
        <v>0</v>
      </c>
      <c r="T649" s="131">
        <f t="shared" si="163"/>
        <v>0</v>
      </c>
      <c r="U649" s="131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130">
        <f t="shared" si="161"/>
        <v>0</v>
      </c>
      <c r="P650" s="130">
        <f t="shared" si="162"/>
        <v>0</v>
      </c>
      <c r="Q650" s="72">
        <v>0</v>
      </c>
      <c r="R650" s="72">
        <v>0</v>
      </c>
      <c r="S650" s="72">
        <v>0</v>
      </c>
      <c r="T650" s="130">
        <f t="shared" si="163"/>
        <v>0</v>
      </c>
      <c r="U650" s="130">
        <f t="shared" si="164"/>
        <v>0</v>
      </c>
    </row>
    <row r="651" spans="1:21" ht="19.5" hidden="1" x14ac:dyDescent="0.3">
      <c r="A651" s="274"/>
      <c r="B651" s="275"/>
      <c r="C651" s="567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IFERROR(__xludf.DUMMYFUNCTION("IMPORTRANGE(""https://docs.google.com/spreadsheets/d/1eHaY18a8A9IcSdp1K8H6x8fbOy06t2VsZHhMHf-1x7Y/edit?usp=sharing"",""แผน!IF56"")"),0)</f>
        <v>0</v>
      </c>
      <c r="J652" s="291">
        <f ca="1">IFERROR(__xludf.DUMMYFUNCTION("IMPORTRANGE(""https://docs.google.com/spreadsheets/d/1tdoBKaGub7dwA3U6UFTqxio9LNnvDCQjHKmttSEBsFQ/edit?usp=sharing"",""จัดที่ดิน!AU56"")"),0)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IFERROR(__xludf.DUMMYFUNCTION("IMPORTRANGE(""https://docs.google.com/spreadsheets/d/1eHaY18a8A9IcSdp1K8H6x8fbOy06t2VsZHhMHf-1x7Y/edit?usp=sharing"",""แผน!IG56"")"),0)</f>
        <v>0</v>
      </c>
      <c r="J653" s="291">
        <f ca="1">IFERROR(__xludf.DUMMYFUNCTION("IMPORTRANGE(""https://docs.google.com/spreadsheets/d/1tdoBKaGub7dwA3U6UFTqxio9LNnvDCQjHKmttSEBsFQ/edit?usp=sharing"",""จัดที่ดิน!AW56"")"),0)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IFERROR(__xludf.DUMMYFUNCTION("IMPORTRANGE(""https://docs.google.com/spreadsheets/d/1eHaY18a8A9IcSdp1K8H6x8fbOy06t2VsZHhMHf-1x7Y/edit?usp=sharing"",""แผน!IH56"")"),0)</f>
        <v>0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IFERROR(__xludf.DUMMYFUNCTION("IMPORTRANGE(""https://docs.google.com/spreadsheets/d/1eHaY18a8A9IcSdp1K8H6x8fbOy06t2VsZHhMHf-1x7Y/edit?usp=sharing"",""แผน!II56"")"),0)</f>
        <v>0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IFERROR(__xludf.DUMMYFUNCTION("IMPORTRANGE(""https://docs.google.com/spreadsheets/d/1eHaY18a8A9IcSdp1K8H6x8fbOy06t2VsZHhMHf-1x7Y/edit?usp=sharing"",""แผน!IJ56"")"),0)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IFERROR(__xludf.DUMMYFUNCTION("IMPORTRANGE(""https://docs.google.com/spreadsheets/d/1eHaY18a8A9IcSdp1K8H6x8fbOy06t2VsZHhMHf-1x7Y/edit?usp=sharing"",""แผน!IK56"")"),0)</f>
        <v>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IFERROR(__xludf.DUMMYFUNCTION("IMPORTRANGE(""https://docs.google.com/spreadsheets/d/1tdoBKaGub7dwA3U6UFTqxio9LNnvDCQjHKmttSEBsFQ/edit?usp=sharing"",""จัดที่ดิน!AY56"")"),0)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IFERROR(__xludf.DUMMYFUNCTION("IMPORTRANGE(""https://docs.google.com/spreadsheets/d/1tdoBKaGub7dwA3U6UFTqxio9LNnvDCQjHKmttSEBsFQ/edit?usp=sharing"",""จัดที่ดิน!AZ56"")"),0)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IFERROR(__xludf.DUMMYFUNCTION("IMPORTRANGE(""https://docs.google.com/spreadsheets/d/1eHaY18a8A9IcSdp1K8H6x8fbOy06t2VsZHhMHf-1x7Y/edit?usp=sharing"",""แผน!IL56"")"),0)</f>
        <v>0</v>
      </c>
      <c r="J673" s="291">
        <f ca="1">IFERROR(__xludf.DUMMYFUNCTION("IMPORTRANGE(""https://docs.google.com/spreadsheets/d/1tdoBKaGub7dwA3U6UFTqxio9LNnvDCQjHKmttSEBsFQ/edit?usp=sharing"",""จัดที่ดิน!BA56"")"),0)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IFERROR(__xludf.DUMMYFUNCTION("IMPORTRANGE(""https://docs.google.com/spreadsheets/d/1eHaY18a8A9IcSdp1K8H6x8fbOy06t2VsZHhMHf-1x7Y/edit?usp=sharing"",""แผน!IM56"")"),0)</f>
        <v>0</v>
      </c>
      <c r="J674" s="601">
        <f ca="1">J676+J679</f>
        <v>0</v>
      </c>
      <c r="K674" s="262">
        <f ca="1">IF(I674&gt;0,J674*100/I674,0)</f>
        <v>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IFERROR(__xludf.DUMMYFUNCTION("IMPORTRANGE(""https://docs.google.com/spreadsheets/d/1eHaY18a8A9IcSdp1K8H6x8fbOy06t2VsZHhMHf-1x7Y/edit?usp=sharing"",""แผน!IN56"")"),0)</f>
        <v>0</v>
      </c>
      <c r="J675" s="601">
        <f ca="1">J678+J681</f>
        <v>0</v>
      </c>
      <c r="K675" s="262">
        <f ca="1">IF(I675&gt;0,J675*100/I675,0)</f>
        <v>0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IFERROR(__xludf.DUMMYFUNCTION("IMPORTRANGE(""https://docs.google.com/spreadsheets/d/1eHaY18a8A9IcSdp1K8H6x8fbOy06t2VsZHhMHf-1x7Y/edit?usp=sharing"",""แผน!IO56"")"),0)</f>
        <v>0</v>
      </c>
      <c r="J676" s="291">
        <f ca="1">IFERROR(__xludf.DUMMYFUNCTION("IMPORTRANGE(""https://docs.google.com/spreadsheets/d/1tdoBKaGub7dwA3U6UFTqxio9LNnvDCQjHKmttSEBsFQ/edit?usp=sharing"",""จัดที่ดิน!BF56"")"),0)</f>
        <v>0</v>
      </c>
      <c r="K676" s="72">
        <f ca="1">IF(I676&gt;0,J676*100/I676,0)</f>
        <v>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IFERROR(__xludf.DUMMYFUNCTION("IMPORTRANGE(""https://docs.google.com/spreadsheets/d/1tdoBKaGub7dwA3U6UFTqxio9LNnvDCQjHKmttSEBsFQ/edit?usp=sharing"",""จัดที่ดิน!BG56"")"),0)</f>
        <v>0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IFERROR(__xludf.DUMMYFUNCTION("IMPORTRANGE(""https://docs.google.com/spreadsheets/d/1eHaY18a8A9IcSdp1K8H6x8fbOy06t2VsZHhMHf-1x7Y/edit?usp=sharing"",""แผน!IP56"")"),0)</f>
        <v>0</v>
      </c>
      <c r="J678" s="291">
        <f ca="1">IFERROR(__xludf.DUMMYFUNCTION("IMPORTRANGE(""https://docs.google.com/spreadsheets/d/1tdoBKaGub7dwA3U6UFTqxio9LNnvDCQjHKmttSEBsFQ/edit?usp=sharing"",""จัดที่ดิน!BH56"")"),0)</f>
        <v>0</v>
      </c>
      <c r="K678" s="72">
        <f ca="1">IF(I678&gt;0,J678*100/I678,0)</f>
        <v>0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IFERROR(__xludf.DUMMYFUNCTION("IMPORTRANGE(""https://docs.google.com/spreadsheets/d/1eHaY18a8A9IcSdp1K8H6x8fbOy06t2VsZHhMHf-1x7Y/edit?usp=sharing"",""แผน!IQ56"")"),0)</f>
        <v>0</v>
      </c>
      <c r="J679" s="291">
        <f ca="1">IFERROR(__xludf.DUMMYFUNCTION("IMPORTRANGE(""https://docs.google.com/spreadsheets/d/1tdoBKaGub7dwA3U6UFTqxio9LNnvDCQjHKmttSEBsFQ/edit?usp=sharing"",""จัดที่ดิน!BK56"")"),0)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IFERROR(__xludf.DUMMYFUNCTION("IMPORTRANGE(""https://docs.google.com/spreadsheets/d/1tdoBKaGub7dwA3U6UFTqxio9LNnvDCQjHKmttSEBsFQ/edit?usp=sharing"",""จัดที่ดิน!BL56"")"),0)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IFERROR(__xludf.DUMMYFUNCTION("IMPORTRANGE(""https://docs.google.com/spreadsheets/d/1eHaY18a8A9IcSdp1K8H6x8fbOy06t2VsZHhMHf-1x7Y/edit?usp=sharing"",""แผน!IR56"")"),0)</f>
        <v>0</v>
      </c>
      <c r="J681" s="291">
        <f ca="1">IFERROR(__xludf.DUMMYFUNCTION("IMPORTRANGE(""https://docs.google.com/spreadsheets/d/1tdoBKaGub7dwA3U6UFTqxio9LNnvDCQjHKmttSEBsFQ/edit?usp=sharing"",""จัดที่ดิน!BM56"")"),0)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IFERROR(__xludf.DUMMYFUNCTION("IMPORTRANGE(""https://docs.google.com/spreadsheets/d/1eHaY18a8A9IcSdp1K8H6x8fbOy06t2VsZHhMHf-1x7Y/edit?usp=sharing"",""แผน!IS56"")"),0)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65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212">
        <f>L691+L692</f>
        <v>0</v>
      </c>
      <c r="M690" s="213">
        <f>M691+M692</f>
        <v>0</v>
      </c>
      <c r="N690" s="213">
        <f>N691+N692</f>
        <v>0</v>
      </c>
      <c r="O690" s="213">
        <f t="shared" ref="O690:O698" si="167">IF(L690&gt;0,N690*100/L690,0)</f>
        <v>0</v>
      </c>
      <c r="P690" s="213">
        <f t="shared" ref="P690:P698" si="168">IF(M690&gt;0,N690*100/M690,0)</f>
        <v>0</v>
      </c>
      <c r="Q690" s="213">
        <f ca="1">Q691+Q692</f>
        <v>169770</v>
      </c>
      <c r="R690" s="213">
        <f ca="1">R691+R692</f>
        <v>169770</v>
      </c>
      <c r="S690" s="213">
        <f ca="1">S691+S692</f>
        <v>55985</v>
      </c>
      <c r="T690" s="213">
        <f t="shared" ref="T690:T698" ca="1" si="169">IF(Q690&gt;0,S690*100/Q690,0)</f>
        <v>32.976968840195561</v>
      </c>
      <c r="U690" s="213">
        <f t="shared" ref="U690:U698" ca="1" si="170">IF(R690&gt;0,S690*100/R690,0)</f>
        <v>32.976968840195561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215">
        <f t="shared" ref="L691:N692" si="171">L694+L697</f>
        <v>0</v>
      </c>
      <c r="M691" s="131">
        <f t="shared" si="171"/>
        <v>0</v>
      </c>
      <c r="N691" s="131">
        <f t="shared" si="171"/>
        <v>0</v>
      </c>
      <c r="O691" s="131">
        <f t="shared" si="167"/>
        <v>0</v>
      </c>
      <c r="P691" s="131">
        <f t="shared" si="168"/>
        <v>0</v>
      </c>
      <c r="Q691" s="131">
        <f t="shared" ref="Q691:S692" si="172">Q694+Q697</f>
        <v>0</v>
      </c>
      <c r="R691" s="131">
        <f t="shared" si="172"/>
        <v>0</v>
      </c>
      <c r="S691" s="131">
        <f t="shared" si="172"/>
        <v>0</v>
      </c>
      <c r="T691" s="131">
        <f t="shared" si="169"/>
        <v>0</v>
      </c>
      <c r="U691" s="131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129">
        <f t="shared" si="171"/>
        <v>0</v>
      </c>
      <c r="M692" s="130">
        <f t="shared" si="171"/>
        <v>0</v>
      </c>
      <c r="N692" s="130">
        <f t="shared" si="171"/>
        <v>0</v>
      </c>
      <c r="O692" s="130">
        <f t="shared" si="167"/>
        <v>0</v>
      </c>
      <c r="P692" s="130">
        <f t="shared" si="168"/>
        <v>0</v>
      </c>
      <c r="Q692" s="130">
        <f t="shared" ca="1" si="172"/>
        <v>169770</v>
      </c>
      <c r="R692" s="130">
        <f t="shared" ca="1" si="172"/>
        <v>169770</v>
      </c>
      <c r="S692" s="130">
        <f t="shared" ca="1" si="172"/>
        <v>55985</v>
      </c>
      <c r="T692" s="130">
        <f t="shared" ca="1" si="169"/>
        <v>32.976968840195561</v>
      </c>
      <c r="U692" s="130">
        <f t="shared" ca="1" si="170"/>
        <v>32.976968840195561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129">
        <f>L694+L695</f>
        <v>0</v>
      </c>
      <c r="M693" s="130">
        <f>M694+M695</f>
        <v>0</v>
      </c>
      <c r="N693" s="130">
        <f>N694+N695</f>
        <v>0</v>
      </c>
      <c r="O693" s="130">
        <f t="shared" si="167"/>
        <v>0</v>
      </c>
      <c r="P693" s="130">
        <f t="shared" si="168"/>
        <v>0</v>
      </c>
      <c r="Q693" s="130">
        <f ca="1">Q694+Q695</f>
        <v>169770</v>
      </c>
      <c r="R693" s="130">
        <f ca="1">R694+R695</f>
        <v>169770</v>
      </c>
      <c r="S693" s="130">
        <f ca="1">S694+S695</f>
        <v>55985</v>
      </c>
      <c r="T693" s="130">
        <f t="shared" ca="1" si="169"/>
        <v>32.976968840195561</v>
      </c>
      <c r="U693" s="130">
        <f t="shared" ca="1" si="170"/>
        <v>32.976968840195561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131">
        <f t="shared" si="167"/>
        <v>0</v>
      </c>
      <c r="P694" s="131">
        <f t="shared" si="168"/>
        <v>0</v>
      </c>
      <c r="Q694" s="75">
        <v>0</v>
      </c>
      <c r="R694" s="75">
        <v>0</v>
      </c>
      <c r="S694" s="75">
        <v>0</v>
      </c>
      <c r="T694" s="131">
        <f t="shared" si="169"/>
        <v>0</v>
      </c>
      <c r="U694" s="131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130">
        <f t="shared" si="167"/>
        <v>0</v>
      </c>
      <c r="P695" s="130">
        <f t="shared" si="168"/>
        <v>0</v>
      </c>
      <c r="Q695" s="130">
        <f ca="1">IFERROR(__xludf.DUMMYFUNCTION("IMPORTRANGE(""https://docs.google.com/spreadsheets/d/1ItG2mGa2ceCfYo0BwxsXqNm01IGEUdYcSSLTEv9YCik/edit?usp=sharing"",""เบิกจ่ายกองทุน!L56"")"),169770)</f>
        <v>169770</v>
      </c>
      <c r="R695" s="130">
        <f ca="1">IFERROR(__xludf.DUMMYFUNCTION("IMPORTRANGE(""https://docs.google.com/spreadsheets/d/1ItG2mGa2ceCfYo0BwxsXqNm01IGEUdYcSSLTEv9YCik/edit?usp=sharing"",""เบิกจ่ายกองทุน!M56"")"),169770)</f>
        <v>169770</v>
      </c>
      <c r="S695" s="130">
        <f ca="1">IFERROR(__xludf.DUMMYFUNCTION("IMPORTRANGE(""https://docs.google.com/spreadsheets/d/1ItG2mGa2ceCfYo0BwxsXqNm01IGEUdYcSSLTEv9YCik/edit?usp=sharing"",""เบิกจ่ายกองทุน!N56"")"),55985)</f>
        <v>55985</v>
      </c>
      <c r="T695" s="130">
        <f t="shared" ca="1" si="169"/>
        <v>32.976968840195561</v>
      </c>
      <c r="U695" s="130">
        <f t="shared" ca="1" si="170"/>
        <v>32.976968840195561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129">
        <f>L697+L698</f>
        <v>0</v>
      </c>
      <c r="M696" s="130">
        <f>M697+M698</f>
        <v>0</v>
      </c>
      <c r="N696" s="130">
        <f>N697+N698</f>
        <v>0</v>
      </c>
      <c r="O696" s="130">
        <f t="shared" si="167"/>
        <v>0</v>
      </c>
      <c r="P696" s="130">
        <f t="shared" si="168"/>
        <v>0</v>
      </c>
      <c r="Q696" s="130">
        <f>Q697+Q698</f>
        <v>0</v>
      </c>
      <c r="R696" s="130">
        <f>R697+R698</f>
        <v>0</v>
      </c>
      <c r="S696" s="130">
        <f>S697+S698</f>
        <v>0</v>
      </c>
      <c r="T696" s="130">
        <f t="shared" si="169"/>
        <v>0</v>
      </c>
      <c r="U696" s="130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131">
        <f t="shared" si="167"/>
        <v>0</v>
      </c>
      <c r="P697" s="131">
        <f t="shared" si="168"/>
        <v>0</v>
      </c>
      <c r="Q697" s="75">
        <v>0</v>
      </c>
      <c r="R697" s="75">
        <v>0</v>
      </c>
      <c r="S697" s="75">
        <v>0</v>
      </c>
      <c r="T697" s="131">
        <f t="shared" si="169"/>
        <v>0</v>
      </c>
      <c r="U697" s="131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130">
        <f t="shared" si="167"/>
        <v>0</v>
      </c>
      <c r="P698" s="130">
        <f t="shared" si="168"/>
        <v>0</v>
      </c>
      <c r="Q698" s="72">
        <v>0</v>
      </c>
      <c r="R698" s="72">
        <v>0</v>
      </c>
      <c r="S698" s="72">
        <v>0</v>
      </c>
      <c r="T698" s="130">
        <f t="shared" si="169"/>
        <v>0</v>
      </c>
      <c r="U698" s="130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IFERROR(__xludf.DUMMYFUNCTION("IMPORTRANGE(""https://docs.google.com/spreadsheets/d/1eHaY18a8A9IcSdp1K8H6x8fbOy06t2VsZHhMHf-1x7Y/edit?usp=sharing"",""แผน!LC56"")"),0)</f>
        <v>0</v>
      </c>
      <c r="J700" s="292">
        <v>0</v>
      </c>
      <c r="K700" s="746">
        <f t="shared" ref="K700:K708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IFERROR(__xludf.DUMMYFUNCTION("IMPORTRANGE(""https://docs.google.com/spreadsheets/d/1eHaY18a8A9IcSdp1K8H6x8fbOy06t2VsZHhMHf-1x7Y/edit?usp=sharing"",""แผน!LI56"")"),68)</f>
        <v>68</v>
      </c>
      <c r="J701" s="601">
        <f ca="1">IFERROR(__xludf.DUMMYFUNCTION("IMPORTRANGE(""https://docs.google.com/spreadsheets/d/1tdoBKaGub7dwA3U6UFTqxio9LNnvDCQjHKmttSEBsFQ/edit?usp=sharing"",""จัดที่ดิน!AP56"")"),7)</f>
        <v>7</v>
      </c>
      <c r="K701" s="262">
        <f t="shared" ca="1" si="173"/>
        <v>10.294117647058824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IFERROR(__xludf.DUMMYFUNCTION("IMPORTRANGE(""https://docs.google.com/spreadsheets/d/1tdoBKaGub7dwA3U6UFTqxio9LNnvDCQjHKmttSEBsFQ/edit?usp=sharing"",""จัดที่ดิน!AQ56"")"),8.47)</f>
        <v>8.4700000000000006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IFERROR(__xludf.DUMMYFUNCTION("IMPORTRANGE(""https://docs.google.com/spreadsheets/d/1eHaY18a8A9IcSdp1K8H6x8fbOy06t2VsZHhMHf-1x7Y/edit?usp=sharing"",""แผน!LJ56"")"),65)</f>
        <v>65</v>
      </c>
      <c r="J703" s="291">
        <f ca="1">IFERROR(__xludf.DUMMYFUNCTION("IMPORTRANGE(""https://docs.google.com/spreadsheets/d/1tdoBKaGub7dwA3U6UFTqxio9LNnvDCQjHKmttSEBsFQ/edit?usp=sharing"",""จัดที่ดิน!AP56"")"),7)</f>
        <v>7</v>
      </c>
      <c r="K703" s="72">
        <f t="shared" ca="1" si="173"/>
        <v>10.76923076923077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IFERROR(__xludf.DUMMYFUNCTION("IMPORTRANGE(""https://docs.google.com/spreadsheets/d/1tdoBKaGub7dwA3U6UFTqxio9LNnvDCQjHKmttSEBsFQ/edit?usp=sharing"",""จัดที่ดิน!AP56"")"),7)</f>
        <v>7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IFERROR(__xludf.DUMMYFUNCTION("IMPORTRANGE(""https://docs.google.com/spreadsheets/d/1eHaY18a8A9IcSdp1K8H6x8fbOy06t2VsZHhMHf-1x7Y/edit?usp=sharing"",""แผน!LK56"")"),3)</f>
        <v>3</v>
      </c>
      <c r="J705" s="291">
        <f ca="1">IFERROR(__xludf.DUMMYFUNCTION("IMPORTRANGE(""https://docs.google.com/spreadsheets/d/1tdoBKaGub7dwA3U6UFTqxio9LNnvDCQjHKmttSEBsFQ/edit?usp=sharing"",""จัดที่ดิน!AQ56"")"),8.47)</f>
        <v>8.4700000000000006</v>
      </c>
      <c r="K705" s="746">
        <f t="shared" ca="1" si="173"/>
        <v>282.33333333333337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IFERROR(__xludf.DUMMYFUNCTION("IMPORTRANGE(""https://docs.google.com/spreadsheets/d/1tdoBKaGub7dwA3U6UFTqxio9LNnvDCQjHKmttSEBsFQ/edit?usp=sharing"",""จัดที่ดิน!AP56"")"),7)</f>
        <v>7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IFERROR(__xludf.DUMMYFUNCTION("IMPORTRANGE(""https://docs.google.com/spreadsheets/d/1eHaY18a8A9IcSdp1K8H6x8fbOy06t2VsZHhMHf-1x7Y/edit?usp=sharing"",""แผน!LJ56"")"),65)</f>
        <v>65</v>
      </c>
      <c r="J707" s="291">
        <f ca="1">IFERROR(__xludf.DUMMYFUNCTION("IMPORTRANGE(""https://docs.google.com/spreadsheets/d/1tdoBKaGub7dwA3U6UFTqxio9LNnvDCQjHKmttSEBsFQ/edit?usp=sharing"",""จัดที่ดิน!AR56"")"),0)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IFERROR(__xludf.DUMMYFUNCTION("IMPORTRANGE(""https://docs.google.com/spreadsheets/d/1tdoBKaGub7dwA3U6UFTqxio9LNnvDCQjHKmttSEBsFQ/edit?usp=sharing"",""จัดที่ดิน!AS56"")"),0)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IFERROR(__xludf.DUMMYFUNCTION("IMPORTRANGE(""https://docs.google.com/spreadsheets/d/1eHaY18a8A9IcSdp1K8H6x8fbOy06t2VsZHhMHf-1x7Y/edit?usp=sharing"",""แผน!LK56"")"),3)</f>
        <v>3</v>
      </c>
      <c r="J709" s="291">
        <v>0</v>
      </c>
      <c r="K709" s="72"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v>0</v>
      </c>
      <c r="K710" s="72"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212">
        <f>L715+L716</f>
        <v>0</v>
      </c>
      <c r="M714" s="213">
        <f>M715+M716</f>
        <v>0</v>
      </c>
      <c r="N714" s="213">
        <f>N715+N716</f>
        <v>0</v>
      </c>
      <c r="O714" s="213">
        <f t="shared" ref="O714:O722" si="174">IF(L714&gt;0,N714*100/L714,0)</f>
        <v>0</v>
      </c>
      <c r="P714" s="213">
        <f t="shared" ref="P714:P722" si="175">IF(M714&gt;0,N714*100/M714,0)</f>
        <v>0</v>
      </c>
      <c r="Q714" s="213">
        <f>Q715+Q716</f>
        <v>0</v>
      </c>
      <c r="R714" s="213">
        <f>R715+R716</f>
        <v>0</v>
      </c>
      <c r="S714" s="213">
        <f>S715+S716</f>
        <v>0</v>
      </c>
      <c r="T714" s="213">
        <f t="shared" ref="T714:T722" si="176">IF(Q714&gt;0,S714*100/Q714,0)</f>
        <v>0</v>
      </c>
      <c r="U714" s="213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215">
        <f t="shared" ref="L715:N716" si="178">L718+L721</f>
        <v>0</v>
      </c>
      <c r="M715" s="131">
        <f t="shared" si="178"/>
        <v>0</v>
      </c>
      <c r="N715" s="131">
        <f t="shared" si="178"/>
        <v>0</v>
      </c>
      <c r="O715" s="131">
        <f t="shared" si="174"/>
        <v>0</v>
      </c>
      <c r="P715" s="131">
        <f t="shared" si="175"/>
        <v>0</v>
      </c>
      <c r="Q715" s="131">
        <f t="shared" ref="Q715:S716" si="179">Q718+Q721</f>
        <v>0</v>
      </c>
      <c r="R715" s="131">
        <f t="shared" si="179"/>
        <v>0</v>
      </c>
      <c r="S715" s="131">
        <f t="shared" si="179"/>
        <v>0</v>
      </c>
      <c r="T715" s="131">
        <f t="shared" si="176"/>
        <v>0</v>
      </c>
      <c r="U715" s="131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129">
        <f t="shared" si="178"/>
        <v>0</v>
      </c>
      <c r="M716" s="130">
        <f t="shared" si="178"/>
        <v>0</v>
      </c>
      <c r="N716" s="130">
        <f t="shared" si="178"/>
        <v>0</v>
      </c>
      <c r="O716" s="130">
        <f t="shared" si="174"/>
        <v>0</v>
      </c>
      <c r="P716" s="130">
        <f t="shared" si="175"/>
        <v>0</v>
      </c>
      <c r="Q716" s="130">
        <f t="shared" si="179"/>
        <v>0</v>
      </c>
      <c r="R716" s="130">
        <f t="shared" si="179"/>
        <v>0</v>
      </c>
      <c r="S716" s="130">
        <f t="shared" si="179"/>
        <v>0</v>
      </c>
      <c r="T716" s="130">
        <f t="shared" si="176"/>
        <v>0</v>
      </c>
      <c r="U716" s="130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129">
        <f>L718+L719</f>
        <v>0</v>
      </c>
      <c r="M717" s="130">
        <f>M718+M719</f>
        <v>0</v>
      </c>
      <c r="N717" s="130">
        <f>N718+N719</f>
        <v>0</v>
      </c>
      <c r="O717" s="130">
        <f t="shared" si="174"/>
        <v>0</v>
      </c>
      <c r="P717" s="130">
        <f t="shared" si="175"/>
        <v>0</v>
      </c>
      <c r="Q717" s="130">
        <f>Q718+Q719</f>
        <v>0</v>
      </c>
      <c r="R717" s="130">
        <f>R718+R719</f>
        <v>0</v>
      </c>
      <c r="S717" s="130">
        <f>S718+S719</f>
        <v>0</v>
      </c>
      <c r="T717" s="130">
        <f t="shared" si="176"/>
        <v>0</v>
      </c>
      <c r="U717" s="130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131">
        <f t="shared" si="174"/>
        <v>0</v>
      </c>
      <c r="P718" s="131">
        <f t="shared" si="175"/>
        <v>0</v>
      </c>
      <c r="Q718" s="75">
        <v>0</v>
      </c>
      <c r="R718" s="75">
        <v>0</v>
      </c>
      <c r="S718" s="75">
        <v>0</v>
      </c>
      <c r="T718" s="131">
        <f t="shared" si="176"/>
        <v>0</v>
      </c>
      <c r="U718" s="131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130">
        <f t="shared" si="174"/>
        <v>0</v>
      </c>
      <c r="P719" s="130">
        <f t="shared" si="175"/>
        <v>0</v>
      </c>
      <c r="Q719" s="72">
        <v>0</v>
      </c>
      <c r="R719" s="72">
        <v>0</v>
      </c>
      <c r="S719" s="72">
        <v>0</v>
      </c>
      <c r="T719" s="130">
        <f t="shared" si="176"/>
        <v>0</v>
      </c>
      <c r="U719" s="130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129">
        <f>L721+L722</f>
        <v>0</v>
      </c>
      <c r="M720" s="130">
        <f>M721+M722</f>
        <v>0</v>
      </c>
      <c r="N720" s="130">
        <f>N721+N722</f>
        <v>0</v>
      </c>
      <c r="O720" s="130">
        <f t="shared" si="174"/>
        <v>0</v>
      </c>
      <c r="P720" s="130">
        <f t="shared" si="175"/>
        <v>0</v>
      </c>
      <c r="Q720" s="130">
        <f>Q721+Q722</f>
        <v>0</v>
      </c>
      <c r="R720" s="130">
        <f>R721+R722</f>
        <v>0</v>
      </c>
      <c r="S720" s="130">
        <f>S721+S722</f>
        <v>0</v>
      </c>
      <c r="T720" s="130">
        <f t="shared" si="176"/>
        <v>0</v>
      </c>
      <c r="U720" s="130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131">
        <f t="shared" si="174"/>
        <v>0</v>
      </c>
      <c r="P721" s="131">
        <f t="shared" si="175"/>
        <v>0</v>
      </c>
      <c r="Q721" s="75">
        <v>0</v>
      </c>
      <c r="R721" s="75">
        <v>0</v>
      </c>
      <c r="S721" s="75">
        <v>0</v>
      </c>
      <c r="T721" s="131">
        <f t="shared" si="176"/>
        <v>0</v>
      </c>
      <c r="U721" s="131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130">
        <f t="shared" si="174"/>
        <v>0</v>
      </c>
      <c r="P722" s="130">
        <f t="shared" si="175"/>
        <v>0</v>
      </c>
      <c r="Q722" s="72">
        <v>0</v>
      </c>
      <c r="R722" s="72">
        <v>0</v>
      </c>
      <c r="S722" s="72">
        <v>0</v>
      </c>
      <c r="T722" s="130">
        <f t="shared" si="176"/>
        <v>0</v>
      </c>
      <c r="U722" s="130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IFERROR(__xludf.DUMMYFUNCTION("IMPORTRANGE(""https://docs.google.com/spreadsheets/d/1eHaY18a8A9IcSdp1K8H6x8fbOy06t2VsZHhMHf-1x7Y/edit?usp=sharing"",""แผน!GA56"")"),21)</f>
        <v>21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IFERROR(__xludf.DUMMYFUNCTION("IMPORTRANGE(""https://docs.google.com/spreadsheets/d/1eHaY18a8A9IcSdp1K8H6x8fbOy06t2VsZHhMHf-1x7Y/edit?usp=sharing"",""แผน!FZ56"")"),200)</f>
        <v>200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212">
        <f>L729+L730</f>
        <v>0</v>
      </c>
      <c r="M728" s="213">
        <f>M729+M730</f>
        <v>0</v>
      </c>
      <c r="N728" s="213">
        <f>N729+N730</f>
        <v>0</v>
      </c>
      <c r="O728" s="213">
        <f t="shared" ref="O728:O736" si="180">IF(L728&gt;0,N728*100/L728,0)</f>
        <v>0</v>
      </c>
      <c r="P728" s="213">
        <f t="shared" ref="P728:P736" si="181">IF(M728&gt;0,N728*100/M728,0)</f>
        <v>0</v>
      </c>
      <c r="Q728" s="213">
        <f ca="1">Q729+Q730</f>
        <v>175994</v>
      </c>
      <c r="R728" s="213">
        <f ca="1">R729+R730</f>
        <v>175994</v>
      </c>
      <c r="S728" s="213">
        <f ca="1">S729+S730</f>
        <v>6410</v>
      </c>
      <c r="T728" s="213">
        <f t="shared" ref="T728:T736" ca="1" si="182">IF(Q728&gt;0,S728*100/Q728,0)</f>
        <v>3.6421696194188438</v>
      </c>
      <c r="U728" s="213">
        <f t="shared" ref="U728:U736" ca="1" si="183">IF(R728&gt;0,S728*100/R728,0)</f>
        <v>3.6421696194188438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215">
        <f t="shared" ref="L729:N730" si="184">L732+L735</f>
        <v>0</v>
      </c>
      <c r="M729" s="131">
        <f t="shared" si="184"/>
        <v>0</v>
      </c>
      <c r="N729" s="131">
        <f t="shared" si="184"/>
        <v>0</v>
      </c>
      <c r="O729" s="131">
        <f t="shared" si="180"/>
        <v>0</v>
      </c>
      <c r="P729" s="131">
        <f t="shared" si="181"/>
        <v>0</v>
      </c>
      <c r="Q729" s="131">
        <f t="shared" ref="Q729:S730" si="185">Q732+Q735</f>
        <v>0</v>
      </c>
      <c r="R729" s="131">
        <f t="shared" si="185"/>
        <v>0</v>
      </c>
      <c r="S729" s="131">
        <f t="shared" si="185"/>
        <v>0</v>
      </c>
      <c r="T729" s="131">
        <f t="shared" si="182"/>
        <v>0</v>
      </c>
      <c r="U729" s="131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129">
        <f t="shared" si="184"/>
        <v>0</v>
      </c>
      <c r="M730" s="130">
        <f t="shared" si="184"/>
        <v>0</v>
      </c>
      <c r="N730" s="130">
        <f t="shared" si="184"/>
        <v>0</v>
      </c>
      <c r="O730" s="130">
        <f t="shared" si="180"/>
        <v>0</v>
      </c>
      <c r="P730" s="130">
        <f t="shared" si="181"/>
        <v>0</v>
      </c>
      <c r="Q730" s="130">
        <f t="shared" ca="1" si="185"/>
        <v>175994</v>
      </c>
      <c r="R730" s="130">
        <f t="shared" ca="1" si="185"/>
        <v>175994</v>
      </c>
      <c r="S730" s="130">
        <f t="shared" ca="1" si="185"/>
        <v>6410</v>
      </c>
      <c r="T730" s="130">
        <f t="shared" ca="1" si="182"/>
        <v>3.6421696194188438</v>
      </c>
      <c r="U730" s="130">
        <f t="shared" ca="1" si="183"/>
        <v>3.6421696194188438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129">
        <f>L732+L733</f>
        <v>0</v>
      </c>
      <c r="M731" s="130">
        <f>M732+M733</f>
        <v>0</v>
      </c>
      <c r="N731" s="130">
        <f>N732+N733</f>
        <v>0</v>
      </c>
      <c r="O731" s="130">
        <f t="shared" si="180"/>
        <v>0</v>
      </c>
      <c r="P731" s="130">
        <f t="shared" si="181"/>
        <v>0</v>
      </c>
      <c r="Q731" s="130">
        <f ca="1">Q732+Q733</f>
        <v>175994</v>
      </c>
      <c r="R731" s="130">
        <f ca="1">R732+R733</f>
        <v>175994</v>
      </c>
      <c r="S731" s="130">
        <f ca="1">S732+S733</f>
        <v>6410</v>
      </c>
      <c r="T731" s="130">
        <f t="shared" ca="1" si="182"/>
        <v>3.6421696194188438</v>
      </c>
      <c r="U731" s="130">
        <f t="shared" ca="1" si="183"/>
        <v>3.6421696194188438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131">
        <f t="shared" si="180"/>
        <v>0</v>
      </c>
      <c r="P732" s="131">
        <f t="shared" si="181"/>
        <v>0</v>
      </c>
      <c r="Q732" s="75">
        <v>0</v>
      </c>
      <c r="R732" s="75">
        <v>0</v>
      </c>
      <c r="S732" s="75">
        <v>0</v>
      </c>
      <c r="T732" s="131">
        <f t="shared" si="182"/>
        <v>0</v>
      </c>
      <c r="U732" s="131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130">
        <f t="shared" si="180"/>
        <v>0</v>
      </c>
      <c r="P733" s="130">
        <f t="shared" si="181"/>
        <v>0</v>
      </c>
      <c r="Q733" s="130">
        <f ca="1">IFERROR(__xludf.DUMMYFUNCTION("IMPORTRANGE(""https://docs.google.com/spreadsheets/d/1ItG2mGa2ceCfYo0BwxsXqNm01IGEUdYcSSLTEv9YCik/edit?usp=sharing"",""เบิกจ่ายกองทุน!O56"")"),175994)</f>
        <v>175994</v>
      </c>
      <c r="R733" s="130">
        <f ca="1">IFERROR(__xludf.DUMMYFUNCTION("IMPORTRANGE(""https://docs.google.com/spreadsheets/d/1ItG2mGa2ceCfYo0BwxsXqNm01IGEUdYcSSLTEv9YCik/edit?usp=sharing"",""เบิกจ่ายกองทุน!P56"")"),175994)</f>
        <v>175994</v>
      </c>
      <c r="S733" s="130">
        <f ca="1">IFERROR(__xludf.DUMMYFUNCTION("IMPORTRANGE(""https://docs.google.com/spreadsheets/d/1ItG2mGa2ceCfYo0BwxsXqNm01IGEUdYcSSLTEv9YCik/edit?usp=sharing"",""เบิกจ่ายกองทุน!Q56"")"),6410)</f>
        <v>6410</v>
      </c>
      <c r="T733" s="130">
        <f t="shared" ca="1" si="182"/>
        <v>3.6421696194188438</v>
      </c>
      <c r="U733" s="130">
        <f t="shared" ca="1" si="183"/>
        <v>3.6421696194188438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129">
        <f>L735+L736</f>
        <v>0</v>
      </c>
      <c r="M734" s="130">
        <f>M735+M736</f>
        <v>0</v>
      </c>
      <c r="N734" s="130">
        <f>N735+N736</f>
        <v>0</v>
      </c>
      <c r="O734" s="130">
        <f t="shared" si="180"/>
        <v>0</v>
      </c>
      <c r="P734" s="130">
        <f t="shared" si="181"/>
        <v>0</v>
      </c>
      <c r="Q734" s="130">
        <f>Q735+Q736</f>
        <v>0</v>
      </c>
      <c r="R734" s="130">
        <f>R735+R736</f>
        <v>0</v>
      </c>
      <c r="S734" s="130">
        <f>S735+S736</f>
        <v>0</v>
      </c>
      <c r="T734" s="130">
        <f t="shared" si="182"/>
        <v>0</v>
      </c>
      <c r="U734" s="130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131">
        <f t="shared" si="180"/>
        <v>0</v>
      </c>
      <c r="P735" s="131">
        <f t="shared" si="181"/>
        <v>0</v>
      </c>
      <c r="Q735" s="75">
        <v>0</v>
      </c>
      <c r="R735" s="75">
        <v>0</v>
      </c>
      <c r="S735" s="75">
        <v>0</v>
      </c>
      <c r="T735" s="131">
        <f t="shared" si="182"/>
        <v>0</v>
      </c>
      <c r="U735" s="131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130">
        <f t="shared" si="180"/>
        <v>0</v>
      </c>
      <c r="P736" s="130">
        <f t="shared" si="181"/>
        <v>0</v>
      </c>
      <c r="Q736" s="72">
        <v>0</v>
      </c>
      <c r="R736" s="72">
        <v>0</v>
      </c>
      <c r="S736" s="72">
        <v>0</v>
      </c>
      <c r="T736" s="130">
        <f t="shared" si="182"/>
        <v>0</v>
      </c>
      <c r="U736" s="130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IFERROR(__xludf.DUMMYFUNCTION("IMPORTRANGE(""https://docs.google.com/spreadsheets/d/1eHaY18a8A9IcSdp1K8H6x8fbOy06t2VsZHhMHf-1x7Y/edit?usp=sharing"",""แผน!GB56"")"),160)</f>
        <v>160</v>
      </c>
      <c r="J740" s="794">
        <v>0</v>
      </c>
      <c r="K740" s="86">
        <f ca="1">IF(I740&gt;0,J740*100/I740,0)</f>
        <v>0</v>
      </c>
      <c r="L740" s="519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0</v>
      </c>
      <c r="K741" s="70"/>
      <c r="L741" s="519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IFERROR(__xludf.DUMMYFUNCTION("IMPORTRANGE(""https://docs.google.com/spreadsheets/d/1eHaY18a8A9IcSdp1K8H6x8fbOy06t2VsZHhMHf-1x7Y/edit?usp=sharing"",""แผน!GC56"")"),16)</f>
        <v>16</v>
      </c>
      <c r="J742" s="794">
        <v>0</v>
      </c>
      <c r="K742" s="86">
        <f ca="1">IF(I742&gt;0,J742*100/I742,0)</f>
        <v>0</v>
      </c>
      <c r="L742" s="519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519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IFERROR(__xludf.DUMMYFUNCTION("IMPORTRANGE(""https://docs.google.com/spreadsheets/d/1eHaY18a8A9IcSdp1K8H6x8fbOy06t2VsZHhMHf-1x7Y/edit?usp=sharing"",""แผน!GD56"")"),40)</f>
        <v>40</v>
      </c>
      <c r="J744" s="794">
        <v>0</v>
      </c>
      <c r="K744" s="86">
        <f ca="1">IF(I744&gt;0,J744*100/I744,0)</f>
        <v>0</v>
      </c>
      <c r="L744" s="519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0</v>
      </c>
      <c r="K745" s="70"/>
      <c r="L745" s="519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IFERROR(__xludf.DUMMYFUNCTION("IMPORTRANGE(""https://docs.google.com/spreadsheets/d/1eHaY18a8A9IcSdp1K8H6x8fbOy06t2VsZHhMHf-1x7Y/edit?usp=sharing"",""แผน!GE56"")"),4)</f>
        <v>4</v>
      </c>
      <c r="J746" s="794">
        <v>0</v>
      </c>
      <c r="K746" s="86">
        <f ca="1">IF(I746&gt;0,J746*100/I746,0)</f>
        <v>0</v>
      </c>
      <c r="L746" s="519"/>
      <c r="M746" s="70"/>
      <c r="N746" s="70"/>
      <c r="O746" s="70"/>
      <c r="P746" s="70"/>
      <c r="Q746" s="70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519"/>
      <c r="M747" s="70"/>
      <c r="N747" s="70"/>
      <c r="O747" s="70"/>
      <c r="P747" s="70"/>
      <c r="Q747" s="70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519"/>
      <c r="M748" s="70"/>
      <c r="N748" s="70"/>
      <c r="O748" s="70"/>
      <c r="P748" s="70"/>
      <c r="Q748" s="70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IFERROR(__xludf.DUMMYFUNCTION("IMPORTRANGE(""https://docs.google.com/spreadsheets/d/1eHaY18a8A9IcSdp1K8H6x8fbOy06t2VsZHhMHf-1x7Y/edit?usp=sharing"",""แผน!GF56"")"),1)</f>
        <v>1</v>
      </c>
      <c r="J749" s="794">
        <v>0</v>
      </c>
      <c r="K749" s="86">
        <f ca="1">IF(I749&gt;0,J749*100/I749,0)</f>
        <v>0</v>
      </c>
      <c r="L749" s="519"/>
      <c r="M749" s="70"/>
      <c r="N749" s="70"/>
      <c r="O749" s="70"/>
      <c r="P749" s="70"/>
      <c r="Q749" s="70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519"/>
      <c r="M750" s="70"/>
      <c r="N750" s="70"/>
      <c r="O750" s="70"/>
      <c r="P750" s="70"/>
      <c r="Q750" s="70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519"/>
      <c r="M751" s="70"/>
      <c r="N751" s="70"/>
      <c r="O751" s="70"/>
      <c r="P751" s="70"/>
      <c r="Q751" s="70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IFERROR(__xludf.DUMMYFUNCTION("IMPORTRANGE(""https://docs.google.com/spreadsheets/d/1eHaY18a8A9IcSdp1K8H6x8fbOy06t2VsZHhMHf-1x7Y/edit?usp=sharing"",""แผน!GB56"")"),160)</f>
        <v>160</v>
      </c>
      <c r="J752" s="794">
        <v>0</v>
      </c>
      <c r="K752" s="86">
        <f ca="1">IF(I752&gt;0,J752*100/I752,0)</f>
        <v>0</v>
      </c>
      <c r="L752" s="519"/>
      <c r="M752" s="70"/>
      <c r="N752" s="70"/>
      <c r="O752" s="70"/>
      <c r="P752" s="70"/>
      <c r="Q752" s="70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519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519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IFERROR(__xludf.DUMMYFUNCTION("IMPORTRANGE(""https://docs.google.com/spreadsheets/d/1eHaY18a8A9IcSdp1K8H6x8fbOy06t2VsZHhMHf-1x7Y/edit?usp=sharing"",""แผน!GD56"")"),40)</f>
        <v>40</v>
      </c>
      <c r="J755" s="794">
        <v>0</v>
      </c>
      <c r="K755" s="86">
        <f ca="1">IF(I755&gt;0,J755*100/I755,0)</f>
        <v>0</v>
      </c>
      <c r="L755" s="519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519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20</v>
      </c>
      <c r="J758" s="743">
        <f>J772</f>
        <v>20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25</v>
      </c>
      <c r="J759" s="743">
        <f>J774</f>
        <v>25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212">
        <f>L761+L762</f>
        <v>0</v>
      </c>
      <c r="M760" s="213">
        <f>M761+M762</f>
        <v>0</v>
      </c>
      <c r="N760" s="213">
        <f>N761+N762</f>
        <v>0</v>
      </c>
      <c r="O760" s="213">
        <f t="shared" ref="O760:O768" si="186">IF(L760&gt;0,N760*100/L760,0)</f>
        <v>0</v>
      </c>
      <c r="P760" s="213">
        <f t="shared" ref="P760:P768" si="187">IF(M760&gt;0,N760*100/M760,0)</f>
        <v>0</v>
      </c>
      <c r="Q760" s="213">
        <f ca="1">Q761+Q762</f>
        <v>121660</v>
      </c>
      <c r="R760" s="213">
        <f ca="1">R761+R762</f>
        <v>121660</v>
      </c>
      <c r="S760" s="213">
        <f ca="1">S761+S762</f>
        <v>94085</v>
      </c>
      <c r="T760" s="213">
        <f t="shared" ref="T760:T768" ca="1" si="188">IF(Q760&gt;0,S760*100/Q760,0)</f>
        <v>77.334374486273219</v>
      </c>
      <c r="U760" s="213">
        <f t="shared" ref="U760:U768" ca="1" si="189">IF(R760&gt;0,S760*100/R760,0)</f>
        <v>77.334374486273219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215">
        <f t="shared" ref="L761:N762" si="190">L764+L767</f>
        <v>0</v>
      </c>
      <c r="M761" s="131">
        <f t="shared" si="190"/>
        <v>0</v>
      </c>
      <c r="N761" s="131">
        <f t="shared" si="190"/>
        <v>0</v>
      </c>
      <c r="O761" s="131">
        <f t="shared" si="186"/>
        <v>0</v>
      </c>
      <c r="P761" s="131">
        <f t="shared" si="187"/>
        <v>0</v>
      </c>
      <c r="Q761" s="131">
        <f t="shared" ref="Q761:S762" si="191">Q764+Q767</f>
        <v>0</v>
      </c>
      <c r="R761" s="131">
        <f t="shared" si="191"/>
        <v>0</v>
      </c>
      <c r="S761" s="131">
        <f t="shared" si="191"/>
        <v>0</v>
      </c>
      <c r="T761" s="131">
        <f t="shared" si="188"/>
        <v>0</v>
      </c>
      <c r="U761" s="131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129">
        <f t="shared" si="190"/>
        <v>0</v>
      </c>
      <c r="M762" s="130">
        <f t="shared" si="190"/>
        <v>0</v>
      </c>
      <c r="N762" s="130">
        <f t="shared" si="190"/>
        <v>0</v>
      </c>
      <c r="O762" s="130">
        <f t="shared" si="186"/>
        <v>0</v>
      </c>
      <c r="P762" s="130">
        <f t="shared" si="187"/>
        <v>0</v>
      </c>
      <c r="Q762" s="130">
        <f t="shared" ca="1" si="191"/>
        <v>121660</v>
      </c>
      <c r="R762" s="130">
        <f t="shared" ca="1" si="191"/>
        <v>121660</v>
      </c>
      <c r="S762" s="130">
        <f t="shared" ca="1" si="191"/>
        <v>94085</v>
      </c>
      <c r="T762" s="130">
        <f t="shared" ca="1" si="188"/>
        <v>77.334374486273219</v>
      </c>
      <c r="U762" s="130">
        <f t="shared" ca="1" si="189"/>
        <v>77.334374486273219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129">
        <f>L764+L765</f>
        <v>0</v>
      </c>
      <c r="M763" s="130">
        <f>M764+M765</f>
        <v>0</v>
      </c>
      <c r="N763" s="130">
        <f>N764+N765</f>
        <v>0</v>
      </c>
      <c r="O763" s="130">
        <f t="shared" si="186"/>
        <v>0</v>
      </c>
      <c r="P763" s="130">
        <f t="shared" si="187"/>
        <v>0</v>
      </c>
      <c r="Q763" s="130">
        <f ca="1">Q764+Q765</f>
        <v>121660</v>
      </c>
      <c r="R763" s="130">
        <f ca="1">R764+R765</f>
        <v>121660</v>
      </c>
      <c r="S763" s="130">
        <f ca="1">S764+S765</f>
        <v>94085</v>
      </c>
      <c r="T763" s="130">
        <f t="shared" ca="1" si="188"/>
        <v>77.334374486273219</v>
      </c>
      <c r="U763" s="130">
        <f t="shared" ca="1" si="189"/>
        <v>77.334374486273219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131">
        <f t="shared" si="186"/>
        <v>0</v>
      </c>
      <c r="P764" s="131">
        <f t="shared" si="187"/>
        <v>0</v>
      </c>
      <c r="Q764" s="75">
        <v>0</v>
      </c>
      <c r="R764" s="75">
        <v>0</v>
      </c>
      <c r="S764" s="75">
        <v>0</v>
      </c>
      <c r="T764" s="131">
        <f t="shared" si="188"/>
        <v>0</v>
      </c>
      <c r="U764" s="131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130">
        <f t="shared" si="186"/>
        <v>0</v>
      </c>
      <c r="P765" s="130">
        <f t="shared" si="187"/>
        <v>0</v>
      </c>
      <c r="Q765" s="130">
        <f ca="1">IFERROR(__xludf.DUMMYFUNCTION("IMPORTRANGE(""https://docs.google.com/spreadsheets/d/1ItG2mGa2ceCfYo0BwxsXqNm01IGEUdYcSSLTEv9YCik/edit?usp=sharing"",""เบิกจ่ายกองทุน!AA56"")"),121660)</f>
        <v>121660</v>
      </c>
      <c r="R765" s="130">
        <f ca="1">IFERROR(__xludf.DUMMYFUNCTION("IMPORTRANGE(""https://docs.google.com/spreadsheets/d/1ItG2mGa2ceCfYo0BwxsXqNm01IGEUdYcSSLTEv9YCik/edit?usp=sharing"",""เบิกจ่ายกองทุน!AB56"")"),121660)</f>
        <v>121660</v>
      </c>
      <c r="S765" s="130">
        <f ca="1">IFERROR(__xludf.DUMMYFUNCTION("IMPORTRANGE(""https://docs.google.com/spreadsheets/d/1ItG2mGa2ceCfYo0BwxsXqNm01IGEUdYcSSLTEv9YCik/edit?usp=sharing"",""เบิกจ่ายกองทุน!AC56"")"),94085)</f>
        <v>94085</v>
      </c>
      <c r="T765" s="130">
        <f t="shared" ca="1" si="188"/>
        <v>77.334374486273219</v>
      </c>
      <c r="U765" s="130">
        <f t="shared" ca="1" si="189"/>
        <v>77.334374486273219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129">
        <f>L767+L768</f>
        <v>0</v>
      </c>
      <c r="M766" s="130">
        <f>M767+M768</f>
        <v>0</v>
      </c>
      <c r="N766" s="130">
        <f>N767+N768</f>
        <v>0</v>
      </c>
      <c r="O766" s="130">
        <f t="shared" si="186"/>
        <v>0</v>
      </c>
      <c r="P766" s="130">
        <f t="shared" si="187"/>
        <v>0</v>
      </c>
      <c r="Q766" s="130">
        <f>Q767+Q768</f>
        <v>0</v>
      </c>
      <c r="R766" s="130">
        <f>R767+R768</f>
        <v>0</v>
      </c>
      <c r="S766" s="130">
        <f>S767+S768</f>
        <v>0</v>
      </c>
      <c r="T766" s="130">
        <f t="shared" si="188"/>
        <v>0</v>
      </c>
      <c r="U766" s="130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131">
        <f t="shared" si="186"/>
        <v>0</v>
      </c>
      <c r="P767" s="131">
        <f t="shared" si="187"/>
        <v>0</v>
      </c>
      <c r="Q767" s="75">
        <v>0</v>
      </c>
      <c r="R767" s="75">
        <v>0</v>
      </c>
      <c r="S767" s="75">
        <v>0</v>
      </c>
      <c r="T767" s="131">
        <f t="shared" si="188"/>
        <v>0</v>
      </c>
      <c r="U767" s="131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130">
        <f t="shared" si="186"/>
        <v>0</v>
      </c>
      <c r="P768" s="130">
        <f t="shared" si="187"/>
        <v>0</v>
      </c>
      <c r="Q768" s="72">
        <v>0</v>
      </c>
      <c r="R768" s="72">
        <v>0</v>
      </c>
      <c r="S768" s="72">
        <v>0</v>
      </c>
      <c r="T768" s="130">
        <f t="shared" si="188"/>
        <v>0</v>
      </c>
      <c r="U768" s="130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IFERROR(__xludf.DUMMYFUNCTION("IMPORTRANGE(""https://docs.google.com/spreadsheets/d/1eHaY18a8A9IcSdp1K8H6x8fbOy06t2VsZHhMHf-1x7Y/edit?usp=sharing"",""แผน!FI56"")"),0)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IFERROR(__xludf.DUMMYFUNCTION("IMPORTRANGE(""https://docs.google.com/spreadsheets/d/1eHaY18a8A9IcSdp1K8H6x8fbOy06t2VsZHhMHf-1x7Y/edit?usp=sharing"",""แผน!FQ56"")"),20)</f>
        <v>20</v>
      </c>
      <c r="J772" s="292">
        <v>20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IFERROR(__xludf.DUMMYFUNCTION("IMPORTRANGE(""https://docs.google.com/spreadsheets/d/1eHaY18a8A9IcSdp1K8H6x8fbOy06t2VsZHhMHf-1x7Y/edit?usp=sharing"",""แผน!FR56"")"),25)</f>
        <v>25</v>
      </c>
      <c r="J774" s="292">
        <v>25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IFERROR(__xludf.DUMMYFUNCTION("IMPORTRANGE(""https://docs.google.com/spreadsheets/d/1eHaY18a8A9IcSdp1K8H6x8fbOy06t2VsZHhMHf-1x7Y/edit?usp=sharing"",""แผน!FS56"")"),25)</f>
        <v>25</v>
      </c>
      <c r="J775" s="292">
        <v>25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IFERROR(__xludf.DUMMYFUNCTION("IMPORTRANGE(""https://docs.google.com/spreadsheets/d/1eHaY18a8A9IcSdp1K8H6x8fbOy06t2VsZHhMHf-1x7Y/edit?usp=sharing"",""แผน!FT56"")"),20)</f>
        <v>20</v>
      </c>
      <c r="J776" s="739">
        <v>20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IFERROR(__xludf.DUMMYFUNCTION("IMPORTRANGE(""https://docs.google.com/spreadsheets/d/10OvvATaaLtwErnr3qtWFcTmtbfpFEt5Bsqel9sXx0uE/edit?usp=sharing"",""งานกองทุน!D56"")"),11810006.4)</f>
        <v>11810006.4</v>
      </c>
      <c r="J778" s="291">
        <f ca="1">IFERROR(__xludf.DUMMYFUNCTION("IMPORTRANGE(""https://docs.google.com/spreadsheets/d/10OvvATaaLtwErnr3qtWFcTmtbfpFEt5Bsqel9sXx0uE/edit?usp=sharing"",""งานกองทุน!F56"")"),5537055.26)</f>
        <v>5537055.2599999998</v>
      </c>
      <c r="K778" s="72">
        <f t="shared" ref="K778:K785" ca="1" si="192">IF(I778&gt;0,J778*100/I778,0)</f>
        <v>46.88443911427516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IFERROR(__xludf.DUMMYFUNCTION("IMPORTRANGE(""https://docs.google.com/spreadsheets/d/10OvvATaaLtwErnr3qtWFcTmtbfpFEt5Bsqel9sXx0uE/edit?usp=sharing"",""งานกองทุน!C56"")"),240)</f>
        <v>240</v>
      </c>
      <c r="J779" s="291">
        <f ca="1">IFERROR(__xludf.DUMMYFUNCTION("IMPORTRANGE(""https://docs.google.com/spreadsheets/d/10OvvATaaLtwErnr3qtWFcTmtbfpFEt5Bsqel9sXx0uE/edit?usp=sharing"",""งานกองทุน!E56"")"),121)</f>
        <v>121</v>
      </c>
      <c r="K779" s="72">
        <f t="shared" ca="1" si="192"/>
        <v>50.416666666666664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IFERROR(__xludf.DUMMYFUNCTION("IMPORTRANGE(""https://docs.google.com/spreadsheets/d/10OvvATaaLtwErnr3qtWFcTmtbfpFEt5Bsqel9sXx0uE/edit?usp=sharing"",""งานกองทุน!I56"")"),0)</f>
        <v>0</v>
      </c>
      <c r="J780" s="291">
        <f ca="1">IFERROR(__xludf.DUMMYFUNCTION("IMPORTRANGE(""https://docs.google.com/spreadsheets/d/10OvvATaaLtwErnr3qtWFcTmtbfpFEt5Bsqel9sXx0uE/edit?usp=sharing"",""งานกองทุน!K56"")"),0)</f>
        <v>0</v>
      </c>
      <c r="K780" s="72">
        <f t="shared" ca="1" si="192"/>
        <v>0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IFERROR(__xludf.DUMMYFUNCTION("IMPORTRANGE(""https://docs.google.com/spreadsheets/d/10OvvATaaLtwErnr3qtWFcTmtbfpFEt5Bsqel9sXx0uE/edit?usp=sharing"",""งานกองทุน!H56"")"),0)</f>
        <v>0</v>
      </c>
      <c r="J781" s="291">
        <f ca="1">IFERROR(__xludf.DUMMYFUNCTION("IMPORTRANGE(""https://docs.google.com/spreadsheets/d/10OvvATaaLtwErnr3qtWFcTmtbfpFEt5Bsqel9sXx0uE/edit?usp=sharing"",""งานกองทุน!J56"")"),0)</f>
        <v>0</v>
      </c>
      <c r="K781" s="72">
        <f t="shared" ca="1" si="192"/>
        <v>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IFERROR(__xludf.DUMMYFUNCTION("IMPORTRANGE(""https://docs.google.com/spreadsheets/d/10OvvATaaLtwErnr3qtWFcTmtbfpFEt5Bsqel9sXx0uE/edit?usp=sharing"",""งานกองทุน!N56"")"),0)</f>
        <v>0</v>
      </c>
      <c r="J782" s="291">
        <f ca="1">IFERROR(__xludf.DUMMYFUNCTION("IMPORTRANGE(""https://docs.google.com/spreadsheets/d/10OvvATaaLtwErnr3qtWFcTmtbfpFEt5Bsqel9sXx0uE/edit?usp=sharing"",""งานกองทุน!P56"")"),0)</f>
        <v>0</v>
      </c>
      <c r="K782" s="72">
        <f t="shared" ca="1" si="192"/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IFERROR(__xludf.DUMMYFUNCTION("IMPORTRANGE(""https://docs.google.com/spreadsheets/d/10OvvATaaLtwErnr3qtWFcTmtbfpFEt5Bsqel9sXx0uE/edit?usp=sharing"",""งานกองทุน!M56"")"),0)</f>
        <v>0</v>
      </c>
      <c r="J783" s="291">
        <f ca="1">IFERROR(__xludf.DUMMYFUNCTION("IMPORTRANGE(""https://docs.google.com/spreadsheets/d/10OvvATaaLtwErnr3qtWFcTmtbfpFEt5Bsqel9sXx0uE/edit?usp=sharing"",""งานกองทุน!O56"")"),0)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IFERROR(__xludf.DUMMYFUNCTION("IMPORTRANGE(""https://docs.google.com/spreadsheets/d/10OvvATaaLtwErnr3qtWFcTmtbfpFEt5Bsqel9sXx0uE/edit?usp=sharing"",""งานกองทุน!S56"")"),10892000)</f>
        <v>10892000</v>
      </c>
      <c r="J784" s="291">
        <f ca="1">IFERROR(__xludf.DUMMYFUNCTION("IMPORTRANGE(""https://docs.google.com/spreadsheets/d/10OvvATaaLtwErnr3qtWFcTmtbfpFEt5Bsqel9sXx0uE/edit?usp=sharing"",""งานกองทุน!U56"")"),5280000)</f>
        <v>5280000</v>
      </c>
      <c r="K784" s="72">
        <f t="shared" ca="1" si="192"/>
        <v>48.475945648182154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IFERROR(__xludf.DUMMYFUNCTION("IMPORTRANGE(""https://docs.google.com/spreadsheets/d/10OvvATaaLtwErnr3qtWFcTmtbfpFEt5Bsqel9sXx0uE/edit?usp=sharing"",""งานกองทุน!R56"")"),389)</f>
        <v>389</v>
      </c>
      <c r="J785" s="773">
        <f ca="1">IFERROR(__xludf.DUMMYFUNCTION("IMPORTRANGE(""https://docs.google.com/spreadsheets/d/10OvvATaaLtwErnr3qtWFcTmtbfpFEt5Bsqel9sXx0uE/edit?usp=sharing"",""งานกองทุน!T56"")"),107)</f>
        <v>107</v>
      </c>
      <c r="K785" s="181">
        <f t="shared" ca="1" si="192"/>
        <v>27.506426735218508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G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A2A25-DCF3-46F2-806D-DA8BB843E889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348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61" t="s">
        <v>3</v>
      </c>
      <c r="I4" s="1463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6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09"/>
      <c r="I5" s="1411"/>
      <c r="J5" s="1411"/>
      <c r="K5" s="1412"/>
      <c r="L5" s="1457" t="s">
        <v>7</v>
      </c>
      <c r="M5" s="1412"/>
      <c r="N5" s="1433" t="s">
        <v>8</v>
      </c>
      <c r="O5" s="1411"/>
      <c r="P5" s="1412"/>
      <c r="Q5" s="1426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12"/>
      <c r="I6" s="1342" t="s">
        <v>9</v>
      </c>
      <c r="J6" s="1343" t="s">
        <v>10</v>
      </c>
      <c r="K6" s="1342" t="s">
        <v>11</v>
      </c>
      <c r="L6" s="1067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7"/>
      <c r="M7" s="17"/>
      <c r="N7" s="17"/>
      <c r="O7" s="17"/>
      <c r="P7" s="17"/>
      <c r="Q7" s="16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8"/>
      <c r="M8" s="28"/>
      <c r="N8" s="28"/>
      <c r="O8" s="28"/>
      <c r="P8" s="28"/>
      <c r="Q8" s="27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8"/>
      <c r="M9" s="28"/>
      <c r="N9" s="28"/>
      <c r="O9" s="28"/>
      <c r="P9" s="28"/>
      <c r="Q9" s="27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8"/>
      <c r="M10" s="28"/>
      <c r="N10" s="28"/>
      <c r="O10" s="28"/>
      <c r="P10" s="28"/>
      <c r="Q10" s="27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8"/>
      <c r="M11" s="28"/>
      <c r="N11" s="28"/>
      <c r="O11" s="28"/>
      <c r="P11" s="28"/>
      <c r="Q11" s="27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8"/>
      <c r="M12" s="28"/>
      <c r="N12" s="28"/>
      <c r="O12" s="28"/>
      <c r="P12" s="28"/>
      <c r="Q12" s="27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8"/>
      <c r="M13" s="28"/>
      <c r="N13" s="28"/>
      <c r="O13" s="28"/>
      <c r="P13" s="28"/>
      <c r="Q13" s="27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7"/>
      <c r="M16" s="17"/>
      <c r="N16" s="17"/>
      <c r="O16" s="17"/>
      <c r="P16" s="17"/>
      <c r="Q16" s="16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5"/>
      <c r="M17" s="45"/>
      <c r="N17" s="45"/>
      <c r="O17" s="45"/>
      <c r="P17" s="45"/>
      <c r="Q17" s="44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7">
        <f ca="1">L19+L20</f>
        <v>2377315</v>
      </c>
      <c r="M18" s="57">
        <f ca="1">M19+M20</f>
        <v>2767009.36</v>
      </c>
      <c r="N18" s="57">
        <f ca="1">N19+N20</f>
        <v>1892624.27</v>
      </c>
      <c r="O18" s="57">
        <f t="shared" ref="O18:O26" ca="1" si="0">IF(L18&gt;0,N18*100/L18,0)</f>
        <v>79.611842351560483</v>
      </c>
      <c r="P18" s="57">
        <f t="shared" ref="P18:P26" ca="1" si="1">IF(M18&gt;0,N18*100/M18,0)</f>
        <v>68.399633819814767</v>
      </c>
      <c r="Q18" s="56">
        <f ca="1">Q19+Q20</f>
        <v>1224055.24</v>
      </c>
      <c r="R18" s="57">
        <f ca="1">R19+R20</f>
        <v>1224055</v>
      </c>
      <c r="S18" s="57">
        <f ca="1">S19+S20</f>
        <v>768552</v>
      </c>
      <c r="T18" s="57">
        <f t="shared" ref="T18:T26" ca="1" si="2">IF(Q18&gt;0,S18*100/Q18,0)</f>
        <v>62.78736243962323</v>
      </c>
      <c r="U18" s="57">
        <f t="shared" ref="U18:U26" ca="1" si="3">IF(R18&gt;0,S18*100/R18,0)</f>
        <v>62.787374750317589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1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0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3">
        <f t="shared" ca="1" si="4"/>
        <v>2377315</v>
      </c>
      <c r="M20" s="63">
        <f t="shared" ca="1" si="4"/>
        <v>2767009.36</v>
      </c>
      <c r="N20" s="63">
        <f t="shared" ca="1" si="4"/>
        <v>1892624.27</v>
      </c>
      <c r="O20" s="63">
        <f t="shared" ca="1" si="0"/>
        <v>79.611842351560483</v>
      </c>
      <c r="P20" s="63">
        <f t="shared" ca="1" si="1"/>
        <v>68.399633819814767</v>
      </c>
      <c r="Q20" s="62">
        <f t="shared" ca="1" si="5"/>
        <v>1224055.24</v>
      </c>
      <c r="R20" s="63">
        <f t="shared" ca="1" si="5"/>
        <v>1224055</v>
      </c>
      <c r="S20" s="63">
        <f t="shared" ca="1" si="5"/>
        <v>768552</v>
      </c>
      <c r="T20" s="63">
        <f t="shared" ca="1" si="2"/>
        <v>62.78736243962323</v>
      </c>
      <c r="U20" s="63">
        <f t="shared" ca="1" si="3"/>
        <v>62.787374750317589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2">
        <f ca="1">L22+L23</f>
        <v>2318315</v>
      </c>
      <c r="M21" s="72">
        <f ca="1">M22+M23</f>
        <v>2708009.36</v>
      </c>
      <c r="N21" s="72">
        <f ca="1">N22+N23</f>
        <v>1833624.27</v>
      </c>
      <c r="O21" s="72">
        <f t="shared" ca="1" si="0"/>
        <v>79.092973560538582</v>
      </c>
      <c r="P21" s="72">
        <f t="shared" ca="1" si="1"/>
        <v>67.71114963945324</v>
      </c>
      <c r="Q21" s="71">
        <f ca="1">Q22+Q23</f>
        <v>1224055.24</v>
      </c>
      <c r="R21" s="72">
        <f ca="1">R22+R23</f>
        <v>1224055</v>
      </c>
      <c r="S21" s="72">
        <f ca="1">S22+S23</f>
        <v>768552</v>
      </c>
      <c r="T21" s="72">
        <f t="shared" ca="1" si="2"/>
        <v>62.78736243962323</v>
      </c>
      <c r="U21" s="72">
        <f t="shared" ca="1" si="3"/>
        <v>62.787374750317589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5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4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2">
        <f ca="1">L49+L64+L77+L99+L122+L144+L162+L191+L178+L271+L287+L308+L325+L338+L361+L380+L418+L498+L518+L539+L560+L581+L604+L621+L647+L695+L719+L733+L765</f>
        <v>2318315</v>
      </c>
      <c r="M23" s="72">
        <f ca="1">M49+M64+M77+M99+M122+M144+M162+M191+M178+M271+M287+M308+M325+M338+M361+M380+M418+M498+M518+M539+M560+M581+M604+M621+M647+M695+M719+M733+M765</f>
        <v>2708009.36</v>
      </c>
      <c r="N23" s="72">
        <f ca="1">N49+N64+N77+N99+N122+N144+N162+N191+N178+N271+N287+N308+N325+N338+N361+N380+N418+N498+N518+N539+N560+N581+N604+N621+N647+N695+N719+N733+N765</f>
        <v>1833624.27</v>
      </c>
      <c r="O23" s="72">
        <f t="shared" ca="1" si="0"/>
        <v>79.092973560538582</v>
      </c>
      <c r="P23" s="72">
        <f t="shared" ca="1" si="1"/>
        <v>67.71114963945324</v>
      </c>
      <c r="Q23" s="71">
        <f t="shared" ca="1" si="6"/>
        <v>1224055.24</v>
      </c>
      <c r="R23" s="72">
        <f t="shared" ca="1" si="6"/>
        <v>1224055</v>
      </c>
      <c r="S23" s="72">
        <f t="shared" ca="1" si="6"/>
        <v>768552</v>
      </c>
      <c r="T23" s="72">
        <f t="shared" ca="1" si="2"/>
        <v>62.78736243962323</v>
      </c>
      <c r="U23" s="72">
        <f t="shared" ca="1" si="3"/>
        <v>62.787374750317589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2">
        <f ca="1">L25+L26</f>
        <v>59000</v>
      </c>
      <c r="M24" s="72">
        <f ca="1">M25+M26</f>
        <v>59000</v>
      </c>
      <c r="N24" s="72">
        <f ca="1">N25+N26</f>
        <v>59000</v>
      </c>
      <c r="O24" s="72">
        <f t="shared" ca="1" si="0"/>
        <v>100</v>
      </c>
      <c r="P24" s="72">
        <f t="shared" ca="1" si="1"/>
        <v>100</v>
      </c>
      <c r="Q24" s="71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5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4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2">
        <f ca="1">L52+L67+L80+L102+L125+L147+L165+L194+L181+L274+L290+L311+L328+L341+L364+L383+L421+L501+L521+L542+L563+L584+L607+L624+L650+L698+L722+L736+L768</f>
        <v>59000</v>
      </c>
      <c r="M26" s="72">
        <f ca="1">M52+M67+M80+M102+M125+M147+M165+M194+M181+M274+M290+M311+M328+M341+M364+M383+M421+M501+M521+M542+M563+M584+M607+M624+M650+M698+M722+M736+M768</f>
        <v>59000</v>
      </c>
      <c r="N26" s="72">
        <f ca="1">N52+N67+N80+N102+N125+N147+N165+N194+N181+N274+N290+N311+N328+N341+N364+N383+N421+N501+N521+N542+N563+N584+N607+N624+N650+N698+N722+N736+N768</f>
        <v>59000</v>
      </c>
      <c r="O26" s="72">
        <f t="shared" ca="1" si="0"/>
        <v>100</v>
      </c>
      <c r="P26" s="72">
        <f t="shared" ca="1" si="1"/>
        <v>100</v>
      </c>
      <c r="Q26" s="74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72"/>
      <c r="M27" s="72"/>
      <c r="N27" s="72"/>
      <c r="O27" s="72"/>
      <c r="P27" s="72"/>
      <c r="Q27" s="84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75"/>
      <c r="M28" s="75"/>
      <c r="N28" s="75"/>
      <c r="O28" s="75"/>
      <c r="P28" s="75"/>
      <c r="Q28" s="84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181"/>
      <c r="M29" s="181"/>
      <c r="N29" s="181"/>
      <c r="O29" s="181"/>
      <c r="P29" s="181"/>
      <c r="Q29" s="95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7"/>
      <c r="M30" s="17"/>
      <c r="N30" s="17"/>
      <c r="O30" s="17"/>
      <c r="P30" s="17"/>
      <c r="Q30" s="16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8"/>
      <c r="M32" s="28"/>
      <c r="N32" s="28"/>
      <c r="O32" s="28"/>
      <c r="P32" s="28"/>
      <c r="Q32" s="27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8"/>
      <c r="M37" s="28"/>
      <c r="N37" s="28"/>
      <c r="O37" s="28"/>
      <c r="P37" s="28"/>
      <c r="Q37" s="27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7"/>
      <c r="M39" s="17"/>
      <c r="N39" s="17"/>
      <c r="O39" s="17"/>
      <c r="P39" s="17"/>
      <c r="Q39" s="16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0">
        <f ca="1">L44+L59+L72+L94+L125+L139+L157+L173+L186+L266+L282+L303+L320+L333+L356</f>
        <v>2201707</v>
      </c>
      <c r="M40" s="1050">
        <f ca="1">M44+M59+M72+M94+M125+M139+M157+M173+M186+M266+M282+M303+M320+M333+M356</f>
        <v>2591401.36</v>
      </c>
      <c r="N40" s="1050">
        <f ca="1">N44+N59+N72+N94+N125+N139+N157+N173+N186+N266+N282+N303+N320+N333+N356</f>
        <v>1860353.27</v>
      </c>
      <c r="O40" s="1050">
        <f ca="1">IF(L40&gt;0,N40*100/L40,0)</f>
        <v>84.495951096126774</v>
      </c>
      <c r="P40" s="1050">
        <f ca="1">IF(M40&gt;0,N40*100/M40,0)</f>
        <v>71.789468768357835</v>
      </c>
      <c r="Q40" s="1341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340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7"/>
      <c r="M42" s="1037"/>
      <c r="N42" s="1037"/>
      <c r="O42" s="1037"/>
      <c r="P42" s="1037"/>
      <c r="Q42" s="1038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1">
        <f ca="1">L45+L46</f>
        <v>318907</v>
      </c>
      <c r="M44" s="1031">
        <f ca="1">M45+M46</f>
        <v>419461.36</v>
      </c>
      <c r="N44" s="1031">
        <f ca="1">N45+N46</f>
        <v>330434</v>
      </c>
      <c r="O44" s="1031">
        <f t="shared" ref="O44:O52" ca="1" si="8">IF(L44&gt;0,N44*100/L44,0)</f>
        <v>103.61453339061231</v>
      </c>
      <c r="P44" s="1031">
        <f t="shared" ref="P44:P52" ca="1" si="9">IF(M44&gt;0,N44*100/M44,0)</f>
        <v>78.775789979796954</v>
      </c>
      <c r="Q44" s="1032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7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8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8">
        <f t="shared" ca="1" si="12"/>
        <v>318907</v>
      </c>
      <c r="M46" s="1018">
        <f t="shared" ca="1" si="12"/>
        <v>419461.36</v>
      </c>
      <c r="N46" s="1018">
        <f t="shared" ca="1" si="12"/>
        <v>330434</v>
      </c>
      <c r="O46" s="1018">
        <f t="shared" ca="1" si="8"/>
        <v>103.61453339061231</v>
      </c>
      <c r="P46" s="1018">
        <f t="shared" ca="1" si="9"/>
        <v>78.775789979796954</v>
      </c>
      <c r="Q46" s="1019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2">
        <f ca="1">L48+L49</f>
        <v>318907</v>
      </c>
      <c r="M47" s="72">
        <f ca="1">M48+M49</f>
        <v>419461.36</v>
      </c>
      <c r="N47" s="72">
        <f ca="1">N48+N49</f>
        <v>330434</v>
      </c>
      <c r="O47" s="72">
        <f t="shared" ca="1" si="8"/>
        <v>103.61453339061231</v>
      </c>
      <c r="P47" s="72">
        <f t="shared" ca="1" si="9"/>
        <v>78.775789979796954</v>
      </c>
      <c r="Q47" s="71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5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4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2">
        <f ca="1">IFERROR(__xludf.DUMMYFUNCTION("IMPORTRANGE(""https://docs.google.com/spreadsheets/d/1-uDff_7J0KD5mKrp0Vvzr7lt3OU09vwQwhkpOPPYv2Y/edit?usp=sharing"",""งบพรบ!P57"")"),318907)</f>
        <v>318907</v>
      </c>
      <c r="M49" s="72">
        <f ca="1">IFERROR(__xludf.DUMMYFUNCTION("IMPORTRANGE(""https://docs.google.com/spreadsheets/d/1-uDff_7J0KD5mKrp0Vvzr7lt3OU09vwQwhkpOPPYv2Y/edit?usp=sharing"",""งบพรบ!V57"")"),419461.36)</f>
        <v>419461.36</v>
      </c>
      <c r="N49" s="72">
        <f ca="1">IFERROR(__xludf.DUMMYFUNCTION("IMPORTRANGE(""https://docs.google.com/spreadsheets/d/1-uDff_7J0KD5mKrp0Vvzr7lt3OU09vwQwhkpOPPYv2Y/edit?usp=sharing"",""งบพรบ!Y57"")"),330434)</f>
        <v>330434</v>
      </c>
      <c r="O49" s="72">
        <f t="shared" ca="1" si="8"/>
        <v>103.61453339061231</v>
      </c>
      <c r="P49" s="72">
        <f t="shared" ca="1" si="9"/>
        <v>78.775789979796954</v>
      </c>
      <c r="Q49" s="71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2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1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5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4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2">
        <f ca="1">IFERROR(__xludf.DUMMYFUNCTION("IMPORTRANGE(""https://docs.google.com/spreadsheets/d/1-uDff_7J0KD5mKrp0Vvzr7lt3OU09vwQwhkpOPPYv2Y/edit?usp=sharing"",""งบพรบ!S57"")"),0)</f>
        <v>0</v>
      </c>
      <c r="M52" s="72">
        <f ca="1">IFERROR(__xludf.DUMMYFUNCTION("IMPORTRANGE(""https://docs.google.com/spreadsheets/d/1-uDff_7J0KD5mKrp0Vvzr7lt3OU09vwQwhkpOPPYv2Y/edit?usp=sharing"",""งบพรบ!W57"")"),0)</f>
        <v>0</v>
      </c>
      <c r="N52" s="72">
        <f ca="1">IFERROR(__xludf.DUMMYFUNCTION("IMPORTRANGE(""https://docs.google.com/spreadsheets/d/1-uDff_7J0KD5mKrp0Vvzr7lt3OU09vwQwhkpOPPYv2Y/edit?usp=sharing"",""งบพรบ!Z57"")"),0)</f>
        <v>0</v>
      </c>
      <c r="O52" s="72">
        <f t="shared" ca="1" si="8"/>
        <v>0</v>
      </c>
      <c r="P52" s="72">
        <f t="shared" ca="1" si="9"/>
        <v>0</v>
      </c>
      <c r="Q52" s="71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72"/>
      <c r="M53" s="72"/>
      <c r="N53" s="72"/>
      <c r="O53" s="72"/>
      <c r="P53" s="72"/>
      <c r="Q53" s="84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75"/>
      <c r="M54" s="75"/>
      <c r="N54" s="75"/>
      <c r="O54" s="75"/>
      <c r="P54" s="75"/>
      <c r="Q54" s="84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181"/>
      <c r="M55" s="181"/>
      <c r="N55" s="181"/>
      <c r="O55" s="181"/>
      <c r="P55" s="181"/>
      <c r="Q55" s="95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339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5"/>
      <c r="M57" s="145"/>
      <c r="N57" s="145"/>
      <c r="O57" s="145"/>
      <c r="P57" s="145"/>
      <c r="Q57" s="144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3"/>
      <c r="M58" s="153"/>
      <c r="N58" s="153"/>
      <c r="O58" s="153"/>
      <c r="P58" s="153"/>
      <c r="Q58" s="152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1">
        <f ca="1">L60+L61</f>
        <v>689700</v>
      </c>
      <c r="M59" s="1001">
        <f ca="1">M60+M61</f>
        <v>689700</v>
      </c>
      <c r="N59" s="1001">
        <f ca="1">N60+N61</f>
        <v>642436.77</v>
      </c>
      <c r="O59" s="1001">
        <f t="shared" ref="O59:O67" ca="1" si="14">IF(L59&gt;0,N59*100/L59,0)</f>
        <v>93.147277076989994</v>
      </c>
      <c r="P59" s="1001">
        <f t="shared" ref="P59:P67" ca="1" si="15">IF(M59&gt;0,N59*100/M59,0)</f>
        <v>93.147277076989994</v>
      </c>
      <c r="Q59" s="1002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7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8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8">
        <f t="shared" ca="1" si="18"/>
        <v>689700</v>
      </c>
      <c r="M61" s="988">
        <f t="shared" ca="1" si="18"/>
        <v>689700</v>
      </c>
      <c r="N61" s="988">
        <f t="shared" ca="1" si="18"/>
        <v>642436.77</v>
      </c>
      <c r="O61" s="988">
        <f t="shared" ca="1" si="14"/>
        <v>93.147277076989994</v>
      </c>
      <c r="P61" s="988">
        <f t="shared" ca="1" si="15"/>
        <v>93.147277076989994</v>
      </c>
      <c r="Q61" s="989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2">
        <f ca="1">L63+L64</f>
        <v>630700</v>
      </c>
      <c r="M62" s="72">
        <f ca="1">M63+M64</f>
        <v>630700</v>
      </c>
      <c r="N62" s="72">
        <f ca="1">N63+N64</f>
        <v>583436.77</v>
      </c>
      <c r="O62" s="72">
        <f t="shared" ca="1" si="14"/>
        <v>92.506226415094346</v>
      </c>
      <c r="P62" s="72">
        <f t="shared" ca="1" si="15"/>
        <v>92.506226415094346</v>
      </c>
      <c r="Q62" s="71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5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4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2">
        <f ca="1">IFERROR(__xludf.DUMMYFUNCTION("IMPORTRANGE(""https://docs.google.com/spreadsheets/d/1-uDff_7J0KD5mKrp0Vvzr7lt3OU09vwQwhkpOPPYv2Y/edit?usp=sharing"",""งบพรบ!AC57"")"),630700)</f>
        <v>630700</v>
      </c>
      <c r="M64" s="72">
        <f ca="1">IFERROR(__xludf.DUMMYFUNCTION("IMPORTRANGE(""https://docs.google.com/spreadsheets/d/1-uDff_7J0KD5mKrp0Vvzr7lt3OU09vwQwhkpOPPYv2Y/edit?usp=sharing"",""งบพรบ!AH57"")"),630700)</f>
        <v>630700</v>
      </c>
      <c r="N64" s="72">
        <f ca="1">IFERROR(__xludf.DUMMYFUNCTION("IMPORTRANGE(""https://docs.google.com/spreadsheets/d/1-uDff_7J0KD5mKrp0Vvzr7lt3OU09vwQwhkpOPPYv2Y/edit?usp=sharing"",""งบพรบ!AJ57"")"),583436.77)</f>
        <v>583436.77</v>
      </c>
      <c r="O64" s="72">
        <f t="shared" ca="1" si="14"/>
        <v>92.506226415094346</v>
      </c>
      <c r="P64" s="72">
        <f t="shared" ca="1" si="15"/>
        <v>92.506226415094346</v>
      </c>
      <c r="Q64" s="71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2">
        <f ca="1">L66+L67</f>
        <v>59000</v>
      </c>
      <c r="M65" s="72">
        <f ca="1">M66+M67</f>
        <v>59000</v>
      </c>
      <c r="N65" s="72">
        <f ca="1">N66+N67</f>
        <v>59000</v>
      </c>
      <c r="O65" s="72">
        <f t="shared" ca="1" si="14"/>
        <v>100</v>
      </c>
      <c r="P65" s="72">
        <f t="shared" ca="1" si="15"/>
        <v>100</v>
      </c>
      <c r="Q65" s="71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5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4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81">
        <f ca="1">IFERROR(__xludf.DUMMYFUNCTION("IMPORTRANGE(""https://docs.google.com/spreadsheets/d/1-uDff_7J0KD5mKrp0Vvzr7lt3OU09vwQwhkpOPPYv2Y/edit?usp=sharing"",""งบพรบ!AF57"")"),59000)</f>
        <v>59000</v>
      </c>
      <c r="M67" s="181">
        <f ca="1">IFERROR(__xludf.DUMMYFUNCTION("IMPORTRANGE(""https://docs.google.com/spreadsheets/d/1-uDff_7J0KD5mKrp0Vvzr7lt3OU09vwQwhkpOPPYv2Y/edit?usp=sharing"",""งบพรบ!AI57"")"),59000)</f>
        <v>59000</v>
      </c>
      <c r="N67" s="181">
        <f ca="1">IFERROR(__xludf.DUMMYFUNCTION("IMPORTRANGE(""https://docs.google.com/spreadsheets/d/1-uDff_7J0KD5mKrp0Vvzr7lt3OU09vwQwhkpOPPYv2Y/edit?usp=sharing"",""งบพรบ!AK57"")"),59000)</f>
        <v>59000</v>
      </c>
      <c r="O67" s="181">
        <f t="shared" ca="1" si="14"/>
        <v>100</v>
      </c>
      <c r="P67" s="181">
        <f t="shared" ca="1" si="15"/>
        <v>100</v>
      </c>
      <c r="Q67" s="180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89"/>
      <c r="R68" s="190"/>
      <c r="S68" s="190"/>
      <c r="T68" s="190"/>
      <c r="U68" s="191"/>
    </row>
    <row r="69" spans="1:21" ht="19.5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9"/>
      <c r="M69" s="199"/>
      <c r="N69" s="199"/>
      <c r="O69" s="199"/>
      <c r="P69" s="199"/>
      <c r="Q69" s="198"/>
      <c r="R69" s="199"/>
      <c r="S69" s="199"/>
      <c r="T69" s="199"/>
      <c r="U69" s="199"/>
    </row>
    <row r="70" spans="1:21" ht="19.5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1</v>
      </c>
      <c r="J70" s="254">
        <f>J82</f>
        <v>1</v>
      </c>
      <c r="K70" s="57">
        <f ca="1">IF(I70&gt;0,J70*100/I70,0)</f>
        <v>100</v>
      </c>
      <c r="L70" s="206"/>
      <c r="M70" s="206"/>
      <c r="N70" s="206"/>
      <c r="O70" s="206"/>
      <c r="P70" s="206"/>
      <c r="Q70" s="205"/>
      <c r="R70" s="206"/>
      <c r="S70" s="206"/>
      <c r="T70" s="206"/>
      <c r="U70" s="206"/>
    </row>
    <row r="71" spans="1:21" ht="19.5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34</v>
      </c>
      <c r="J71" s="254">
        <f>J83</f>
        <v>34</v>
      </c>
      <c r="K71" s="57">
        <f ca="1">IF(I71&gt;0,J71*100/I71,0)</f>
        <v>100</v>
      </c>
      <c r="L71" s="206"/>
      <c r="M71" s="206"/>
      <c r="N71" s="206"/>
      <c r="O71" s="206"/>
      <c r="P71" s="206"/>
      <c r="Q71" s="205"/>
      <c r="R71" s="206"/>
      <c r="S71" s="206"/>
      <c r="T71" s="206"/>
      <c r="U71" s="206"/>
    </row>
    <row r="72" spans="1:21" ht="19.5" x14ac:dyDescent="0.3">
      <c r="A72" s="255"/>
      <c r="B72" s="256"/>
      <c r="C72" s="668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62">
        <f ca="1">L73+L74</f>
        <v>142000</v>
      </c>
      <c r="M72" s="262">
        <f ca="1">M73+M74</f>
        <v>142000</v>
      </c>
      <c r="N72" s="262">
        <f ca="1">N73+N74</f>
        <v>82196</v>
      </c>
      <c r="O72" s="262">
        <f t="shared" ref="O72:O80" ca="1" si="20">IF(L72&gt;0,N72*100/L72,0)</f>
        <v>57.884507042253524</v>
      </c>
      <c r="P72" s="262">
        <f t="shared" ref="P72:P80" ca="1" si="21">IF(M72&gt;0,N72*100/M72,0)</f>
        <v>57.884507042253524</v>
      </c>
      <c r="Q72" s="389">
        <f ca="1">Q73+Q74</f>
        <v>412380</v>
      </c>
      <c r="R72" s="262">
        <f ca="1">R73+R74</f>
        <v>412380</v>
      </c>
      <c r="S72" s="262">
        <f ca="1">S73+S74</f>
        <v>283480</v>
      </c>
      <c r="T72" s="262">
        <f t="shared" ref="T72:T80" ca="1" si="22">IF(Q72&gt;0,S72*100/Q72,0)</f>
        <v>68.74242203792619</v>
      </c>
      <c r="U72" s="262">
        <f t="shared" ref="U72:U80" ca="1" si="23">IF(R72&gt;0,S72*100/R72,0)</f>
        <v>68.74242203792619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5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4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2">
        <f t="shared" ca="1" si="24"/>
        <v>142000</v>
      </c>
      <c r="M74" s="72">
        <f t="shared" ca="1" si="24"/>
        <v>142000</v>
      </c>
      <c r="N74" s="72">
        <f t="shared" ca="1" si="24"/>
        <v>82196</v>
      </c>
      <c r="O74" s="72">
        <f t="shared" ca="1" si="20"/>
        <v>57.884507042253524</v>
      </c>
      <c r="P74" s="72">
        <f t="shared" ca="1" si="21"/>
        <v>57.884507042253524</v>
      </c>
      <c r="Q74" s="71">
        <f t="shared" ca="1" si="25"/>
        <v>412380</v>
      </c>
      <c r="R74" s="72">
        <f t="shared" ca="1" si="25"/>
        <v>412380</v>
      </c>
      <c r="S74" s="72">
        <f t="shared" ca="1" si="25"/>
        <v>283480</v>
      </c>
      <c r="T74" s="72">
        <f t="shared" ca="1" si="22"/>
        <v>68.74242203792619</v>
      </c>
      <c r="U74" s="72">
        <f t="shared" ca="1" si="23"/>
        <v>68.74242203792619</v>
      </c>
    </row>
    <row r="75" spans="1:21" ht="18.75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2">
        <f ca="1">L76+L77</f>
        <v>142000</v>
      </c>
      <c r="M75" s="72">
        <f ca="1">M76+M77</f>
        <v>142000</v>
      </c>
      <c r="N75" s="72">
        <f ca="1">N76+N77</f>
        <v>82196</v>
      </c>
      <c r="O75" s="72">
        <f t="shared" ca="1" si="20"/>
        <v>57.884507042253524</v>
      </c>
      <c r="P75" s="72">
        <f t="shared" ca="1" si="21"/>
        <v>57.884507042253524</v>
      </c>
      <c r="Q75" s="71">
        <f ca="1">Q76+Q77</f>
        <v>412380</v>
      </c>
      <c r="R75" s="72">
        <f ca="1">R76+R77</f>
        <v>412380</v>
      </c>
      <c r="S75" s="72">
        <f ca="1">S76+S77</f>
        <v>283480</v>
      </c>
      <c r="T75" s="72">
        <f t="shared" ca="1" si="22"/>
        <v>68.74242203792619</v>
      </c>
      <c r="U75" s="72">
        <f t="shared" ca="1" si="23"/>
        <v>68.74242203792619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5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4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2">
        <f ca="1">IFERROR(__xludf.DUMMYFUNCTION("IMPORTRANGE(""https://docs.google.com/spreadsheets/d/1-uDff_7J0KD5mKrp0Vvzr7lt3OU09vwQwhkpOPPYv2Y/edit?usp=sharing"",""งบพรบ!AM57"")"),142000)</f>
        <v>142000</v>
      </c>
      <c r="M77" s="72">
        <f ca="1">IFERROR(__xludf.DUMMYFUNCTION("IMPORTRANGE(""https://docs.google.com/spreadsheets/d/1-uDff_7J0KD5mKrp0Vvzr7lt3OU09vwQwhkpOPPYv2Y/edit?usp=sharing"",""งบพรบ!AR57"")"),142000)</f>
        <v>142000</v>
      </c>
      <c r="N77" s="72">
        <f ca="1">IFERROR(__xludf.DUMMYFUNCTION("IMPORTRANGE(""https://docs.google.com/spreadsheets/d/1-uDff_7J0KD5mKrp0Vvzr7lt3OU09vwQwhkpOPPYv2Y/edit?usp=sharing"",""งบพรบ!AT57"")"),82196)</f>
        <v>82196</v>
      </c>
      <c r="O77" s="72">
        <f t="shared" ca="1" si="20"/>
        <v>57.884507042253524</v>
      </c>
      <c r="P77" s="72">
        <f t="shared" ca="1" si="21"/>
        <v>57.884507042253524</v>
      </c>
      <c r="Q77" s="71">
        <f ca="1">IFERROR(__xludf.DUMMYFUNCTION("IMPORTRANGE(""https://docs.google.com/spreadsheets/d/1ItG2mGa2ceCfYo0BwxsXqNm01IGEUdYcSSLTEv9YCik/edit?usp=sharing"",""เบิกจ่ายกองทุน!BH57"")"),412380)</f>
        <v>412380</v>
      </c>
      <c r="R77" s="72">
        <f ca="1">IFERROR(__xludf.DUMMYFUNCTION("IMPORTRANGE(""https://docs.google.com/spreadsheets/d/1ItG2mGa2ceCfYo0BwxsXqNm01IGEUdYcSSLTEv9YCik/edit?usp=sharing"",""เบิกจ่ายกองทุน!BI57"")"),412380)</f>
        <v>412380</v>
      </c>
      <c r="S77" s="72">
        <f ca="1">IFERROR(__xludf.DUMMYFUNCTION("IMPORTRANGE(""https://docs.google.com/spreadsheets/d/1ItG2mGa2ceCfYo0BwxsXqNm01IGEUdYcSSLTEv9YCik/edit?usp=sharing"",""เบิกจ่ายกองทุน!BJ57"")"),283480)</f>
        <v>283480</v>
      </c>
      <c r="T77" s="72">
        <f t="shared" ca="1" si="22"/>
        <v>68.74242203792619</v>
      </c>
      <c r="U77" s="72">
        <f t="shared" ca="1" si="23"/>
        <v>68.74242203792619</v>
      </c>
    </row>
    <row r="78" spans="1:21" ht="18.75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2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1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5">
        <v>0</v>
      </c>
      <c r="M79" s="85"/>
      <c r="N79" s="85"/>
      <c r="O79" s="75">
        <f t="shared" si="20"/>
        <v>0</v>
      </c>
      <c r="P79" s="75">
        <f t="shared" si="21"/>
        <v>0</v>
      </c>
      <c r="Q79" s="74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2">
        <f ca="1">IFERROR(__xludf.DUMMYFUNCTION("IMPORTRANGE(""https://docs.google.com/spreadsheets/d/1-uDff_7J0KD5mKrp0Vvzr7lt3OU09vwQwhkpOPPYv2Y/edit?usp=sharing"",""งบพรบ!AP57"")"),0)</f>
        <v>0</v>
      </c>
      <c r="M80" s="72">
        <f ca="1">IFERROR(__xludf.DUMMYFUNCTION("IMPORTRANGE(""https://docs.google.com/spreadsheets/d/1-uDff_7J0KD5mKrp0Vvzr7lt3OU09vwQwhkpOPPYv2Y/edit?usp=sharing"",""งบพรบ!AS57"")"),0)</f>
        <v>0</v>
      </c>
      <c r="N80" s="72">
        <f ca="1">IFERROR(__xludf.DUMMYFUNCTION("IMPORTRANGE(""https://docs.google.com/spreadsheets/d/1-uDff_7J0KD5mKrp0Vvzr7lt3OU09vwQwhkpOPPYv2Y/edit?usp=sharing"",""งบพรบ!AU57"")"),0)</f>
        <v>0</v>
      </c>
      <c r="O80" s="72">
        <f t="shared" ca="1" si="20"/>
        <v>0</v>
      </c>
      <c r="P80" s="72">
        <f t="shared" ca="1" si="21"/>
        <v>0</v>
      </c>
      <c r="Q80" s="71">
        <f ca="1">IFERROR(__xludf.DUMMYFUNCTION("IMPORTRANGE(""https://docs.google.com/spreadsheets/d/1ItG2mGa2ceCfYo0BwxsXqNm01IGEUdYcSSLTEv9YCik/edit?usp=sharing"",""เบิกจ่ายกองทุน!BK57"")"),0)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IFERROR(__xludf.DUMMYFUNCTION("IMPORTRANGE(""https://docs.google.com/spreadsheets/d/1ItG2mGa2ceCfYo0BwxsXqNm01IGEUdYcSSLTEv9YCik/edit?usp=sharing"",""เบิกจ่ายกองทุน!BL57"")"),0)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IFERROR(__xludf.DUMMYFUNCTION("IMPORTRANGE(""https://docs.google.com/spreadsheets/d/1ItG2mGa2ceCfYo0BwxsXqNm01IGEUdYcSSLTEv9YCik/edit?usp=sharing"",""เบิกจ่ายกองทุน!BM57"")"),0)</f>
        <v>0</v>
      </c>
      <c r="T80" s="72">
        <f t="shared" ca="1" si="22"/>
        <v>0</v>
      </c>
      <c r="U80" s="72">
        <f t="shared" ca="1" si="23"/>
        <v>0</v>
      </c>
    </row>
    <row r="81" spans="1:21" ht="19.5" x14ac:dyDescent="0.3">
      <c r="A81" s="274"/>
      <c r="B81" s="275"/>
      <c r="C81" s="668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7"/>
      <c r="M81" s="227"/>
      <c r="N81" s="227"/>
      <c r="O81" s="227"/>
      <c r="P81" s="227"/>
      <c r="Q81" s="226"/>
      <c r="R81" s="227"/>
      <c r="S81" s="227"/>
      <c r="T81" s="227"/>
      <c r="U81" s="227"/>
    </row>
    <row r="82" spans="1:21" ht="19.5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1</v>
      </c>
      <c r="J82" s="601">
        <f>J84+J86+J88</f>
        <v>1</v>
      </c>
      <c r="K82" s="908">
        <f t="shared" ref="K82:K90" ca="1" si="26">IF(I82&gt;0,J82*100/I82,0)</f>
        <v>100</v>
      </c>
      <c r="L82" s="227"/>
      <c r="M82" s="227"/>
      <c r="N82" s="227"/>
      <c r="O82" s="227"/>
      <c r="P82" s="227"/>
      <c r="Q82" s="226"/>
      <c r="R82" s="227"/>
      <c r="S82" s="227"/>
      <c r="T82" s="227"/>
      <c r="U82" s="227"/>
    </row>
    <row r="83" spans="1:21" ht="19.5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34</v>
      </c>
      <c r="J83" s="601">
        <f>J85+J87+J89</f>
        <v>34</v>
      </c>
      <c r="K83" s="908">
        <f t="shared" ca="1" si="26"/>
        <v>100</v>
      </c>
      <c r="L83" s="227"/>
      <c r="M83" s="227"/>
      <c r="N83" s="227"/>
      <c r="O83" s="227"/>
      <c r="P83" s="227"/>
      <c r="Q83" s="226"/>
      <c r="R83" s="227"/>
      <c r="S83" s="227"/>
      <c r="T83" s="227"/>
      <c r="U83" s="227"/>
    </row>
    <row r="84" spans="1:21" ht="18.75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IFERROR(__xludf.DUMMYFUNCTION("IMPORTRANGE(""https://docs.google.com/spreadsheets/d/1eHaY18a8A9IcSdp1K8H6x8fbOy06t2VsZHhMHf-1x7Y/edit?usp=sharing"",""แผน!H57"")"),0)</f>
        <v>0</v>
      </c>
      <c r="J84" s="292">
        <v>0</v>
      </c>
      <c r="K84" s="746">
        <f t="shared" ca="1" si="26"/>
        <v>0</v>
      </c>
      <c r="L84" s="227"/>
      <c r="M84" s="227"/>
      <c r="N84" s="227"/>
      <c r="O84" s="227"/>
      <c r="P84" s="227"/>
      <c r="Q84" s="226"/>
      <c r="R84" s="227"/>
      <c r="S84" s="227"/>
      <c r="T84" s="227"/>
      <c r="U84" s="227"/>
    </row>
    <row r="85" spans="1:21" ht="18.75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IFERROR(__xludf.DUMMYFUNCTION("IMPORTRANGE(""https://docs.google.com/spreadsheets/d/1eHaY18a8A9IcSdp1K8H6x8fbOy06t2VsZHhMHf-1x7Y/edit?usp=sharing"",""แผน!I57"")"),0)</f>
        <v>0</v>
      </c>
      <c r="J85" s="292">
        <v>0</v>
      </c>
      <c r="K85" s="746">
        <f t="shared" ca="1" si="26"/>
        <v>0</v>
      </c>
      <c r="L85" s="227"/>
      <c r="M85" s="227"/>
      <c r="N85" s="227"/>
      <c r="O85" s="227"/>
      <c r="P85" s="227"/>
      <c r="Q85" s="226"/>
      <c r="R85" s="227"/>
      <c r="S85" s="227"/>
      <c r="T85" s="227"/>
      <c r="U85" s="227"/>
    </row>
    <row r="86" spans="1:21" ht="18.75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IFERROR(__xludf.DUMMYFUNCTION("IMPORTRANGE(""https://docs.google.com/spreadsheets/d/1eHaY18a8A9IcSdp1K8H6x8fbOy06t2VsZHhMHf-1x7Y/edit?usp=sharing"",""แผน!F57"")"),1)</f>
        <v>1</v>
      </c>
      <c r="J86" s="292">
        <v>1</v>
      </c>
      <c r="K86" s="746">
        <f t="shared" ca="1" si="26"/>
        <v>100</v>
      </c>
      <c r="L86" s="227"/>
      <c r="M86" s="227"/>
      <c r="N86" s="227"/>
      <c r="O86" s="227"/>
      <c r="P86" s="227"/>
      <c r="Q86" s="226"/>
      <c r="R86" s="227"/>
      <c r="S86" s="227"/>
      <c r="T86" s="227"/>
      <c r="U86" s="227"/>
    </row>
    <row r="87" spans="1:21" ht="18.75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IFERROR(__xludf.DUMMYFUNCTION("IMPORTRANGE(""https://docs.google.com/spreadsheets/d/1eHaY18a8A9IcSdp1K8H6x8fbOy06t2VsZHhMHf-1x7Y/edit?usp=sharing"",""แผน!G57"")"),34)</f>
        <v>34</v>
      </c>
      <c r="J87" s="292">
        <v>34</v>
      </c>
      <c r="K87" s="746">
        <f t="shared" ca="1" si="26"/>
        <v>100</v>
      </c>
      <c r="L87" s="227"/>
      <c r="M87" s="227"/>
      <c r="N87" s="227"/>
      <c r="O87" s="227"/>
      <c r="P87" s="227"/>
      <c r="Q87" s="226"/>
      <c r="R87" s="227"/>
      <c r="S87" s="227"/>
      <c r="T87" s="227"/>
      <c r="U87" s="227"/>
    </row>
    <row r="88" spans="1:21" ht="18.75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IFERROR(__xludf.DUMMYFUNCTION("IMPORTRANGE(""https://docs.google.com/spreadsheets/d/1eHaY18a8A9IcSdp1K8H6x8fbOy06t2VsZHhMHf-1x7Y/edit?usp=sharing"",""แผน!D57"")"),0)</f>
        <v>0</v>
      </c>
      <c r="J88" s="292">
        <v>0</v>
      </c>
      <c r="K88" s="746">
        <f t="shared" ca="1" si="26"/>
        <v>0</v>
      </c>
      <c r="L88" s="227"/>
      <c r="M88" s="227"/>
      <c r="N88" s="227"/>
      <c r="O88" s="227"/>
      <c r="P88" s="227"/>
      <c r="Q88" s="226"/>
      <c r="R88" s="227"/>
      <c r="S88" s="227"/>
      <c r="T88" s="227"/>
      <c r="U88" s="227"/>
    </row>
    <row r="89" spans="1:21" ht="18.75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IFERROR(__xludf.DUMMYFUNCTION("IMPORTRANGE(""https://docs.google.com/spreadsheets/d/1eHaY18a8A9IcSdp1K8H6x8fbOy06t2VsZHhMHf-1x7Y/edit?usp=sharing"",""แผน!E57"")"),0)</f>
        <v>0</v>
      </c>
      <c r="J89" s="292">
        <v>0</v>
      </c>
      <c r="K89" s="746">
        <f t="shared" ca="1" si="26"/>
        <v>0</v>
      </c>
      <c r="L89" s="227"/>
      <c r="M89" s="227"/>
      <c r="N89" s="227"/>
      <c r="O89" s="227"/>
      <c r="P89" s="227"/>
      <c r="Q89" s="226"/>
      <c r="R89" s="227"/>
      <c r="S89" s="227"/>
      <c r="T89" s="227"/>
      <c r="U89" s="227"/>
    </row>
    <row r="90" spans="1:21" ht="18.75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IFERROR(__xludf.DUMMYFUNCTION("IMPORTRANGE(""https://docs.google.com/spreadsheets/d/1eHaY18a8A9IcSdp1K8H6x8fbOy06t2VsZHhMHf-1x7Y/edit?usp=sharing"",""แผน!J57"")"),1)</f>
        <v>1</v>
      </c>
      <c r="J90" s="292">
        <v>1</v>
      </c>
      <c r="K90" s="746">
        <f t="shared" ca="1" si="26"/>
        <v>100</v>
      </c>
      <c r="L90" s="227"/>
      <c r="M90" s="227"/>
      <c r="N90" s="227"/>
      <c r="O90" s="227"/>
      <c r="P90" s="227"/>
      <c r="Q90" s="226"/>
      <c r="R90" s="227"/>
      <c r="S90" s="227"/>
      <c r="T90" s="227"/>
      <c r="U90" s="227"/>
    </row>
    <row r="91" spans="1:21" ht="19.5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9"/>
      <c r="M91" s="199"/>
      <c r="N91" s="199"/>
      <c r="O91" s="199"/>
      <c r="P91" s="199"/>
      <c r="Q91" s="198"/>
      <c r="R91" s="199"/>
      <c r="S91" s="199"/>
      <c r="T91" s="199"/>
      <c r="U91" s="199"/>
    </row>
    <row r="92" spans="1:21" ht="19.5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36</v>
      </c>
      <c r="J92" s="254">
        <f>J108</f>
        <v>36</v>
      </c>
      <c r="K92" s="57">
        <f ca="1">IF(I92&gt;0,J92*100/I92,0)</f>
        <v>100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12</v>
      </c>
      <c r="J93" s="254">
        <f>J109</f>
        <v>12</v>
      </c>
      <c r="K93" s="57">
        <f ca="1">IF(I93&gt;0,J93*100/I93,0)</f>
        <v>100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x14ac:dyDescent="0.3">
      <c r="A94" s="255"/>
      <c r="B94" s="256"/>
      <c r="C94" s="668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ca="1">L95+L96</f>
        <v>7200</v>
      </c>
      <c r="M94" s="262">
        <f ca="1">M95+M96</f>
        <v>7200</v>
      </c>
      <c r="N94" s="262">
        <f ca="1">N95+N96</f>
        <v>7200</v>
      </c>
      <c r="O94" s="262">
        <f t="shared" ref="O94:O102" ca="1" si="27">IF(L94&gt;0,N94*100/L94,0)</f>
        <v>100</v>
      </c>
      <c r="P94" s="262">
        <f t="shared" ref="P94:P102" ca="1" si="28">IF(M94&gt;0,N94*100/M94,0)</f>
        <v>100</v>
      </c>
      <c r="Q94" s="389">
        <f ca="1">Q95+Q96</f>
        <v>101304</v>
      </c>
      <c r="R94" s="262">
        <f ca="1">R95+R96</f>
        <v>101304</v>
      </c>
      <c r="S94" s="262">
        <f ca="1">S95+S96</f>
        <v>74785</v>
      </c>
      <c r="T94" s="262">
        <f t="shared" ref="T94:T102" ca="1" si="29">IF(Q94&gt;0,S94*100/Q94,0)</f>
        <v>73.822356471610206</v>
      </c>
      <c r="U94" s="262">
        <f t="shared" ref="U94:U102" ca="1" si="30">IF(R94&gt;0,S94*100/R94,0)</f>
        <v>73.822356471610206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4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t="shared" ca="1" si="31"/>
        <v>7200</v>
      </c>
      <c r="M96" s="72">
        <f t="shared" ca="1" si="31"/>
        <v>7200</v>
      </c>
      <c r="N96" s="72">
        <f t="shared" ca="1" si="31"/>
        <v>7200</v>
      </c>
      <c r="O96" s="72">
        <f t="shared" ca="1" si="27"/>
        <v>100</v>
      </c>
      <c r="P96" s="72">
        <f t="shared" ca="1" si="28"/>
        <v>100</v>
      </c>
      <c r="Q96" s="71">
        <f t="shared" ca="1" si="32"/>
        <v>101304</v>
      </c>
      <c r="R96" s="72">
        <f t="shared" ca="1" si="32"/>
        <v>101304</v>
      </c>
      <c r="S96" s="72">
        <f t="shared" ca="1" si="32"/>
        <v>74785</v>
      </c>
      <c r="T96" s="72">
        <f t="shared" ca="1" si="29"/>
        <v>73.822356471610206</v>
      </c>
      <c r="U96" s="72">
        <f t="shared" ca="1" si="30"/>
        <v>73.822356471610206</v>
      </c>
    </row>
    <row r="97" spans="1:21" ht="18.75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ca="1">L98+L99</f>
        <v>7200</v>
      </c>
      <c r="M97" s="72">
        <f ca="1">M98+M99</f>
        <v>7200</v>
      </c>
      <c r="N97" s="72">
        <f ca="1">N98+N99</f>
        <v>7200</v>
      </c>
      <c r="O97" s="72">
        <f t="shared" ca="1" si="27"/>
        <v>100</v>
      </c>
      <c r="P97" s="72">
        <f t="shared" ca="1" si="28"/>
        <v>100</v>
      </c>
      <c r="Q97" s="71">
        <f ca="1">Q98+Q99</f>
        <v>101304</v>
      </c>
      <c r="R97" s="72">
        <f ca="1">R98+R99</f>
        <v>101304</v>
      </c>
      <c r="S97" s="72">
        <f ca="1">S98+S99</f>
        <v>74785</v>
      </c>
      <c r="T97" s="72">
        <f t="shared" ca="1" si="29"/>
        <v>73.822356471610206</v>
      </c>
      <c r="U97" s="72">
        <f t="shared" ca="1" si="30"/>
        <v>73.822356471610206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4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IFERROR(__xludf.DUMMYFUNCTION("IMPORTRANGE(""https://docs.google.com/spreadsheets/d/1-uDff_7J0KD5mKrp0Vvzr7lt3OU09vwQwhkpOPPYv2Y/edit?usp=sharing"",""งบพรบ!AW57"")"),7200)</f>
        <v>7200</v>
      </c>
      <c r="M99" s="72">
        <f ca="1">IFERROR(__xludf.DUMMYFUNCTION("IMPORTRANGE(""https://docs.google.com/spreadsheets/d/1-uDff_7J0KD5mKrp0Vvzr7lt3OU09vwQwhkpOPPYv2Y/edit?usp=sharing"",""งบพรบ!BB57"")"),7200)</f>
        <v>7200</v>
      </c>
      <c r="N99" s="72">
        <f ca="1">IFERROR(__xludf.DUMMYFUNCTION("IMPORTRANGE(""https://docs.google.com/spreadsheets/d/1-uDff_7J0KD5mKrp0Vvzr7lt3OU09vwQwhkpOPPYv2Y/edit?usp=sharing"",""งบพรบ!BD57"")"),7200)</f>
        <v>7200</v>
      </c>
      <c r="O99" s="72">
        <f t="shared" ca="1" si="27"/>
        <v>100</v>
      </c>
      <c r="P99" s="72">
        <f t="shared" ca="1" si="28"/>
        <v>100</v>
      </c>
      <c r="Q99" s="71">
        <f ca="1">IFERROR(__xludf.DUMMYFUNCTION("IMPORTRANGE(""https://docs.google.com/spreadsheets/d/1ItG2mGa2ceCfYo0BwxsXqNm01IGEUdYcSSLTEv9YCik/edit?usp=sharing"",""เบิกจ่ายกองทุน!AJ57"")"),101304)</f>
        <v>101304</v>
      </c>
      <c r="R99" s="72">
        <f ca="1">IFERROR(__xludf.DUMMYFUNCTION("IMPORTRANGE(""https://docs.google.com/spreadsheets/d/1ItG2mGa2ceCfYo0BwxsXqNm01IGEUdYcSSLTEv9YCik/edit?usp=sharing"",""เบิกจ่ายกองทุน!AK57"")"),101304)</f>
        <v>101304</v>
      </c>
      <c r="S99" s="72">
        <f ca="1">IFERROR(__xludf.DUMMYFUNCTION("IMPORTRANGE(""https://docs.google.com/spreadsheets/d/1ItG2mGa2ceCfYo0BwxsXqNm01IGEUdYcSSLTEv9YCik/edit?usp=sharing"",""เบิกจ่ายกองทุน!AL57"")"),74785)</f>
        <v>74785</v>
      </c>
      <c r="T99" s="72">
        <f t="shared" ca="1" si="29"/>
        <v>73.822356471610206</v>
      </c>
      <c r="U99" s="72">
        <f t="shared" ca="1" si="30"/>
        <v>73.822356471610206</v>
      </c>
    </row>
    <row r="100" spans="1:21" ht="18.75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1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4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IFERROR(__xludf.DUMMYFUNCTION("IMPORTRANGE(""https://docs.google.com/spreadsheets/d/1-uDff_7J0KD5mKrp0Vvzr7lt3OU09vwQwhkpOPPYv2Y/edit?usp=sharing"",""งบพรบ!AZ57"")"),0)</f>
        <v>0</v>
      </c>
      <c r="M102" s="72">
        <f ca="1">IFERROR(__xludf.DUMMYFUNCTION("IMPORTRANGE(""https://docs.google.com/spreadsheets/d/1-uDff_7J0KD5mKrp0Vvzr7lt3OU09vwQwhkpOPPYv2Y/edit?usp=sharing"",""งบพรบ!BC57"")"),0)</f>
        <v>0</v>
      </c>
      <c r="N102" s="72">
        <f ca="1">IFERROR(__xludf.DUMMYFUNCTION("IMPORTRANGE(""https://docs.google.com/spreadsheets/d/1-uDff_7J0KD5mKrp0Vvzr7lt3OU09vwQwhkpOPPYv2Y/edit?usp=sharing"",""งบพรบ!BE57"")"),0)</f>
        <v>0</v>
      </c>
      <c r="O102" s="72">
        <f t="shared" ca="1" si="27"/>
        <v>0</v>
      </c>
      <c r="P102" s="72">
        <f t="shared" ca="1" si="28"/>
        <v>0</v>
      </c>
      <c r="Q102" s="71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x14ac:dyDescent="0.3">
      <c r="A103" s="274"/>
      <c r="B103" s="275"/>
      <c r="C103" s="668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IFERROR(__xludf.DUMMYFUNCTION("IMPORTRANGE(""https://docs.google.com/spreadsheets/d/1eHaY18a8A9IcSdp1K8H6x8fbOy06t2VsZHhMHf-1x7Y/edit?usp=sharing"",""แผน!N57"")"),36)</f>
        <v>36</v>
      </c>
      <c r="J108" s="292">
        <v>36</v>
      </c>
      <c r="K108" s="72">
        <f ca="1">IF(I108&gt;0,J108*100/I108,0)</f>
        <v>100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IFERROR(__xludf.DUMMYFUNCTION("IMPORTRANGE(""https://docs.google.com/spreadsheets/d/1eHaY18a8A9IcSdp1K8H6x8fbOy06t2VsZHhMHf-1x7Y/edit?usp=sharing"",""แผน!O57"")"),12)</f>
        <v>12</v>
      </c>
      <c r="J109" s="292">
        <v>12</v>
      </c>
      <c r="K109" s="72">
        <f ca="1">IF(I109&gt;0,J109*100/I109,0)</f>
        <v>100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8.75" x14ac:dyDescent="0.25">
      <c r="A113" s="793"/>
      <c r="B113" s="764"/>
      <c r="C113" s="764"/>
      <c r="D113" s="766" t="s">
        <v>50</v>
      </c>
      <c r="E113" s="765"/>
      <c r="F113" s="765"/>
      <c r="G113" s="767"/>
      <c r="H113" s="1089" t="s">
        <v>46</v>
      </c>
      <c r="I113" s="1088">
        <f ca="1">IFERROR(__xludf.DUMMYFUNCTION("IMPORTRANGE(""https://docs.google.com/spreadsheets/d/1eHaY18a8A9IcSdp1K8H6x8fbOy06t2VsZHhMHf-1x7Y/edit?usp=sharing"",""แผน!N57"")"),36)</f>
        <v>36</v>
      </c>
      <c r="J113" s="672">
        <v>36</v>
      </c>
      <c r="K113" s="671">
        <f ca="1">IF(I113&gt;0,J113*100/I113,0)</f>
        <v>100</v>
      </c>
      <c r="L113" s="384"/>
      <c r="M113" s="384"/>
      <c r="N113" s="384"/>
      <c r="O113" s="770"/>
      <c r="P113" s="770"/>
      <c r="Q113" s="384"/>
      <c r="R113" s="384"/>
      <c r="S113" s="384"/>
      <c r="T113" s="770"/>
      <c r="U113" s="770"/>
    </row>
    <row r="114" spans="1:21" ht="18.75" x14ac:dyDescent="0.25">
      <c r="A114" s="274"/>
      <c r="B114" s="275"/>
      <c r="C114" s="275"/>
      <c r="D114" s="288"/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IFERROR(__xludf.DUMMYFUNCTION("IMPORTRANGE(""https://docs.google.com/spreadsheets/d/1eHaY18a8A9IcSdp1K8H6x8fbOy06t2VsZHhMHf-1x7Y/edit?usp=sharing"",""แผน!O57"")"),12)</f>
        <v>12</v>
      </c>
      <c r="J114" s="292">
        <v>12</v>
      </c>
      <c r="K114" s="72">
        <f ca="1">IF(I114&gt;0,J114*100/I114,0)</f>
        <v>100</v>
      </c>
      <c r="L114" s="85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8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1203">
        <f ca="1">I127</f>
        <v>20</v>
      </c>
      <c r="J116" s="1202">
        <f>J127</f>
        <v>20</v>
      </c>
      <c r="K116" s="1201">
        <f ca="1">IF(I116&gt;0,J116*100/I116,0)</f>
        <v>100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389">
        <f ca="1">Q118+Q119</f>
        <v>209360</v>
      </c>
      <c r="R117" s="262">
        <f ca="1">R118+R119</f>
        <v>209360</v>
      </c>
      <c r="S117" s="262">
        <f ca="1">S118+S119</f>
        <v>148845</v>
      </c>
      <c r="T117" s="262">
        <f t="shared" ref="T117:T125" ca="1" si="35">IF(Q117&gt;0,S117*100/Q117,0)</f>
        <v>71.09524264424914</v>
      </c>
      <c r="U117" s="262">
        <f t="shared" ref="U117:U125" ca="1" si="36">IF(R117&gt;0,S117*100/R117,0)</f>
        <v>71.09524264424914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4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1">
        <f t="shared" ca="1" si="38"/>
        <v>209360</v>
      </c>
      <c r="R119" s="72">
        <f t="shared" ca="1" si="38"/>
        <v>209360</v>
      </c>
      <c r="S119" s="72">
        <f t="shared" ca="1" si="38"/>
        <v>148845</v>
      </c>
      <c r="T119" s="72">
        <f t="shared" ca="1" si="35"/>
        <v>71.09524264424914</v>
      </c>
      <c r="U119" s="72">
        <f t="shared" ca="1" si="36"/>
        <v>71.09524264424914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1">
        <f ca="1">Q121+Q122</f>
        <v>209360</v>
      </c>
      <c r="R120" s="72">
        <f ca="1">R121+R122</f>
        <v>209360</v>
      </c>
      <c r="S120" s="72">
        <f ca="1">S121+S122</f>
        <v>148845</v>
      </c>
      <c r="T120" s="72">
        <f t="shared" ca="1" si="35"/>
        <v>71.09524264424914</v>
      </c>
      <c r="U120" s="72">
        <f t="shared" ca="1" si="36"/>
        <v>71.09524264424914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4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IFERROR(__xludf.DUMMYFUNCTION("IMPORTRANGE(""https://docs.google.com/spreadsheets/d/1-uDff_7J0KD5mKrp0Vvzr7lt3OU09vwQwhkpOPPYv2Y/edit?usp=sharing"",""งบพรบ!BG57"")"),0)</f>
        <v>0</v>
      </c>
      <c r="M122" s="72">
        <f ca="1">IFERROR(__xludf.DUMMYFUNCTION("IMPORTRANGE(""https://docs.google.com/spreadsheets/d/1-uDff_7J0KD5mKrp0Vvzr7lt3OU09vwQwhkpOPPYv2Y/edit?usp=sharing"",""งบพรบ!BL57"")"),0)</f>
        <v>0</v>
      </c>
      <c r="N122" s="72">
        <f ca="1">IFERROR(__xludf.DUMMYFUNCTION("IMPORTRANGE(""https://docs.google.com/spreadsheets/d/1-uDff_7J0KD5mKrp0Vvzr7lt3OU09vwQwhkpOPPYv2Y/edit?usp=sharing"",""งบพรบ!BN57"")"),0)</f>
        <v>0</v>
      </c>
      <c r="O122" s="72">
        <f t="shared" ca="1" si="33"/>
        <v>0</v>
      </c>
      <c r="P122" s="72">
        <f t="shared" ca="1" si="34"/>
        <v>0</v>
      </c>
      <c r="Q122" s="71">
        <f ca="1">IFERROR(__xludf.DUMMYFUNCTION("IMPORTRANGE(""https://docs.google.com/spreadsheets/d/1ItG2mGa2ceCfYo0BwxsXqNm01IGEUdYcSSLTEv9YCik/edit?usp=sharing"",""เบิกจ่ายกองทุน!U57"")"),209360)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IFERROR(__xludf.DUMMYFUNCTION("IMPORTRANGE(""https://docs.google.com/spreadsheets/d/1ItG2mGa2ceCfYo0BwxsXqNm01IGEUdYcSSLTEv9YCik/edit?usp=sharing"",""เบิกจ่ายกองทุน!V57"")"),209360)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IFERROR(__xludf.DUMMYFUNCTION("IMPORTRANGE(""https://docs.google.com/spreadsheets/d/1ItG2mGa2ceCfYo0BwxsXqNm01IGEUdYcSSLTEv9YCik/edit?usp=sharing"",""เบิกจ่ายกองทุน!W57"")"),148845)</f>
        <v>148845</v>
      </c>
      <c r="T122" s="72">
        <f t="shared" ca="1" si="35"/>
        <v>71.09524264424914</v>
      </c>
      <c r="U122" s="72">
        <f t="shared" ca="1" si="36"/>
        <v>71.09524264424914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1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4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IFERROR(__xludf.DUMMYFUNCTION("IMPORTRANGE(""https://docs.google.com/spreadsheets/d/1-uDff_7J0KD5mKrp0Vvzr7lt3OU09vwQwhkpOPPYv2Y/edit?usp=sharing"",""งบพรบ!BJ57"")"),0)</f>
        <v>0</v>
      </c>
      <c r="M125" s="72">
        <f ca="1">IFERROR(__xludf.DUMMYFUNCTION("IMPORTRANGE(""https://docs.google.com/spreadsheets/d/1-uDff_7J0KD5mKrp0Vvzr7lt3OU09vwQwhkpOPPYv2Y/edit?usp=sharing"",""งบพรบ!BM57"")"),0)</f>
        <v>0</v>
      </c>
      <c r="N125" s="72">
        <f ca="1">IFERROR(__xludf.DUMMYFUNCTION("IMPORTRANGE(""https://docs.google.com/spreadsheets/d/1-uDff_7J0KD5mKrp0Vvzr7lt3OU09vwQwhkpOPPYv2Y/edit?usp=sharing"",""งบพรบ!BO57"")"),0)</f>
        <v>0</v>
      </c>
      <c r="O125" s="72">
        <f t="shared" ca="1" si="33"/>
        <v>0</v>
      </c>
      <c r="P125" s="72">
        <f t="shared" ca="1" si="34"/>
        <v>0</v>
      </c>
      <c r="Q125" s="71">
        <f ca="1">IFERROR(__xludf.DUMMYFUNCTION("IMPORTRANGE(""https://docs.google.com/spreadsheets/d/1ItG2mGa2ceCfYo0BwxsXqNm01IGEUdYcSSLTEv9YCik/edit?usp=sharing"",""เบิกจ่ายกองทุน!X57"")"),0)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IFERROR(__xludf.DUMMYFUNCTION("IMPORTRANGE(""https://docs.google.com/spreadsheets/d/1ItG2mGa2ceCfYo0BwxsXqNm01IGEUdYcSSLTEv9YCik/edit?usp=sharing"",""เบิกจ่ายกองทุน!Y57"")"),0)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IFERROR(__xludf.DUMMYFUNCTION("IMPORTRANGE(""https://docs.google.com/spreadsheets/d/1ItG2mGa2ceCfYo0BwxsXqNm01IGEUdYcSSLTEv9YCik/edit?usp=sharing"",""เบิกจ่ายกองทุน!Z57"")"),0)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384"/>
      <c r="M126" s="384"/>
      <c r="N126" s="384"/>
      <c r="O126" s="384"/>
      <c r="P126" s="384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IFERROR(__xludf.DUMMYFUNCTION("IMPORTRANGE(""https://docs.google.com/spreadsheets/d/1eHaY18a8A9IcSdp1K8H6x8fbOy06t2VsZHhMHf-1x7Y/edit?usp=sharing"",""แผน!FF57"")"),20)</f>
        <v>20</v>
      </c>
      <c r="J127" s="292">
        <v>20</v>
      </c>
      <c r="K127" s="72">
        <f ca="1">IF(I127&gt;0,J127*100/I127,0)</f>
        <v>100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IFERROR(__xludf.DUMMYFUNCTION("IMPORTRANGE(""https://docs.google.com/spreadsheets/d/1eHaY18a8A9IcSdp1K8H6x8fbOy06t2VsZHhMHf-1x7Y/edit?usp=sharing"",""แผน!FG57"")"),0)</f>
        <v>0</v>
      </c>
      <c r="J128" s="292">
        <v>0</v>
      </c>
      <c r="K128" s="72">
        <f ca="1">IF(I128&gt;0,J128*100/I128,0)</f>
        <v>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IFERROR(__xludf.DUMMYFUNCTION("IMPORTRANGE(""https://docs.google.com/spreadsheets/d/1eHaY18a8A9IcSdp1K8H6x8fbOy06t2VsZHhMHf-1x7Y/edit?usp=sharing"",""แผน!FH57"")"),20)</f>
        <v>20</v>
      </c>
      <c r="J129" s="292">
        <v>20</v>
      </c>
      <c r="K129" s="72">
        <f ca="1">IF(I129&gt;0,J129*100/I129,0)</f>
        <v>100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IFERROR(__xludf.DUMMYFUNCTION("IMPORTRANGE(""https://docs.google.com/spreadsheets/d/1eHaY18a8A9IcSdp1K8H6x8fbOy06t2VsZHhMHf-1x7Y/edit?usp=sharing"",""แผน!FI57"")"),0)</f>
        <v>0</v>
      </c>
      <c r="J130" s="292">
        <v>0</v>
      </c>
      <c r="K130" s="72">
        <f ca="1">IF(I130&gt;0,J130*100/I130,0)</f>
        <v>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8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6"/>
      <c r="M135" s="206"/>
      <c r="N135" s="206"/>
      <c r="O135" s="206"/>
      <c r="P135" s="206"/>
      <c r="Q135" s="205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6"/>
      <c r="M136" s="206"/>
      <c r="N136" s="206"/>
      <c r="O136" s="206"/>
      <c r="P136" s="206"/>
      <c r="Q136" s="205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6"/>
      <c r="M137" s="206"/>
      <c r="N137" s="206"/>
      <c r="O137" s="206"/>
      <c r="P137" s="206"/>
      <c r="Q137" s="205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6"/>
      <c r="M138" s="206"/>
      <c r="N138" s="206"/>
      <c r="O138" s="206"/>
      <c r="P138" s="206"/>
      <c r="Q138" s="205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62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389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5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4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2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1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2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1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5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4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2">
        <f ca="1">IFERROR(__xludf.DUMMYFUNCTION("IMPORTRANGE(""https://docs.google.com/spreadsheets/d/1-uDff_7J0KD5mKrp0Vvzr7lt3OU09vwQwhkpOPPYv2Y/edit?usp=sharing"",""งบพรบ!BQ57"")"),0)</f>
        <v>0</v>
      </c>
      <c r="M144" s="72">
        <f ca="1">IFERROR(__xludf.DUMMYFUNCTION("IMPORTRANGE(""https://docs.google.com/spreadsheets/d/1-uDff_7J0KD5mKrp0Vvzr7lt3OU09vwQwhkpOPPYv2Y/edit?usp=sharing"",""งบพรบ!BV57"")"),0)</f>
        <v>0</v>
      </c>
      <c r="N144" s="72">
        <f ca="1">IFERROR(__xludf.DUMMYFUNCTION("IMPORTRANGE(""https://docs.google.com/spreadsheets/d/1-uDff_7J0KD5mKrp0Vvzr7lt3OU09vwQwhkpOPPYv2Y/edit?usp=sharing"",""งบพรบ!BX57"")"),0)</f>
        <v>0</v>
      </c>
      <c r="O144" s="72">
        <f t="shared" ca="1" si="39"/>
        <v>0</v>
      </c>
      <c r="P144" s="72">
        <f t="shared" ca="1" si="40"/>
        <v>0</v>
      </c>
      <c r="Q144" s="71">
        <f ca="1">IFERROR(__xludf.DUMMYFUNCTION("IMPORTRANGE(""https://docs.google.com/spreadsheets/d/1ItG2mGa2ceCfYo0BwxsXqNm01IGEUdYcSSLTEv9YCik/edit?usp=sharing"",""เบิกจ่ายกองทุน!CF57"")"),0)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IFERROR(__xludf.DUMMYFUNCTION("IMPORTRANGE(""https://docs.google.com/spreadsheets/d/1ItG2mGa2ceCfYo0BwxsXqNm01IGEUdYcSSLTEv9YCik/edit?usp=sharing"",""เบิกจ่ายกองทุน!CG57"")"),0)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IFERROR(__xludf.DUMMYFUNCTION("IMPORTRANGE(""https://docs.google.com/spreadsheets/d/1ItG2mGa2ceCfYo0BwxsXqNm01IGEUdYcSSLTEv9YCik/edit?usp=sharing"",""เบิกจ่ายกองทุน!CH57"")"),0)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2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1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5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4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2">
        <f ca="1">IFERROR(__xludf.DUMMYFUNCTION("IMPORTRANGE(""https://docs.google.com/spreadsheets/d/1-uDff_7J0KD5mKrp0Vvzr7lt3OU09vwQwhkpOPPYv2Y/edit?usp=sharing"",""งบพรบ!BT57"")"),0)</f>
        <v>0</v>
      </c>
      <c r="M147" s="72">
        <f ca="1">IFERROR(__xludf.DUMMYFUNCTION("IMPORTRANGE(""https://docs.google.com/spreadsheets/d/1-uDff_7J0KD5mKrp0Vvzr7lt3OU09vwQwhkpOPPYv2Y/edit?usp=sharing"",""งบพรบ!BW57"")"),0)</f>
        <v>0</v>
      </c>
      <c r="N147" s="72">
        <f ca="1">IFERROR(__xludf.DUMMYFUNCTION("IMPORTRANGE(""https://docs.google.com/spreadsheets/d/1-uDff_7J0KD5mKrp0Vvzr7lt3OU09vwQwhkpOPPYv2Y/edit?usp=sharing"",""งบพรบ!BY57"")"),0)</f>
        <v>0</v>
      </c>
      <c r="O147" s="72">
        <f t="shared" ca="1" si="39"/>
        <v>0</v>
      </c>
      <c r="P147" s="72">
        <f t="shared" ca="1" si="40"/>
        <v>0</v>
      </c>
      <c r="Q147" s="71">
        <f ca="1">IFERROR(__xludf.DUMMYFUNCTION("IMPORTRANGE(""https://docs.google.com/spreadsheets/d/1ItG2mGa2ceCfYo0BwxsXqNm01IGEUdYcSSLTEv9YCik/edit?usp=sharing"",""เบิกจ่ายกองทุน!CI57"")"),0)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IFERROR(__xludf.DUMMYFUNCTION("IMPORTRANGE(""https://docs.google.com/spreadsheets/d/1ItG2mGa2ceCfYo0BwxsXqNm01IGEUdYcSSLTEv9YCik/edit?usp=sharing"",""เบิกจ่ายกองทุน!CJ57"")"),0)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IFERROR(__xludf.DUMMYFUNCTION("IMPORTRANGE(""https://docs.google.com/spreadsheets/d/1ItG2mGa2ceCfYo0BwxsXqNm01IGEUdYcSSLTEv9YCik/edit?usp=sharing"",""เบิกจ่ายกองทุน!CK57"")"),0)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5"/>
      <c r="M148" s="85"/>
      <c r="N148" s="85"/>
      <c r="O148" s="85"/>
      <c r="P148" s="85"/>
      <c r="Q148" s="84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5"/>
      <c r="M149" s="85"/>
      <c r="N149" s="85"/>
      <c r="O149" s="85"/>
      <c r="P149" s="85"/>
      <c r="Q149" s="84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IFERROR(__xludf.DUMMYFUNCTION("IMPORTRANGE(""https://docs.google.com/spreadsheets/d/1eHaY18a8A9IcSdp1K8H6x8fbOy06t2VsZHhMHf-1x7Y/edit?usp=sharing"",""แผน!U57"")"),0)</f>
        <v>0</v>
      </c>
      <c r="J150" s="292">
        <v>0</v>
      </c>
      <c r="K150" s="72">
        <f ca="1">IF(I150&gt;0,J150*100/I150,0)</f>
        <v>0</v>
      </c>
      <c r="L150" s="85"/>
      <c r="M150" s="85"/>
      <c r="N150" s="85"/>
      <c r="O150" s="85"/>
      <c r="P150" s="85"/>
      <c r="Q150" s="84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IFERROR(__xludf.DUMMYFUNCTION("IMPORTRANGE(""https://docs.google.com/spreadsheets/d/1eHaY18a8A9IcSdp1K8H6x8fbOy06t2VsZHhMHf-1x7Y/edit?usp=sharing"",""แผน!V57"")"),0)</f>
        <v>0</v>
      </c>
      <c r="J151" s="292">
        <v>0</v>
      </c>
      <c r="K151" s="72">
        <f ca="1">IF(I151&gt;0,J151*100/I151,0)</f>
        <v>0</v>
      </c>
      <c r="L151" s="85"/>
      <c r="M151" s="85"/>
      <c r="N151" s="85"/>
      <c r="O151" s="85"/>
      <c r="P151" s="85"/>
      <c r="Q151" s="84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IFERROR(__xludf.DUMMYFUNCTION("IMPORTRANGE(""https://docs.google.com/spreadsheets/d/1eHaY18a8A9IcSdp1K8H6x8fbOy06t2VsZHhMHf-1x7Y/edit?usp=sharing"",""แผน!W57"")"),0)</f>
        <v>0</v>
      </c>
      <c r="J152" s="292">
        <v>0</v>
      </c>
      <c r="K152" s="72">
        <f ca="1">IF(I152&gt;0,J152*100/I152,0)</f>
        <v>0</v>
      </c>
      <c r="L152" s="85"/>
      <c r="M152" s="85"/>
      <c r="N152" s="85"/>
      <c r="O152" s="85"/>
      <c r="P152" s="85"/>
      <c r="Q152" s="84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IFERROR(__xludf.DUMMYFUNCTION("IMPORTRANGE(""https://docs.google.com/spreadsheets/d/1eHaY18a8A9IcSdp1K8H6x8fbOy06t2VsZHhMHf-1x7Y/edit?usp=sharing"",""แผน!X57"")"),0)</f>
        <v>0</v>
      </c>
      <c r="J153" s="292">
        <v>0</v>
      </c>
      <c r="K153" s="72">
        <f ca="1">IF(I153&gt;0,J153*100/I153,0)</f>
        <v>0</v>
      </c>
      <c r="L153" s="85"/>
      <c r="M153" s="85"/>
      <c r="N153" s="85"/>
      <c r="O153" s="85"/>
      <c r="P153" s="85"/>
      <c r="Q153" s="84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IFERROR(__xludf.DUMMYFUNCTION("IMPORTRANGE(""https://docs.google.com/spreadsheets/d/1eHaY18a8A9IcSdp1K8H6x8fbOy06t2VsZHhMHf-1x7Y/edit?usp=sharing"",""แผน!Y57"")"),0)</f>
        <v>0</v>
      </c>
      <c r="J154" s="292">
        <v>0</v>
      </c>
      <c r="K154" s="72">
        <f ca="1">IF(I154&gt;0,J154*100/I154,0)</f>
        <v>0</v>
      </c>
      <c r="L154" s="85"/>
      <c r="M154" s="85"/>
      <c r="N154" s="85"/>
      <c r="O154" s="85"/>
      <c r="P154" s="85"/>
      <c r="Q154" s="84"/>
      <c r="R154" s="85"/>
      <c r="S154" s="85"/>
      <c r="T154" s="85"/>
      <c r="U154" s="85"/>
    </row>
    <row r="155" spans="1:21" ht="19.5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8"/>
      <c r="R155" s="199"/>
      <c r="S155" s="199"/>
      <c r="T155" s="199"/>
      <c r="U155" s="199"/>
    </row>
    <row r="156" spans="1:21" ht="19.5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I167</f>
        <v>15</v>
      </c>
      <c r="J156" s="254">
        <f>J167</f>
        <v>15</v>
      </c>
      <c r="K156" s="57">
        <f ca="1">IF(I156&gt;0,J156*100/I156,0)</f>
        <v>100</v>
      </c>
      <c r="L156" s="206"/>
      <c r="M156" s="206"/>
      <c r="N156" s="206"/>
      <c r="O156" s="206"/>
      <c r="P156" s="206"/>
      <c r="Q156" s="205"/>
      <c r="R156" s="206"/>
      <c r="S156" s="206"/>
      <c r="T156" s="206"/>
      <c r="U156" s="206"/>
    </row>
    <row r="157" spans="1:21" ht="19.5" x14ac:dyDescent="0.3">
      <c r="A157" s="255"/>
      <c r="B157" s="256"/>
      <c r="C157" s="668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62">
        <f ca="1">L158+L159</f>
        <v>4500</v>
      </c>
      <c r="M157" s="262">
        <f ca="1">M158+M159</f>
        <v>216810</v>
      </c>
      <c r="N157" s="262">
        <f ca="1">N158+N159</f>
        <v>4750</v>
      </c>
      <c r="O157" s="262">
        <f t="shared" ref="O157:O165" ca="1" si="45">IF(L157&gt;0,N157*100/L157,0)</f>
        <v>105.55555555555556</v>
      </c>
      <c r="P157" s="262">
        <f t="shared" ref="P157:P165" ca="1" si="46">IF(M157&gt;0,N157*100/M157,0)</f>
        <v>2.1908583552419167</v>
      </c>
      <c r="Q157" s="389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5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4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2">
        <f t="shared" ca="1" si="49"/>
        <v>4500</v>
      </c>
      <c r="M159" s="72">
        <f t="shared" ca="1" si="49"/>
        <v>216810</v>
      </c>
      <c r="N159" s="72">
        <f t="shared" ca="1" si="49"/>
        <v>4750</v>
      </c>
      <c r="O159" s="72">
        <f t="shared" ca="1" si="45"/>
        <v>105.55555555555556</v>
      </c>
      <c r="P159" s="72">
        <f t="shared" ca="1" si="46"/>
        <v>2.1908583552419167</v>
      </c>
      <c r="Q159" s="71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2">
        <f ca="1">L161+L162</f>
        <v>4500</v>
      </c>
      <c r="M160" s="72">
        <f ca="1">M161+M162</f>
        <v>216810</v>
      </c>
      <c r="N160" s="72">
        <f ca="1">N161+N162</f>
        <v>4750</v>
      </c>
      <c r="O160" s="72">
        <f t="shared" ca="1" si="45"/>
        <v>105.55555555555556</v>
      </c>
      <c r="P160" s="72">
        <f t="shared" ca="1" si="46"/>
        <v>2.1908583552419167</v>
      </c>
      <c r="Q160" s="71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5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4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2">
        <f ca="1">IFERROR(__xludf.DUMMYFUNCTION("IMPORTRANGE(""https://docs.google.com/spreadsheets/d/1-uDff_7J0KD5mKrp0Vvzr7lt3OU09vwQwhkpOPPYv2Y/edit?usp=sharing"",""งบพรบ!CA57"")"),4500)</f>
        <v>4500</v>
      </c>
      <c r="M162" s="72">
        <f ca="1">IFERROR(__xludf.DUMMYFUNCTION("IMPORTRANGE(""https://docs.google.com/spreadsheets/d/1-uDff_7J0KD5mKrp0Vvzr7lt3OU09vwQwhkpOPPYv2Y/edit?usp=sharing"",""งบพรบ!CF57"")"),216810)</f>
        <v>216810</v>
      </c>
      <c r="N162" s="72">
        <f ca="1">IFERROR(__xludf.DUMMYFUNCTION("IMPORTRANGE(""https://docs.google.com/spreadsheets/d/1-uDff_7J0KD5mKrp0Vvzr7lt3OU09vwQwhkpOPPYv2Y/edit?usp=sharing"",""งบพรบ!CH57"")"),4750)</f>
        <v>4750</v>
      </c>
      <c r="O162" s="72">
        <f t="shared" ca="1" si="45"/>
        <v>105.55555555555556</v>
      </c>
      <c r="P162" s="72">
        <f t="shared" ca="1" si="46"/>
        <v>2.1908583552419167</v>
      </c>
      <c r="Q162" s="71">
        <f ca="1">IFERROR(__xludf.DUMMYFUNCTION("IMPORTRANGE(""https://docs.google.com/spreadsheets/d/1ItG2mGa2ceCfYo0BwxsXqNm01IGEUdYcSSLTEv9YCik/edit?usp=sharing"",""เบิกจ่ายกองทุน!AM57"")"),0)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IFERROR(__xludf.DUMMYFUNCTION("IMPORTRANGE(""https://docs.google.com/spreadsheets/d/1ItG2mGa2ceCfYo0BwxsXqNm01IGEUdYcSSLTEv9YCik/edit?usp=sharing"",""เบิกจ่ายกองทุน!AN57"")"),0)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IFERROR(__xludf.DUMMYFUNCTION("IMPORTRANGE(""https://docs.google.com/spreadsheets/d/1ItG2mGa2ceCfYo0BwxsXqNm01IGEUdYcSSLTEv9YCik/edit?usp=sharing"",""เบิกจ่ายกองทุน!AO57"")"),0)</f>
        <v>0</v>
      </c>
      <c r="T162" s="72">
        <f t="shared" ca="1" si="47"/>
        <v>0</v>
      </c>
      <c r="U162" s="72">
        <f t="shared" ca="1" si="48"/>
        <v>0</v>
      </c>
    </row>
    <row r="163" spans="1:21" ht="18.75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2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1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5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4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2">
        <f ca="1">IFERROR(__xludf.DUMMYFUNCTION("IMPORTRANGE(""https://docs.google.com/spreadsheets/d/1-uDff_7J0KD5mKrp0Vvzr7lt3OU09vwQwhkpOPPYv2Y/edit?usp=sharing"",""งบพรบ!CD57"")"),0)</f>
        <v>0</v>
      </c>
      <c r="M165" s="72">
        <f ca="1">IFERROR(__xludf.DUMMYFUNCTION("IMPORTRANGE(""https://docs.google.com/spreadsheets/d/1-uDff_7J0KD5mKrp0Vvzr7lt3OU09vwQwhkpOPPYv2Y/edit?usp=sharing"",""งบพรบ!CG57"")"),0)</f>
        <v>0</v>
      </c>
      <c r="N165" s="72">
        <f ca="1">IFERROR(__xludf.DUMMYFUNCTION("IMPORTRANGE(""https://docs.google.com/spreadsheets/d/1-uDff_7J0KD5mKrp0Vvzr7lt3OU09vwQwhkpOPPYv2Y/edit?usp=sharing"",""งบพรบ!CI57"")"),0)</f>
        <v>0</v>
      </c>
      <c r="O165" s="72">
        <f t="shared" ca="1" si="45"/>
        <v>0</v>
      </c>
      <c r="P165" s="72">
        <f t="shared" ca="1" si="46"/>
        <v>0</v>
      </c>
      <c r="Q165" s="71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x14ac:dyDescent="0.3">
      <c r="A166" s="274"/>
      <c r="B166" s="275"/>
      <c r="C166" s="668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5"/>
      <c r="M166" s="85"/>
      <c r="N166" s="85"/>
      <c r="O166" s="85"/>
      <c r="P166" s="85"/>
      <c r="Q166" s="84"/>
      <c r="R166" s="85"/>
      <c r="S166" s="85"/>
      <c r="T166" s="85"/>
      <c r="U166" s="85"/>
    </row>
    <row r="167" spans="1:21" ht="18.75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IFERROR(__xludf.DUMMYFUNCTION("IMPORTRANGE(""https://docs.google.com/spreadsheets/d/1eHaY18a8A9IcSdp1K8H6x8fbOy06t2VsZHhMHf-1x7Y/edit?usp=sharing"",""แผน!Z57"")"),15)</f>
        <v>15</v>
      </c>
      <c r="J167" s="292">
        <v>15</v>
      </c>
      <c r="K167" s="72">
        <f ca="1">IF(I167&gt;0,J167*100/I167,0)</f>
        <v>100</v>
      </c>
      <c r="L167" s="85"/>
      <c r="M167" s="85"/>
      <c r="N167" s="85"/>
      <c r="O167" s="85"/>
      <c r="P167" s="85"/>
      <c r="Q167" s="84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I167</f>
        <v>15</v>
      </c>
      <c r="J168" s="832">
        <v>0</v>
      </c>
      <c r="K168" s="75">
        <f ca="1">IF(I168&gt;0,J168*100/I168,0)</f>
        <v>0</v>
      </c>
      <c r="L168" s="85"/>
      <c r="M168" s="85"/>
      <c r="N168" s="85"/>
      <c r="O168" s="85"/>
      <c r="P168" s="85"/>
      <c r="Q168" s="84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I167</f>
        <v>15</v>
      </c>
      <c r="J169" s="829">
        <v>0</v>
      </c>
      <c r="K169" s="828">
        <f ca="1">IF(I169&gt;0,J169*100/I169,0)</f>
        <v>0</v>
      </c>
      <c r="L169" s="96"/>
      <c r="M169" s="96"/>
      <c r="N169" s="96"/>
      <c r="O169" s="96"/>
      <c r="P169" s="96"/>
      <c r="Q169" s="95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4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4"/>
      <c r="M171" s="354"/>
      <c r="N171" s="354"/>
      <c r="O171" s="354"/>
      <c r="P171" s="354"/>
      <c r="Q171" s="353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14</v>
      </c>
      <c r="J172" s="963">
        <f>J183+J184</f>
        <v>7</v>
      </c>
      <c r="K172" s="962">
        <f ca="1">IF(I172&gt;0,J172*100/I172,0)</f>
        <v>50</v>
      </c>
      <c r="L172" s="363"/>
      <c r="M172" s="363"/>
      <c r="N172" s="363"/>
      <c r="O172" s="363"/>
      <c r="P172" s="363"/>
      <c r="Q172" s="362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62">
        <f ca="1">L174+L175</f>
        <v>19590</v>
      </c>
      <c r="M173" s="262">
        <f ca="1">M174+M175</f>
        <v>33360</v>
      </c>
      <c r="N173" s="262">
        <f ca="1">N174+N175</f>
        <v>33360</v>
      </c>
      <c r="O173" s="262">
        <f t="shared" ref="O173:O181" ca="1" si="51">IF(L173&gt;0,N173*100/L173,0)</f>
        <v>170.29096477794792</v>
      </c>
      <c r="P173" s="262">
        <f t="shared" ref="P173:P181" ca="1" si="52">IF(M173&gt;0,N173*100/M173,0)</f>
        <v>100</v>
      </c>
      <c r="Q173" s="389">
        <f ca="1">Q174+Q175</f>
        <v>20320</v>
      </c>
      <c r="R173" s="262">
        <f ca="1">R174+R175</f>
        <v>20320</v>
      </c>
      <c r="S173" s="262">
        <f ca="1">S174+S175</f>
        <v>605</v>
      </c>
      <c r="T173" s="262">
        <f t="shared" ref="T173:T181" ca="1" si="53">IF(Q173&gt;0,S173*100/Q173,0)</f>
        <v>2.9773622047244093</v>
      </c>
      <c r="U173" s="262">
        <f t="shared" ref="U173:U181" ca="1" si="54">IF(R173&gt;0,S173*100/R173,0)</f>
        <v>2.9773622047244093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5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4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2">
        <f t="shared" ca="1" si="55"/>
        <v>19590</v>
      </c>
      <c r="M175" s="72">
        <f t="shared" ca="1" si="55"/>
        <v>33360</v>
      </c>
      <c r="N175" s="72">
        <f t="shared" ca="1" si="55"/>
        <v>33360</v>
      </c>
      <c r="O175" s="72">
        <f t="shared" ca="1" si="51"/>
        <v>170.29096477794792</v>
      </c>
      <c r="P175" s="72">
        <f t="shared" ca="1" si="52"/>
        <v>100</v>
      </c>
      <c r="Q175" s="71">
        <f t="shared" ca="1" si="56"/>
        <v>20320</v>
      </c>
      <c r="R175" s="72">
        <f t="shared" ca="1" si="56"/>
        <v>20320</v>
      </c>
      <c r="S175" s="72">
        <f t="shared" ca="1" si="56"/>
        <v>605</v>
      </c>
      <c r="T175" s="72">
        <f t="shared" ca="1" si="53"/>
        <v>2.9773622047244093</v>
      </c>
      <c r="U175" s="72">
        <f t="shared" ca="1" si="54"/>
        <v>2.9773622047244093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2">
        <f ca="1">L177+L178</f>
        <v>19590</v>
      </c>
      <c r="M176" s="72">
        <f ca="1">M177+M178</f>
        <v>33360</v>
      </c>
      <c r="N176" s="72">
        <f ca="1">N177+N178</f>
        <v>33360</v>
      </c>
      <c r="O176" s="72">
        <f t="shared" ca="1" si="51"/>
        <v>170.29096477794792</v>
      </c>
      <c r="P176" s="72">
        <f t="shared" ca="1" si="52"/>
        <v>100</v>
      </c>
      <c r="Q176" s="71">
        <f ca="1">Q177+Q178</f>
        <v>20320</v>
      </c>
      <c r="R176" s="72">
        <f ca="1">R177+R178</f>
        <v>20320</v>
      </c>
      <c r="S176" s="72">
        <f ca="1">S177+S178</f>
        <v>605</v>
      </c>
      <c r="T176" s="72">
        <f t="shared" ca="1" si="53"/>
        <v>2.9773622047244093</v>
      </c>
      <c r="U176" s="72">
        <f t="shared" ca="1" si="54"/>
        <v>2.9773622047244093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5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4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2">
        <f ca="1">IFERROR(__xludf.DUMMYFUNCTION("IMPORTRANGE(""https://docs.google.com/spreadsheets/d/1-uDff_7J0KD5mKrp0Vvzr7lt3OU09vwQwhkpOPPYv2Y/edit?usp=sharing"",""งบพรบ!CK57"")"),19590)</f>
        <v>19590</v>
      </c>
      <c r="M178" s="72">
        <f ca="1">IFERROR(__xludf.DUMMYFUNCTION("IMPORTRANGE(""https://docs.google.com/spreadsheets/d/1-uDff_7J0KD5mKrp0Vvzr7lt3OU09vwQwhkpOPPYv2Y/edit?usp=sharing"",""งบพรบ!CP57"")"),33360)</f>
        <v>33360</v>
      </c>
      <c r="N178" s="72">
        <f ca="1">IFERROR(__xludf.DUMMYFUNCTION("IMPORTRANGE(""https://docs.google.com/spreadsheets/d/1-uDff_7J0KD5mKrp0Vvzr7lt3OU09vwQwhkpOPPYv2Y/edit?usp=sharing"",""งบพรบ!CR57"")"),33360)</f>
        <v>33360</v>
      </c>
      <c r="O178" s="72">
        <f t="shared" ca="1" si="51"/>
        <v>170.29096477794792</v>
      </c>
      <c r="P178" s="72">
        <f t="shared" ca="1" si="52"/>
        <v>100</v>
      </c>
      <c r="Q178" s="71">
        <f ca="1">IFERROR(__xludf.DUMMYFUNCTION("IMPORTRANGE(""https://docs.google.com/spreadsheets/d/1ItG2mGa2ceCfYo0BwxsXqNm01IGEUdYcSSLTEv9YCik/edit?usp=sharing"",""เบิกจ่ายกองทุน!DG57"")"),20320)</f>
        <v>20320</v>
      </c>
      <c r="R178" s="72">
        <f ca="1">IFERROR(__xludf.DUMMYFUNCTION("IMPORTRANGE(""https://docs.google.com/spreadsheets/d/1ItG2mGa2ceCfYo0BwxsXqNm01IGEUdYcSSLTEv9YCik/edit?usp=sharing"",""เบิกจ่ายกองทุน!DH57"")"),20320)</f>
        <v>20320</v>
      </c>
      <c r="S178" s="72">
        <f ca="1">IFERROR(__xludf.DUMMYFUNCTION("IMPORTRANGE(""https://docs.google.com/spreadsheets/d/1ItG2mGa2ceCfYo0BwxsXqNm01IGEUdYcSSLTEv9YCik/edit?usp=sharing"",""เบิกจ่ายกองทุน!DI57"")"),605)</f>
        <v>605</v>
      </c>
      <c r="T178" s="72">
        <f t="shared" ca="1" si="53"/>
        <v>2.9773622047244093</v>
      </c>
      <c r="U178" s="72">
        <f t="shared" ca="1" si="54"/>
        <v>2.9773622047244093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2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1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5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4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2">
        <f ca="1">IFERROR(__xludf.DUMMYFUNCTION("IMPORTRANGE(""https://docs.google.com/spreadsheets/d/1-uDff_7J0KD5mKrp0Vvzr7lt3OU09vwQwhkpOPPYv2Y/edit?usp=sharing"",""งบพรบ!CN57"")"),0)</f>
        <v>0</v>
      </c>
      <c r="M181" s="72">
        <f ca="1">IFERROR(__xludf.DUMMYFUNCTION("IMPORTRANGE(""https://docs.google.com/spreadsheets/d/1-uDff_7J0KD5mKrp0Vvzr7lt3OU09vwQwhkpOPPYv2Y/edit?usp=sharing"",""งบพรบ!CQ57"")"),0)</f>
        <v>0</v>
      </c>
      <c r="N181" s="72">
        <f ca="1">IFERROR(__xludf.DUMMYFUNCTION("IMPORTRANGE(""https://docs.google.com/spreadsheets/d/1-uDff_7J0KD5mKrp0Vvzr7lt3OU09vwQwhkpOPPYv2Y/edit?usp=sharing"",""งบพรบ!CS57"")"),0)</f>
        <v>0</v>
      </c>
      <c r="O181" s="72">
        <f t="shared" ca="1" si="51"/>
        <v>0</v>
      </c>
      <c r="P181" s="72">
        <f t="shared" ca="1" si="52"/>
        <v>0</v>
      </c>
      <c r="Q181" s="71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5"/>
      <c r="M182" s="85"/>
      <c r="N182" s="85"/>
      <c r="O182" s="85"/>
      <c r="P182" s="85"/>
      <c r="Q182" s="84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IFERROR(__xludf.DUMMYFUNCTION("IMPORTRANGE(""https://docs.google.com/spreadsheets/d/1eHaY18a8A9IcSdp1K8H6x8fbOy06t2VsZHhMHf-1x7Y/edit?usp=sharing"",""แผน!AA57"")"),14)</f>
        <v>14</v>
      </c>
      <c r="J183" s="292">
        <v>7</v>
      </c>
      <c r="K183" s="72">
        <f ca="1">IF(I183&gt;0,J183*100/I183,0)</f>
        <v>50</v>
      </c>
      <c r="L183" s="85"/>
      <c r="M183" s="85"/>
      <c r="N183" s="85"/>
      <c r="O183" s="85"/>
      <c r="P183" s="85"/>
      <c r="Q183" s="84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5"/>
      <c r="M184" s="85"/>
      <c r="N184" s="85"/>
      <c r="O184" s="85"/>
      <c r="P184" s="85"/>
      <c r="Q184" s="84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3"/>
      <c r="M185" s="363"/>
      <c r="N185" s="363"/>
      <c r="O185" s="363"/>
      <c r="P185" s="363"/>
      <c r="Q185" s="362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62">
        <f ca="1">L187+L188</f>
        <v>90200</v>
      </c>
      <c r="M186" s="262">
        <f ca="1">M187+M188</f>
        <v>95760</v>
      </c>
      <c r="N186" s="262">
        <f ca="1">N187+N188</f>
        <v>84716.5</v>
      </c>
      <c r="O186" s="262">
        <f t="shared" ref="O186:O194" ca="1" si="57">IF(L186&gt;0,N186*100/L186,0)</f>
        <v>93.920731707317074</v>
      </c>
      <c r="P186" s="262">
        <f t="shared" ref="P186:P194" ca="1" si="58">IF(M186&gt;0,N186*100/M186,0)</f>
        <v>88.467522974101925</v>
      </c>
      <c r="Q186" s="389">
        <f ca="1">Q187+Q188</f>
        <v>14000</v>
      </c>
      <c r="R186" s="262">
        <f ca="1">R187+R188</f>
        <v>14000</v>
      </c>
      <c r="S186" s="262">
        <f ca="1">S187+S188</f>
        <v>13395</v>
      </c>
      <c r="T186" s="262">
        <f t="shared" ref="T186:T194" ca="1" si="59">IF(Q186&gt;0,S186*100/Q186,0)</f>
        <v>95.678571428571431</v>
      </c>
      <c r="U186" s="262">
        <f t="shared" ref="U186:U194" ca="1" si="60">IF(R186&gt;0,S186*100/R186,0)</f>
        <v>95.678571428571431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5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4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2">
        <f t="shared" ca="1" si="61"/>
        <v>90200</v>
      </c>
      <c r="M188" s="72">
        <f t="shared" ca="1" si="61"/>
        <v>95760</v>
      </c>
      <c r="N188" s="72">
        <f t="shared" ca="1" si="61"/>
        <v>84716.5</v>
      </c>
      <c r="O188" s="72">
        <f t="shared" ca="1" si="57"/>
        <v>93.920731707317074</v>
      </c>
      <c r="P188" s="72">
        <f t="shared" ca="1" si="58"/>
        <v>88.467522974101925</v>
      </c>
      <c r="Q188" s="71">
        <f t="shared" ca="1" si="62"/>
        <v>14000</v>
      </c>
      <c r="R188" s="72">
        <f t="shared" ca="1" si="62"/>
        <v>14000</v>
      </c>
      <c r="S188" s="72">
        <f t="shared" ca="1" si="62"/>
        <v>13395</v>
      </c>
      <c r="T188" s="72">
        <f t="shared" ca="1" si="59"/>
        <v>95.678571428571431</v>
      </c>
      <c r="U188" s="72">
        <f t="shared" ca="1" si="60"/>
        <v>95.678571428571431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2">
        <f ca="1">L190+L191</f>
        <v>90200</v>
      </c>
      <c r="M189" s="72">
        <f ca="1">M190+M191</f>
        <v>95760</v>
      </c>
      <c r="N189" s="72">
        <f ca="1">N190+N191</f>
        <v>84716.5</v>
      </c>
      <c r="O189" s="72">
        <f t="shared" ca="1" si="57"/>
        <v>93.920731707317074</v>
      </c>
      <c r="P189" s="72">
        <f t="shared" ca="1" si="58"/>
        <v>88.467522974101925</v>
      </c>
      <c r="Q189" s="71">
        <f ca="1">Q190+Q191</f>
        <v>14000</v>
      </c>
      <c r="R189" s="72">
        <f ca="1">R190+R191</f>
        <v>14000</v>
      </c>
      <c r="S189" s="72">
        <f ca="1">S190+S191</f>
        <v>13395</v>
      </c>
      <c r="T189" s="72">
        <f t="shared" ca="1" si="59"/>
        <v>95.678571428571431</v>
      </c>
      <c r="U189" s="72">
        <f t="shared" ca="1" si="60"/>
        <v>95.678571428571431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5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4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2">
        <f ca="1">IFERROR(__xludf.DUMMYFUNCTION("IMPORTRANGE(""https://docs.google.com/spreadsheets/d/1-uDff_7J0KD5mKrp0Vvzr7lt3OU09vwQwhkpOPPYv2Y/edit?usp=sharing"",""งบพรบ!CU57"")"),90200)</f>
        <v>90200</v>
      </c>
      <c r="M191" s="72">
        <f ca="1">IFERROR(__xludf.DUMMYFUNCTION("IMPORTRANGE(""https://docs.google.com/spreadsheets/d/1-uDff_7J0KD5mKrp0Vvzr7lt3OU09vwQwhkpOPPYv2Y/edit?usp=sharing"",""งบพรบ!CZ57"")"),95760)</f>
        <v>95760</v>
      </c>
      <c r="N191" s="72">
        <f ca="1">IFERROR(__xludf.DUMMYFUNCTION("IMPORTRANGE(""https://docs.google.com/spreadsheets/d/1-uDff_7J0KD5mKrp0Vvzr7lt3OU09vwQwhkpOPPYv2Y/edit?usp=sharing"",""งบพรบ!DB57"")"),84716.5)</f>
        <v>84716.5</v>
      </c>
      <c r="O191" s="72">
        <f t="shared" ca="1" si="57"/>
        <v>93.920731707317074</v>
      </c>
      <c r="P191" s="72">
        <f t="shared" ca="1" si="58"/>
        <v>88.467522974101925</v>
      </c>
      <c r="Q191" s="71">
        <f ca="1">IFERROR(__xludf.DUMMYFUNCTION("IMPORTRANGE(""https://docs.google.com/spreadsheets/d/1ItG2mGa2ceCfYo0BwxsXqNm01IGEUdYcSSLTEv9YCik/edit?usp=sharing"",""เบิกจ่ายกองทุน!BQ57"")"),14000)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IFERROR(__xludf.DUMMYFUNCTION("IMPORTRANGE(""https://docs.google.com/spreadsheets/d/1ItG2mGa2ceCfYo0BwxsXqNm01IGEUdYcSSLTEv9YCik/edit?usp=sharing"",""เบิกจ่ายกองทุน!BR57"")"),14000)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IFERROR(__xludf.DUMMYFUNCTION("IMPORTRANGE(""https://docs.google.com/spreadsheets/d/1ItG2mGa2ceCfYo0BwxsXqNm01IGEUdYcSSLTEv9YCik/edit?usp=sharing"",""เบิกจ่ายกองทุน!BS57"")"),13395)</f>
        <v>13395</v>
      </c>
      <c r="T191" s="72">
        <f t="shared" ca="1" si="59"/>
        <v>95.678571428571431</v>
      </c>
      <c r="U191" s="72">
        <f t="shared" ca="1" si="60"/>
        <v>95.678571428571431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2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1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5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4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2">
        <f ca="1">IFERROR(__xludf.DUMMYFUNCTION("IMPORTRANGE(""https://docs.google.com/spreadsheets/d/1-uDff_7J0KD5mKrp0Vvzr7lt3OU09vwQwhkpOPPYv2Y/edit?usp=sharing"",""งบพรบ!CX57"")"),0)</f>
        <v>0</v>
      </c>
      <c r="M194" s="72">
        <f ca="1">IFERROR(__xludf.DUMMYFUNCTION("IMPORTRANGE(""https://docs.google.com/spreadsheets/d/1-uDff_7J0KD5mKrp0Vvzr7lt3OU09vwQwhkpOPPYv2Y/edit?usp=sharing"",""งบพรบ!DA57"")"),0)</f>
        <v>0</v>
      </c>
      <c r="N194" s="72">
        <f ca="1">IFERROR(__xludf.DUMMYFUNCTION("IMPORTRANGE(""https://docs.google.com/spreadsheets/d/1-uDff_7J0KD5mKrp0Vvzr7lt3OU09vwQwhkpOPPYv2Y/edit?usp=sharing"",""งบพรบ!DC57"")"),0)</f>
        <v>0</v>
      </c>
      <c r="O194" s="72">
        <f t="shared" ca="1" si="57"/>
        <v>0</v>
      </c>
      <c r="P194" s="72">
        <f t="shared" ca="1" si="58"/>
        <v>0</v>
      </c>
      <c r="Q194" s="71">
        <f ca="1">IFERROR(__xludf.DUMMYFUNCTION("IMPORTRANGE(""https://docs.google.com/spreadsheets/d/1ItG2mGa2ceCfYo0BwxsXqNm01IGEUdYcSSLTEv9YCik/edit?usp=sharing"",""เบิกจ่ายกองทุน!BT57"")"),0)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IFERROR(__xludf.DUMMYFUNCTION("IMPORTRANGE(""https://docs.google.com/spreadsheets/d/1ItG2mGa2ceCfYo0BwxsXqNm01IGEUdYcSSLTEv9YCik/edit?usp=sharing"",""เบิกจ่ายกองทุน!BU57"")"),0)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IFERROR(__xludf.DUMMYFUNCTION("IMPORTRANGE(""https://docs.google.com/spreadsheets/d/1ItG2mGa2ceCfYo0BwxsXqNm01IGEUdYcSSLTEv9YCik/edit?usp=sharing"",""เบิกจ่ายกองทุน!BV57"")"),0)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8"/>
      <c r="M195" s="378"/>
      <c r="N195" s="378"/>
      <c r="O195" s="378"/>
      <c r="P195" s="378"/>
      <c r="Q195" s="377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62">
        <f ca="1">IFERROR(__xludf.DUMMYFUNCTION("IMPORTRANGE(""https://docs.google.com/spreadsheets/d/1eHaY18a8A9IcSdp1K8H6x8fbOy06t2VsZHhMHf-1x7Y/edit?usp=sharing"",""แผน!AB57"")"),6000)</f>
        <v>6000</v>
      </c>
      <c r="M196" s="85"/>
      <c r="N196" s="961">
        <v>1040</v>
      </c>
      <c r="O196" s="262">
        <f ca="1">IF(L196&gt;0,N196*100/L196,0)</f>
        <v>17.333333333333332</v>
      </c>
      <c r="P196" s="262">
        <f>IF(M196&gt;0,N196*100/M196,0)</f>
        <v>0</v>
      </c>
      <c r="Q196" s="84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5"/>
      <c r="M197" s="85"/>
      <c r="N197" s="85"/>
      <c r="O197" s="85"/>
      <c r="P197" s="85"/>
      <c r="Q197" s="84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IFERROR(__xludf.DUMMYFUNCTION("IMPORTRANGE(""https://docs.google.com/spreadsheets/d/1eHaY18a8A9IcSdp1K8H6x8fbOy06t2VsZHhMHf-1x7Y/edit?usp=sharing"",""แผน!AE57"")"),4)</f>
        <v>4</v>
      </c>
      <c r="J198" s="292">
        <v>3</v>
      </c>
      <c r="K198" s="72">
        <f ca="1">IF(I198&gt;0,J198*100/I198,0)</f>
        <v>75</v>
      </c>
      <c r="L198" s="85"/>
      <c r="M198" s="85"/>
      <c r="N198" s="85"/>
      <c r="O198" s="85"/>
      <c r="P198" s="85"/>
      <c r="Q198" s="84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219</v>
      </c>
      <c r="K199" s="85"/>
      <c r="L199" s="85"/>
      <c r="M199" s="85"/>
      <c r="N199" s="85"/>
      <c r="O199" s="85"/>
      <c r="P199" s="85"/>
      <c r="Q199" s="84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219</v>
      </c>
      <c r="K200" s="85"/>
      <c r="L200" s="85"/>
      <c r="M200" s="85"/>
      <c r="N200" s="85"/>
      <c r="O200" s="85"/>
      <c r="P200" s="85"/>
      <c r="Q200" s="84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5"/>
      <c r="M201" s="85"/>
      <c r="N201" s="85"/>
      <c r="O201" s="85"/>
      <c r="P201" s="85"/>
      <c r="Q201" s="84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8"/>
      <c r="M202" s="378"/>
      <c r="N202" s="378"/>
      <c r="O202" s="378"/>
      <c r="P202" s="378"/>
      <c r="Q202" s="377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62">
        <f ca="1">L204+L205+L206+L207</f>
        <v>5000</v>
      </c>
      <c r="M203" s="85"/>
      <c r="N203" s="262">
        <f>N204+N205+N206+N207</f>
        <v>4845</v>
      </c>
      <c r="O203" s="262">
        <f ca="1">IF(L203&gt;0,N203*100/L203,0)</f>
        <v>96.9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13395</v>
      </c>
      <c r="T203" s="385">
        <f ca="1">IF(Q203&gt;0,S203*100/Q203,0)</f>
        <v>95.678571428571431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2">
        <f ca="1">IFERROR(__xludf.DUMMYFUNCTION("IMPORTRANGE(""https://docs.google.com/spreadsheets/d/1eHaY18a8A9IcSdp1K8H6x8fbOy06t2VsZHhMHf-1x7Y/edit?usp=sharing"",""แผน!AG57"")"),1000)</f>
        <v>1000</v>
      </c>
      <c r="M204" s="85"/>
      <c r="N204" s="387">
        <v>845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2">
        <f ca="1">IFERROR(__xludf.DUMMYFUNCTION("IMPORTRANGE(""https://docs.google.com/spreadsheets/d/1eHaY18a8A9IcSdp1K8H6x8fbOy06t2VsZHhMHf-1x7Y/edit?usp=sharing"",""แผน!AH57"")"),0)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2">
        <f ca="1">IFERROR(__xludf.DUMMYFUNCTION("IMPORTRANGE(""https://docs.google.com/spreadsheets/d/1eHaY18a8A9IcSdp1K8H6x8fbOy06t2VsZHhMHf-1x7Y/edit?usp=sharing"",""แผน!AI57"")"),0)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IFERROR(__xludf.DUMMYFUNCTION("IMPORTRANGE(""https://docs.google.com/spreadsheets/d/1eHaY18a8A9IcSdp1K8H6x8fbOy06t2VsZHhMHf-1x7Y/edit?usp=sharing"",""แผน!LV57"")"),14000)</f>
        <v>14000</v>
      </c>
      <c r="R206" s="85"/>
      <c r="S206" s="387">
        <v>13395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2">
        <f ca="1">IFERROR(__xludf.DUMMYFUNCTION("IMPORTRANGE(""https://docs.google.com/spreadsheets/d/1eHaY18a8A9IcSdp1K8H6x8fbOy06t2VsZHhMHf-1x7Y/edit?usp=sharing"",""แผน!AJ57"")"),4000)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7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IFERROR(__xludf.DUMMYFUNCTION("IMPORTRANGE(""https://docs.google.com/spreadsheets/d/1eHaY18a8A9IcSdp1K8H6x8fbOy06t2VsZHhMHf-1x7Y/edit?usp=sharing"",""แผน!AK57"")"),1)</f>
        <v>1</v>
      </c>
      <c r="J209" s="292">
        <v>1</v>
      </c>
      <c r="K209" s="746">
        <f ca="1">IF(I209&gt;0,J209*100/I209,0)</f>
        <v>100</v>
      </c>
      <c r="L209" s="85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5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IFERROR(__xludf.DUMMYFUNCTION("IMPORTRANGE(""https://docs.google.com/spreadsheets/d/1eHaY18a8A9IcSdp1K8H6x8fbOy06t2VsZHhMHf-1x7Y/edit?usp=sharing"",""แผน!JX57"")"),1)</f>
        <v>1</v>
      </c>
      <c r="J211" s="292">
        <v>1</v>
      </c>
      <c r="K211" s="746">
        <f ca="1">IF(I211&gt;0,J211*100/I211,0)</f>
        <v>100</v>
      </c>
      <c r="L211" s="85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IFERROR(__xludf.DUMMYFUNCTION("IMPORTRANGE(""https://docs.google.com/spreadsheets/d/1eHaY18a8A9IcSdp1K8H6x8fbOy06t2VsZHhMHf-1x7Y/edit?usp=sharing"",""แผน!JY57"")"),0)</f>
        <v>0</v>
      </c>
      <c r="J212" s="292">
        <v>0</v>
      </c>
      <c r="K212" s="746">
        <f ca="1">IF(I212&gt;0,J212*100/I212,0)</f>
        <v>0</v>
      </c>
      <c r="L212" s="85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8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62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2">
        <f ca="1">IFERROR(__xludf.DUMMYFUNCTION("IMPORTRANGE(""https://docs.google.com/spreadsheets/d/1eHaY18a8A9IcSdp1K8H6x8fbOy06t2VsZHhMHf-1x7Y/edit?usp=sharing"",""แผน!AM57"")"),0)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2">
        <f ca="1">IFERROR(__xludf.DUMMYFUNCTION("IMPORTRANGE(""https://docs.google.com/spreadsheets/d/1eHaY18a8A9IcSdp1K8H6x8fbOy06t2VsZHhMHf-1x7Y/edit?usp=sharing"",""แผน!AN57"")"),0)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2">
        <f ca="1">IFERROR(__xludf.DUMMYFUNCTION("IMPORTRANGE(""https://docs.google.com/spreadsheets/d/1eHaY18a8A9IcSdp1K8H6x8fbOy06t2VsZHhMHf-1x7Y/edit?usp=sharing"",""แผน!AO57"")"),0)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IFERROR(__xludf.DUMMYFUNCTION("IMPORTRANGE(""https://docs.google.com/spreadsheets/d/1eHaY18a8A9IcSdp1K8H6x8fbOy06t2VsZHhMHf-1x7Y/edit?usp=sharing"",""แผน!LY57"")"),0)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5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IFERROR(__xludf.DUMMYFUNCTION("IMPORTRANGE(""https://docs.google.com/spreadsheets/d/1eHaY18a8A9IcSdp1K8H6x8fbOy06t2VsZHhMHf-1x7Y/edit?usp=sharing"",""แผน!AP57"")"),0)</f>
        <v>0</v>
      </c>
      <c r="J219" s="292">
        <v>0</v>
      </c>
      <c r="K219" s="72">
        <f ca="1">IF(I219&gt;0,J219*100/I219,0)</f>
        <v>0</v>
      </c>
      <c r="L219" s="85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IFERROR(__xludf.DUMMYFUNCTION("IMPORTRANGE(""https://docs.google.com/spreadsheets/d/1eHaY18a8A9IcSdp1K8H6x8fbOy06t2VsZHhMHf-1x7Y/edit?usp=sharing"",""แผน!AP57"")"),0)</f>
        <v>0</v>
      </c>
      <c r="J220" s="292">
        <v>0</v>
      </c>
      <c r="K220" s="72">
        <f ca="1">IF(I220&gt;0,J220*100/I220,0)</f>
        <v>0</v>
      </c>
      <c r="L220" s="85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12800</v>
      </c>
      <c r="J221" s="538">
        <f>J229</f>
        <v>12800</v>
      </c>
      <c r="K221" s="539">
        <f ca="1">IF(I221&gt;0,J221*100/I221,0)</f>
        <v>100</v>
      </c>
      <c r="L221" s="378"/>
      <c r="M221" s="378"/>
      <c r="N221" s="378"/>
      <c r="O221" s="378"/>
      <c r="P221" s="378"/>
      <c r="Q221" s="377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62">
        <f ca="1">L223+L224+L225</f>
        <v>4500</v>
      </c>
      <c r="M222" s="85"/>
      <c r="N222" s="262">
        <f>N223+N224+N225</f>
        <v>4500</v>
      </c>
      <c r="O222" s="262">
        <f ca="1">IF(L222&gt;0,N222*100/L222,0)</f>
        <v>100</v>
      </c>
      <c r="P222" s="262">
        <f>IF(M222&gt;0,N222*100/M222,0)</f>
        <v>0</v>
      </c>
      <c r="Q222" s="84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2">
        <f ca="1">IFERROR(__xludf.DUMMYFUNCTION("IMPORTRANGE(""https://docs.google.com/spreadsheets/d/1eHaY18a8A9IcSdp1K8H6x8fbOy06t2VsZHhMHf-1x7Y/edit?usp=sharing"",""แผน!AR57"")"),2500)</f>
        <v>2500</v>
      </c>
      <c r="M223" s="85"/>
      <c r="N223" s="387">
        <v>2500</v>
      </c>
      <c r="O223" s="227"/>
      <c r="P223" s="85"/>
      <c r="Q223" s="84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2">
        <f ca="1">IFERROR(__xludf.DUMMYFUNCTION("IMPORTRANGE(""https://docs.google.com/spreadsheets/d/1eHaY18a8A9IcSdp1K8H6x8fbOy06t2VsZHhMHf-1x7Y/edit?usp=sharing"",""แผน!AS57"")"),2000)</f>
        <v>2000</v>
      </c>
      <c r="M224" s="85"/>
      <c r="N224" s="387">
        <v>2000</v>
      </c>
      <c r="O224" s="227"/>
      <c r="P224" s="85"/>
      <c r="Q224" s="84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2">
        <f ca="1">IFERROR(__xludf.DUMMYFUNCTION("IMPORTRANGE(""https://docs.google.com/spreadsheets/d/1eHaY18a8A9IcSdp1K8H6x8fbOy06t2VsZHhMHf-1x7Y/edit?usp=sharing"",""แผน!AT57"")"),0)</f>
        <v>0</v>
      </c>
      <c r="M225" s="85"/>
      <c r="N225" s="387">
        <v>0</v>
      </c>
      <c r="O225" s="227"/>
      <c r="P225" s="85"/>
      <c r="Q225" s="84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7"/>
      <c r="M226" s="227"/>
      <c r="N226" s="227"/>
      <c r="O226" s="227"/>
      <c r="P226" s="227"/>
      <c r="Q226" s="226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7"/>
      <c r="M227" s="227"/>
      <c r="N227" s="227"/>
      <c r="O227" s="227"/>
      <c r="P227" s="227"/>
      <c r="Q227" s="226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IFERROR(__xludf.DUMMYFUNCTION("IMPORTRANGE(""https://docs.google.com/spreadsheets/d/1eHaY18a8A9IcSdp1K8H6x8fbOy06t2VsZHhMHf-1x7Y/edit?usp=sharing"",""แผน!AV57"")"),12800)</f>
        <v>12800</v>
      </c>
      <c r="J228" s="292">
        <v>12800</v>
      </c>
      <c r="K228" s="746">
        <f ca="1">IF(I228&gt;0,J228*100/I228,0)</f>
        <v>100</v>
      </c>
      <c r="L228" s="227"/>
      <c r="M228" s="227"/>
      <c r="N228" s="227"/>
      <c r="O228" s="227"/>
      <c r="P228" s="227"/>
      <c r="Q228" s="226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IFERROR(__xludf.DUMMYFUNCTION("IMPORTRANGE(""https://docs.google.com/spreadsheets/d/1eHaY18a8A9IcSdp1K8H6x8fbOy06t2VsZHhMHf-1x7Y/edit?usp=sharing"",""แผน!AV57"")"),12800)</f>
        <v>12800</v>
      </c>
      <c r="J229" s="292">
        <v>12800</v>
      </c>
      <c r="K229" s="746">
        <f ca="1">IF(I229&gt;0,J229*100/I229,0)</f>
        <v>100</v>
      </c>
      <c r="L229" s="85"/>
      <c r="M229" s="85"/>
      <c r="N229" s="85"/>
      <c r="O229" s="85"/>
      <c r="P229" s="85"/>
      <c r="Q229" s="84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IFERROR(__xludf.DUMMYFUNCTION("IMPORTRANGE(""https://docs.google.com/spreadsheets/d/1eHaY18a8A9IcSdp1K8H6x8fbOy06t2VsZHhMHf-1x7Y/edit?usp=sharing"",""แผน!AU57"")"),0)</f>
        <v>0</v>
      </c>
      <c r="J230" s="292">
        <v>0</v>
      </c>
      <c r="K230" s="746">
        <f ca="1">IF(I230&gt;0,J230*100/I230,0)</f>
        <v>0</v>
      </c>
      <c r="L230" s="85"/>
      <c r="M230" s="85"/>
      <c r="N230" s="85"/>
      <c r="O230" s="85"/>
      <c r="P230" s="85"/>
      <c r="Q230" s="84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0</v>
      </c>
      <c r="J231" s="951">
        <f>J242+J253</f>
        <v>0</v>
      </c>
      <c r="K231" s="950">
        <f ca="1">IF(I231&gt;0,J231*100/I231,0)</f>
        <v>0</v>
      </c>
      <c r="L231" s="1188"/>
      <c r="M231" s="1188"/>
      <c r="N231" s="1188"/>
      <c r="O231" s="1188"/>
      <c r="P231" s="1188"/>
      <c r="Q231" s="1189"/>
      <c r="R231" s="1188"/>
      <c r="S231" s="1188"/>
      <c r="T231" s="1188"/>
      <c r="U231" s="118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6">
        <f ca="1">L243+L254</f>
        <v>0</v>
      </c>
      <c r="M232" s="938"/>
      <c r="N232" s="956">
        <f>N243+N254</f>
        <v>0</v>
      </c>
      <c r="O232" s="938"/>
      <c r="P232" s="938"/>
      <c r="Q232" s="215">
        <v>0</v>
      </c>
      <c r="R232" s="131"/>
      <c r="S232" s="131">
        <v>0</v>
      </c>
      <c r="T232" s="938"/>
      <c r="U232" s="938"/>
    </row>
    <row r="233" spans="1:21" ht="18.75" hidden="1" x14ac:dyDescent="0.25">
      <c r="A233" s="936"/>
      <c r="B233" s="1082"/>
      <c r="C233" s="1082"/>
      <c r="D233" s="569" t="s">
        <v>86</v>
      </c>
      <c r="E233" s="935"/>
      <c r="F233" s="935"/>
      <c r="G233" s="934"/>
      <c r="H233" s="271" t="s">
        <v>14</v>
      </c>
      <c r="I233" s="933"/>
      <c r="J233" s="933"/>
      <c r="K233" s="932"/>
      <c r="L233" s="75">
        <f ca="1">L244+L255</f>
        <v>0</v>
      </c>
      <c r="M233" s="938"/>
      <c r="N233" s="75">
        <f>N244+N255</f>
        <v>0</v>
      </c>
      <c r="O233" s="938"/>
      <c r="P233" s="938"/>
      <c r="Q233" s="1184">
        <v>0</v>
      </c>
      <c r="R233" s="1183"/>
      <c r="S233" s="1183">
        <v>0</v>
      </c>
      <c r="T233" s="938"/>
      <c r="U233" s="938"/>
    </row>
    <row r="234" spans="1:21" ht="18.75" hidden="1" x14ac:dyDescent="0.25">
      <c r="A234" s="1083"/>
      <c r="B234" s="1082"/>
      <c r="C234" s="1082"/>
      <c r="D234" s="569" t="s">
        <v>88</v>
      </c>
      <c r="E234" s="935"/>
      <c r="F234" s="935"/>
      <c r="G234" s="934"/>
      <c r="H234" s="271" t="s">
        <v>14</v>
      </c>
      <c r="I234" s="939"/>
      <c r="J234" s="939"/>
      <c r="K234" s="938"/>
      <c r="L234" s="75">
        <f ca="1">L245+L256</f>
        <v>0</v>
      </c>
      <c r="M234" s="938"/>
      <c r="N234" s="75">
        <f>N245+N256</f>
        <v>0</v>
      </c>
      <c r="O234" s="938"/>
      <c r="P234" s="938"/>
      <c r="Q234" s="74">
        <v>0</v>
      </c>
      <c r="R234" s="75"/>
      <c r="S234" s="75">
        <v>0</v>
      </c>
      <c r="T234" s="938"/>
      <c r="U234" s="938"/>
    </row>
    <row r="235" spans="1:21" ht="18.75" hidden="1" x14ac:dyDescent="0.25">
      <c r="A235" s="1083"/>
      <c r="B235" s="1082"/>
      <c r="C235" s="1082"/>
      <c r="D235" s="569" t="s">
        <v>106</v>
      </c>
      <c r="E235" s="935"/>
      <c r="F235" s="935"/>
      <c r="G235" s="934"/>
      <c r="H235" s="271" t="s">
        <v>14</v>
      </c>
      <c r="I235" s="939"/>
      <c r="J235" s="939"/>
      <c r="K235" s="938"/>
      <c r="L235" s="75">
        <f ca="1">L246+L257</f>
        <v>0</v>
      </c>
      <c r="M235" s="938"/>
      <c r="N235" s="75">
        <f>N246+N257</f>
        <v>0</v>
      </c>
      <c r="O235" s="938"/>
      <c r="P235" s="938"/>
      <c r="Q235" s="74">
        <v>0</v>
      </c>
      <c r="R235" s="75"/>
      <c r="S235" s="75">
        <v>0</v>
      </c>
      <c r="T235" s="938"/>
      <c r="U235" s="938"/>
    </row>
    <row r="236" spans="1:21" ht="18.75" hidden="1" x14ac:dyDescent="0.25">
      <c r="A236" s="1083"/>
      <c r="B236" s="1082"/>
      <c r="C236" s="1082"/>
      <c r="D236" s="263" t="s">
        <v>107</v>
      </c>
      <c r="E236" s="935"/>
      <c r="F236" s="935"/>
      <c r="G236" s="934"/>
      <c r="H236" s="271" t="s">
        <v>14</v>
      </c>
      <c r="I236" s="939"/>
      <c r="J236" s="939"/>
      <c r="K236" s="938"/>
      <c r="L236" s="75">
        <f ca="1">L247+L258</f>
        <v>0</v>
      </c>
      <c r="M236" s="938"/>
      <c r="N236" s="75">
        <f>N247+N258</f>
        <v>0</v>
      </c>
      <c r="O236" s="938"/>
      <c r="P236" s="938"/>
      <c r="Q236" s="74">
        <v>0</v>
      </c>
      <c r="R236" s="75"/>
      <c r="S236" s="75">
        <v>0</v>
      </c>
      <c r="T236" s="938"/>
      <c r="U236" s="938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938"/>
      <c r="M237" s="938"/>
      <c r="N237" s="938"/>
      <c r="O237" s="932"/>
      <c r="P237" s="932"/>
      <c r="Q237" s="1182"/>
      <c r="R237" s="938"/>
      <c r="S237" s="938"/>
      <c r="T237" s="932"/>
      <c r="U237" s="932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0</v>
      </c>
      <c r="J238" s="570">
        <f>J249+J260</f>
        <v>0</v>
      </c>
      <c r="K238" s="75">
        <f ca="1">IF(I238&gt;0,J238*100/I238,0)</f>
        <v>0</v>
      </c>
      <c r="L238" s="938"/>
      <c r="M238" s="938"/>
      <c r="N238" s="938"/>
      <c r="O238" s="938"/>
      <c r="P238" s="938"/>
      <c r="Q238" s="1182"/>
      <c r="R238" s="938"/>
      <c r="S238" s="938"/>
      <c r="T238" s="938"/>
      <c r="U238" s="938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938"/>
      <c r="M239" s="938"/>
      <c r="N239" s="938"/>
      <c r="O239" s="932"/>
      <c r="P239" s="932"/>
      <c r="Q239" s="1182"/>
      <c r="R239" s="938"/>
      <c r="S239" s="938"/>
      <c r="T239" s="932"/>
      <c r="U239" s="932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>I251+I262</f>
        <v>0</v>
      </c>
      <c r="J240" s="570">
        <f>J251+J262</f>
        <v>0</v>
      </c>
      <c r="K240" s="75">
        <f>IF(I240&gt;0,J240*100/I240,0)</f>
        <v>0</v>
      </c>
      <c r="L240" s="938"/>
      <c r="M240" s="938"/>
      <c r="N240" s="938"/>
      <c r="O240" s="938"/>
      <c r="P240" s="938"/>
      <c r="Q240" s="1182"/>
      <c r="R240" s="938"/>
      <c r="S240" s="938"/>
      <c r="T240" s="938"/>
      <c r="U240" s="938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>I252+I263</f>
        <v>0</v>
      </c>
      <c r="J241" s="570">
        <f>J252+J263</f>
        <v>0</v>
      </c>
      <c r="K241" s="75">
        <f>IF(I241&gt;0,J241*100/I241,0)</f>
        <v>0</v>
      </c>
      <c r="L241" s="938"/>
      <c r="M241" s="938"/>
      <c r="N241" s="938"/>
      <c r="O241" s="938"/>
      <c r="P241" s="938"/>
      <c r="Q241" s="1182"/>
      <c r="R241" s="938"/>
      <c r="S241" s="938"/>
      <c r="T241" s="938"/>
      <c r="U241" s="938"/>
    </row>
    <row r="242" spans="1:21" ht="19.5" hidden="1" x14ac:dyDescent="0.3">
      <c r="A242" s="1087"/>
      <c r="B242" s="1086"/>
      <c r="C242" s="1304" t="s">
        <v>111</v>
      </c>
      <c r="D242" s="1085"/>
      <c r="E242" s="1085"/>
      <c r="F242" s="1085"/>
      <c r="G242" s="1084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1188"/>
      <c r="M242" s="1188"/>
      <c r="N242" s="1188"/>
      <c r="O242" s="1188"/>
      <c r="P242" s="1188"/>
      <c r="Q242" s="1189"/>
      <c r="R242" s="1188"/>
      <c r="S242" s="1188"/>
      <c r="T242" s="1188"/>
      <c r="U242" s="1188"/>
    </row>
    <row r="243" spans="1:21" ht="19.5" hidden="1" x14ac:dyDescent="0.3">
      <c r="A243" s="936"/>
      <c r="B243" s="1082"/>
      <c r="C243" s="948" t="s">
        <v>18</v>
      </c>
      <c r="D243" s="799" t="s">
        <v>19</v>
      </c>
      <c r="E243" s="935"/>
      <c r="F243" s="935"/>
      <c r="G243" s="934"/>
      <c r="H243" s="753" t="s">
        <v>14</v>
      </c>
      <c r="I243" s="933"/>
      <c r="J243" s="933"/>
      <c r="K243" s="932"/>
      <c r="L243" s="956">
        <f ca="1">L244+L245+L246+L247</f>
        <v>0</v>
      </c>
      <c r="M243" s="938"/>
      <c r="N243" s="956">
        <f>N244+N245+N246+N247</f>
        <v>0</v>
      </c>
      <c r="O243" s="956">
        <f ca="1">IF(L243&gt;0,N243*100/L243,0)</f>
        <v>0</v>
      </c>
      <c r="P243" s="956">
        <f>IF(M243&gt;0,N243*100/M243,0)</f>
        <v>0</v>
      </c>
      <c r="Q243" s="1182"/>
      <c r="R243" s="938"/>
      <c r="S243" s="938"/>
      <c r="T243" s="938"/>
      <c r="U243" s="938"/>
    </row>
    <row r="244" spans="1:21" ht="18.75" hidden="1" x14ac:dyDescent="0.25">
      <c r="A244" s="936"/>
      <c r="B244" s="1082"/>
      <c r="C244" s="1082"/>
      <c r="D244" s="569" t="s">
        <v>86</v>
      </c>
      <c r="E244" s="935"/>
      <c r="F244" s="935"/>
      <c r="G244" s="934"/>
      <c r="H244" s="271" t="s">
        <v>14</v>
      </c>
      <c r="I244" s="933"/>
      <c r="J244" s="933"/>
      <c r="K244" s="932"/>
      <c r="L244" s="75">
        <f ca="1">IFERROR(__xludf.DUMMYFUNCTION("IMPORTRANGE(""https://docs.google.com/spreadsheets/d/1eHaY18a8A9IcSdp1K8H6x8fbOy06t2VsZHhMHf-1x7Y/edit?usp=sharing"",""แผน!AX57"")"),0)</f>
        <v>0</v>
      </c>
      <c r="M244" s="938"/>
      <c r="N244" s="1338">
        <v>0</v>
      </c>
      <c r="O244" s="938"/>
      <c r="P244" s="938"/>
      <c r="Q244" s="1182"/>
      <c r="R244" s="938"/>
      <c r="S244" s="938"/>
      <c r="T244" s="938"/>
      <c r="U244" s="938"/>
    </row>
    <row r="245" spans="1:21" ht="18.75" hidden="1" x14ac:dyDescent="0.25">
      <c r="A245" s="1083"/>
      <c r="B245" s="1082"/>
      <c r="C245" s="1082"/>
      <c r="D245" s="569" t="s">
        <v>88</v>
      </c>
      <c r="E245" s="935"/>
      <c r="F245" s="935"/>
      <c r="G245" s="934"/>
      <c r="H245" s="271" t="s">
        <v>14</v>
      </c>
      <c r="I245" s="939"/>
      <c r="J245" s="939"/>
      <c r="K245" s="938"/>
      <c r="L245" s="75">
        <f ca="1">IFERROR(__xludf.DUMMYFUNCTION("IMPORTRANGE(""https://docs.google.com/spreadsheets/d/1eHaY18a8A9IcSdp1K8H6x8fbOy06t2VsZHhMHf-1x7Y/edit?usp=sharing"",""แผน!AY57"")"),0)</f>
        <v>0</v>
      </c>
      <c r="M245" s="938"/>
      <c r="N245" s="1338">
        <v>0</v>
      </c>
      <c r="O245" s="938"/>
      <c r="P245" s="938"/>
      <c r="Q245" s="1182"/>
      <c r="R245" s="938"/>
      <c r="S245" s="938"/>
      <c r="T245" s="938"/>
      <c r="U245" s="938"/>
    </row>
    <row r="246" spans="1:21" ht="18.75" hidden="1" x14ac:dyDescent="0.25">
      <c r="A246" s="1083"/>
      <c r="B246" s="1082"/>
      <c r="C246" s="1082"/>
      <c r="D246" s="569" t="s">
        <v>106</v>
      </c>
      <c r="E246" s="935"/>
      <c r="F246" s="935"/>
      <c r="G246" s="934"/>
      <c r="H246" s="271" t="s">
        <v>14</v>
      </c>
      <c r="I246" s="939"/>
      <c r="J246" s="939"/>
      <c r="K246" s="938"/>
      <c r="L246" s="75">
        <f ca="1">IFERROR(__xludf.DUMMYFUNCTION("IMPORTRANGE(""https://docs.google.com/spreadsheets/d/1eHaY18a8A9IcSdp1K8H6x8fbOy06t2VsZHhMHf-1x7Y/edit?usp=sharing"",""แผน!AZ57"")"),0)</f>
        <v>0</v>
      </c>
      <c r="M246" s="938"/>
      <c r="N246" s="1338">
        <v>0</v>
      </c>
      <c r="O246" s="938"/>
      <c r="P246" s="938"/>
      <c r="Q246" s="1182"/>
      <c r="R246" s="938"/>
      <c r="S246" s="938"/>
      <c r="T246" s="938"/>
      <c r="U246" s="938"/>
    </row>
    <row r="247" spans="1:21" ht="18.75" hidden="1" x14ac:dyDescent="0.25">
      <c r="A247" s="1083"/>
      <c r="B247" s="1082"/>
      <c r="C247" s="1082"/>
      <c r="D247" s="263" t="s">
        <v>107</v>
      </c>
      <c r="E247" s="935"/>
      <c r="F247" s="935"/>
      <c r="G247" s="934"/>
      <c r="H247" s="271" t="s">
        <v>14</v>
      </c>
      <c r="I247" s="939"/>
      <c r="J247" s="939"/>
      <c r="K247" s="938"/>
      <c r="L247" s="75">
        <f ca="1">IFERROR(__xludf.DUMMYFUNCTION("IMPORTRANGE(""https://docs.google.com/spreadsheets/d/1eHaY18a8A9IcSdp1K8H6x8fbOy06t2VsZHhMHf-1x7Y/edit?usp=sharing"",""แผน!BA57"")"),0)</f>
        <v>0</v>
      </c>
      <c r="M247" s="938"/>
      <c r="N247" s="1338">
        <v>0</v>
      </c>
      <c r="O247" s="938"/>
      <c r="P247" s="938"/>
      <c r="Q247" s="1182"/>
      <c r="R247" s="938"/>
      <c r="S247" s="938"/>
      <c r="T247" s="938"/>
      <c r="U247" s="938"/>
    </row>
    <row r="248" spans="1:21" ht="19.5" hidden="1" x14ac:dyDescent="0.3">
      <c r="A248" s="1079"/>
      <c r="B248" s="1078"/>
      <c r="C248" s="948" t="s">
        <v>18</v>
      </c>
      <c r="D248" s="813" t="s">
        <v>38</v>
      </c>
      <c r="E248" s="1081"/>
      <c r="F248" s="1081"/>
      <c r="G248" s="1080"/>
      <c r="H248" s="1306"/>
      <c r="I248" s="933"/>
      <c r="J248" s="939"/>
      <c r="K248" s="938"/>
      <c r="L248" s="938"/>
      <c r="M248" s="938"/>
      <c r="N248" s="938"/>
      <c r="O248" s="932"/>
      <c r="P248" s="932"/>
      <c r="Q248" s="1182"/>
      <c r="R248" s="938"/>
      <c r="S248" s="938"/>
      <c r="T248" s="932"/>
      <c r="U248" s="932"/>
    </row>
    <row r="249" spans="1:21" ht="18.75" hidden="1" x14ac:dyDescent="0.25">
      <c r="A249" s="1079"/>
      <c r="B249" s="1078"/>
      <c r="C249" s="1078"/>
      <c r="D249" s="306" t="s">
        <v>108</v>
      </c>
      <c r="E249" s="1077"/>
      <c r="F249" s="1077"/>
      <c r="G249" s="1076"/>
      <c r="H249" s="756" t="s">
        <v>35</v>
      </c>
      <c r="I249" s="570">
        <f ca="1">IFERROR(__xludf.DUMMYFUNCTION("IMPORTRANGE(""https://docs.google.com/spreadsheets/d/1eHaY18a8A9IcSdp1K8H6x8fbOy06t2VsZHhMHf-1x7Y/edit?usp=sharing"",""แผน!BG57"")"),0)</f>
        <v>0</v>
      </c>
      <c r="J249" s="832">
        <v>0</v>
      </c>
      <c r="K249" s="75">
        <f ca="1">IF(I249&gt;0,J249*100/I249,0)</f>
        <v>0</v>
      </c>
      <c r="L249" s="938"/>
      <c r="M249" s="938"/>
      <c r="N249" s="938"/>
      <c r="O249" s="938"/>
      <c r="P249" s="938"/>
      <c r="Q249" s="1182"/>
      <c r="R249" s="938"/>
      <c r="S249" s="938"/>
      <c r="T249" s="938"/>
      <c r="U249" s="938"/>
    </row>
    <row r="250" spans="1:21" ht="18.75" hidden="1" x14ac:dyDescent="0.25">
      <c r="A250" s="1079"/>
      <c r="B250" s="1078"/>
      <c r="C250" s="1078"/>
      <c r="D250" s="947" t="s">
        <v>43</v>
      </c>
      <c r="E250" s="1077"/>
      <c r="F250" s="1077"/>
      <c r="G250" s="1076"/>
      <c r="H250" s="1306"/>
      <c r="I250" s="939"/>
      <c r="J250" s="939"/>
      <c r="K250" s="938"/>
      <c r="L250" s="938"/>
      <c r="M250" s="938"/>
      <c r="N250" s="938"/>
      <c r="O250" s="932"/>
      <c r="P250" s="932"/>
      <c r="Q250" s="1182"/>
      <c r="R250" s="938"/>
      <c r="S250" s="938"/>
      <c r="T250" s="932"/>
      <c r="U250" s="932"/>
    </row>
    <row r="251" spans="1:21" ht="18.75" hidden="1" x14ac:dyDescent="0.25">
      <c r="A251" s="1079"/>
      <c r="B251" s="1078"/>
      <c r="C251" s="1078"/>
      <c r="D251" s="1078"/>
      <c r="E251" s="946" t="s">
        <v>109</v>
      </c>
      <c r="F251" s="1077"/>
      <c r="G251" s="1076"/>
      <c r="H251" s="756" t="s">
        <v>35</v>
      </c>
      <c r="I251" s="570">
        <v>0</v>
      </c>
      <c r="J251" s="832">
        <v>0</v>
      </c>
      <c r="K251" s="75">
        <f>IF(I251&gt;0,J251*100/I251,0)</f>
        <v>0</v>
      </c>
      <c r="L251" s="938"/>
      <c r="M251" s="938"/>
      <c r="N251" s="938"/>
      <c r="O251" s="938"/>
      <c r="P251" s="938"/>
      <c r="Q251" s="1182"/>
      <c r="R251" s="938"/>
      <c r="S251" s="938"/>
      <c r="T251" s="938"/>
      <c r="U251" s="938"/>
    </row>
    <row r="252" spans="1:21" ht="18.75" hidden="1" x14ac:dyDescent="0.25">
      <c r="A252" s="1079"/>
      <c r="B252" s="1078"/>
      <c r="C252" s="1078"/>
      <c r="D252" s="1078"/>
      <c r="E252" s="946" t="s">
        <v>110</v>
      </c>
      <c r="F252" s="1077"/>
      <c r="G252" s="1076"/>
      <c r="H252" s="756" t="s">
        <v>61</v>
      </c>
      <c r="I252" s="570">
        <v>0</v>
      </c>
      <c r="J252" s="832">
        <v>0</v>
      </c>
      <c r="K252" s="75">
        <f>IF(I252&gt;0,J252*100/I252,0)</f>
        <v>0</v>
      </c>
      <c r="L252" s="938"/>
      <c r="M252" s="938"/>
      <c r="N252" s="938"/>
      <c r="O252" s="938"/>
      <c r="P252" s="938"/>
      <c r="Q252" s="1182"/>
      <c r="R252" s="938"/>
      <c r="S252" s="938"/>
      <c r="T252" s="938"/>
      <c r="U252" s="938"/>
    </row>
    <row r="253" spans="1:21" ht="19.5" hidden="1" x14ac:dyDescent="0.3">
      <c r="A253" s="1087"/>
      <c r="B253" s="1086"/>
      <c r="C253" s="1304" t="s">
        <v>112</v>
      </c>
      <c r="D253" s="1085"/>
      <c r="E253" s="1085"/>
      <c r="F253" s="1085"/>
      <c r="G253" s="1084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1188"/>
      <c r="M253" s="1188"/>
      <c r="N253" s="1188"/>
      <c r="O253" s="1188"/>
      <c r="P253" s="1188"/>
      <c r="Q253" s="1189"/>
      <c r="R253" s="1188"/>
      <c r="S253" s="1188"/>
      <c r="T253" s="1188"/>
      <c r="U253" s="1188"/>
    </row>
    <row r="254" spans="1:21" ht="19.5" hidden="1" x14ac:dyDescent="0.3">
      <c r="A254" s="936"/>
      <c r="B254" s="1082"/>
      <c r="C254" s="948" t="s">
        <v>18</v>
      </c>
      <c r="D254" s="949" t="s">
        <v>19</v>
      </c>
      <c r="E254" s="935"/>
      <c r="F254" s="935"/>
      <c r="G254" s="934"/>
      <c r="H254" s="753" t="s">
        <v>14</v>
      </c>
      <c r="I254" s="933"/>
      <c r="J254" s="933"/>
      <c r="K254" s="932"/>
      <c r="L254" s="956">
        <f ca="1">L255+L256+L257+L258</f>
        <v>0</v>
      </c>
      <c r="M254" s="938"/>
      <c r="N254" s="956">
        <f>N255+N256+N257+N258</f>
        <v>0</v>
      </c>
      <c r="O254" s="956">
        <f ca="1">IF(L254&gt;0,N254*100/L254,0)</f>
        <v>0</v>
      </c>
      <c r="P254" s="956">
        <f>IF(M254&gt;0,N254*100/M254,0)</f>
        <v>0</v>
      </c>
      <c r="Q254" s="1182"/>
      <c r="R254" s="938"/>
      <c r="S254" s="938"/>
      <c r="T254" s="938"/>
      <c r="U254" s="938"/>
    </row>
    <row r="255" spans="1:21" ht="18.75" hidden="1" x14ac:dyDescent="0.25">
      <c r="A255" s="936"/>
      <c r="B255" s="1082"/>
      <c r="C255" s="1082"/>
      <c r="D255" s="569" t="s">
        <v>86</v>
      </c>
      <c r="E255" s="935"/>
      <c r="F255" s="935"/>
      <c r="G255" s="934"/>
      <c r="H255" s="271" t="s">
        <v>14</v>
      </c>
      <c r="I255" s="933"/>
      <c r="J255" s="933"/>
      <c r="K255" s="932"/>
      <c r="L255" s="75">
        <f ca="1">IFERROR(__xludf.DUMMYFUNCTION("IMPORTRANGE(""https://docs.google.com/spreadsheets/d/1eHaY18a8A9IcSdp1K8H6x8fbOy06t2VsZHhMHf-1x7Y/edit?usp=sharing"",""แผน!BB57"")"),0)</f>
        <v>0</v>
      </c>
      <c r="M255" s="938"/>
      <c r="N255" s="1338">
        <v>0</v>
      </c>
      <c r="O255" s="938"/>
      <c r="P255" s="938"/>
      <c r="Q255" s="1182"/>
      <c r="R255" s="938"/>
      <c r="S255" s="938"/>
      <c r="T255" s="938"/>
      <c r="U255" s="938"/>
    </row>
    <row r="256" spans="1:21" ht="18.75" hidden="1" x14ac:dyDescent="0.25">
      <c r="A256" s="1083"/>
      <c r="B256" s="1082"/>
      <c r="C256" s="1082"/>
      <c r="D256" s="569" t="s">
        <v>88</v>
      </c>
      <c r="E256" s="935"/>
      <c r="F256" s="935"/>
      <c r="G256" s="934"/>
      <c r="H256" s="271" t="s">
        <v>14</v>
      </c>
      <c r="I256" s="939"/>
      <c r="J256" s="939"/>
      <c r="K256" s="938"/>
      <c r="L256" s="75">
        <f ca="1">IFERROR(__xludf.DUMMYFUNCTION("IMPORTRANGE(""https://docs.google.com/spreadsheets/d/1eHaY18a8A9IcSdp1K8H6x8fbOy06t2VsZHhMHf-1x7Y/edit?usp=sharing"",""แผน!BC57"")"),0)</f>
        <v>0</v>
      </c>
      <c r="M256" s="938"/>
      <c r="N256" s="1338">
        <v>0</v>
      </c>
      <c r="O256" s="938"/>
      <c r="P256" s="938"/>
      <c r="Q256" s="1182"/>
      <c r="R256" s="938"/>
      <c r="S256" s="938"/>
      <c r="T256" s="938"/>
      <c r="U256" s="938"/>
    </row>
    <row r="257" spans="1:21" ht="18.75" hidden="1" x14ac:dyDescent="0.25">
      <c r="A257" s="1083"/>
      <c r="B257" s="1082"/>
      <c r="C257" s="1082"/>
      <c r="D257" s="569" t="s">
        <v>106</v>
      </c>
      <c r="E257" s="935"/>
      <c r="F257" s="935"/>
      <c r="G257" s="934"/>
      <c r="H257" s="271" t="s">
        <v>14</v>
      </c>
      <c r="I257" s="939"/>
      <c r="J257" s="939"/>
      <c r="K257" s="938"/>
      <c r="L257" s="75">
        <f ca="1">IFERROR(__xludf.DUMMYFUNCTION("IMPORTRANGE(""https://docs.google.com/spreadsheets/d/1eHaY18a8A9IcSdp1K8H6x8fbOy06t2VsZHhMHf-1x7Y/edit?usp=sharing"",""แผน!BD57"")"),0)</f>
        <v>0</v>
      </c>
      <c r="M257" s="938"/>
      <c r="N257" s="1338">
        <v>0</v>
      </c>
      <c r="O257" s="938"/>
      <c r="P257" s="938"/>
      <c r="Q257" s="1182"/>
      <c r="R257" s="938"/>
      <c r="S257" s="938"/>
      <c r="T257" s="938"/>
      <c r="U257" s="938"/>
    </row>
    <row r="258" spans="1:21" ht="18.75" hidden="1" x14ac:dyDescent="0.25">
      <c r="A258" s="1083"/>
      <c r="B258" s="1082"/>
      <c r="C258" s="1082"/>
      <c r="D258" s="263" t="s">
        <v>107</v>
      </c>
      <c r="E258" s="935"/>
      <c r="F258" s="935"/>
      <c r="G258" s="934"/>
      <c r="H258" s="271" t="s">
        <v>14</v>
      </c>
      <c r="I258" s="939"/>
      <c r="J258" s="939"/>
      <c r="K258" s="938"/>
      <c r="L258" s="75">
        <f ca="1">IFERROR(__xludf.DUMMYFUNCTION("IMPORTRANGE(""https://docs.google.com/spreadsheets/d/1eHaY18a8A9IcSdp1K8H6x8fbOy06t2VsZHhMHf-1x7Y/edit?usp=sharing"",""แผน!BE57"")"),0)</f>
        <v>0</v>
      </c>
      <c r="M258" s="938"/>
      <c r="N258" s="1338">
        <v>0</v>
      </c>
      <c r="O258" s="938"/>
      <c r="P258" s="938"/>
      <c r="Q258" s="1182"/>
      <c r="R258" s="938"/>
      <c r="S258" s="938"/>
      <c r="T258" s="938"/>
      <c r="U258" s="938"/>
    </row>
    <row r="259" spans="1:21" ht="19.5" hidden="1" x14ac:dyDescent="0.3">
      <c r="A259" s="1079"/>
      <c r="B259" s="1078"/>
      <c r="C259" s="948" t="s">
        <v>18</v>
      </c>
      <c r="D259" s="813" t="s">
        <v>38</v>
      </c>
      <c r="E259" s="1081"/>
      <c r="F259" s="1081"/>
      <c r="G259" s="1080"/>
      <c r="H259" s="1076"/>
      <c r="I259" s="933"/>
      <c r="J259" s="939"/>
      <c r="K259" s="938"/>
      <c r="L259" s="938"/>
      <c r="M259" s="938"/>
      <c r="N259" s="938"/>
      <c r="O259" s="932"/>
      <c r="P259" s="932"/>
      <c r="Q259" s="1182"/>
      <c r="R259" s="938"/>
      <c r="S259" s="938"/>
      <c r="T259" s="932"/>
      <c r="U259" s="932"/>
    </row>
    <row r="260" spans="1:21" ht="18.75" hidden="1" x14ac:dyDescent="0.25">
      <c r="A260" s="1079"/>
      <c r="B260" s="1078"/>
      <c r="C260" s="1078"/>
      <c r="D260" s="306" t="s">
        <v>108</v>
      </c>
      <c r="E260" s="1077"/>
      <c r="F260" s="1077"/>
      <c r="G260" s="1076"/>
      <c r="H260" s="756" t="s">
        <v>35</v>
      </c>
      <c r="I260" s="570">
        <f ca="1">IFERROR(__xludf.DUMMYFUNCTION("IMPORTRANGE(""https://docs.google.com/spreadsheets/d/1eHaY18a8A9IcSdp1K8H6x8fbOy06t2VsZHhMHf-1x7Y/edit?usp=sharing"",""แผน!BH57"")"),0)</f>
        <v>0</v>
      </c>
      <c r="J260" s="832">
        <v>0</v>
      </c>
      <c r="K260" s="75">
        <f ca="1">IF(I260&gt;0,J260*100/I260,0)</f>
        <v>0</v>
      </c>
      <c r="L260" s="938"/>
      <c r="M260" s="938"/>
      <c r="N260" s="938"/>
      <c r="O260" s="938"/>
      <c r="P260" s="938"/>
      <c r="Q260" s="1182"/>
      <c r="R260" s="938"/>
      <c r="S260" s="938"/>
      <c r="T260" s="938"/>
      <c r="U260" s="938"/>
    </row>
    <row r="261" spans="1:21" ht="18.75" hidden="1" x14ac:dyDescent="0.25">
      <c r="A261" s="1079"/>
      <c r="B261" s="1078"/>
      <c r="C261" s="1078"/>
      <c r="D261" s="947" t="s">
        <v>43</v>
      </c>
      <c r="E261" s="1077"/>
      <c r="F261" s="1077"/>
      <c r="G261" s="1076"/>
      <c r="H261" s="1306"/>
      <c r="I261" s="939"/>
      <c r="J261" s="939"/>
      <c r="K261" s="938"/>
      <c r="L261" s="938"/>
      <c r="M261" s="938"/>
      <c r="N261" s="938"/>
      <c r="O261" s="932"/>
      <c r="P261" s="932"/>
      <c r="Q261" s="1182"/>
      <c r="R261" s="938"/>
      <c r="S261" s="938"/>
      <c r="T261" s="932"/>
      <c r="U261" s="932"/>
    </row>
    <row r="262" spans="1:21" ht="18.75" hidden="1" x14ac:dyDescent="0.25">
      <c r="A262" s="1079"/>
      <c r="B262" s="1078"/>
      <c r="C262" s="1078"/>
      <c r="D262" s="1078"/>
      <c r="E262" s="946" t="s">
        <v>109</v>
      </c>
      <c r="F262" s="1077"/>
      <c r="G262" s="1076"/>
      <c r="H262" s="756" t="s">
        <v>35</v>
      </c>
      <c r="I262" s="939"/>
      <c r="J262" s="832">
        <v>0</v>
      </c>
      <c r="K262" s="75">
        <f>IF(I262&gt;0,J262*100/I262,0)</f>
        <v>0</v>
      </c>
      <c r="L262" s="938"/>
      <c r="M262" s="938"/>
      <c r="N262" s="938"/>
      <c r="O262" s="938"/>
      <c r="P262" s="938"/>
      <c r="Q262" s="1182"/>
      <c r="R262" s="938"/>
      <c r="S262" s="938"/>
      <c r="T262" s="938"/>
      <c r="U262" s="938"/>
    </row>
    <row r="263" spans="1:21" ht="18.75" hidden="1" x14ac:dyDescent="0.25">
      <c r="A263" s="1079"/>
      <c r="B263" s="1078"/>
      <c r="C263" s="1078"/>
      <c r="D263" s="1078"/>
      <c r="E263" s="946" t="s">
        <v>110</v>
      </c>
      <c r="F263" s="1077"/>
      <c r="G263" s="1076"/>
      <c r="H263" s="756" t="s">
        <v>61</v>
      </c>
      <c r="I263" s="939"/>
      <c r="J263" s="832">
        <v>0</v>
      </c>
      <c r="K263" s="75">
        <f>IF(I263&gt;0,J263*100/I263,0)</f>
        <v>0</v>
      </c>
      <c r="L263" s="938"/>
      <c r="M263" s="938"/>
      <c r="N263" s="938"/>
      <c r="O263" s="938"/>
      <c r="P263" s="938"/>
      <c r="Q263" s="1182"/>
      <c r="R263" s="938"/>
      <c r="S263" s="938"/>
      <c r="T263" s="938"/>
      <c r="U263" s="938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352"/>
      <c r="M264" s="352"/>
      <c r="N264" s="352"/>
      <c r="O264" s="352"/>
      <c r="P264" s="352"/>
      <c r="Q264" s="944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300" t="s">
        <v>35</v>
      </c>
      <c r="I265" s="943">
        <f ca="1">I276</f>
        <v>22</v>
      </c>
      <c r="J265" s="943">
        <f>J276</f>
        <v>0</v>
      </c>
      <c r="K265" s="360">
        <f ca="1">IF(I265&gt;0,J265*100/I265,0)</f>
        <v>0</v>
      </c>
      <c r="L265" s="361"/>
      <c r="M265" s="361"/>
      <c r="N265" s="361"/>
      <c r="O265" s="361"/>
      <c r="P265" s="361"/>
      <c r="Q265" s="942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t="shared" ref="O266:O274" ca="1" si="63">IF(L266&gt;0,N266*100/L266,0)</f>
        <v>0</v>
      </c>
      <c r="P266" s="211">
        <f t="shared" ref="P266:P274" ca="1" si="64">IF(M266&gt;0,N266*100/M266,0)</f>
        <v>0</v>
      </c>
      <c r="Q266" s="940">
        <f ca="1">Q267+Q268</f>
        <v>50660</v>
      </c>
      <c r="R266" s="211">
        <f ca="1">R267+R268</f>
        <v>50660</v>
      </c>
      <c r="S266" s="211">
        <f ca="1">S267+S268</f>
        <v>0</v>
      </c>
      <c r="T266" s="211">
        <f t="shared" ref="T266:T274" ca="1" si="65">IF(Q266&gt;0,S266*100/Q266,0)</f>
        <v>0</v>
      </c>
      <c r="U266" s="211">
        <f t="shared" ref="U266:U274" ca="1" si="66">IF(R266&gt;0,S266*100/R266,0)</f>
        <v>0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5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4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t="shared" ca="1" si="67"/>
        <v>5000</v>
      </c>
      <c r="M268" s="86">
        <f t="shared" ca="1" si="67"/>
        <v>5000</v>
      </c>
      <c r="N268" s="86">
        <f t="shared" ca="1" si="67"/>
        <v>0</v>
      </c>
      <c r="O268" s="86">
        <f t="shared" ca="1" si="63"/>
        <v>0</v>
      </c>
      <c r="P268" s="86">
        <f t="shared" ca="1" si="64"/>
        <v>0</v>
      </c>
      <c r="Q268" s="685">
        <f t="shared" ca="1" si="68"/>
        <v>50660</v>
      </c>
      <c r="R268" s="86">
        <f t="shared" ca="1" si="68"/>
        <v>50660</v>
      </c>
      <c r="S268" s="86">
        <f t="shared" ca="1" si="68"/>
        <v>0</v>
      </c>
      <c r="T268" s="86">
        <f t="shared" ca="1" si="65"/>
        <v>0</v>
      </c>
      <c r="U268" s="86">
        <f t="shared" ca="1" si="66"/>
        <v>0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ca="1">L270+L271</f>
        <v>5000</v>
      </c>
      <c r="M269" s="86">
        <f ca="1">M270+M271</f>
        <v>5000</v>
      </c>
      <c r="N269" s="86">
        <f ca="1">N270+N271</f>
        <v>0</v>
      </c>
      <c r="O269" s="86">
        <f t="shared" ca="1" si="63"/>
        <v>0</v>
      </c>
      <c r="P269" s="86">
        <f t="shared" ca="1" si="64"/>
        <v>0</v>
      </c>
      <c r="Q269" s="685">
        <f ca="1">Q270+Q271</f>
        <v>50660</v>
      </c>
      <c r="R269" s="86">
        <f ca="1">R270+R271</f>
        <v>50660</v>
      </c>
      <c r="S269" s="86">
        <f ca="1">S270+S271</f>
        <v>0</v>
      </c>
      <c r="T269" s="86">
        <f t="shared" ca="1" si="65"/>
        <v>0</v>
      </c>
      <c r="U269" s="86">
        <f t="shared" ca="1" si="66"/>
        <v>0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5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4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IFERROR(__xludf.DUMMYFUNCTION("IMPORTRANGE(""https://docs.google.com/spreadsheets/d/1-uDff_7J0KD5mKrp0Vvzr7lt3OU09vwQwhkpOPPYv2Y/edit?usp=sharing"",""งบพรบ!DE57"")"),5000)</f>
        <v>5000</v>
      </c>
      <c r="M271" s="86">
        <f ca="1">IFERROR(__xludf.DUMMYFUNCTION("IMPORTRANGE(""https://docs.google.com/spreadsheets/d/1-uDff_7J0KD5mKrp0Vvzr7lt3OU09vwQwhkpOPPYv2Y/edit?usp=sharing"",""งบพรบ!DJ57"")"),5000)</f>
        <v>5000</v>
      </c>
      <c r="N271" s="86">
        <f ca="1">IFERROR(__xludf.DUMMYFUNCTION("IMPORTRANGE(""https://docs.google.com/spreadsheets/d/1-uDff_7J0KD5mKrp0Vvzr7lt3OU09vwQwhkpOPPYv2Y/edit?usp=sharing"",""งบพรบ!DL57"")"),0)</f>
        <v>0</v>
      </c>
      <c r="O271" s="86">
        <f t="shared" ca="1" si="63"/>
        <v>0</v>
      </c>
      <c r="P271" s="86">
        <f t="shared" ca="1" si="64"/>
        <v>0</v>
      </c>
      <c r="Q271" s="685">
        <f ca="1">IFERROR(__xludf.DUMMYFUNCTION("IMPORTRANGE(""https://docs.google.com/spreadsheets/d/1ItG2mGa2ceCfYo0BwxsXqNm01IGEUdYcSSLTEv9YCik/edit?usp=sharing"",""เบิกจ่ายกองทุน!AP57"")"),50660)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IFERROR(__xludf.DUMMYFUNCTION("IMPORTRANGE(""https://docs.google.com/spreadsheets/d/1ItG2mGa2ceCfYo0BwxsXqNm01IGEUdYcSSLTEv9YCik/edit?usp=sharing"",""เบิกจ่ายกองทุน!AQ57"")"),50660)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IFERROR(__xludf.DUMMYFUNCTION("IMPORTRANGE(""https://docs.google.com/spreadsheets/d/1ItG2mGa2ceCfYo0BwxsXqNm01IGEUdYcSSLTEv9YCik/edit?usp=sharing"",""เบิกจ่ายกองทุน!AR57"")"),0)</f>
        <v>0</v>
      </c>
      <c r="T271" s="86">
        <f t="shared" ca="1" si="65"/>
        <v>0</v>
      </c>
      <c r="U271" s="86">
        <f t="shared" ca="1" si="66"/>
        <v>0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685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5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4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IFERROR(__xludf.DUMMYFUNCTION("IMPORTRANGE(""https://docs.google.com/spreadsheets/d/1-uDff_7J0KD5mKrp0Vvzr7lt3OU09vwQwhkpOPPYv2Y/edit?usp=sharing"",""งบพรบ!DH57"")"),0)</f>
        <v>0</v>
      </c>
      <c r="M274" s="86">
        <f ca="1">IFERROR(__xludf.DUMMYFUNCTION("IMPORTRANGE(""https://docs.google.com/spreadsheets/d/1-uDff_7J0KD5mKrp0Vvzr7lt3OU09vwQwhkpOPPYv2Y/edit?usp=sharing"",""งบพรบ!DK57"")"),0)</f>
        <v>0</v>
      </c>
      <c r="N274" s="86">
        <f ca="1">IFERROR(__xludf.DUMMYFUNCTION("IMPORTRANGE(""https://docs.google.com/spreadsheets/d/1-uDff_7J0KD5mKrp0Vvzr7lt3OU09vwQwhkpOPPYv2Y/edit?usp=sharing"",""งบพรบ!DM57"")"),0)</f>
        <v>0</v>
      </c>
      <c r="O274" s="86">
        <f t="shared" ca="1" si="63"/>
        <v>0</v>
      </c>
      <c r="P274" s="86">
        <f t="shared" ca="1" si="64"/>
        <v>0</v>
      </c>
      <c r="Q274" s="685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930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IFERROR(__xludf.DUMMYFUNCTION("IMPORTRANGE(""https://docs.google.com/spreadsheets/d/1eHaY18a8A9IcSdp1K8H6x8fbOy06t2VsZHhMHf-1x7Y/edit?usp=sharing"",""แผน!EC57"")"),22)</f>
        <v>22</v>
      </c>
      <c r="J276" s="1117">
        <v>0</v>
      </c>
      <c r="K276" s="83">
        <f ca="1">IF(I276&gt;0,J276*100/I276,0)</f>
        <v>0</v>
      </c>
      <c r="L276" s="82"/>
      <c r="M276" s="82"/>
      <c r="N276" s="82"/>
      <c r="O276" s="82"/>
      <c r="P276" s="82"/>
      <c r="Q276" s="519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1297" t="s">
        <v>35</v>
      </c>
      <c r="I277" s="760">
        <v>0</v>
      </c>
      <c r="J277" s="760">
        <v>0</v>
      </c>
      <c r="K277" s="927">
        <v>0</v>
      </c>
      <c r="L277" s="1111"/>
      <c r="M277" s="1111"/>
      <c r="N277" s="1111"/>
      <c r="O277" s="1111"/>
      <c r="P277" s="1111"/>
      <c r="Q277" s="1112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49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9"/>
      <c r="M279" s="459"/>
      <c r="N279" s="459"/>
      <c r="O279" s="459"/>
      <c r="P279" s="459"/>
      <c r="Q279" s="458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70"/>
      <c r="M280" s="470"/>
      <c r="N280" s="470"/>
      <c r="O280" s="470"/>
      <c r="P280" s="470"/>
      <c r="Q280" s="469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70"/>
      <c r="M281" s="470"/>
      <c r="N281" s="470"/>
      <c r="O281" s="470"/>
      <c r="P281" s="470"/>
      <c r="Q281" s="469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62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389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5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4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2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1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2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1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5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4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2">
        <f ca="1">IFERROR(__xludf.DUMMYFUNCTION("IMPORTRANGE(""https://docs.google.com/spreadsheets/d/1-uDff_7J0KD5mKrp0Vvzr7lt3OU09vwQwhkpOPPYv2Y/edit?usp=sharing"",""งบพรบ!DO57"")"),0)</f>
        <v>0</v>
      </c>
      <c r="M287" s="72">
        <f ca="1">IFERROR(__xludf.DUMMYFUNCTION("IMPORTRANGE(""https://docs.google.com/spreadsheets/d/1-uDff_7J0KD5mKrp0Vvzr7lt3OU09vwQwhkpOPPYv2Y/edit?usp=sharing"",""งบพรบ!DT57"")"),0)</f>
        <v>0</v>
      </c>
      <c r="N287" s="72">
        <f ca="1">IFERROR(__xludf.DUMMYFUNCTION("IMPORTRANGE(""https://docs.google.com/spreadsheets/d/1-uDff_7J0KD5mKrp0Vvzr7lt3OU09vwQwhkpOPPYv2Y/edit?usp=sharing"",""งบพรบ!DV57"")"),0)</f>
        <v>0</v>
      </c>
      <c r="O287" s="72">
        <f t="shared" ca="1" si="69"/>
        <v>0</v>
      </c>
      <c r="P287" s="72">
        <f t="shared" ca="1" si="70"/>
        <v>0</v>
      </c>
      <c r="Q287" s="71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2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1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5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4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2">
        <f ca="1">IFERROR(__xludf.DUMMYFUNCTION("IMPORTRANGE(""https://docs.google.com/spreadsheets/d/1-uDff_7J0KD5mKrp0Vvzr7lt3OU09vwQwhkpOPPYv2Y/edit?usp=sharing"",""งบพรบ!DR57"")"),0)</f>
        <v>0</v>
      </c>
      <c r="M290" s="72">
        <f ca="1">IFERROR(__xludf.DUMMYFUNCTION("IMPORTRANGE(""https://docs.google.com/spreadsheets/d/1-uDff_7J0KD5mKrp0Vvzr7lt3OU09vwQwhkpOPPYv2Y/edit?usp=sharing"",""งบพรบ!DU57"")"),0)</f>
        <v>0</v>
      </c>
      <c r="N290" s="72">
        <f ca="1">IFERROR(__xludf.DUMMYFUNCTION("IMPORTRANGE(""https://docs.google.com/spreadsheets/d/1-uDff_7J0KD5mKrp0Vvzr7lt3OU09vwQwhkpOPPYv2Y/edit?usp=sharing"",""งบพรบ!DW57"")"),0)</f>
        <v>0</v>
      </c>
      <c r="O290" s="72">
        <f t="shared" ca="1" si="69"/>
        <v>0</v>
      </c>
      <c r="P290" s="72">
        <f t="shared" ca="1" si="70"/>
        <v>0</v>
      </c>
      <c r="Q290" s="71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7"/>
      <c r="M291" s="227"/>
      <c r="N291" s="227"/>
      <c r="O291" s="227"/>
      <c r="P291" s="227"/>
      <c r="Q291" s="226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IFERROR(__xludf.DUMMYFUNCTION("IMPORTRANGE(""https://docs.google.com/spreadsheets/d/1eHaY18a8A9IcSdp1K8H6x8fbOy06t2VsZHhMHf-1x7Y/edit?usp=sharing"",""แผน!EE57"")"),0)</f>
        <v>0</v>
      </c>
      <c r="J292" s="292">
        <v>0</v>
      </c>
      <c r="K292" s="746">
        <f ca="1">IF(I292&gt;0,J292*100/I292,0)</f>
        <v>0</v>
      </c>
      <c r="L292" s="227"/>
      <c r="M292" s="227"/>
      <c r="N292" s="227"/>
      <c r="O292" s="227"/>
      <c r="P292" s="227"/>
      <c r="Q292" s="226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IFERROR(__xludf.DUMMYFUNCTION("IMPORTRANGE(""https://docs.google.com/spreadsheets/d/1eHaY18a8A9IcSdp1K8H6x8fbOy06t2VsZHhMHf-1x7Y/edit?usp=sharing"",""แผน!ED57"")"),0)</f>
        <v>0</v>
      </c>
      <c r="J293" s="601">
        <f>J296</f>
        <v>0</v>
      </c>
      <c r="K293" s="908">
        <f ca="1">IF(I293&gt;0,J293*100/I293,0)</f>
        <v>0</v>
      </c>
      <c r="L293" s="227"/>
      <c r="M293" s="227"/>
      <c r="N293" s="227"/>
      <c r="O293" s="227"/>
      <c r="P293" s="227"/>
      <c r="Q293" s="226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7"/>
      <c r="M294" s="227"/>
      <c r="N294" s="227"/>
      <c r="O294" s="227"/>
      <c r="P294" s="227"/>
      <c r="Q294" s="226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IFERROR(__xludf.DUMMYFUNCTION("IMPORTRANGE(""https://docs.google.com/spreadsheets/d/1eHaY18a8A9IcSdp1K8H6x8fbOy06t2VsZHhMHf-1x7Y/edit?usp=sharing"",""แผน!ED57"")"),0)</f>
        <v>0</v>
      </c>
      <c r="J295" s="292">
        <v>0</v>
      </c>
      <c r="K295" s="746">
        <f ca="1">IF(I295&gt;0,J295*100/I295,0)</f>
        <v>0</v>
      </c>
      <c r="L295" s="227"/>
      <c r="M295" s="227"/>
      <c r="N295" s="227"/>
      <c r="O295" s="227"/>
      <c r="P295" s="227"/>
      <c r="Q295" s="226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IFERROR(__xludf.DUMMYFUNCTION("IMPORTRANGE(""https://docs.google.com/spreadsheets/d/1eHaY18a8A9IcSdp1K8H6x8fbOy06t2VsZHhMHf-1x7Y/edit?usp=sharing"",""แผน!ED57"")"),0)</f>
        <v>0</v>
      </c>
      <c r="J296" s="292">
        <v>0</v>
      </c>
      <c r="K296" s="746">
        <f ca="1">IF(I296&gt;0,J296*100/I296,0)</f>
        <v>0</v>
      </c>
      <c r="L296" s="227"/>
      <c r="M296" s="227"/>
      <c r="N296" s="227"/>
      <c r="O296" s="227"/>
      <c r="P296" s="227"/>
      <c r="Q296" s="226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8"/>
      <c r="M297" s="28"/>
      <c r="N297" s="28"/>
      <c r="O297" s="28"/>
      <c r="P297" s="28"/>
      <c r="Q297" s="27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8"/>
      <c r="M298" s="28"/>
      <c r="N298" s="28"/>
      <c r="O298" s="28"/>
      <c r="P298" s="28"/>
      <c r="Q298" s="27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7"/>
      <c r="M299" s="17"/>
      <c r="N299" s="17"/>
      <c r="O299" s="17"/>
      <c r="P299" s="17"/>
      <c r="Q299" s="16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0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500"/>
      <c r="M301" s="500"/>
      <c r="N301" s="500"/>
      <c r="O301" s="500"/>
      <c r="P301" s="500"/>
      <c r="Q301" s="499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20</v>
      </c>
      <c r="J302" s="595">
        <f>J314</f>
        <v>20</v>
      </c>
      <c r="K302" s="589">
        <f ca="1">IF(I302&gt;0,J302*100/I302,0)</f>
        <v>100</v>
      </c>
      <c r="L302" s="510"/>
      <c r="M302" s="510"/>
      <c r="N302" s="510"/>
      <c r="O302" s="510"/>
      <c r="P302" s="510"/>
      <c r="Q302" s="509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62">
        <f ca="1">L304+L305</f>
        <v>184200</v>
      </c>
      <c r="M303" s="262">
        <f ca="1">M304+M305</f>
        <v>184200</v>
      </c>
      <c r="N303" s="262">
        <f ca="1">N304+N305</f>
        <v>131731</v>
      </c>
      <c r="O303" s="262">
        <f t="shared" ref="O303:O311" ca="1" si="75">IF(L303&gt;0,N303*100/L303,0)</f>
        <v>71.515200868621065</v>
      </c>
      <c r="P303" s="262">
        <f t="shared" ref="P303:P311" ca="1" si="76">IF(M303&gt;0,N303*100/M303,0)</f>
        <v>71.515200868621065</v>
      </c>
      <c r="Q303" s="389">
        <f ca="1">Q304+Q305</f>
        <v>144609.24</v>
      </c>
      <c r="R303" s="262">
        <f ca="1">R304+R305</f>
        <v>144609</v>
      </c>
      <c r="S303" s="262">
        <f ca="1">S304+S305</f>
        <v>129940</v>
      </c>
      <c r="T303" s="262">
        <f t="shared" ref="T303:T311" ca="1" si="77">IF(Q303&gt;0,S303*100/Q303,0)</f>
        <v>89.85594558134737</v>
      </c>
      <c r="U303" s="262">
        <f t="shared" ref="U303:U311" ca="1" si="78">IF(R303&gt;0,S303*100/R303,0)</f>
        <v>89.856094710564349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5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4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2">
        <f t="shared" ca="1" si="79"/>
        <v>184200</v>
      </c>
      <c r="M305" s="72">
        <f t="shared" ca="1" si="79"/>
        <v>184200</v>
      </c>
      <c r="N305" s="72">
        <f t="shared" ca="1" si="79"/>
        <v>131731</v>
      </c>
      <c r="O305" s="72">
        <f t="shared" ca="1" si="75"/>
        <v>71.515200868621065</v>
      </c>
      <c r="P305" s="72">
        <f t="shared" ca="1" si="76"/>
        <v>71.515200868621065</v>
      </c>
      <c r="Q305" s="71">
        <f t="shared" ca="1" si="80"/>
        <v>144609.24</v>
      </c>
      <c r="R305" s="72">
        <f t="shared" ca="1" si="80"/>
        <v>144609</v>
      </c>
      <c r="S305" s="72">
        <f t="shared" ca="1" si="80"/>
        <v>129940</v>
      </c>
      <c r="T305" s="72">
        <f t="shared" ca="1" si="77"/>
        <v>89.85594558134737</v>
      </c>
      <c r="U305" s="72">
        <f t="shared" ca="1" si="78"/>
        <v>89.856094710564349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2">
        <f ca="1">L307+L308</f>
        <v>184200</v>
      </c>
      <c r="M306" s="72">
        <f ca="1">M307+M308</f>
        <v>184200</v>
      </c>
      <c r="N306" s="72">
        <f ca="1">N307+N308</f>
        <v>131731</v>
      </c>
      <c r="O306" s="72">
        <f t="shared" ca="1" si="75"/>
        <v>71.515200868621065</v>
      </c>
      <c r="P306" s="72">
        <f t="shared" ca="1" si="76"/>
        <v>71.515200868621065</v>
      </c>
      <c r="Q306" s="71">
        <f ca="1">Q307+Q308</f>
        <v>144609.24</v>
      </c>
      <c r="R306" s="72">
        <f ca="1">R307+R308</f>
        <v>144609</v>
      </c>
      <c r="S306" s="72">
        <f ca="1">S307+S308</f>
        <v>129940</v>
      </c>
      <c r="T306" s="72">
        <f t="shared" ca="1" si="77"/>
        <v>89.85594558134737</v>
      </c>
      <c r="U306" s="72">
        <f t="shared" ca="1" si="78"/>
        <v>89.856094710564349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5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4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2">
        <f ca="1">IFERROR(__xludf.DUMMYFUNCTION("IMPORTRANGE(""https://docs.google.com/spreadsheets/d/1-uDff_7J0KD5mKrp0Vvzr7lt3OU09vwQwhkpOPPYv2Y/edit?usp=sharing"",""งบพรบ!DY57"")"),184200)</f>
        <v>184200</v>
      </c>
      <c r="M308" s="72">
        <f ca="1">IFERROR(__xludf.DUMMYFUNCTION("IMPORTRANGE(""https://docs.google.com/spreadsheets/d/1-uDff_7J0KD5mKrp0Vvzr7lt3OU09vwQwhkpOPPYv2Y/edit?usp=sharing"",""งบพรบ!ED57"")"),184200)</f>
        <v>184200</v>
      </c>
      <c r="N308" s="72">
        <f ca="1">IFERROR(__xludf.DUMMYFUNCTION("IMPORTRANGE(""https://docs.google.com/spreadsheets/d/1-uDff_7J0KD5mKrp0Vvzr7lt3OU09vwQwhkpOPPYv2Y/edit?usp=sharing"",""งบพรบ!EF57"")"),131731)</f>
        <v>131731</v>
      </c>
      <c r="O308" s="72">
        <f t="shared" ca="1" si="75"/>
        <v>71.515200868621065</v>
      </c>
      <c r="P308" s="72">
        <f t="shared" ca="1" si="76"/>
        <v>71.515200868621065</v>
      </c>
      <c r="Q308" s="71">
        <f ca="1">IFERROR(__xludf.DUMMYFUNCTION("IMPORTRANGE(""https://docs.google.com/spreadsheets/d/1ItG2mGa2ceCfYo0BwxsXqNm01IGEUdYcSSLTEv9YCik/edit?usp=sharing"",""เบิกจ่ายกองทุน!BB57"")"),144609.24)</f>
        <v>144609.24</v>
      </c>
      <c r="R308" s="72">
        <f ca="1">IFERROR(__xludf.DUMMYFUNCTION("IMPORTRANGE(""https://docs.google.com/spreadsheets/d/1ItG2mGa2ceCfYo0BwxsXqNm01IGEUdYcSSLTEv9YCik/edit?usp=sharing"",""เบิกจ่ายกองทุน!BC57"")"),144609)</f>
        <v>144609</v>
      </c>
      <c r="S308" s="72">
        <f ca="1">IFERROR(__xludf.DUMMYFUNCTION("IMPORTRANGE(""https://docs.google.com/spreadsheets/d/1ItG2mGa2ceCfYo0BwxsXqNm01IGEUdYcSSLTEv9YCik/edit?usp=sharing"",""เบิกจ่ายกองทุน!BD57"")"),129940)</f>
        <v>129940</v>
      </c>
      <c r="T308" s="72">
        <f t="shared" ca="1" si="77"/>
        <v>89.85594558134737</v>
      </c>
      <c r="U308" s="72">
        <f t="shared" ca="1" si="78"/>
        <v>89.856094710564349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2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1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5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4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2">
        <f ca="1">IFERROR(__xludf.DUMMYFUNCTION("IMPORTRANGE(""https://docs.google.com/spreadsheets/d/1-uDff_7J0KD5mKrp0Vvzr7lt3OU09vwQwhkpOPPYv2Y/edit?usp=sharing"",""งบพรบ!EB57"")"),0)</f>
        <v>0</v>
      </c>
      <c r="M311" s="72">
        <f ca="1">IFERROR(__xludf.DUMMYFUNCTION("IMPORTRANGE(""https://docs.google.com/spreadsheets/d/1-uDff_7J0KD5mKrp0Vvzr7lt3OU09vwQwhkpOPPYv2Y/edit?usp=sharing"",""งบพรบ!EE57"")"),0)</f>
        <v>0</v>
      </c>
      <c r="N311" s="72">
        <f ca="1">IFERROR(__xludf.DUMMYFUNCTION("IMPORTRANGE(""https://docs.google.com/spreadsheets/d/1-uDff_7J0KD5mKrp0Vvzr7lt3OU09vwQwhkpOPPYv2Y/edit?usp=sharing"",""งบพรบ!EG57"")"),0)</f>
        <v>0</v>
      </c>
      <c r="O311" s="72">
        <f t="shared" ca="1" si="75"/>
        <v>0</v>
      </c>
      <c r="P311" s="72">
        <f t="shared" ca="1" si="76"/>
        <v>0</v>
      </c>
      <c r="Q311" s="71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5"/>
      <c r="M312" s="85"/>
      <c r="N312" s="85"/>
      <c r="O312" s="85"/>
      <c r="P312" s="85"/>
      <c r="Q312" s="84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30"/>
      <c r="E313" s="283"/>
      <c r="F313" s="283"/>
      <c r="G313" s="284"/>
      <c r="H313" s="284"/>
      <c r="I313" s="285"/>
      <c r="J313" s="896"/>
      <c r="K313" s="28"/>
      <c r="L313" s="28"/>
      <c r="M313" s="28"/>
      <c r="N313" s="28"/>
      <c r="O313" s="28"/>
      <c r="P313" s="28"/>
      <c r="Q313" s="27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IFERROR(__xludf.DUMMYFUNCTION("IMPORTRANGE(""https://docs.google.com/spreadsheets/d/1eHaY18a8A9IcSdp1K8H6x8fbOy06t2VsZHhMHf-1x7Y/edit?usp=sharing"",""แผน!EF57"")"),20)</f>
        <v>20</v>
      </c>
      <c r="J314" s="292">
        <v>20</v>
      </c>
      <c r="K314" s="72">
        <f ca="1">IF(I314&gt;0,J314*100/I314,0)</f>
        <v>100</v>
      </c>
      <c r="L314" s="85"/>
      <c r="M314" s="85"/>
      <c r="N314" s="85"/>
      <c r="O314" s="85"/>
      <c r="P314" s="85"/>
      <c r="Q314" s="84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1329"/>
      <c r="I315" s="896"/>
      <c r="J315" s="896"/>
      <c r="K315" s="895"/>
      <c r="L315" s="28"/>
      <c r="M315" s="28"/>
      <c r="N315" s="28"/>
      <c r="O315" s="28"/>
      <c r="P315" s="28"/>
      <c r="Q315" s="27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1329"/>
      <c r="I316" s="896"/>
      <c r="J316" s="896"/>
      <c r="K316" s="895"/>
      <c r="L316" s="28"/>
      <c r="M316" s="28"/>
      <c r="N316" s="28"/>
      <c r="O316" s="28"/>
      <c r="P316" s="28"/>
      <c r="Q316" s="27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1328"/>
      <c r="I317" s="892"/>
      <c r="J317" s="892"/>
      <c r="K317" s="891"/>
      <c r="L317" s="28"/>
      <c r="M317" s="28"/>
      <c r="N317" s="28"/>
      <c r="O317" s="28"/>
      <c r="P317" s="28"/>
      <c r="Q317" s="27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500"/>
      <c r="M318" s="500"/>
      <c r="N318" s="500"/>
      <c r="O318" s="500"/>
      <c r="P318" s="500"/>
      <c r="Q318" s="499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10"/>
      <c r="M319" s="510"/>
      <c r="N319" s="510"/>
      <c r="O319" s="510"/>
      <c r="P319" s="510"/>
      <c r="Q319" s="509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62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389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5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4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2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1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2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1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5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4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2">
        <f ca="1">IFERROR(__xludf.DUMMYFUNCTION("IMPORTRANGE(""https://docs.google.com/spreadsheets/d/1-uDff_7J0KD5mKrp0Vvzr7lt3OU09vwQwhkpOPPYv2Y/edit?usp=sharing"",""งบพรบ!EI57"")"),0)</f>
        <v>0</v>
      </c>
      <c r="M325" s="72">
        <f ca="1">IFERROR(__xludf.DUMMYFUNCTION("IMPORTRANGE(""https://docs.google.com/spreadsheets/d/1-uDff_7J0KD5mKrp0Vvzr7lt3OU09vwQwhkpOPPYv2Y/edit?usp=sharing"",""งบพรบ!EN57"")"),0)</f>
        <v>0</v>
      </c>
      <c r="N325" s="72">
        <f ca="1">IFERROR(__xludf.DUMMYFUNCTION("IMPORTRANGE(""https://docs.google.com/spreadsheets/d/1-uDff_7J0KD5mKrp0Vvzr7lt3OU09vwQwhkpOPPYv2Y/edit?usp=sharing"",""งบพรบ!EP57"")"),0)</f>
        <v>0</v>
      </c>
      <c r="O325" s="72">
        <f t="shared" ca="1" si="81"/>
        <v>0</v>
      </c>
      <c r="P325" s="72">
        <f t="shared" ca="1" si="82"/>
        <v>0</v>
      </c>
      <c r="Q325" s="71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2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1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5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4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2">
        <f ca="1">IFERROR(__xludf.DUMMYFUNCTION("IMPORTRANGE(""https://docs.google.com/spreadsheets/d/1-uDff_7J0KD5mKrp0Vvzr7lt3OU09vwQwhkpOPPYv2Y/edit?usp=sharing"",""งบพรบ!EL57"")"),0)</f>
        <v>0</v>
      </c>
      <c r="M328" s="72">
        <f ca="1">IFERROR(__xludf.DUMMYFUNCTION("IMPORTRANGE(""https://docs.google.com/spreadsheets/d/1-uDff_7J0KD5mKrp0Vvzr7lt3OU09vwQwhkpOPPYv2Y/edit?usp=sharing"",""งบพรบ!EO57"")"),0)</f>
        <v>0</v>
      </c>
      <c r="N328" s="72">
        <f ca="1">IFERROR(__xludf.DUMMYFUNCTION("IMPORTRANGE(""https://docs.google.com/spreadsheets/d/1-uDff_7J0KD5mKrp0Vvzr7lt3OU09vwQwhkpOPPYv2Y/edit?usp=sharing"",""งบพรบ!EQ57"")"),0)</f>
        <v>0</v>
      </c>
      <c r="O328" s="72">
        <f t="shared" ca="1" si="81"/>
        <v>0</v>
      </c>
      <c r="P328" s="72">
        <f t="shared" ca="1" si="82"/>
        <v>0</v>
      </c>
      <c r="Q328" s="71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5"/>
      <c r="M329" s="85"/>
      <c r="N329" s="85"/>
      <c r="O329" s="227"/>
      <c r="P329" s="227"/>
      <c r="Q329" s="84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IFERROR(__xludf.DUMMYFUNCTION("IMPORTRANGE(""https://docs.google.com/spreadsheets/d/1eHaY18a8A9IcSdp1K8H6x8fbOy06t2VsZHhMHf-1x7Y/edit?usp=sharing"",""แผน!EJ57"")"),0)</f>
        <v>0</v>
      </c>
      <c r="J330" s="292">
        <v>0</v>
      </c>
      <c r="K330" s="72">
        <f ca="1">IF(I330&gt;0,J330*100/I330,0)</f>
        <v>0</v>
      </c>
      <c r="L330" s="85"/>
      <c r="M330" s="85"/>
      <c r="N330" s="85"/>
      <c r="O330" s="227"/>
      <c r="P330" s="227"/>
      <c r="Q330" s="84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500"/>
      <c r="M331" s="500"/>
      <c r="N331" s="500"/>
      <c r="O331" s="500"/>
      <c r="P331" s="500"/>
      <c r="Q331" s="499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540</v>
      </c>
      <c r="J332" s="515">
        <f ca="1">J344+J347+J348+J349+J353+J354</f>
        <v>1679</v>
      </c>
      <c r="K332" s="516">
        <f ca="1">IF(I332&gt;0,J332*100/I332,0)</f>
        <v>310.92592592592592</v>
      </c>
      <c r="L332" s="510"/>
      <c r="M332" s="510"/>
      <c r="N332" s="510"/>
      <c r="O332" s="510"/>
      <c r="P332" s="510"/>
      <c r="Q332" s="509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62">
        <f ca="1">L334+L335</f>
        <v>178000</v>
      </c>
      <c r="M333" s="262">
        <f ca="1">M334+M335</f>
        <v>178000</v>
      </c>
      <c r="N333" s="262">
        <f ca="1">N334+N335</f>
        <v>107068</v>
      </c>
      <c r="O333" s="262">
        <f t="shared" ref="O333:O341" ca="1" si="87">IF(L333&gt;0,N333*100/L333,0)</f>
        <v>60.150561797752808</v>
      </c>
      <c r="P333" s="262">
        <f t="shared" ref="P333:P341" ca="1" si="88">IF(M333&gt;0,N333*100/M333,0)</f>
        <v>60.150561797752808</v>
      </c>
      <c r="Q333" s="389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5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4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2">
        <f t="shared" ca="1" si="91"/>
        <v>178000</v>
      </c>
      <c r="M335" s="72">
        <f t="shared" ca="1" si="91"/>
        <v>178000</v>
      </c>
      <c r="N335" s="72">
        <f t="shared" ca="1" si="91"/>
        <v>107068</v>
      </c>
      <c r="O335" s="72">
        <f t="shared" ca="1" si="87"/>
        <v>60.150561797752808</v>
      </c>
      <c r="P335" s="72">
        <f t="shared" ca="1" si="88"/>
        <v>60.150561797752808</v>
      </c>
      <c r="Q335" s="71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2">
        <f ca="1">L337+L338</f>
        <v>178000</v>
      </c>
      <c r="M336" s="72">
        <f ca="1">M337+M338</f>
        <v>178000</v>
      </c>
      <c r="N336" s="72">
        <f ca="1">N337+N338</f>
        <v>107068</v>
      </c>
      <c r="O336" s="72">
        <f t="shared" ca="1" si="87"/>
        <v>60.150561797752808</v>
      </c>
      <c r="P336" s="72">
        <f t="shared" ca="1" si="88"/>
        <v>60.150561797752808</v>
      </c>
      <c r="Q336" s="71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5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4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2">
        <f ca="1">IFERROR(__xludf.DUMMYFUNCTION("IMPORTRANGE(""https://docs.google.com/spreadsheets/d/1-uDff_7J0KD5mKrp0Vvzr7lt3OU09vwQwhkpOPPYv2Y/edit?usp=sharing"",""งบพรบ!ES57"")"),178000)</f>
        <v>178000</v>
      </c>
      <c r="M338" s="72">
        <f ca="1">IFERROR(__xludf.DUMMYFUNCTION("IMPORTRANGE(""https://docs.google.com/spreadsheets/d/1-uDff_7J0KD5mKrp0Vvzr7lt3OU09vwQwhkpOPPYv2Y/edit?usp=sharing"",""งบพรบ!EX57"")"),178000)</f>
        <v>178000</v>
      </c>
      <c r="N338" s="72">
        <f ca="1">IFERROR(__xludf.DUMMYFUNCTION("IMPORTRANGE(""https://docs.google.com/spreadsheets/d/1-uDff_7J0KD5mKrp0Vvzr7lt3OU09vwQwhkpOPPYv2Y/edit?usp=sharing"",""งบพรบ!EZ57"")"),107068)</f>
        <v>107068</v>
      </c>
      <c r="O338" s="72">
        <f t="shared" ca="1" si="87"/>
        <v>60.150561797752808</v>
      </c>
      <c r="P338" s="72">
        <f t="shared" ca="1" si="88"/>
        <v>60.150561797752808</v>
      </c>
      <c r="Q338" s="71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2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1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5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4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2">
        <f ca="1">IFERROR(__xludf.DUMMYFUNCTION("IMPORTRANGE(""https://docs.google.com/spreadsheets/d/1-uDff_7J0KD5mKrp0Vvzr7lt3OU09vwQwhkpOPPYv2Y/edit?usp=sharing"",""งบพรบ!EV57"")"),0)</f>
        <v>0</v>
      </c>
      <c r="M341" s="72">
        <f ca="1">IFERROR(__xludf.DUMMYFUNCTION("IMPORTRANGE(""https://docs.google.com/spreadsheets/d/1-uDff_7J0KD5mKrp0Vvzr7lt3OU09vwQwhkpOPPYv2Y/edit?usp=sharing"",""งบพรบ!EY57"")"),0)</f>
        <v>0</v>
      </c>
      <c r="N341" s="72">
        <f ca="1">IFERROR(__xludf.DUMMYFUNCTION("IMPORTRANGE(""https://docs.google.com/spreadsheets/d/1-uDff_7J0KD5mKrp0Vvzr7lt3OU09vwQwhkpOPPYv2Y/edit?usp=sharing"",""งบพรบ!FA57"")"),0)</f>
        <v>0</v>
      </c>
      <c r="O341" s="72">
        <f t="shared" ca="1" si="87"/>
        <v>0</v>
      </c>
      <c r="P341" s="72">
        <f t="shared" ca="1" si="88"/>
        <v>0</v>
      </c>
      <c r="Q341" s="71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5"/>
      <c r="M342" s="85"/>
      <c r="N342" s="85"/>
      <c r="O342" s="227"/>
      <c r="P342" s="227"/>
      <c r="Q342" s="84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570</v>
      </c>
      <c r="K343" s="527">
        <v>0</v>
      </c>
      <c r="L343" s="1337"/>
      <c r="M343" s="1337"/>
      <c r="N343" s="1337"/>
      <c r="O343" s="1337"/>
      <c r="P343" s="1337"/>
      <c r="Q343" s="377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IFERROR(__xludf.DUMMYFUNCTION("IMPORTRANGE(""https://docs.google.com/spreadsheets/d/1eHaY18a8A9IcSdp1K8H6x8fbOy06t2VsZHhMHf-1x7Y/edit?usp=sharing"",""แผน!EK57"")"),540)</f>
        <v>540</v>
      </c>
      <c r="J344" s="291">
        <f ca="1">IFERROR(__xludf.DUMMYFUNCTION("IMPORTRANGE(""https://docs.google.com/spreadsheets/d/1awYsYK3VOup2i3Pq_Yjnu8DRu_mYwSBnCR2QPthd0rU/edit?usp=sharing"",""ศูนย์ยกเว้นโฉนด!D57"")"),567)</f>
        <v>567</v>
      </c>
      <c r="K344" s="72">
        <f ca="1">IF(I344&gt;0,J344*100/I344,0)</f>
        <v>105</v>
      </c>
      <c r="L344" s="85"/>
      <c r="M344" s="85"/>
      <c r="N344" s="85"/>
      <c r="O344" s="85"/>
      <c r="P344" s="85"/>
      <c r="Q344" s="84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5"/>
      <c r="M345" s="85"/>
      <c r="N345" s="85"/>
      <c r="O345" s="85"/>
      <c r="P345" s="85"/>
      <c r="Q345" s="84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IFERROR(__xludf.DUMMYFUNCTION("IMPORTRANGE(""https://docs.google.com/spreadsheets/d/1eHaY18a8A9IcSdp1K8H6x8fbOy06t2VsZHhMHf-1x7Y/edit?usp=sharing"",""แผน!EL57"")"),3)</f>
        <v>3</v>
      </c>
      <c r="J346" s="291">
        <f ca="1">IFERROR(__xludf.DUMMYFUNCTION("IMPORTRANGE(""https://docs.google.com/spreadsheets/d/1awYsYK3VOup2i3Pq_Yjnu8DRu_mYwSBnCR2QPthd0rU/edit?usp=sharing"",""ศูนย์รวม!E57"")"),5)</f>
        <v>5</v>
      </c>
      <c r="K346" s="72">
        <f ca="1">IF(I346&gt;0,J346*100/I346,0)</f>
        <v>166.66666666666666</v>
      </c>
      <c r="L346" s="85"/>
      <c r="M346" s="85"/>
      <c r="N346" s="85"/>
      <c r="O346" s="85"/>
      <c r="P346" s="85"/>
      <c r="Q346" s="84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IFERROR(__xludf.DUMMYFUNCTION("IMPORTRANGE(""https://docs.google.com/spreadsheets/d/1awYsYK3VOup2i3Pq_Yjnu8DRu_mYwSBnCR2QPthd0rU/edit?usp=sharing"",""ศูนย์ยกเว้นโฉนด!F57"")"),0)</f>
        <v>0</v>
      </c>
      <c r="K347" s="85"/>
      <c r="L347" s="85"/>
      <c r="M347" s="85"/>
      <c r="N347" s="85"/>
      <c r="O347" s="85"/>
      <c r="P347" s="85"/>
      <c r="Q347" s="84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IFERROR(__xludf.DUMMYFUNCTION("IMPORTRANGE(""https://docs.google.com/spreadsheets/d/1awYsYK3VOup2i3Pq_Yjnu8DRu_mYwSBnCR2QPthd0rU/edit?usp=sharing"",""ศูนย์ยกเว้นโฉนด!G57"")"),3)</f>
        <v>3</v>
      </c>
      <c r="K348" s="85"/>
      <c r="L348" s="85"/>
      <c r="M348" s="85"/>
      <c r="N348" s="85"/>
      <c r="O348" s="85"/>
      <c r="P348" s="85"/>
      <c r="Q348" s="84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IFERROR(__xludf.DUMMYFUNCTION("IMPORTRANGE(""https://docs.google.com/spreadsheets/d/1awYsYK3VOup2i3Pq_Yjnu8DRu_mYwSBnCR2QPthd0rU/edit?usp=sharing"",""ศูนย์ยกเว้นโฉนด!H57"")"),0)</f>
        <v>0</v>
      </c>
      <c r="K349" s="85"/>
      <c r="L349" s="85"/>
      <c r="M349" s="85"/>
      <c r="N349" s="85"/>
      <c r="O349" s="85"/>
      <c r="P349" s="85"/>
      <c r="Q349" s="84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5"/>
      <c r="M350" s="85"/>
      <c r="N350" s="85"/>
      <c r="O350" s="85"/>
      <c r="P350" s="85"/>
      <c r="Q350" s="84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>
        <f ca="1">J352+J353+J354</f>
        <v>1110</v>
      </c>
      <c r="K351" s="539">
        <v>0</v>
      </c>
      <c r="L351" s="378"/>
      <c r="M351" s="378"/>
      <c r="N351" s="378"/>
      <c r="O351" s="378"/>
      <c r="P351" s="378"/>
      <c r="Q351" s="377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IFERROR(__xludf.DUMMYFUNCTION("IMPORTRANGE(""https://docs.google.com/spreadsheets/d/1awYsYK3VOup2i3Pq_Yjnu8DRu_mYwSBnCR2QPthd0rU/edit?usp=sharing"",""โฉนดM3!G57"")"),1)</f>
        <v>1</v>
      </c>
      <c r="K352" s="85"/>
      <c r="L352" s="85"/>
      <c r="M352" s="85"/>
      <c r="N352" s="85"/>
      <c r="O352" s="85"/>
      <c r="P352" s="85"/>
      <c r="Q352" s="84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IFERROR(__xludf.DUMMYFUNCTION("IMPORTRANGE(""https://docs.google.com/spreadsheets/d/1awYsYK3VOup2i3Pq_Yjnu8DRu_mYwSBnCR2QPthd0rU/edit?usp=sharing"",""โฉนดM3!H57"")"),1021)</f>
        <v>1021</v>
      </c>
      <c r="K353" s="85"/>
      <c r="L353" s="85"/>
      <c r="M353" s="85"/>
      <c r="N353" s="85"/>
      <c r="O353" s="85"/>
      <c r="P353" s="85"/>
      <c r="Q353" s="84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IFERROR(__xludf.DUMMYFUNCTION("IMPORTRANGE(""https://docs.google.com/spreadsheets/d/1awYsYK3VOup2i3Pq_Yjnu8DRu_mYwSBnCR2QPthd0rU/edit?usp=sharing"",""โฉนดM3!I57"")"),88)</f>
        <v>88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10"/>
      <c r="M355" s="510"/>
      <c r="N355" s="510"/>
      <c r="O355" s="510"/>
      <c r="P355" s="510"/>
      <c r="Q355" s="509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62">
        <f ca="1">L357+L358</f>
        <v>562410</v>
      </c>
      <c r="M356" s="262">
        <f ca="1">M357+M358</f>
        <v>619910</v>
      </c>
      <c r="N356" s="262">
        <f ca="1">N357+N358</f>
        <v>436461</v>
      </c>
      <c r="O356" s="262">
        <f t="shared" ref="O356:O364" ca="1" si="93">IF(L356&gt;0,N356*100/L356,0)</f>
        <v>77.605483544033717</v>
      </c>
      <c r="P356" s="262">
        <f t="shared" ref="P356:P364" ca="1" si="94">IF(M356&gt;0,N356*100/M356,0)</f>
        <v>70.407155877466082</v>
      </c>
      <c r="Q356" s="389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5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4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2">
        <f t="shared" ca="1" si="97"/>
        <v>562410</v>
      </c>
      <c r="M358" s="72">
        <f t="shared" ca="1" si="97"/>
        <v>619910</v>
      </c>
      <c r="N358" s="72">
        <f t="shared" ca="1" si="97"/>
        <v>436461</v>
      </c>
      <c r="O358" s="72">
        <f t="shared" ca="1" si="93"/>
        <v>77.605483544033717</v>
      </c>
      <c r="P358" s="72">
        <f t="shared" ca="1" si="94"/>
        <v>70.407155877466082</v>
      </c>
      <c r="Q358" s="71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2">
        <f ca="1">L360+L361</f>
        <v>562410</v>
      </c>
      <c r="M359" s="72">
        <f ca="1">M360+M361</f>
        <v>619910</v>
      </c>
      <c r="N359" s="72">
        <f ca="1">N360+N361</f>
        <v>436461</v>
      </c>
      <c r="O359" s="72">
        <f t="shared" ca="1" si="93"/>
        <v>77.605483544033717</v>
      </c>
      <c r="P359" s="72">
        <f t="shared" ca="1" si="94"/>
        <v>70.407155877466082</v>
      </c>
      <c r="Q359" s="71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5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4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2">
        <f ca="1">IFERROR(__xludf.DUMMYFUNCTION("IMPORTRANGE(""https://docs.google.com/spreadsheets/d/1-uDff_7J0KD5mKrp0Vvzr7lt3OU09vwQwhkpOPPYv2Y/edit?usp=sharing"",""งบพรบ!FC57"")"),562410)</f>
        <v>562410</v>
      </c>
      <c r="M361" s="72">
        <f ca="1">IFERROR(__xludf.DUMMYFUNCTION("IMPORTRANGE(""https://docs.google.com/spreadsheets/d/1-uDff_7J0KD5mKrp0Vvzr7lt3OU09vwQwhkpOPPYv2Y/edit?usp=sharing"",""งบพรบ!FH57"")"),619910)</f>
        <v>619910</v>
      </c>
      <c r="N361" s="72">
        <f ca="1">IFERROR(__xludf.DUMMYFUNCTION("IMPORTRANGE(""https://docs.google.com/spreadsheets/d/1-uDff_7J0KD5mKrp0Vvzr7lt3OU09vwQwhkpOPPYv2Y/edit?usp=sharing"",""งบพรบ!FJ57"")"),436461)</f>
        <v>436461</v>
      </c>
      <c r="O361" s="72">
        <f t="shared" ca="1" si="93"/>
        <v>77.605483544033717</v>
      </c>
      <c r="P361" s="72">
        <f t="shared" ca="1" si="94"/>
        <v>70.407155877466082</v>
      </c>
      <c r="Q361" s="71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2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1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5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4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2">
        <f ca="1">IFERROR(__xludf.DUMMYFUNCTION("IMPORTRANGE(""https://docs.google.com/spreadsheets/d/1-uDff_7J0KD5mKrp0Vvzr7lt3OU09vwQwhkpOPPYv2Y/edit?usp=sharing"",""งบพรบ!FF57"")"),0)</f>
        <v>0</v>
      </c>
      <c r="M364" s="72">
        <f ca="1">IFERROR(__xludf.DUMMYFUNCTION("IMPORTRANGE(""https://docs.google.com/spreadsheets/d/1-uDff_7J0KD5mKrp0Vvzr7lt3OU09vwQwhkpOPPYv2Y/edit?usp=sharing"",""งบพรบ!FI57"")"),0)</f>
        <v>0</v>
      </c>
      <c r="N364" s="72">
        <f ca="1">IFERROR(__xludf.DUMMYFUNCTION("IMPORTRANGE(""https://docs.google.com/spreadsheets/d/1-uDff_7J0KD5mKrp0Vvzr7lt3OU09vwQwhkpOPPYv2Y/edit?usp=sharing"",""งบพรบ!FK57"")"),0)</f>
        <v>0</v>
      </c>
      <c r="O364" s="72">
        <f t="shared" ca="1" si="93"/>
        <v>0</v>
      </c>
      <c r="P364" s="72">
        <f t="shared" ca="1" si="94"/>
        <v>0</v>
      </c>
      <c r="Q364" s="71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53</v>
      </c>
      <c r="J365" s="538">
        <f ca="1">J371</f>
        <v>64</v>
      </c>
      <c r="K365" s="539">
        <f ca="1">IF(I365&gt;0,J365*100/I365,0)</f>
        <v>120.75471698113208</v>
      </c>
      <c r="L365" s="378"/>
      <c r="M365" s="378"/>
      <c r="N365" s="378"/>
      <c r="O365" s="378"/>
      <c r="P365" s="378"/>
      <c r="Q365" s="377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7"/>
      <c r="M366" s="227"/>
      <c r="N366" s="227"/>
      <c r="O366" s="227"/>
      <c r="P366" s="227"/>
      <c r="Q366" s="226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IFERROR(__xludf.DUMMYFUNCTION("IMPORTRANGE(""https://docs.google.com/spreadsheets/d/1tdoBKaGub7dwA3U6UFTqxio9LNnvDCQjHKmttSEBsFQ/edit?usp=sharing"",""จัดที่ดิน!AB57"")"),17)</f>
        <v>17</v>
      </c>
      <c r="K367" s="72">
        <f t="shared" ref="K367:K372" si="99">IF(I367&gt;0,J367*100/I367,0)</f>
        <v>0</v>
      </c>
      <c r="L367" s="227"/>
      <c r="M367" s="227"/>
      <c r="N367" s="227"/>
      <c r="O367" s="227"/>
      <c r="P367" s="227"/>
      <c r="Q367" s="226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IFERROR(__xludf.DUMMYFUNCTION("IMPORTRANGE(""https://docs.google.com/spreadsheets/d/1eHaY18a8A9IcSdp1K8H6x8fbOy06t2VsZHhMHf-1x7Y/edit?usp=sharing"",""แผน!EW57"")"),70)</f>
        <v>70</v>
      </c>
      <c r="J368" s="879">
        <f ca="1">IFERROR(__xludf.DUMMYFUNCTION("IMPORTRANGE(""https://docs.google.com/spreadsheets/d/1tdoBKaGub7dwA3U6UFTqxio9LNnvDCQjHKmttSEBsFQ/edit?usp=sharing"",""จัดที่ดิน!AC57"")"),185.79)</f>
        <v>185.79</v>
      </c>
      <c r="K368" s="72">
        <f t="shared" ca="1" si="99"/>
        <v>265.41428571428571</v>
      </c>
      <c r="L368" s="227"/>
      <c r="M368" s="227"/>
      <c r="N368" s="227"/>
      <c r="O368" s="227"/>
      <c r="P368" s="227"/>
      <c r="Q368" s="226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IFERROR(__xludf.DUMMYFUNCTION("IMPORTRANGE(""https://docs.google.com/spreadsheets/d/1eHaY18a8A9IcSdp1K8H6x8fbOy06t2VsZHhMHf-1x7Y/edit?usp=sharing"",""แผน!EX57"")"),53)</f>
        <v>53</v>
      </c>
      <c r="J369" s="291">
        <f ca="1">IFERROR(__xludf.DUMMYFUNCTION("IMPORTRANGE(""https://docs.google.com/spreadsheets/d/1tdoBKaGub7dwA3U6UFTqxio9LNnvDCQjHKmttSEBsFQ/edit?usp=sharing"",""จัดที่ดิน!AD57"")"),61)</f>
        <v>61</v>
      </c>
      <c r="K369" s="72">
        <f t="shared" ca="1" si="99"/>
        <v>115.09433962264151</v>
      </c>
      <c r="L369" s="227"/>
      <c r="M369" s="227"/>
      <c r="N369" s="227"/>
      <c r="O369" s="227"/>
      <c r="P369" s="227"/>
      <c r="Q369" s="226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IFERROR(__xludf.DUMMYFUNCTION("IMPORTRANGE(""https://docs.google.com/spreadsheets/d/1tdoBKaGub7dwA3U6UFTqxio9LNnvDCQjHKmttSEBsFQ/edit?usp=sharing"",""จัดที่ดิน!AE57"")"),890.27)</f>
        <v>890.27</v>
      </c>
      <c r="K370" s="72">
        <f t="shared" si="99"/>
        <v>0</v>
      </c>
      <c r="L370" s="227"/>
      <c r="M370" s="227"/>
      <c r="N370" s="227"/>
      <c r="O370" s="227"/>
      <c r="P370" s="227"/>
      <c r="Q370" s="226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IFERROR(__xludf.DUMMYFUNCTION("IMPORTRANGE(""https://docs.google.com/spreadsheets/d/1eHaY18a8A9IcSdp1K8H6x8fbOy06t2VsZHhMHf-1x7Y/edit?usp=sharing"",""แผน!EY57"")"),53)</f>
        <v>53</v>
      </c>
      <c r="J371" s="291">
        <f ca="1">IFERROR(__xludf.DUMMYFUNCTION("IMPORTRANGE(""https://docs.google.com/spreadsheets/d/1tdoBKaGub7dwA3U6UFTqxio9LNnvDCQjHKmttSEBsFQ/edit?usp=sharing"",""จัดที่ดิน!AF57"")"),64)</f>
        <v>64</v>
      </c>
      <c r="K371" s="72">
        <f t="shared" ca="1" si="99"/>
        <v>120.75471698113208</v>
      </c>
      <c r="L371" s="227"/>
      <c r="M371" s="227"/>
      <c r="N371" s="227"/>
      <c r="O371" s="227"/>
      <c r="P371" s="227"/>
      <c r="Q371" s="226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IFERROR(__xludf.DUMMYFUNCTION("IMPORTRANGE(""https://docs.google.com/spreadsheets/d/1tdoBKaGub7dwA3U6UFTqxio9LNnvDCQjHKmttSEBsFQ/edit?usp=sharing"",""จัดที่ดิน!AG57"")"),966.91)</f>
        <v>966.91</v>
      </c>
      <c r="K372" s="72">
        <f t="shared" si="99"/>
        <v>0</v>
      </c>
      <c r="L372" s="227"/>
      <c r="M372" s="227"/>
      <c r="N372" s="227"/>
      <c r="O372" s="227"/>
      <c r="P372" s="227"/>
      <c r="Q372" s="226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6"/>
      <c r="M373" s="96"/>
      <c r="N373" s="96"/>
      <c r="O373" s="96"/>
      <c r="P373" s="96"/>
      <c r="Q373" s="95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65"/>
      <c r="M374" s="565"/>
      <c r="N374" s="565"/>
      <c r="O374" s="565"/>
      <c r="P374" s="565"/>
      <c r="Q374" s="509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389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4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1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1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4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IFERROR(__xludf.DUMMYFUNCTION("IMPORTRANGE(""https://docs.google.com/spreadsheets/d/1-uDff_7J0KD5mKrp0Vvzr7lt3OU09vwQwhkpOPPYv2Y/edit?usp=sharing"",""งบพรบ!IE57"")"),0)</f>
        <v>0</v>
      </c>
      <c r="M380" s="72">
        <f ca="1">IFERROR(__xludf.DUMMYFUNCTION("IMPORTRANGE(""https://docs.google.com/spreadsheets/d/1-uDff_7J0KD5mKrp0Vvzr7lt3OU09vwQwhkpOPPYv2Y/edit?usp=sharing"",""งบพรบ!IJ57"")"),0)</f>
        <v>0</v>
      </c>
      <c r="N380" s="72">
        <f ca="1">IFERROR(__xludf.DUMMYFUNCTION("IMPORTRANGE(""https://docs.google.com/spreadsheets/d/1-uDff_7J0KD5mKrp0Vvzr7lt3OU09vwQwhkpOPPYv2Y/edit?usp=sharing"",""งบพรบ!IL57"")"),0)</f>
        <v>0</v>
      </c>
      <c r="O380" s="72">
        <f t="shared" ca="1" si="100"/>
        <v>0</v>
      </c>
      <c r="P380" s="72">
        <f t="shared" ca="1" si="101"/>
        <v>0</v>
      </c>
      <c r="Q380" s="71">
        <f ca="1">IFERROR(__xludf.DUMMYFUNCTION("IMPORTRANGE(""https://docs.google.com/spreadsheets/d/1ItG2mGa2ceCfYo0BwxsXqNm01IGEUdYcSSLTEv9YCik/edit?usp=sharing"",""เบิกจ่ายกองทุน!BW57"")"),0)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IFERROR(__xludf.DUMMYFUNCTION("IMPORTRANGE(""https://docs.google.com/spreadsheets/d/1ItG2mGa2ceCfYo0BwxsXqNm01IGEUdYcSSLTEv9YCik/edit?usp=sharing"",""เบิกจ่ายกองทุน!BX57"")"),0)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IFERROR(__xludf.DUMMYFUNCTION("IMPORTRANGE(""https://docs.google.com/spreadsheets/d/1ItG2mGa2ceCfYo0BwxsXqNm01IGEUdYcSSLTEv9YCik/edit?usp=sharing"",""เบิกจ่ายกองทุน!BY57"")"),0)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1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4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IFERROR(__xludf.DUMMYFUNCTION("IMPORTRANGE(""https://docs.google.com/spreadsheets/d/1-uDff_7J0KD5mKrp0Vvzr7lt3OU09vwQwhkpOPPYv2Y/edit?usp=sharing"",""งบพรบ!IH57"")"),0)</f>
        <v>0</v>
      </c>
      <c r="M383" s="72">
        <f ca="1">IFERROR(__xludf.DUMMYFUNCTION("IMPORTRANGE(""https://docs.google.com/spreadsheets/d/1-uDff_7J0KD5mKrp0Vvzr7lt3OU09vwQwhkpOPPYv2Y/edit?usp=sharing"",""งบพรบ!IK57"")"),0)</f>
        <v>0</v>
      </c>
      <c r="N383" s="72">
        <f ca="1">IFERROR(__xludf.DUMMYFUNCTION("IMPORTRANGE(""https://docs.google.com/spreadsheets/d/1-uDff_7J0KD5mKrp0Vvzr7lt3OU09vwQwhkpOPPYv2Y/edit?usp=sharing"",""งบพรบ!IM57"")"),0)</f>
        <v>0</v>
      </c>
      <c r="O383" s="72">
        <f t="shared" ca="1" si="100"/>
        <v>0</v>
      </c>
      <c r="P383" s="72">
        <f t="shared" ca="1" si="101"/>
        <v>0</v>
      </c>
      <c r="Q383" s="71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IFERROR(__xludf.DUMMYFUNCTION("IMPORTRANGE(""https://docs.google.com/spreadsheets/d/1eHaY18a8A9IcSdp1K8H6x8fbOy06t2VsZHhMHf-1x7Y/edit?usp=sharing"",""แผน!JQ57"")"),0)</f>
        <v>0</v>
      </c>
      <c r="J385" s="291">
        <v>0</v>
      </c>
      <c r="K385" s="72">
        <f ca="1">IF(I385&gt;0,J385*100/I385,0)</f>
        <v>0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IFERROR(__xludf.DUMMYFUNCTION("IMPORTRANGE(""https://docs.google.com/spreadsheets/d/1eHaY18a8A9IcSdp1K8H6x8fbOy06t2VsZHhMHf-1x7Y/edit?usp=sharing"",""แผน!JQ57"")"),0)</f>
        <v>0</v>
      </c>
      <c r="J386" s="291">
        <v>0</v>
      </c>
      <c r="K386" s="72">
        <f ca="1">IF(I386&gt;0,J386*100/I386,0)</f>
        <v>0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5"/>
      <c r="M387" s="85"/>
      <c r="N387" s="85"/>
      <c r="O387" s="85"/>
      <c r="P387" s="85"/>
      <c r="Q387" s="84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5"/>
      <c r="M388" s="85"/>
      <c r="N388" s="85"/>
      <c r="O388" s="85"/>
      <c r="P388" s="85"/>
      <c r="Q388" s="84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4"/>
      <c r="M389" s="574"/>
      <c r="N389" s="574"/>
      <c r="O389" s="574"/>
      <c r="P389" s="574"/>
      <c r="Q389" s="575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79"/>
      <c r="M390" s="579"/>
      <c r="N390" s="579"/>
      <c r="O390" s="579"/>
      <c r="P390" s="579"/>
      <c r="Q390" s="580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10"/>
      <c r="M391" s="510"/>
      <c r="N391" s="510"/>
      <c r="O391" s="510"/>
      <c r="P391" s="510"/>
      <c r="Q391" s="509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389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4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1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1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4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2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1">
        <f ca="1">IFERROR(__xludf.DUMMYFUNCTION("IMPORTRANGE(""https://docs.google.com/spreadsheets/d/1ItG2mGa2ceCfYo0BwxsXqNm01IGEUdYcSSLTEv9YCik/edit?usp=sharing"",""เบิกจ่ายกองทุน!CL57"")"),0)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IFERROR(__xludf.DUMMYFUNCTION("IMPORTRANGE(""https://docs.google.com/spreadsheets/d/1ItG2mGa2ceCfYo0BwxsXqNm01IGEUdYcSSLTEv9YCik/edit?usp=sharing"",""เบิกจ่ายกองทุน!CM57"")"),0)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IFERROR(__xludf.DUMMYFUNCTION("IMPORTRANGE(""https://docs.google.com/spreadsheets/d/1ItG2mGa2ceCfYo0BwxsXqNm01IGEUdYcSSLTEv9YCik/edit?usp=sharing"",""เบิกจ่ายกองทุน!CN57"")"),0)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1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4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1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4"/>
      <c r="M402" s="574"/>
      <c r="N402" s="574"/>
      <c r="O402" s="574"/>
      <c r="P402" s="574"/>
      <c r="Q402" s="575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4"/>
      <c r="M403" s="574"/>
      <c r="N403" s="574"/>
      <c r="O403" s="574"/>
      <c r="P403" s="574"/>
      <c r="Q403" s="575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4"/>
      <c r="M404" s="574"/>
      <c r="N404" s="574"/>
      <c r="O404" s="574"/>
      <c r="P404" s="574"/>
      <c r="Q404" s="575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4"/>
      <c r="M405" s="574"/>
      <c r="N405" s="574"/>
      <c r="O405" s="574"/>
      <c r="P405" s="574"/>
      <c r="Q405" s="575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4"/>
      <c r="M406" s="574"/>
      <c r="N406" s="574"/>
      <c r="O406" s="574"/>
      <c r="P406" s="574"/>
      <c r="Q406" s="575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4"/>
      <c r="M407" s="574"/>
      <c r="N407" s="574"/>
      <c r="O407" s="574"/>
      <c r="P407" s="574"/>
      <c r="Q407" s="575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4"/>
      <c r="M408" s="574"/>
      <c r="N408" s="574"/>
      <c r="O408" s="574"/>
      <c r="P408" s="574"/>
      <c r="Q408" s="575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4"/>
      <c r="M409" s="574"/>
      <c r="N409" s="574"/>
      <c r="O409" s="574"/>
      <c r="P409" s="574"/>
      <c r="Q409" s="575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4"/>
      <c r="M410" s="574"/>
      <c r="N410" s="574"/>
      <c r="O410" s="574"/>
      <c r="P410" s="574"/>
      <c r="Q410" s="575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79"/>
      <c r="M411" s="579"/>
      <c r="N411" s="579"/>
      <c r="O411" s="579"/>
      <c r="P411" s="579"/>
      <c r="Q411" s="580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10"/>
      <c r="M412" s="510"/>
      <c r="N412" s="510"/>
      <c r="O412" s="510"/>
      <c r="P412" s="510"/>
      <c r="Q412" s="509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262">
        <f ca="1">L414+L415</f>
        <v>128340</v>
      </c>
      <c r="M413" s="262">
        <f ca="1">M414+M415</f>
        <v>128340</v>
      </c>
      <c r="N413" s="262">
        <f ca="1">N414+N415</f>
        <v>16951</v>
      </c>
      <c r="O413" s="262">
        <f t="shared" ref="O413:O421" ca="1" si="112">IF(L413&gt;0,N413*100/L413,0)</f>
        <v>13.207885304659499</v>
      </c>
      <c r="P413" s="262">
        <f t="shared" ref="P413:P421" ca="1" si="113">IF(M413&gt;0,N413*100/M413,0)</f>
        <v>13.207885304659499</v>
      </c>
      <c r="Q413" s="389">
        <f ca="1">Q414+Q415</f>
        <v>16610</v>
      </c>
      <c r="R413" s="262">
        <f ca="1">R414+R415</f>
        <v>16610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5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4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2">
        <f t="shared" ca="1" si="116"/>
        <v>128340</v>
      </c>
      <c r="M415" s="72">
        <f t="shared" ca="1" si="116"/>
        <v>128340</v>
      </c>
      <c r="N415" s="72">
        <f t="shared" ca="1" si="116"/>
        <v>16951</v>
      </c>
      <c r="O415" s="72">
        <f t="shared" ca="1" si="112"/>
        <v>13.207885304659499</v>
      </c>
      <c r="P415" s="72">
        <f t="shared" ca="1" si="113"/>
        <v>13.207885304659499</v>
      </c>
      <c r="Q415" s="71">
        <f t="shared" ca="1" si="117"/>
        <v>16610</v>
      </c>
      <c r="R415" s="72">
        <f t="shared" ca="1" si="117"/>
        <v>16610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8.75" x14ac:dyDescent="0.25">
      <c r="A416" s="255"/>
      <c r="B416" s="267"/>
      <c r="C416" s="267"/>
      <c r="D416" s="852" t="s">
        <v>22</v>
      </c>
      <c r="E416" s="267"/>
      <c r="F416" s="267"/>
      <c r="G416" s="307"/>
      <c r="H416" s="302" t="s">
        <v>14</v>
      </c>
      <c r="I416" s="261"/>
      <c r="J416" s="261"/>
      <c r="K416" s="85"/>
      <c r="L416" s="72">
        <f ca="1">L417+L418</f>
        <v>128340</v>
      </c>
      <c r="M416" s="72">
        <f ca="1">M417+M418</f>
        <v>128340</v>
      </c>
      <c r="N416" s="72">
        <f ca="1">N417+N418</f>
        <v>16951</v>
      </c>
      <c r="O416" s="72">
        <f t="shared" ca="1" si="112"/>
        <v>13.207885304659499</v>
      </c>
      <c r="P416" s="72">
        <f t="shared" ca="1" si="113"/>
        <v>13.207885304659499</v>
      </c>
      <c r="Q416" s="71">
        <f ca="1">Q417+Q418</f>
        <v>16610</v>
      </c>
      <c r="R416" s="72">
        <f ca="1">R417+R418</f>
        <v>16610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5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4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IFERROR(__xludf.DUMMYFUNCTION("IMPORTRANGE(""https://docs.google.com/spreadsheets/d/1-uDff_7J0KD5mKrp0Vvzr7lt3OU09vwQwhkpOPPYv2Y/edit?usp=sharing"",""งบพรบ!IO57"")"),128340)</f>
        <v>128340</v>
      </c>
      <c r="M418" s="72">
        <f ca="1">IFERROR(__xludf.DUMMYFUNCTION("IMPORTRANGE(""https://docs.google.com/spreadsheets/d/1-uDff_7J0KD5mKrp0Vvzr7lt3OU09vwQwhkpOPPYv2Y/edit?usp=sharing"",""งบพรบ!IT57"")"),128340)</f>
        <v>128340</v>
      </c>
      <c r="N418" s="72">
        <f ca="1">IFERROR(__xludf.DUMMYFUNCTION("IMPORTRANGE(""https://docs.google.com/spreadsheets/d/1-uDff_7J0KD5mKrp0Vvzr7lt3OU09vwQwhkpOPPYv2Y/edit?usp=sharing"",""งบพรบ!IV57"")"),16951)</f>
        <v>16951</v>
      </c>
      <c r="O418" s="72">
        <f t="shared" ca="1" si="112"/>
        <v>13.207885304659499</v>
      </c>
      <c r="P418" s="72">
        <f t="shared" ca="1" si="113"/>
        <v>13.207885304659499</v>
      </c>
      <c r="Q418" s="71">
        <f ca="1">IFERROR(__xludf.DUMMYFUNCTION("IMPORTRANGE(""https://docs.google.com/spreadsheets/d/1ItG2mGa2ceCfYo0BwxsXqNm01IGEUdYcSSLTEv9YCik/edit?usp=sharing"",""เบิกจ่ายกองทุน!BZ57"")"),16610)</f>
        <v>16610</v>
      </c>
      <c r="R418" s="72">
        <f ca="1">IFERROR(__xludf.DUMMYFUNCTION("IMPORTRANGE(""https://docs.google.com/spreadsheets/d/1ItG2mGa2ceCfYo0BwxsXqNm01IGEUdYcSSLTEv9YCik/edit?usp=sharing"",""เบิกจ่ายกองทุน!CA57"")"),16610)</f>
        <v>16610</v>
      </c>
      <c r="S418" s="72">
        <f ca="1">IFERROR(__xludf.DUMMYFUNCTION("IMPORTRANGE(""https://docs.google.com/spreadsheets/d/1ItG2mGa2ceCfYo0BwxsXqNm01IGEUdYcSSLTEv9YCik/edit?usp=sharing"",""เบิกจ่ายกองทุน!CB57"")"),0)</f>
        <v>0</v>
      </c>
      <c r="T418" s="72">
        <f t="shared" ca="1" si="114"/>
        <v>0</v>
      </c>
      <c r="U418" s="72">
        <f t="shared" ca="1" si="115"/>
        <v>0</v>
      </c>
    </row>
    <row r="419" spans="1:21" ht="18.75" x14ac:dyDescent="0.25">
      <c r="A419" s="255"/>
      <c r="B419" s="267"/>
      <c r="C419" s="267"/>
      <c r="D419" s="852" t="s">
        <v>23</v>
      </c>
      <c r="E419" s="267"/>
      <c r="F419" s="267"/>
      <c r="G419" s="307"/>
      <c r="H419" s="266" t="s">
        <v>14</v>
      </c>
      <c r="I419" s="261"/>
      <c r="J419" s="261"/>
      <c r="K419" s="85"/>
      <c r="L419" s="72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1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5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4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IFERROR(__xludf.DUMMYFUNCTION("IMPORTRANGE(""https://docs.google.com/spreadsheets/d/1-uDff_7J0KD5mKrp0Vvzr7lt3OU09vwQwhkpOPPYv2Y/edit?usp=sharing"",""งบพรบ!IR57"")"),0)</f>
        <v>0</v>
      </c>
      <c r="M421" s="72">
        <f ca="1">IFERROR(__xludf.DUMMYFUNCTION("IMPORTRANGE(""https://docs.google.com/spreadsheets/d/1-uDff_7J0KD5mKrp0Vvzr7lt3OU09vwQwhkpOPPYv2Y/edit?usp=sharing"",""งบพรบ!IU57"")"),0)</f>
        <v>0</v>
      </c>
      <c r="N421" s="72">
        <f ca="1">IFERROR(__xludf.DUMMYFUNCTION("IMPORTRANGE(""https://docs.google.com/spreadsheets/d/1-uDff_7J0KD5mKrp0Vvzr7lt3OU09vwQwhkpOPPYv2Y/edit?usp=sharing"",""งบพรบ!IW57"")"),0)</f>
        <v>0</v>
      </c>
      <c r="O421" s="72">
        <f t="shared" ca="1" si="112"/>
        <v>0</v>
      </c>
      <c r="P421" s="72">
        <f t="shared" ca="1" si="113"/>
        <v>0</v>
      </c>
      <c r="Q421" s="71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1"/>
      <c r="M423" s="721"/>
      <c r="N423" s="721"/>
      <c r="O423" s="721"/>
      <c r="P423" s="721"/>
      <c r="Q423" s="722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IFERROR(__xludf.DUMMYFUNCTION("IMPORTRANGE(""https://docs.google.com/spreadsheets/d/1eHaY18a8A9IcSdp1K8H6x8fbOy06t2VsZHhMHf-1x7Y/edit?usp=sharing"",""แผน!HJ57"")"),0)</f>
        <v>0</v>
      </c>
      <c r="J424" s="870">
        <f>J426+J428+J430</f>
        <v>0</v>
      </c>
      <c r="K424" s="262">
        <f ca="1">IF(I424&gt;0,J424*100/I424,0)</f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IFERROR(__xludf.DUMMYFUNCTION("IMPORTRANGE(""https://docs.google.com/spreadsheets/d/1eHaY18a8A9IcSdp1K8H6x8fbOy06t2VsZHhMHf-1x7Y/edit?usp=sharing"",""แผน!HK57"")"),0)</f>
        <v>0</v>
      </c>
      <c r="J425" s="870">
        <f>J427+J429+J431</f>
        <v>0</v>
      </c>
      <c r="K425" s="262">
        <f ca="1">IF(I425&gt;0,J425*100/I425,0)</f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IFERROR(__xludf.DUMMYFUNCTION("IMPORTRANGE(""https://docs.google.com/spreadsheets/d/1eHaY18a8A9IcSdp1K8H6x8fbOy06t2VsZHhMHf-1x7Y/edit?usp=sharing"",""แผน!HJ57"")"),0)</f>
        <v>0</v>
      </c>
      <c r="J432" s="870">
        <f>J434+J436+J438</f>
        <v>0</v>
      </c>
      <c r="K432" s="262">
        <f ca="1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IFERROR(__xludf.DUMMYFUNCTION("IMPORTRANGE(""https://docs.google.com/spreadsheets/d/1eHaY18a8A9IcSdp1K8H6x8fbOy06t2VsZHhMHf-1x7Y/edit?usp=sharing"",""แผน!HK57"")"),0)</f>
        <v>0</v>
      </c>
      <c r="J433" s="870">
        <f>J435+J437+J439</f>
        <v>0</v>
      </c>
      <c r="K433" s="262">
        <f ca="1">IF(I433&gt;0,J433*100/I433,0)</f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IFERROR(__xludf.DUMMYFUNCTION("IMPORTRANGE(""https://docs.google.com/spreadsheets/d/1eHaY18a8A9IcSdp1K8H6x8fbOy06t2VsZHhMHf-1x7Y/edit?usp=sharing"",""แผน!HJ57"")"),0)</f>
        <v>0</v>
      </c>
      <c r="J440" s="870">
        <f>J442+J444+J446+J452+J454</f>
        <v>0</v>
      </c>
      <c r="K440" s="262">
        <f ca="1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IFERROR(__xludf.DUMMYFUNCTION("IMPORTRANGE(""https://docs.google.com/spreadsheets/d/1eHaY18a8A9IcSdp1K8H6x8fbOy06t2VsZHhMHf-1x7Y/edit?usp=sharing"",""แผน!HK57"")"),0)</f>
        <v>0</v>
      </c>
      <c r="J441" s="870">
        <f>J443+J445+J447+J453+J455</f>
        <v>0</v>
      </c>
      <c r="K441" s="262">
        <f ca="1">IF(I441&gt;0,J441*100/I441,0)</f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224</v>
      </c>
      <c r="J456" s="868">
        <f>J457</f>
        <v>4012</v>
      </c>
      <c r="K456" s="720">
        <f ca="1">IF(I456&gt;0,J456*100/I456,0)</f>
        <v>1791.0714285714287</v>
      </c>
      <c r="L456" s="721"/>
      <c r="M456" s="721"/>
      <c r="N456" s="721"/>
      <c r="O456" s="721"/>
      <c r="P456" s="721"/>
      <c r="Q456" s="722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IFERROR(__xludf.DUMMYFUNCTION("IMPORTRANGE(""https://docs.google.com/spreadsheets/d/1eHaY18a8A9IcSdp1K8H6x8fbOy06t2VsZHhMHf-1x7Y/edit?usp=sharing"",""แผน!HL57"")"),224)</f>
        <v>224</v>
      </c>
      <c r="J457" s="870">
        <f>J459+J467+J473</f>
        <v>4012</v>
      </c>
      <c r="K457" s="262">
        <f ca="1">IF(I457&gt;0,J457*100/I457,0)</f>
        <v>1791.0714285714287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IFERROR(__xludf.DUMMYFUNCTION("IMPORTRANGE(""https://docs.google.com/spreadsheets/d/1eHaY18a8A9IcSdp1K8H6x8fbOy06t2VsZHhMHf-1x7Y/edit?usp=sharing"",""แผน!HM57"")"),0)</f>
        <v>0</v>
      </c>
      <c r="J458" s="870">
        <f>J460+J468+J474</f>
        <v>245</v>
      </c>
      <c r="K458" s="262">
        <f ca="1">IF(I458&gt;0,J458*100/I458,0)</f>
        <v>0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4012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245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4012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245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1"/>
      <c r="M475" s="721"/>
      <c r="N475" s="721"/>
      <c r="O475" s="721"/>
      <c r="P475" s="721"/>
      <c r="Q475" s="722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5"/>
      <c r="M476" s="855"/>
      <c r="N476" s="855"/>
      <c r="O476" s="855"/>
      <c r="P476" s="855"/>
      <c r="Q476" s="856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5"/>
      <c r="M477" s="855"/>
      <c r="N477" s="855"/>
      <c r="O477" s="855"/>
      <c r="P477" s="855"/>
      <c r="Q477" s="856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5"/>
      <c r="M484" s="855"/>
      <c r="N484" s="855"/>
      <c r="O484" s="855"/>
      <c r="P484" s="855"/>
      <c r="Q484" s="856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5"/>
      <c r="M485" s="855"/>
      <c r="N485" s="855"/>
      <c r="O485" s="855"/>
      <c r="P485" s="855"/>
      <c r="Q485" s="856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10"/>
      <c r="M492" s="510"/>
      <c r="N492" s="510"/>
      <c r="O492" s="510"/>
      <c r="P492" s="510"/>
      <c r="Q492" s="509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262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389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5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4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2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1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1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5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4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IFERROR(__xludf.DUMMYFUNCTION("IMPORTRANGE(""https://docs.google.com/spreadsheets/d/1-uDff_7J0KD5mKrp0Vvzr7lt3OU09vwQwhkpOPPYv2Y/edit?usp=sharing"",""งบพรบ!HU57"")"),0)</f>
        <v>0</v>
      </c>
      <c r="M498" s="72">
        <f ca="1">IFERROR(__xludf.DUMMYFUNCTION("IMPORTRANGE(""https://docs.google.com/spreadsheets/d/1-uDff_7J0KD5mKrp0Vvzr7lt3OU09vwQwhkpOPPYv2Y/edit?usp=sharing"",""งบพรบ!HZ57"")"),0)</f>
        <v>0</v>
      </c>
      <c r="N498" s="72">
        <f ca="1">IFERROR(__xludf.DUMMYFUNCTION("IMPORTRANGE(""https://docs.google.com/spreadsheets/d/1-uDff_7J0KD5mKrp0Vvzr7lt3OU09vwQwhkpOPPYv2Y/edit?usp=sharing"",""งบพรบ!IB57"")"),0)</f>
        <v>0</v>
      </c>
      <c r="O498" s="72">
        <f t="shared" ca="1" si="118"/>
        <v>0</v>
      </c>
      <c r="P498" s="72">
        <f t="shared" ca="1" si="119"/>
        <v>0</v>
      </c>
      <c r="Q498" s="71">
        <f ca="1">IFERROR(__xludf.DUMMYFUNCTION("IMPORTRANGE(""https://docs.google.com/spreadsheets/d/1ItG2mGa2ceCfYo0BwxsXqNm01IGEUdYcSSLTEv9YCik/edit?usp=sharing"",""เบิกจ่ายกองทุน!AD57"")"),0)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IFERROR(__xludf.DUMMYFUNCTION("IMPORTRANGE(""https://docs.google.com/spreadsheets/d/1ItG2mGa2ceCfYo0BwxsXqNm01IGEUdYcSSLTEv9YCik/edit?usp=sharing"",""เบิกจ่ายกองทุน!AE57"")"),0)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IFERROR(__xludf.DUMMYFUNCTION("IMPORTRANGE(""https://docs.google.com/spreadsheets/d/1ItG2mGa2ceCfYo0BwxsXqNm01IGEUdYcSSLTEv9YCik/edit?usp=sharing"",""เบิกจ่ายกองทุน!AF57"")"),0)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1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4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IFERROR(__xludf.DUMMYFUNCTION("IMPORTRANGE(""https://docs.google.com/spreadsheets/d/1-uDff_7J0KD5mKrp0Vvzr7lt3OU09vwQwhkpOPPYv2Y/edit?usp=sharing"",""งบพรบ!HX57"")"),0)</f>
        <v>0</v>
      </c>
      <c r="M501" s="72">
        <f ca="1">IFERROR(__xludf.DUMMYFUNCTION("IMPORTRANGE(""https://docs.google.com/spreadsheets/d/1-uDff_7J0KD5mKrp0Vvzr7lt3OU09vwQwhkpOPPYv2Y/edit?usp=sharing"",""งบพรบ!IA57"")"),0)</f>
        <v>0</v>
      </c>
      <c r="N501" s="72">
        <f ca="1">IFERROR(__xludf.DUMMYFUNCTION("IMPORTRANGE(""https://docs.google.com/spreadsheets/d/1-uDff_7J0KD5mKrp0Vvzr7lt3OU09vwQwhkpOPPYv2Y/edit?usp=sharing"",""งบพรบ!IC57"")"),0)</f>
        <v>0</v>
      </c>
      <c r="O501" s="72">
        <f t="shared" ca="1" si="118"/>
        <v>0</v>
      </c>
      <c r="P501" s="72">
        <f t="shared" ca="1" si="119"/>
        <v>0</v>
      </c>
      <c r="Q501" s="71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IFERROR(__xludf.DUMMYFUNCTION("IMPORTRANGE(""https://docs.google.com/spreadsheets/d/1eHaY18a8A9IcSdp1K8H6x8fbOy06t2VsZHhMHf-1x7Y/edit?usp=sharing"",""แผน!GX57"")"),0)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IFERROR(__xludf.DUMMYFUNCTION("IMPORTRANGE(""https://docs.google.com/spreadsheets/d/1eHaY18a8A9IcSdp1K8H6x8fbOy06t2VsZHhMHf-1x7Y/edit?usp=sharing"",""แผน!GY57"")"),0)</f>
        <v>0</v>
      </c>
      <c r="J504" s="292">
        <v>0</v>
      </c>
      <c r="K504" s="72">
        <f t="shared" ca="1" si="124"/>
        <v>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IFERROR(__xludf.DUMMYFUNCTION("IMPORTRANGE(""https://docs.google.com/spreadsheets/d/1eHaY18a8A9IcSdp1K8H6x8fbOy06t2VsZHhMHf-1x7Y/edit?usp=sharing"",""แผน!GZ57"")"),0)</f>
        <v>0</v>
      </c>
      <c r="J505" s="292">
        <v>0</v>
      </c>
      <c r="K505" s="72">
        <f t="shared" ca="1" si="124"/>
        <v>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IFERROR(__xludf.DUMMYFUNCTION("IMPORTRANGE(""https://docs.google.com/spreadsheets/d/1eHaY18a8A9IcSdp1K8H6x8fbOy06t2VsZHhMHf-1x7Y/edit?usp=sharing"",""แผน!HA57"")"),0)</f>
        <v>0</v>
      </c>
      <c r="J506" s="292">
        <v>0</v>
      </c>
      <c r="K506" s="72">
        <f t="shared" ca="1" si="124"/>
        <v>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IFERROR(__xludf.DUMMYFUNCTION("IMPORTRANGE(""https://docs.google.com/spreadsheets/d/1eHaY18a8A9IcSdp1K8H6x8fbOy06t2VsZHhMHf-1x7Y/edit?usp=sharing"",""แผน!HB57"")"),0)</f>
        <v>0</v>
      </c>
      <c r="J507" s="292">
        <v>0</v>
      </c>
      <c r="K507" s="72">
        <f t="shared" ca="1" si="124"/>
        <v>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IFERROR(__xludf.DUMMYFUNCTION("IMPORTRANGE(""https://docs.google.com/spreadsheets/d/1eHaY18a8A9IcSdp1K8H6x8fbOy06t2VsZHhMHf-1x7Y/edit?usp=sharing"",""แผน!HC57"")"),0)</f>
        <v>0</v>
      </c>
      <c r="J509" s="739">
        <v>0</v>
      </c>
      <c r="K509" s="181">
        <f t="shared" ca="1" si="124"/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50"/>
      <c r="I510" s="848"/>
      <c r="J510" s="848"/>
      <c r="K510" s="847"/>
      <c r="L510" s="847"/>
      <c r="M510" s="847"/>
      <c r="N510" s="847"/>
      <c r="O510" s="847"/>
      <c r="P510" s="1336"/>
      <c r="Q510" s="623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841"/>
      <c r="M511" s="841"/>
      <c r="N511" s="841"/>
      <c r="O511" s="841"/>
      <c r="P511" s="841"/>
      <c r="Q511" s="631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3"/>
      <c r="M512" s="643"/>
      <c r="N512" s="643"/>
      <c r="O512" s="643"/>
      <c r="P512" s="643"/>
      <c r="Q512" s="642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956">
        <f ca="1">L514+L515</f>
        <v>0</v>
      </c>
      <c r="M513" s="956">
        <f ca="1">M514+M515</f>
        <v>0</v>
      </c>
      <c r="N513" s="956">
        <f ca="1">N514+N515</f>
        <v>0</v>
      </c>
      <c r="O513" s="956">
        <f t="shared" ref="O513:O521" ca="1" si="125">IF(L513&gt;0,N513*100/L513,0)</f>
        <v>0</v>
      </c>
      <c r="P513" s="956">
        <f t="shared" ref="P513:P521" ca="1" si="126">IF(M513&gt;0,N513*100/M513,0)</f>
        <v>0</v>
      </c>
      <c r="Q513" s="389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5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4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5">
        <f t="shared" ca="1" si="129"/>
        <v>0</v>
      </c>
      <c r="M515" s="75">
        <f t="shared" ca="1" si="129"/>
        <v>0</v>
      </c>
      <c r="N515" s="75">
        <f t="shared" ca="1" si="129"/>
        <v>0</v>
      </c>
      <c r="O515" s="75">
        <f t="shared" ca="1" si="125"/>
        <v>0</v>
      </c>
      <c r="P515" s="75">
        <f t="shared" ca="1" si="126"/>
        <v>0</v>
      </c>
      <c r="Q515" s="71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5">
        <f ca="1">L517+L518</f>
        <v>0</v>
      </c>
      <c r="M516" s="75">
        <f ca="1">M517+M518</f>
        <v>0</v>
      </c>
      <c r="N516" s="75">
        <f ca="1">N517+N518</f>
        <v>0</v>
      </c>
      <c r="O516" s="75">
        <f t="shared" ca="1" si="125"/>
        <v>0</v>
      </c>
      <c r="P516" s="75">
        <f t="shared" ca="1" si="126"/>
        <v>0</v>
      </c>
      <c r="Q516" s="71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5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4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5">
        <f ca="1">IFERROR(__xludf.DUMMYFUNCTION("IMPORTRANGE(""https://docs.google.com/spreadsheets/d/1-uDff_7J0KD5mKrp0Vvzr7lt3OU09vwQwhkpOPPYv2Y/edit?usp=sharing"",""งบพรบ!FM57"")"),0)</f>
        <v>0</v>
      </c>
      <c r="M518" s="75">
        <f ca="1">IFERROR(__xludf.DUMMYFUNCTION("IMPORTRANGE(""https://docs.google.com/spreadsheets/d/1-uDff_7J0KD5mKrp0Vvzr7lt3OU09vwQwhkpOPPYv2Y/edit?usp=sharing"",""งบพรบ!FR57"")"),0)</f>
        <v>0</v>
      </c>
      <c r="N518" s="75">
        <f ca="1">IFERROR(__xludf.DUMMYFUNCTION("IMPORTRANGE(""https://docs.google.com/spreadsheets/d/1-uDff_7J0KD5mKrp0Vvzr7lt3OU09vwQwhkpOPPYv2Y/edit?usp=sharing"",""งบพรบ!FT57"")"),0)</f>
        <v>0</v>
      </c>
      <c r="O518" s="75">
        <f t="shared" ca="1" si="125"/>
        <v>0</v>
      </c>
      <c r="P518" s="75">
        <f t="shared" ca="1" si="126"/>
        <v>0</v>
      </c>
      <c r="Q518" s="71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5">
        <f ca="1">L520+L521</f>
        <v>0</v>
      </c>
      <c r="M519" s="75">
        <f ca="1">M520+M521</f>
        <v>0</v>
      </c>
      <c r="N519" s="75">
        <f ca="1">N520+N521</f>
        <v>0</v>
      </c>
      <c r="O519" s="75">
        <f t="shared" ca="1" si="125"/>
        <v>0</v>
      </c>
      <c r="P519" s="75">
        <f t="shared" ca="1" si="126"/>
        <v>0</v>
      </c>
      <c r="Q519" s="71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5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4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5">
        <f ca="1">IFERROR(__xludf.DUMMYFUNCTION("IMPORTRANGE(""https://docs.google.com/spreadsheets/d/1-uDff_7J0KD5mKrp0Vvzr7lt3OU09vwQwhkpOPPYv2Y/edit?usp=sharing"",""งบพรบ!FP57"")"),0)</f>
        <v>0</v>
      </c>
      <c r="M521" s="75">
        <f ca="1">IFERROR(__xludf.DUMMYFUNCTION("IMPORTRANGE(""https://docs.google.com/spreadsheets/d/1-uDff_7J0KD5mKrp0Vvzr7lt3OU09vwQwhkpOPPYv2Y/edit?usp=sharing"",""งบพรบ!FS57"")"),0)</f>
        <v>0</v>
      </c>
      <c r="N521" s="75">
        <f ca="1">IFERROR(__xludf.DUMMYFUNCTION("IMPORTRANGE(""https://docs.google.com/spreadsheets/d/1-uDff_7J0KD5mKrp0Vvzr7lt3OU09vwQwhkpOPPYv2Y/edit?usp=sharing"",""งบพรบ!FU57"")"),0)</f>
        <v>0</v>
      </c>
      <c r="O521" s="75">
        <f t="shared" ca="1" si="125"/>
        <v>0</v>
      </c>
      <c r="P521" s="75">
        <f t="shared" ca="1" si="126"/>
        <v>0</v>
      </c>
      <c r="Q521" s="71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5"/>
      <c r="M522" s="85"/>
      <c r="N522" s="85"/>
      <c r="O522" s="227"/>
      <c r="P522" s="227"/>
      <c r="Q522" s="84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5"/>
      <c r="M523" s="85"/>
      <c r="N523" s="85"/>
      <c r="O523" s="85"/>
      <c r="P523" s="85"/>
      <c r="Q523" s="84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96"/>
      <c r="M524" s="96"/>
      <c r="N524" s="96"/>
      <c r="O524" s="96"/>
      <c r="P524" s="96"/>
      <c r="Q524" s="84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656"/>
      <c r="M525" s="656"/>
      <c r="N525" s="656"/>
      <c r="O525" s="656"/>
      <c r="P525" s="656"/>
      <c r="Q525" s="575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4"/>
      <c r="M526" s="574"/>
      <c r="N526" s="574"/>
      <c r="O526" s="574"/>
      <c r="P526" s="574"/>
      <c r="Q526" s="575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4"/>
      <c r="M527" s="574"/>
      <c r="N527" s="574"/>
      <c r="O527" s="574"/>
      <c r="P527" s="574"/>
      <c r="Q527" s="575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4"/>
      <c r="M528" s="574"/>
      <c r="N528" s="574"/>
      <c r="O528" s="574"/>
      <c r="P528" s="574"/>
      <c r="Q528" s="575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4"/>
      <c r="M529" s="574"/>
      <c r="N529" s="574"/>
      <c r="O529" s="574"/>
      <c r="P529" s="574"/>
      <c r="Q529" s="575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4"/>
      <c r="M530" s="574"/>
      <c r="N530" s="574"/>
      <c r="O530" s="574"/>
      <c r="P530" s="574"/>
      <c r="Q530" s="575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4"/>
      <c r="M531" s="574"/>
      <c r="N531" s="574"/>
      <c r="O531" s="574"/>
      <c r="P531" s="574"/>
      <c r="Q531" s="575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79"/>
      <c r="M532" s="579"/>
      <c r="N532" s="579"/>
      <c r="O532" s="579"/>
      <c r="P532" s="579"/>
      <c r="Q532" s="580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3"/>
      <c r="M533" s="643"/>
      <c r="N533" s="643"/>
      <c r="O533" s="643"/>
      <c r="P533" s="643"/>
      <c r="Q533" s="642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389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4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2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1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1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4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IFERROR(__xludf.DUMMYFUNCTION("IMPORTRANGE(""https://docs.google.com/spreadsheets/d/1-uDff_7J0KD5mKrp0Vvzr7lt3OU09vwQwhkpOPPYv2Y/edit?usp=sharing"",""งบพรบ!FW57"")"),0)</f>
        <v>0</v>
      </c>
      <c r="M539" s="72">
        <f ca="1">IFERROR(__xludf.DUMMYFUNCTION("IMPORTRANGE(""https://docs.google.com/spreadsheets/d/1-uDff_7J0KD5mKrp0Vvzr7lt3OU09vwQwhkpOPPYv2Y/edit?usp=sharing"",""งบพรบ!GB57"")"),0)</f>
        <v>0</v>
      </c>
      <c r="N539" s="72">
        <f ca="1">IFERROR(__xludf.DUMMYFUNCTION("IMPORTRANGE(""https://docs.google.com/spreadsheets/d/1-uDff_7J0KD5mKrp0Vvzr7lt3OU09vwQwhkpOPPYv2Y/edit?usp=sharing"",""งบพรบ!GD57"")"),0)</f>
        <v>0</v>
      </c>
      <c r="O539" s="72">
        <f t="shared" ca="1" si="131"/>
        <v>0</v>
      </c>
      <c r="P539" s="72">
        <f t="shared" ca="1" si="132"/>
        <v>0</v>
      </c>
      <c r="Q539" s="71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1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4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IFERROR(__xludf.DUMMYFUNCTION("IMPORTRANGE(""https://docs.google.com/spreadsheets/d/1-uDff_7J0KD5mKrp0Vvzr7lt3OU09vwQwhkpOPPYv2Y/edit?usp=sharing"",""งบพรบ!FZ57"")"),0)</f>
        <v>0</v>
      </c>
      <c r="M542" s="72">
        <f ca="1">IFERROR(__xludf.DUMMYFUNCTION("IMPORTRANGE(""https://docs.google.com/spreadsheets/d/1-uDff_7J0KD5mKrp0Vvzr7lt3OU09vwQwhkpOPPYv2Y/edit?usp=sharing"",""งบพรบ!GC57"")"),0)</f>
        <v>0</v>
      </c>
      <c r="N542" s="72">
        <f ca="1">IFERROR(__xludf.DUMMYFUNCTION("IMPORTRANGE(""https://docs.google.com/spreadsheets/d/1-uDff_7J0KD5mKrp0Vvzr7lt3OU09vwQwhkpOPPYv2Y/edit?usp=sharing"",""งบพรบ!GE57"")"),0)</f>
        <v>0</v>
      </c>
      <c r="O542" s="72">
        <f t="shared" ca="1" si="131"/>
        <v>0</v>
      </c>
      <c r="P542" s="72">
        <f t="shared" ca="1" si="132"/>
        <v>0</v>
      </c>
      <c r="Q542" s="71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4"/>
      <c r="M544" s="574"/>
      <c r="N544" s="574"/>
      <c r="O544" s="574"/>
      <c r="P544" s="574"/>
      <c r="Q544" s="575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4"/>
      <c r="M545" s="574"/>
      <c r="N545" s="574"/>
      <c r="O545" s="574"/>
      <c r="P545" s="574"/>
      <c r="Q545" s="575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4"/>
      <c r="M546" s="574"/>
      <c r="N546" s="574"/>
      <c r="O546" s="574"/>
      <c r="P546" s="574"/>
      <c r="Q546" s="575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4"/>
      <c r="M547" s="574"/>
      <c r="N547" s="574"/>
      <c r="O547" s="574"/>
      <c r="P547" s="574"/>
      <c r="Q547" s="575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4"/>
      <c r="M548" s="574"/>
      <c r="N548" s="574"/>
      <c r="O548" s="574"/>
      <c r="P548" s="574"/>
      <c r="Q548" s="575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4"/>
      <c r="M549" s="574"/>
      <c r="N549" s="574"/>
      <c r="O549" s="574"/>
      <c r="P549" s="574"/>
      <c r="Q549" s="575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4"/>
      <c r="M550" s="574"/>
      <c r="N550" s="574"/>
      <c r="O550" s="574"/>
      <c r="P550" s="574"/>
      <c r="Q550" s="575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4"/>
      <c r="M551" s="574"/>
      <c r="N551" s="574"/>
      <c r="O551" s="574"/>
      <c r="P551" s="574"/>
      <c r="Q551" s="575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4"/>
      <c r="M552" s="574"/>
      <c r="N552" s="574"/>
      <c r="O552" s="574"/>
      <c r="P552" s="574"/>
      <c r="Q552" s="575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79"/>
      <c r="M553" s="579"/>
      <c r="N553" s="579"/>
      <c r="O553" s="579"/>
      <c r="P553" s="579"/>
      <c r="Q553" s="580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3"/>
      <c r="M554" s="643"/>
      <c r="N554" s="643"/>
      <c r="O554" s="643"/>
      <c r="P554" s="643"/>
      <c r="Q554" s="642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389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4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2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1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1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4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IFERROR(__xludf.DUMMYFUNCTION("IMPORTRANGE(""https://docs.google.com/spreadsheets/d/1-uDff_7J0KD5mKrp0Vvzr7lt3OU09vwQwhkpOPPYv2Y/edit?usp=sharing"",""งบพรบ!GG57"")"),0)</f>
        <v>0</v>
      </c>
      <c r="M560" s="72">
        <f ca="1">IFERROR(__xludf.DUMMYFUNCTION("IMPORTRANGE(""https://docs.google.com/spreadsheets/d/1-uDff_7J0KD5mKrp0Vvzr7lt3OU09vwQwhkpOPPYv2Y/edit?usp=sharing"",""งบพรบ!GL57"")"),0)</f>
        <v>0</v>
      </c>
      <c r="N560" s="72">
        <f ca="1">IFERROR(__xludf.DUMMYFUNCTION("IMPORTRANGE(""https://docs.google.com/spreadsheets/d/1-uDff_7J0KD5mKrp0Vvzr7lt3OU09vwQwhkpOPPYv2Y/edit?usp=sharing"",""งบพรบ!GN57"")"),0)</f>
        <v>0</v>
      </c>
      <c r="O560" s="72">
        <f t="shared" ca="1" si="137"/>
        <v>0</v>
      </c>
      <c r="P560" s="72">
        <f t="shared" ca="1" si="138"/>
        <v>0</v>
      </c>
      <c r="Q560" s="71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1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4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IFERROR(__xludf.DUMMYFUNCTION("IMPORTRANGE(""https://docs.google.com/spreadsheets/d/1-uDff_7J0KD5mKrp0Vvzr7lt3OU09vwQwhkpOPPYv2Y/edit?usp=sharing"",""งบพรบ!GJ57"")"),0)</f>
        <v>0</v>
      </c>
      <c r="M563" s="72">
        <f ca="1">IFERROR(__xludf.DUMMYFUNCTION("IMPORTRANGE(""https://docs.google.com/spreadsheets/d/1-uDff_7J0KD5mKrp0Vvzr7lt3OU09vwQwhkpOPPYv2Y/edit?usp=sharing"",""งบพรบ!GM57"")"),0)</f>
        <v>0</v>
      </c>
      <c r="N563" s="72">
        <f ca="1">IFERROR(__xludf.DUMMYFUNCTION("IMPORTRANGE(""https://docs.google.com/spreadsheets/d/1-uDff_7J0KD5mKrp0Vvzr7lt3OU09vwQwhkpOPPYv2Y/edit?usp=sharing"",""งบพรบ!GO57"")"),0)</f>
        <v>0</v>
      </c>
      <c r="O563" s="72">
        <f t="shared" ca="1" si="137"/>
        <v>0</v>
      </c>
      <c r="P563" s="72">
        <f t="shared" ca="1" si="138"/>
        <v>0</v>
      </c>
      <c r="Q563" s="71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4"/>
      <c r="M565" s="574"/>
      <c r="N565" s="574"/>
      <c r="O565" s="574"/>
      <c r="P565" s="574"/>
      <c r="Q565" s="575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4"/>
      <c r="M566" s="574"/>
      <c r="N566" s="574"/>
      <c r="O566" s="574"/>
      <c r="P566" s="574"/>
      <c r="Q566" s="575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4"/>
      <c r="M567" s="574"/>
      <c r="N567" s="574"/>
      <c r="O567" s="574"/>
      <c r="P567" s="574"/>
      <c r="Q567" s="575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4"/>
      <c r="M568" s="574"/>
      <c r="N568" s="574"/>
      <c r="O568" s="574"/>
      <c r="P568" s="574"/>
      <c r="Q568" s="575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4"/>
      <c r="M569" s="574"/>
      <c r="N569" s="574"/>
      <c r="O569" s="574"/>
      <c r="P569" s="574"/>
      <c r="Q569" s="575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4"/>
      <c r="M570" s="574"/>
      <c r="N570" s="574"/>
      <c r="O570" s="574"/>
      <c r="P570" s="574"/>
      <c r="Q570" s="575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4"/>
      <c r="M571" s="574"/>
      <c r="N571" s="574"/>
      <c r="O571" s="574"/>
      <c r="P571" s="574"/>
      <c r="Q571" s="575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4"/>
      <c r="M572" s="574"/>
      <c r="N572" s="574"/>
      <c r="O572" s="574"/>
      <c r="P572" s="574"/>
      <c r="Q572" s="575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4"/>
      <c r="M573" s="574"/>
      <c r="N573" s="574"/>
      <c r="O573" s="574"/>
      <c r="P573" s="574"/>
      <c r="Q573" s="575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79"/>
      <c r="M574" s="579"/>
      <c r="N574" s="579"/>
      <c r="O574" s="579"/>
      <c r="P574" s="579"/>
      <c r="Q574" s="580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3"/>
      <c r="M575" s="643"/>
      <c r="N575" s="643"/>
      <c r="O575" s="643"/>
      <c r="P575" s="643"/>
      <c r="Q575" s="642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389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4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2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1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1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4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IFERROR(__xludf.DUMMYFUNCTION("IMPORTRANGE(""https://docs.google.com/spreadsheets/d/1-uDff_7J0KD5mKrp0Vvzr7lt3OU09vwQwhkpOPPYv2Y/edit?usp=sharing"",""งบพรบ!GQ57"")"),0)</f>
        <v>0</v>
      </c>
      <c r="M581" s="72">
        <f ca="1">IFERROR(__xludf.DUMMYFUNCTION("IMPORTRANGE(""https://docs.google.com/spreadsheets/d/1-uDff_7J0KD5mKrp0Vvzr7lt3OU09vwQwhkpOPPYv2Y/edit?usp=sharing"",""งบพรบ!GV57"")"),0)</f>
        <v>0</v>
      </c>
      <c r="N581" s="72">
        <f ca="1">IFERROR(__xludf.DUMMYFUNCTION("IMPORTRANGE(""https://docs.google.com/spreadsheets/d/1-uDff_7J0KD5mKrp0Vvzr7lt3OU09vwQwhkpOPPYv2Y/edit?usp=sharing"",""งบพรบ!GX57"")"),0)</f>
        <v>0</v>
      </c>
      <c r="O581" s="72">
        <f t="shared" ca="1" si="143"/>
        <v>0</v>
      </c>
      <c r="P581" s="72">
        <f t="shared" ca="1" si="144"/>
        <v>0</v>
      </c>
      <c r="Q581" s="71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1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4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IFERROR(__xludf.DUMMYFUNCTION("IMPORTRANGE(""https://docs.google.com/spreadsheets/d/1-uDff_7J0KD5mKrp0Vvzr7lt3OU09vwQwhkpOPPYv2Y/edit?usp=sharing"",""งบพรบ!GT57"")"),0)</f>
        <v>0</v>
      </c>
      <c r="M584" s="72">
        <f ca="1">IFERROR(__xludf.DUMMYFUNCTION("IMPORTRANGE(""https://docs.google.com/spreadsheets/d/1-uDff_7J0KD5mKrp0Vvzr7lt3OU09vwQwhkpOPPYv2Y/edit?usp=sharing"",""งบพรบ!GW57"")"),0)</f>
        <v>0</v>
      </c>
      <c r="N584" s="72">
        <f ca="1">IFERROR(__xludf.DUMMYFUNCTION("IMPORTRANGE(""https://docs.google.com/spreadsheets/d/1-uDff_7J0KD5mKrp0Vvzr7lt3OU09vwQwhkpOPPYv2Y/edit?usp=sharing"",""งบพรบ!GY57"")"),0)</f>
        <v>0</v>
      </c>
      <c r="O584" s="72">
        <f t="shared" ca="1" si="143"/>
        <v>0</v>
      </c>
      <c r="P584" s="72">
        <f t="shared" ca="1" si="144"/>
        <v>0</v>
      </c>
      <c r="Q584" s="71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4"/>
      <c r="M586" s="574"/>
      <c r="N586" s="574"/>
      <c r="O586" s="574"/>
      <c r="P586" s="574"/>
      <c r="Q586" s="575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4"/>
      <c r="M587" s="574"/>
      <c r="N587" s="574"/>
      <c r="O587" s="574"/>
      <c r="P587" s="574"/>
      <c r="Q587" s="575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4"/>
      <c r="M588" s="574"/>
      <c r="N588" s="574"/>
      <c r="O588" s="574"/>
      <c r="P588" s="574"/>
      <c r="Q588" s="575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4"/>
      <c r="M589" s="574"/>
      <c r="N589" s="574"/>
      <c r="O589" s="574"/>
      <c r="P589" s="574"/>
      <c r="Q589" s="575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4"/>
      <c r="M590" s="574"/>
      <c r="N590" s="574"/>
      <c r="O590" s="574"/>
      <c r="P590" s="574"/>
      <c r="Q590" s="575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4"/>
      <c r="M591" s="574"/>
      <c r="N591" s="574"/>
      <c r="O591" s="574"/>
      <c r="P591" s="574"/>
      <c r="Q591" s="575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4"/>
      <c r="M592" s="574"/>
      <c r="N592" s="574"/>
      <c r="O592" s="574"/>
      <c r="P592" s="574"/>
      <c r="Q592" s="575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4"/>
      <c r="M593" s="574"/>
      <c r="N593" s="574"/>
      <c r="O593" s="574"/>
      <c r="P593" s="574"/>
      <c r="Q593" s="575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4"/>
      <c r="M594" s="574"/>
      <c r="N594" s="574"/>
      <c r="O594" s="574"/>
      <c r="P594" s="574"/>
      <c r="Q594" s="575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79"/>
      <c r="M595" s="579"/>
      <c r="N595" s="579"/>
      <c r="O595" s="579"/>
      <c r="P595" s="579"/>
      <c r="Q595" s="580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674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53"/>
      <c r="M597" s="53"/>
      <c r="N597" s="53"/>
      <c r="O597" s="53"/>
      <c r="P597" s="53"/>
      <c r="Q597" s="677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53"/>
      <c r="M598" s="53"/>
      <c r="N598" s="53"/>
      <c r="O598" s="53"/>
      <c r="P598" s="53"/>
      <c r="Q598" s="677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211">
        <f ca="1">L600+L601</f>
        <v>47268</v>
      </c>
      <c r="M599" s="211">
        <f ca="1">M600+M601</f>
        <v>47268</v>
      </c>
      <c r="N599" s="211">
        <f ca="1">N600+N601</f>
        <v>15320</v>
      </c>
      <c r="O599" s="211">
        <f t="shared" ref="O599:O607" ca="1" si="149">IF(L599&gt;0,N599*100/L599,0)</f>
        <v>32.410933401032409</v>
      </c>
      <c r="P599" s="211">
        <f t="shared" ref="P599:P607" ca="1" si="150">IF(M599&gt;0,N599*100/M599,0)</f>
        <v>32.410933401032409</v>
      </c>
      <c r="Q599" s="940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86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685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86">
        <f t="shared" ca="1" si="153"/>
        <v>47268</v>
      </c>
      <c r="M601" s="86">
        <f t="shared" ca="1" si="153"/>
        <v>47268</v>
      </c>
      <c r="N601" s="86">
        <f t="shared" ca="1" si="153"/>
        <v>15320</v>
      </c>
      <c r="O601" s="86">
        <f t="shared" ca="1" si="149"/>
        <v>32.410933401032409</v>
      </c>
      <c r="P601" s="86">
        <f t="shared" ca="1" si="150"/>
        <v>32.410933401032409</v>
      </c>
      <c r="Q601" s="685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86">
        <f ca="1">L603+L604</f>
        <v>47268</v>
      </c>
      <c r="M602" s="86">
        <f ca="1">M603+M604</f>
        <v>47268</v>
      </c>
      <c r="N602" s="86">
        <f ca="1">N603+N604</f>
        <v>15320</v>
      </c>
      <c r="O602" s="86">
        <f t="shared" ca="1" si="149"/>
        <v>32.410933401032409</v>
      </c>
      <c r="P602" s="86">
        <f t="shared" ca="1" si="150"/>
        <v>32.410933401032409</v>
      </c>
      <c r="Q602" s="685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86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685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86">
        <f ca="1">IFERROR(__xludf.DUMMYFUNCTION("IMPORTRANGE(""https://docs.google.com/spreadsheets/d/1-uDff_7J0KD5mKrp0Vvzr7lt3OU09vwQwhkpOPPYv2Y/edit?usp=sharing"",""งบพรบ!HK57"")"),47268)</f>
        <v>47268</v>
      </c>
      <c r="M604" s="86">
        <f ca="1">IFERROR(__xludf.DUMMYFUNCTION("IMPORTRANGE(""https://docs.google.com/spreadsheets/d/1-uDff_7J0KD5mKrp0Vvzr7lt3OU09vwQwhkpOPPYv2Y/edit?usp=sharing"",""งบพรบ!HP57"")"),47268)</f>
        <v>47268</v>
      </c>
      <c r="N604" s="86">
        <f ca="1">IFERROR(__xludf.DUMMYFUNCTION("IMPORTRANGE(""https://docs.google.com/spreadsheets/d/1-uDff_7J0KD5mKrp0Vvzr7lt3OU09vwQwhkpOPPYv2Y/edit?usp=sharing"",""งบพรบ!HR57"")"),15320)</f>
        <v>15320</v>
      </c>
      <c r="O604" s="86">
        <f t="shared" ca="1" si="149"/>
        <v>32.410933401032409</v>
      </c>
      <c r="P604" s="86">
        <f t="shared" ca="1" si="150"/>
        <v>32.410933401032409</v>
      </c>
      <c r="Q604" s="685">
        <f ca="1">IFERROR(__xludf.DUMMYFUNCTION("IMPORTRANGE(""https://docs.google.com/spreadsheets/d/1ItG2mGa2ceCfYo0BwxsXqNm01IGEUdYcSSLTEv9YCik/edit?usp=sharing"",""เบิกจ่ายกองทุน!AV57"")"),0)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IFERROR(__xludf.DUMMYFUNCTION("IMPORTRANGE(""https://docs.google.com/spreadsheets/d/1ItG2mGa2ceCfYo0BwxsXqNm01IGEUdYcSSLTEv9YCik/edit?usp=sharing"",""เบิกจ่ายกองทุน!AW57"")"),0)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IFERROR(__xludf.DUMMYFUNCTION("IMPORTRANGE(""https://docs.google.com/spreadsheets/d/1ItG2mGa2ceCfYo0BwxsXqNm01IGEUdYcSSLTEv9YCik/edit?usp=sharing"",""เบิกจ่ายกองทุน!AX57"")"),0)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86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685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86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685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86">
        <f ca="1">IFERROR(__xludf.DUMMYFUNCTION("IMPORTRANGE(""https://docs.google.com/spreadsheets/d/1-uDff_7J0KD5mKrp0Vvzr7lt3OU09vwQwhkpOPPYv2Y/edit?usp=sharing"",""งบพรบ!HN57"")"),0)</f>
        <v>0</v>
      </c>
      <c r="M607" s="86">
        <f ca="1">IFERROR(__xludf.DUMMYFUNCTION("IMPORTRANGE(""https://docs.google.com/spreadsheets/d/1-uDff_7J0KD5mKrp0Vvzr7lt3OU09vwQwhkpOPPYv2Y/edit?usp=sharing"",""งบพรบ!HQ57"")"),0)</f>
        <v>0</v>
      </c>
      <c r="N607" s="86">
        <f ca="1">IFERROR(__xludf.DUMMYFUNCTION("IMPORTRANGE(""https://docs.google.com/spreadsheets/d/1-uDff_7J0KD5mKrp0Vvzr7lt3OU09vwQwhkpOPPYv2Y/edit?usp=sharing"",""งบพรบ!HS57"")"),0)</f>
        <v>0</v>
      </c>
      <c r="O607" s="86">
        <f t="shared" ca="1" si="149"/>
        <v>0</v>
      </c>
      <c r="P607" s="86">
        <f t="shared" ca="1" si="150"/>
        <v>0</v>
      </c>
      <c r="Q607" s="685">
        <f ca="1">IFERROR(__xludf.DUMMYFUNCTION("IMPORTRANGE(""https://docs.google.com/spreadsheets/d/1ItG2mGa2ceCfYo0BwxsXqNm01IGEUdYcSSLTEv9YCik/edit?usp=sharing"",""เบิกจ่ายกองทุน!AY57"")"),0)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IFERROR(__xludf.DUMMYFUNCTION("IMPORTRANGE(""https://docs.google.com/spreadsheets/d/1ItG2mGa2ceCfYo0BwxsXqNm01IGEUdYcSSLTEv9YCik/edit?usp=sharing"",""เบิกจ่ายกองทุน!AZ57"")"),0)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IFERROR(__xludf.DUMMYFUNCTION("IMPORTRANGE(""https://docs.google.com/spreadsheets/d/1ItG2mGa2ceCfYo0BwxsXqNm01IGEUdYcSSLTEv9YCik/edit?usp=sharing"",""เบิกจ่ายกองทุน!BA57"")"),0)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70"/>
      <c r="M608" s="70"/>
      <c r="N608" s="70"/>
      <c r="O608" s="70"/>
      <c r="P608" s="70"/>
      <c r="Q608" s="519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70"/>
      <c r="M609" s="70"/>
      <c r="N609" s="70"/>
      <c r="O609" s="70"/>
      <c r="P609" s="70"/>
      <c r="Q609" s="519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70"/>
      <c r="M610" s="70"/>
      <c r="N610" s="70"/>
      <c r="O610" s="70"/>
      <c r="P610" s="70"/>
      <c r="Q610" s="519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70"/>
      <c r="M611" s="70"/>
      <c r="N611" s="70"/>
      <c r="O611" s="70"/>
      <c r="P611" s="70"/>
      <c r="Q611" s="519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6"/>
      <c r="M612" s="696"/>
      <c r="N612" s="696"/>
      <c r="O612" s="696"/>
      <c r="P612" s="696"/>
      <c r="Q612" s="697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4"/>
      <c r="M613" s="704"/>
      <c r="N613" s="704"/>
      <c r="O613" s="704"/>
      <c r="P613" s="704"/>
      <c r="Q613" s="705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2"/>
      <c r="M614" s="712"/>
      <c r="N614" s="712"/>
      <c r="O614" s="712"/>
      <c r="P614" s="712"/>
      <c r="Q614" s="713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1"/>
      <c r="M615" s="721"/>
      <c r="N615" s="721"/>
      <c r="O615" s="721"/>
      <c r="P615" s="721"/>
      <c r="Q615" s="722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262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389">
        <f ca="1">Q617+Q618</f>
        <v>6700</v>
      </c>
      <c r="R616" s="262">
        <f ca="1">R617+R618</f>
        <v>6700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5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4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2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1">
        <f t="shared" ca="1" si="160"/>
        <v>6700</v>
      </c>
      <c r="R618" s="72">
        <f t="shared" ca="1" si="160"/>
        <v>6700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1">
        <f ca="1">Q620+Q621</f>
        <v>6700</v>
      </c>
      <c r="R619" s="72">
        <f ca="1">R620+R621</f>
        <v>6700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5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4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2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1">
        <f ca="1">IFERROR(__xludf.DUMMYFUNCTION("IMPORTRANGE(""https://docs.google.com/spreadsheets/d/1ItG2mGa2ceCfYo0BwxsXqNm01IGEUdYcSSLTEv9YCik/edit?usp=sharing"",""เบิกจ่ายกองทุน!F57"")"),6700)</f>
        <v>6700</v>
      </c>
      <c r="R621" s="72">
        <f ca="1">IFERROR(__xludf.DUMMYFUNCTION("IMPORTRANGE(""https://docs.google.com/spreadsheets/d/1ItG2mGa2ceCfYo0BwxsXqNm01IGEUdYcSSLTEv9YCik/edit?usp=sharing"",""เบิกจ่ายกองทุน!G57"")"),6700)</f>
        <v>6700</v>
      </c>
      <c r="S621" s="72">
        <f ca="1">IFERROR(__xludf.DUMMYFUNCTION("IMPORTRANGE(""https://docs.google.com/spreadsheets/d/1ItG2mGa2ceCfYo0BwxsXqNm01IGEUdYcSSLTEv9YCik/edit?usp=sharing"",""เบิกจ่ายกองทุน!H57"")"),0)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1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4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1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IFERROR(__xludf.DUMMYFUNCTION("IMPORTRANGE(""https://docs.google.com/spreadsheets/d/1eHaY18a8A9IcSdp1K8H6x8fbOy06t2VsZHhMHf-1x7Y/edit?usp=sharing"",""แผน!ID57"")"),50)</f>
        <v>50</v>
      </c>
      <c r="J626" s="601">
        <f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IFERROR(__xludf.DUMMYFUNCTION("IMPORTRANGE(""https://docs.google.com/spreadsheets/d/1eHaY18a8A9IcSdp1K8H6x8fbOy06t2VsZHhMHf-1x7Y/edit?usp=sharing"",""แผน!IC57"")"),0)</f>
        <v>0</v>
      </c>
      <c r="J627" s="292">
        <v>8</v>
      </c>
      <c r="K627" s="72">
        <f ca="1">IF(I627&gt;0,(J627*100)/I627,0)</f>
        <v>0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IFERROR(__xludf.DUMMYFUNCTION("IMPORTRANGE(""https://docs.google.com/spreadsheets/d/1eHaY18a8A9IcSdp1K8H6x8fbOy06t2VsZHhMHf-1x7Y/edit?usp=sharing"",""แผน!IC57"")"),0)</f>
        <v>0</v>
      </c>
      <c r="J628" s="292">
        <v>8</v>
      </c>
      <c r="K628" s="72">
        <f ca="1">IF(I628&gt;0,(J628*100)/I628,0)</f>
        <v>0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IFERROR(__xludf.DUMMYFUNCTION("IMPORTRANGE(""https://docs.google.com/spreadsheets/d/1eHaY18a8A9IcSdp1K8H6x8fbOy06t2VsZHhMHf-1x7Y/edit?usp=sharing"",""แผน!IE57"")"),0)</f>
        <v>0</v>
      </c>
      <c r="J635" s="601">
        <f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1"/>
      <c r="M641" s="721"/>
      <c r="N641" s="721"/>
      <c r="O641" s="721"/>
      <c r="P641" s="721"/>
      <c r="Q641" s="722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262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389">
        <f ca="1">Q643+Q644</f>
        <v>10480</v>
      </c>
      <c r="R642" s="262">
        <f ca="1">R643+R644</f>
        <v>10480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5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4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2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1">
        <f t="shared" ca="1" si="166"/>
        <v>10480</v>
      </c>
      <c r="R644" s="72">
        <f t="shared" ca="1" si="166"/>
        <v>10480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1">
        <f ca="1">Q646+Q647</f>
        <v>10480</v>
      </c>
      <c r="R645" s="72">
        <f ca="1">R646+R647</f>
        <v>10480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5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4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2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1">
        <f ca="1">IFERROR(__xludf.DUMMYFUNCTION("IMPORTRANGE(""https://docs.google.com/spreadsheets/d/1ItG2mGa2ceCfYo0BwxsXqNm01IGEUdYcSSLTEv9YCik/edit?usp=sharing"",""เบิกจ่ายกองทุน!I57"")"),10480)</f>
        <v>10480</v>
      </c>
      <c r="R647" s="72">
        <f ca="1">IFERROR(__xludf.DUMMYFUNCTION("IMPORTRANGE(""https://docs.google.com/spreadsheets/d/1ItG2mGa2ceCfYo0BwxsXqNm01IGEUdYcSSLTEv9YCik/edit?usp=sharing"",""เบิกจ่ายกองทุน!J57"")"),10480)</f>
        <v>10480</v>
      </c>
      <c r="S647" s="72">
        <f ca="1">IFERROR(__xludf.DUMMYFUNCTION("IMPORTRANGE(""https://docs.google.com/spreadsheets/d/1ItG2mGa2ceCfYo0BwxsXqNm01IGEUdYcSSLTEv9YCik/edit?usp=sharing"",""เบิกจ่ายกองทุน!K57"")"),0)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1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4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1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IFERROR(__xludf.DUMMYFUNCTION("IMPORTRANGE(""https://docs.google.com/spreadsheets/d/1eHaY18a8A9IcSdp1K8H6x8fbOy06t2VsZHhMHf-1x7Y/edit?usp=sharing"",""แผน!IF57"")"),0)</f>
        <v>0</v>
      </c>
      <c r="J652" s="291">
        <f ca="1">IFERROR(__xludf.DUMMYFUNCTION("IMPORTRANGE(""https://docs.google.com/spreadsheets/d/1tdoBKaGub7dwA3U6UFTqxio9LNnvDCQjHKmttSEBsFQ/edit?usp=sharing"",""จัดที่ดิน!AU57"")"),0)</f>
        <v>0</v>
      </c>
      <c r="K652" s="72">
        <f ca="1">IF(I652&gt;0,J652*100/I652,0)</f>
        <v>0</v>
      </c>
      <c r="L652" s="85"/>
      <c r="M652" s="85"/>
      <c r="N652" s="730"/>
      <c r="O652" s="85"/>
      <c r="P652" s="85"/>
      <c r="Q652" s="84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IFERROR(__xludf.DUMMYFUNCTION("IMPORTRANGE(""https://docs.google.com/spreadsheets/d/1eHaY18a8A9IcSdp1K8H6x8fbOy06t2VsZHhMHf-1x7Y/edit?usp=sharing"",""แผน!IG57"")"),0)</f>
        <v>0</v>
      </c>
      <c r="J653" s="291">
        <f ca="1">IFERROR(__xludf.DUMMYFUNCTION("IMPORTRANGE(""https://docs.google.com/spreadsheets/d/1tdoBKaGub7dwA3U6UFTqxio9LNnvDCQjHKmttSEBsFQ/edit?usp=sharing"",""จัดที่ดิน!AW57"")"),0)</f>
        <v>0</v>
      </c>
      <c r="K653" s="72">
        <f ca="1">IF(I653&gt;0,J653*100/I653,0)</f>
        <v>0</v>
      </c>
      <c r="L653" s="85"/>
      <c r="M653" s="85"/>
      <c r="N653" s="730"/>
      <c r="O653" s="85"/>
      <c r="P653" s="85"/>
      <c r="Q653" s="84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IFERROR(__xludf.DUMMYFUNCTION("IMPORTRANGE(""https://docs.google.com/spreadsheets/d/1eHaY18a8A9IcSdp1K8H6x8fbOy06t2VsZHhMHf-1x7Y/edit?usp=sharing"",""แผน!IH57"")"),120)</f>
        <v>120</v>
      </c>
      <c r="J654" s="601">
        <f>J657+J660</f>
        <v>0</v>
      </c>
      <c r="K654" s="262">
        <f ca="1">IF(I654&gt;0,J654*100/I654,0)</f>
        <v>0</v>
      </c>
      <c r="L654" s="85"/>
      <c r="M654" s="85"/>
      <c r="N654" s="730"/>
      <c r="O654" s="85"/>
      <c r="P654" s="85"/>
      <c r="Q654" s="84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5"/>
      <c r="M655" s="85"/>
      <c r="N655" s="730"/>
      <c r="O655" s="85"/>
      <c r="P655" s="85"/>
      <c r="Q655" s="84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5"/>
      <c r="M656" s="85"/>
      <c r="N656" s="730"/>
      <c r="O656" s="85"/>
      <c r="P656" s="85"/>
      <c r="Q656" s="84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IFERROR(__xludf.DUMMYFUNCTION("IMPORTRANGE(""https://docs.google.com/spreadsheets/d/1eHaY18a8A9IcSdp1K8H6x8fbOy06t2VsZHhMHf-1x7Y/edit?usp=sharing"",""แผน!II57"")"),20)</f>
        <v>20</v>
      </c>
      <c r="J657" s="292">
        <v>0</v>
      </c>
      <c r="K657" s="85"/>
      <c r="L657" s="85"/>
      <c r="M657" s="85"/>
      <c r="N657" s="730"/>
      <c r="O657" s="85"/>
      <c r="P657" s="85"/>
      <c r="Q657" s="84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5"/>
      <c r="M658" s="85"/>
      <c r="N658" s="730"/>
      <c r="O658" s="85"/>
      <c r="P658" s="85"/>
      <c r="Q658" s="84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5"/>
      <c r="M659" s="85"/>
      <c r="N659" s="730"/>
      <c r="O659" s="85"/>
      <c r="P659" s="85"/>
      <c r="Q659" s="84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IFERROR(__xludf.DUMMYFUNCTION("IMPORTRANGE(""https://docs.google.com/spreadsheets/d/1eHaY18a8A9IcSdp1K8H6x8fbOy06t2VsZHhMHf-1x7Y/edit?usp=sharing"",""แผน!IJ57"")"),100)</f>
        <v>100</v>
      </c>
      <c r="J660" s="292">
        <v>0</v>
      </c>
      <c r="K660" s="85"/>
      <c r="L660" s="85"/>
      <c r="M660" s="85"/>
      <c r="N660" s="730"/>
      <c r="O660" s="85"/>
      <c r="P660" s="85"/>
      <c r="Q660" s="84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IFERROR(__xludf.DUMMYFUNCTION("IMPORTRANGE(""https://docs.google.com/spreadsheets/d/1eHaY18a8A9IcSdp1K8H6x8fbOy06t2VsZHhMHf-1x7Y/edit?usp=sharing"",""แผน!IK57"")"),0)</f>
        <v>0</v>
      </c>
      <c r="J661" s="601">
        <f>J667+J670</f>
        <v>0</v>
      </c>
      <c r="K661" s="262">
        <f ca="1">IF(I661&gt;0,J661*100/I661,0)</f>
        <v>0</v>
      </c>
      <c r="L661" s="85"/>
      <c r="M661" s="85"/>
      <c r="N661" s="730"/>
      <c r="O661" s="85"/>
      <c r="P661" s="85"/>
      <c r="Q661" s="84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0"/>
      <c r="M662" s="85"/>
      <c r="N662" s="730"/>
      <c r="O662" s="85"/>
      <c r="P662" s="85"/>
      <c r="Q662" s="732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0"/>
      <c r="M663" s="85"/>
      <c r="N663" s="730"/>
      <c r="O663" s="85"/>
      <c r="P663" s="85"/>
      <c r="Q663" s="732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0"/>
      <c r="M664" s="85"/>
      <c r="N664" s="730"/>
      <c r="O664" s="85"/>
      <c r="P664" s="85"/>
      <c r="Q664" s="732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0"/>
      <c r="M665" s="85"/>
      <c r="N665" s="730"/>
      <c r="O665" s="85"/>
      <c r="P665" s="85"/>
      <c r="Q665" s="732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0"/>
      <c r="M666" s="85"/>
      <c r="N666" s="730"/>
      <c r="O666" s="85"/>
      <c r="P666" s="85"/>
      <c r="Q666" s="732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0"/>
      <c r="M667" s="85"/>
      <c r="N667" s="730"/>
      <c r="O667" s="85"/>
      <c r="P667" s="85"/>
      <c r="Q667" s="732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0"/>
      <c r="M668" s="85"/>
      <c r="N668" s="730"/>
      <c r="O668" s="85"/>
      <c r="P668" s="85"/>
      <c r="Q668" s="732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0"/>
      <c r="M669" s="85"/>
      <c r="N669" s="730"/>
      <c r="O669" s="85"/>
      <c r="P669" s="85"/>
      <c r="Q669" s="732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0"/>
      <c r="M670" s="85"/>
      <c r="N670" s="730"/>
      <c r="O670" s="85"/>
      <c r="P670" s="85"/>
      <c r="Q670" s="732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IFERROR(__xludf.DUMMYFUNCTION("IMPORTRANGE(""https://docs.google.com/spreadsheets/d/1tdoBKaGub7dwA3U6UFTqxio9LNnvDCQjHKmttSEBsFQ/edit?usp=sharing"",""จัดที่ดิน!AY57"")"),0)</f>
        <v>0</v>
      </c>
      <c r="K671" s="85"/>
      <c r="L671" s="85"/>
      <c r="M671" s="85"/>
      <c r="N671" s="730"/>
      <c r="O671" s="85"/>
      <c r="P671" s="85"/>
      <c r="Q671" s="84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IFERROR(__xludf.DUMMYFUNCTION("IMPORTRANGE(""https://docs.google.com/spreadsheets/d/1tdoBKaGub7dwA3U6UFTqxio9LNnvDCQjHKmttSEBsFQ/edit?usp=sharing"",""จัดที่ดิน!AZ57"")"),0)</f>
        <v>0</v>
      </c>
      <c r="K672" s="85"/>
      <c r="L672" s="730"/>
      <c r="M672" s="85"/>
      <c r="N672" s="730"/>
      <c r="O672" s="85"/>
      <c r="P672" s="85"/>
      <c r="Q672" s="732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IFERROR(__xludf.DUMMYFUNCTION("IMPORTRANGE(""https://docs.google.com/spreadsheets/d/1eHaY18a8A9IcSdp1K8H6x8fbOy06t2VsZHhMHf-1x7Y/edit?usp=sharing"",""แผน!IL57"")"),100)</f>
        <v>100</v>
      </c>
      <c r="J673" s="291">
        <f ca="1">IFERROR(__xludf.DUMMYFUNCTION("IMPORTRANGE(""https://docs.google.com/spreadsheets/d/1tdoBKaGub7dwA3U6UFTqxio9LNnvDCQjHKmttSEBsFQ/edit?usp=sharing"",""จัดที่ดิน!BA57"")"),0)</f>
        <v>0</v>
      </c>
      <c r="K673" s="72">
        <f ca="1">IF(I673&gt;0,J673*100/I673,0)</f>
        <v>0</v>
      </c>
      <c r="L673" s="730"/>
      <c r="M673" s="85"/>
      <c r="N673" s="730"/>
      <c r="O673" s="85"/>
      <c r="P673" s="85"/>
      <c r="Q673" s="732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IFERROR(__xludf.DUMMYFUNCTION("IMPORTRANGE(""https://docs.google.com/spreadsheets/d/1eHaY18a8A9IcSdp1K8H6x8fbOy06t2VsZHhMHf-1x7Y/edit?usp=sharing"",""แผน!IM57"")"),9)</f>
        <v>9</v>
      </c>
      <c r="J674" s="601">
        <f ca="1">J676+J679</f>
        <v>0</v>
      </c>
      <c r="K674" s="262">
        <f ca="1">IF(I674&gt;0,J674*100/I674,0)</f>
        <v>0</v>
      </c>
      <c r="L674" s="730"/>
      <c r="M674" s="85"/>
      <c r="N674" s="730"/>
      <c r="O674" s="85"/>
      <c r="P674" s="85"/>
      <c r="Q674" s="732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IFERROR(__xludf.DUMMYFUNCTION("IMPORTRANGE(""https://docs.google.com/spreadsheets/d/1eHaY18a8A9IcSdp1K8H6x8fbOy06t2VsZHhMHf-1x7Y/edit?usp=sharing"",""แผน!IN57"")"),140)</f>
        <v>140</v>
      </c>
      <c r="J675" s="601">
        <f ca="1">J678+J681</f>
        <v>0</v>
      </c>
      <c r="K675" s="262">
        <f ca="1">IF(I675&gt;0,J675*100/I675,0)</f>
        <v>0</v>
      </c>
      <c r="L675" s="85"/>
      <c r="M675" s="85"/>
      <c r="N675" s="730"/>
      <c r="O675" s="85"/>
      <c r="P675" s="85"/>
      <c r="Q675" s="84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IFERROR(__xludf.DUMMYFUNCTION("IMPORTRANGE(""https://docs.google.com/spreadsheets/d/1eHaY18a8A9IcSdp1K8H6x8fbOy06t2VsZHhMHf-1x7Y/edit?usp=sharing"",""แผน!IO57"")"),9)</f>
        <v>9</v>
      </c>
      <c r="J676" s="291">
        <f ca="1">IFERROR(__xludf.DUMMYFUNCTION("IMPORTRANGE(""https://docs.google.com/spreadsheets/d/1tdoBKaGub7dwA3U6UFTqxio9LNnvDCQjHKmttSEBsFQ/edit?usp=sharing"",""จัดที่ดิน!BF57"")"),0)</f>
        <v>0</v>
      </c>
      <c r="K676" s="72">
        <f ca="1">IF(I676&gt;0,J676*100/I676,0)</f>
        <v>0</v>
      </c>
      <c r="L676" s="85"/>
      <c r="M676" s="85"/>
      <c r="N676" s="730"/>
      <c r="O676" s="85"/>
      <c r="P676" s="85"/>
      <c r="Q676" s="84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IFERROR(__xludf.DUMMYFUNCTION("IMPORTRANGE(""https://docs.google.com/spreadsheets/d/1tdoBKaGub7dwA3U6UFTqxio9LNnvDCQjHKmttSEBsFQ/edit?usp=sharing"",""จัดที่ดิน!BG57"")"),0)</f>
        <v>0</v>
      </c>
      <c r="K677" s="85"/>
      <c r="L677" s="730"/>
      <c r="M677" s="85"/>
      <c r="N677" s="730"/>
      <c r="O677" s="85"/>
      <c r="P677" s="85"/>
      <c r="Q677" s="732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IFERROR(__xludf.DUMMYFUNCTION("IMPORTRANGE(""https://docs.google.com/spreadsheets/d/1eHaY18a8A9IcSdp1K8H6x8fbOy06t2VsZHhMHf-1x7Y/edit?usp=sharing"",""แผน!IP57"")"),140)</f>
        <v>140</v>
      </c>
      <c r="J678" s="291">
        <f ca="1">IFERROR(__xludf.DUMMYFUNCTION("IMPORTRANGE(""https://docs.google.com/spreadsheets/d/1tdoBKaGub7dwA3U6UFTqxio9LNnvDCQjHKmttSEBsFQ/edit?usp=sharing"",""จัดที่ดิน!BH57"")"),0)</f>
        <v>0</v>
      </c>
      <c r="K678" s="72">
        <f ca="1">IF(I678&gt;0,J678*100/I678,0)</f>
        <v>0</v>
      </c>
      <c r="L678" s="730"/>
      <c r="M678" s="85"/>
      <c r="N678" s="730"/>
      <c r="O678" s="85"/>
      <c r="P678" s="85"/>
      <c r="Q678" s="732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IFERROR(__xludf.DUMMYFUNCTION("IMPORTRANGE(""https://docs.google.com/spreadsheets/d/1eHaY18a8A9IcSdp1K8H6x8fbOy06t2VsZHhMHf-1x7Y/edit?usp=sharing"",""แผน!IQ57"")"),0)</f>
        <v>0</v>
      </c>
      <c r="J679" s="291">
        <f ca="1">IFERROR(__xludf.DUMMYFUNCTION("IMPORTRANGE(""https://docs.google.com/spreadsheets/d/1tdoBKaGub7dwA3U6UFTqxio9LNnvDCQjHKmttSEBsFQ/edit?usp=sharing"",""จัดที่ดิน!BK57"")"),0)</f>
        <v>0</v>
      </c>
      <c r="K679" s="72">
        <f ca="1">IF(I679&gt;0,J679*100/I679,0)</f>
        <v>0</v>
      </c>
      <c r="L679" s="85"/>
      <c r="M679" s="85"/>
      <c r="N679" s="730"/>
      <c r="O679" s="85"/>
      <c r="P679" s="85"/>
      <c r="Q679" s="84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IFERROR(__xludf.DUMMYFUNCTION("IMPORTRANGE(""https://docs.google.com/spreadsheets/d/1tdoBKaGub7dwA3U6UFTqxio9LNnvDCQjHKmttSEBsFQ/edit?usp=sharing"",""จัดที่ดิน!BL57"")"),0)</f>
        <v>0</v>
      </c>
      <c r="K680" s="85"/>
      <c r="L680" s="730"/>
      <c r="M680" s="85"/>
      <c r="N680" s="730"/>
      <c r="O680" s="85"/>
      <c r="P680" s="85"/>
      <c r="Q680" s="732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IFERROR(__xludf.DUMMYFUNCTION("IMPORTRANGE(""https://docs.google.com/spreadsheets/d/1eHaY18a8A9IcSdp1K8H6x8fbOy06t2VsZHhMHf-1x7Y/edit?usp=sharing"",""แผน!IR57"")"),0)</f>
        <v>0</v>
      </c>
      <c r="J681" s="291">
        <f ca="1">IFERROR(__xludf.DUMMYFUNCTION("IMPORTRANGE(""https://docs.google.com/spreadsheets/d/1tdoBKaGub7dwA3U6UFTqxio9LNnvDCQjHKmttSEBsFQ/edit?usp=sharing"",""จัดที่ดิน!BM57"")"),0)</f>
        <v>0</v>
      </c>
      <c r="K681" s="72">
        <f ca="1">IF(I681&gt;0,J681*100/I681,0)</f>
        <v>0</v>
      </c>
      <c r="L681" s="730"/>
      <c r="M681" s="85"/>
      <c r="N681" s="730"/>
      <c r="O681" s="85"/>
      <c r="P681" s="85"/>
      <c r="Q681" s="732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IFERROR(__xludf.DUMMYFUNCTION("IMPORTRANGE(""https://docs.google.com/spreadsheets/d/1eHaY18a8A9IcSdp1K8H6x8fbOy06t2VsZHhMHf-1x7Y/edit?usp=sharing"",""แผน!IS57"")"),0)</f>
        <v>0</v>
      </c>
      <c r="J682" s="601">
        <f>J685+J688</f>
        <v>0</v>
      </c>
      <c r="K682" s="262">
        <f ca="1">IF(I682&gt;0,J682*100/I682,0)</f>
        <v>0</v>
      </c>
      <c r="L682" s="85"/>
      <c r="M682" s="85"/>
      <c r="N682" s="730"/>
      <c r="O682" s="85"/>
      <c r="P682" s="85"/>
      <c r="Q682" s="84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0"/>
      <c r="M683" s="85"/>
      <c r="N683" s="730"/>
      <c r="O683" s="85"/>
      <c r="P683" s="85"/>
      <c r="Q683" s="732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0"/>
      <c r="M684" s="85"/>
      <c r="N684" s="730"/>
      <c r="O684" s="85"/>
      <c r="P684" s="85"/>
      <c r="Q684" s="732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0"/>
      <c r="M685" s="85"/>
      <c r="N685" s="730"/>
      <c r="O685" s="85"/>
      <c r="P685" s="85"/>
      <c r="Q685" s="732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0"/>
      <c r="M686" s="85"/>
      <c r="N686" s="730"/>
      <c r="O686" s="85"/>
      <c r="P686" s="85"/>
      <c r="Q686" s="732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0"/>
      <c r="M687" s="85"/>
      <c r="N687" s="730"/>
      <c r="O687" s="85"/>
      <c r="P687" s="85"/>
      <c r="Q687" s="732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0"/>
      <c r="M688" s="96"/>
      <c r="N688" s="740"/>
      <c r="O688" s="96"/>
      <c r="P688" s="96"/>
      <c r="Q688" s="741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742" t="s">
        <v>35</v>
      </c>
      <c r="I689" s="743">
        <f ca="1">I707</f>
        <v>21</v>
      </c>
      <c r="J689" s="743">
        <f ca="1">J707</f>
        <v>0</v>
      </c>
      <c r="K689" s="744">
        <f ca="1">IF(I689&gt;0,J689*100/I689,0)</f>
        <v>0</v>
      </c>
      <c r="L689" s="712"/>
      <c r="M689" s="712"/>
      <c r="N689" s="712"/>
      <c r="O689" s="712"/>
      <c r="P689" s="712"/>
      <c r="Q689" s="713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262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389">
        <f ca="1">Q691+Q692</f>
        <v>126470</v>
      </c>
      <c r="R690" s="262">
        <f ca="1">R691+R692</f>
        <v>126470</v>
      </c>
      <c r="S690" s="262">
        <f ca="1">S691+S692</f>
        <v>73700</v>
      </c>
      <c r="T690" s="262">
        <f t="shared" ref="T690:T698" ca="1" si="169">IF(Q690&gt;0,S690*100/Q690,0)</f>
        <v>58.274689649719299</v>
      </c>
      <c r="U690" s="262">
        <f t="shared" ref="U690:U698" ca="1" si="170">IF(R690&gt;0,S690*100/R690,0)</f>
        <v>58.274689649719299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5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4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2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1">
        <f t="shared" ca="1" si="172"/>
        <v>126470</v>
      </c>
      <c r="R692" s="72">
        <f t="shared" ca="1" si="172"/>
        <v>126470</v>
      </c>
      <c r="S692" s="72">
        <f t="shared" ca="1" si="172"/>
        <v>73700</v>
      </c>
      <c r="T692" s="72">
        <f t="shared" ca="1" si="169"/>
        <v>58.274689649719299</v>
      </c>
      <c r="U692" s="72">
        <f t="shared" ca="1" si="170"/>
        <v>58.274689649719299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1">
        <f ca="1">Q694+Q695</f>
        <v>126470</v>
      </c>
      <c r="R693" s="72">
        <f ca="1">R694+R695</f>
        <v>126470</v>
      </c>
      <c r="S693" s="72">
        <f ca="1">S694+S695</f>
        <v>73700</v>
      </c>
      <c r="T693" s="72">
        <f t="shared" ca="1" si="169"/>
        <v>58.274689649719299</v>
      </c>
      <c r="U693" s="72">
        <f t="shared" ca="1" si="170"/>
        <v>58.274689649719299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5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4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2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1">
        <f ca="1">IFERROR(__xludf.DUMMYFUNCTION("IMPORTRANGE(""https://docs.google.com/spreadsheets/d/1ItG2mGa2ceCfYo0BwxsXqNm01IGEUdYcSSLTEv9YCik/edit?usp=sharing"",""เบิกจ่ายกองทุน!L57"")"),126470)</f>
        <v>126470</v>
      </c>
      <c r="R695" s="72">
        <f ca="1">IFERROR(__xludf.DUMMYFUNCTION("IMPORTRANGE(""https://docs.google.com/spreadsheets/d/1ItG2mGa2ceCfYo0BwxsXqNm01IGEUdYcSSLTEv9YCik/edit?usp=sharing"",""เบิกจ่ายกองทุน!M57"")"),126470)</f>
        <v>126470</v>
      </c>
      <c r="S695" s="72">
        <f ca="1">IFERROR(__xludf.DUMMYFUNCTION("IMPORTRANGE(""https://docs.google.com/spreadsheets/d/1ItG2mGa2ceCfYo0BwxsXqNm01IGEUdYcSSLTEv9YCik/edit?usp=sharing"",""เบิกจ่ายกองทุน!N57"")"),73700)</f>
        <v>73700</v>
      </c>
      <c r="T695" s="72">
        <f t="shared" ca="1" si="169"/>
        <v>58.274689649719299</v>
      </c>
      <c r="U695" s="72">
        <f t="shared" ca="1" si="170"/>
        <v>58.274689649719299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1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4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1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IFERROR(__xludf.DUMMYFUNCTION("IMPORTRANGE(""https://docs.google.com/spreadsheets/d/1eHaY18a8A9IcSdp1K8H6x8fbOy06t2VsZHhMHf-1x7Y/edit?usp=sharing"",""แผน!LC57"")"),0)</f>
        <v>0</v>
      </c>
      <c r="J700" s="292">
        <v>0</v>
      </c>
      <c r="K700" s="746">
        <f t="shared" ref="K700:K710" ca="1" si="173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22</v>
      </c>
      <c r="J701" s="601">
        <f ca="1">J703+J705</f>
        <v>1</v>
      </c>
      <c r="K701" s="262">
        <f t="shared" ca="1" si="173"/>
        <v>4.5454545454545459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1.83</v>
      </c>
      <c r="K702" s="262">
        <f t="shared" si="173"/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IFERROR(__xludf.DUMMYFUNCTION("IMPORTRANGE(""https://docs.google.com/spreadsheets/d/1eHaY18a8A9IcSdp1K8H6x8fbOy06t2VsZHhMHf-1x7Y/edit?usp=sharing"",""แผน!LJ57"")"),21)</f>
        <v>21</v>
      </c>
      <c r="J703" s="291">
        <f ca="1">IFERROR(__xludf.DUMMYFUNCTION("IMPORTRANGE(""https://docs.google.com/spreadsheets/d/1tdoBKaGub7dwA3U6UFTqxio9LNnvDCQjHKmttSEBsFQ/edit?usp=sharing"",""จัดที่ดิน!AP57"")"),1)</f>
        <v>1</v>
      </c>
      <c r="K703" s="72">
        <f t="shared" ca="1" si="173"/>
        <v>4.7619047619047619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IFERROR(__xludf.DUMMYFUNCTION("IMPORTRANGE(""https://docs.google.com/spreadsheets/d/1tdoBKaGub7dwA3U6UFTqxio9LNnvDCQjHKmttSEBsFQ/edit?usp=sharing"",""จัดที่ดิน!AQ57"")"),1.83)</f>
        <v>1.83</v>
      </c>
      <c r="K704" s="72">
        <f t="shared" si="173"/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IFERROR(__xludf.DUMMYFUNCTION("IMPORTRANGE(""https://docs.google.com/spreadsheets/d/1eHaY18a8A9IcSdp1K8H6x8fbOy06t2VsZHhMHf-1x7Y/edit?usp=sharing"",""แผน!LK57"")"),1)</f>
        <v>1</v>
      </c>
      <c r="J705" s="291">
        <f ca="1">IFERROR(__xludf.DUMMYFUNCTION("IMPORTRANGE(""https://docs.google.com/spreadsheets/d/1tdoBKaGub7dwA3U6UFTqxio9LNnvDCQjHKmttSEBsFQ/edit?usp=sharing"",""จัดที่ดิน!AR57"")"),0)</f>
        <v>0</v>
      </c>
      <c r="K705" s="746">
        <f t="shared" ca="1" si="173"/>
        <v>0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IFERROR(__xludf.DUMMYFUNCTION("IMPORTRANGE(""https://docs.google.com/spreadsheets/d/1tdoBKaGub7dwA3U6UFTqxio9LNnvDCQjHKmttSEBsFQ/edit?usp=sharing"",""จัดที่ดิน!AS57"")"),0)</f>
        <v>0</v>
      </c>
      <c r="K706" s="72">
        <f t="shared" si="173"/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IFERROR(__xludf.DUMMYFUNCTION("IMPORTRANGE(""https://docs.google.com/spreadsheets/d/1eHaY18a8A9IcSdp1K8H6x8fbOy06t2VsZHhMHf-1x7Y/edit?usp=sharing"",""แผน!LJ57"")"),21)</f>
        <v>21</v>
      </c>
      <c r="J707" s="291">
        <f ca="1">IFERROR(__xludf.DUMMYFUNCTION("IMPORTRANGE(""https://docs.google.com/spreadsheets/d/1tdoBKaGub7dwA3U6UFTqxio9LNnvDCQjHKmttSEBsFQ/edit?usp=sharing"",""จัดที่ดิน!BN57"")"),0)</f>
        <v>0</v>
      </c>
      <c r="K707" s="72">
        <f t="shared" ca="1" si="173"/>
        <v>0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IFERROR(__xludf.DUMMYFUNCTION("IMPORTRANGE(""https://docs.google.com/spreadsheets/d/1tdoBKaGub7dwA3U6UFTqxio9LNnvDCQjHKmttSEBsFQ/edit?usp=sharing"",""จัดที่ดิน!BO57"")"),0)</f>
        <v>0</v>
      </c>
      <c r="K708" s="72">
        <f t="shared" si="173"/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IFERROR(__xludf.DUMMYFUNCTION("IMPORTRANGE(""https://docs.google.com/spreadsheets/d/1eHaY18a8A9IcSdp1K8H6x8fbOy06t2VsZHhMHf-1x7Y/edit?usp=sharing"",""แผน!LK57"")"),1)</f>
        <v>1</v>
      </c>
      <c r="J709" s="291">
        <f ca="1">IFERROR(__xludf.DUMMYFUNCTION("IMPORTRANGE(""https://docs.google.com/spreadsheets/d/1tdoBKaGub7dwA3U6UFTqxio9LNnvDCQjHKmttSEBsFQ/edit?usp=sharing"",""จัดที่ดิน!BP57"")"),0)</f>
        <v>0</v>
      </c>
      <c r="K709" s="72">
        <f t="shared" ca="1" si="173"/>
        <v>0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IFERROR(__xludf.DUMMYFUNCTION("IMPORTRANGE(""https://docs.google.com/spreadsheets/d/1tdoBKaGub7dwA3U6UFTqxio9LNnvDCQjHKmttSEBsFQ/edit?usp=sharing"",""จัดที่ดิน!BQ57"")"),0)</f>
        <v>0</v>
      </c>
      <c r="K710" s="72">
        <f t="shared" si="173"/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79"/>
      <c r="M711" s="579"/>
      <c r="N711" s="579"/>
      <c r="O711" s="579"/>
      <c r="P711" s="579"/>
      <c r="Q711" s="580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2"/>
      <c r="M712" s="712"/>
      <c r="N712" s="712"/>
      <c r="O712" s="712"/>
      <c r="P712" s="712"/>
      <c r="Q712" s="713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2"/>
      <c r="M713" s="712"/>
      <c r="N713" s="712"/>
      <c r="O713" s="712"/>
      <c r="P713" s="712"/>
      <c r="Q713" s="713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262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389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5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4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2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1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2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1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5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4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2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1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2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1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4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2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1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IFERROR(__xludf.DUMMYFUNCTION("IMPORTRANGE(""https://docs.google.com/spreadsheets/d/1eHaY18a8A9IcSdp1K8H6x8fbOy06t2VsZHhMHf-1x7Y/edit?usp=sharing"",""แผน!GA57"")"),11)</f>
        <v>11</v>
      </c>
      <c r="J726" s="743">
        <f>J742+J746+J749</f>
        <v>11</v>
      </c>
      <c r="K726" s="744">
        <f ca="1">IF(I726&gt;0,J726*100/I726,0)</f>
        <v>100</v>
      </c>
      <c r="L726" s="712"/>
      <c r="M726" s="712"/>
      <c r="N726" s="712"/>
      <c r="O726" s="712"/>
      <c r="P726" s="712"/>
      <c r="Q726" s="713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IFERROR(__xludf.DUMMYFUNCTION("IMPORTRANGE(""https://docs.google.com/spreadsheets/d/1eHaY18a8A9IcSdp1K8H6x8fbOy06t2VsZHhMHf-1x7Y/edit?usp=sharing"",""แผน!FZ57"")"),100)</f>
        <v>100</v>
      </c>
      <c r="J727" s="743">
        <f>J752+J755</f>
        <v>0</v>
      </c>
      <c r="K727" s="744">
        <f ca="1">IF(I727&gt;0,J727*100/I727,0)</f>
        <v>0</v>
      </c>
      <c r="L727" s="712"/>
      <c r="M727" s="712"/>
      <c r="N727" s="712"/>
      <c r="O727" s="712"/>
      <c r="P727" s="712"/>
      <c r="Q727" s="713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262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389">
        <f ca="1">Q729+Q730</f>
        <v>111162</v>
      </c>
      <c r="R728" s="262">
        <f ca="1">R729+R730</f>
        <v>111162</v>
      </c>
      <c r="S728" s="262">
        <f ca="1">S729+S730</f>
        <v>43802</v>
      </c>
      <c r="T728" s="262">
        <f t="shared" ref="T728:T736" ca="1" si="182">IF(Q728&gt;0,S728*100/Q728,0)</f>
        <v>39.403753081088858</v>
      </c>
      <c r="U728" s="262">
        <f t="shared" ref="U728:U736" ca="1" si="183">IF(R728&gt;0,S728*100/R728,0)</f>
        <v>39.403753081088858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5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4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2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1">
        <f t="shared" ca="1" si="185"/>
        <v>111162</v>
      </c>
      <c r="R730" s="72">
        <f t="shared" ca="1" si="185"/>
        <v>111162</v>
      </c>
      <c r="S730" s="72">
        <f t="shared" ca="1" si="185"/>
        <v>43802</v>
      </c>
      <c r="T730" s="72">
        <f t="shared" ca="1" si="182"/>
        <v>39.403753081088858</v>
      </c>
      <c r="U730" s="72">
        <f t="shared" ca="1" si="183"/>
        <v>39.403753081088858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1">
        <f ca="1">Q732+Q733</f>
        <v>111162</v>
      </c>
      <c r="R731" s="72">
        <f ca="1">R732+R733</f>
        <v>111162</v>
      </c>
      <c r="S731" s="72">
        <f ca="1">S732+S733</f>
        <v>43802</v>
      </c>
      <c r="T731" s="72">
        <f t="shared" ca="1" si="182"/>
        <v>39.403753081088858</v>
      </c>
      <c r="U731" s="72">
        <f t="shared" ca="1" si="183"/>
        <v>39.403753081088858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5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4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2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1">
        <f ca="1">IFERROR(__xludf.DUMMYFUNCTION("IMPORTRANGE(""https://docs.google.com/spreadsheets/d/1ItG2mGa2ceCfYo0BwxsXqNm01IGEUdYcSSLTEv9YCik/edit?usp=sharing"",""เบิกจ่ายกองทุน!O57"")"),111162)</f>
        <v>111162</v>
      </c>
      <c r="R733" s="72">
        <f ca="1">IFERROR(__xludf.DUMMYFUNCTION("IMPORTRANGE(""https://docs.google.com/spreadsheets/d/1ItG2mGa2ceCfYo0BwxsXqNm01IGEUdYcSSLTEv9YCik/edit?usp=sharing"",""เบิกจ่ายกองทุน!P57"")"),111162)</f>
        <v>111162</v>
      </c>
      <c r="S733" s="72">
        <f ca="1">IFERROR(__xludf.DUMMYFUNCTION("IMPORTRANGE(""https://docs.google.com/spreadsheets/d/1ItG2mGa2ceCfYo0BwxsXqNm01IGEUdYcSSLTEv9YCik/edit?usp=sharing"",""เบิกจ่ายกองทุน!Q57"")"),43802)</f>
        <v>43802</v>
      </c>
      <c r="T733" s="72">
        <f t="shared" ca="1" si="182"/>
        <v>39.403753081088858</v>
      </c>
      <c r="U733" s="72">
        <f t="shared" ca="1" si="183"/>
        <v>39.403753081088858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1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5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4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2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1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IFERROR(__xludf.DUMMYFUNCTION("IMPORTRANGE(""https://docs.google.com/spreadsheets/d/1eHaY18a8A9IcSdp1K8H6x8fbOy06t2VsZHhMHf-1x7Y/edit?usp=sharing"",""แผน!GB57"")"),80)</f>
        <v>80</v>
      </c>
      <c r="J740" s="794">
        <v>0</v>
      </c>
      <c r="K740" s="86">
        <f ca="1">IF(I740&gt;0,J740*100/I740,0)</f>
        <v>0</v>
      </c>
      <c r="L740" s="70"/>
      <c r="M740" s="70"/>
      <c r="N740" s="70"/>
      <c r="O740" s="70"/>
      <c r="P740" s="70"/>
      <c r="Q740" s="519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8</v>
      </c>
      <c r="K741" s="70"/>
      <c r="L741" s="70"/>
      <c r="M741" s="70"/>
      <c r="N741" s="70"/>
      <c r="O741" s="70"/>
      <c r="P741" s="70"/>
      <c r="Q741" s="519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IFERROR(__xludf.DUMMYFUNCTION("IMPORTRANGE(""https://docs.google.com/spreadsheets/d/1eHaY18a8A9IcSdp1K8H6x8fbOy06t2VsZHhMHf-1x7Y/edit?usp=sharing"",""แผน!GC57"")"),8)</f>
        <v>8</v>
      </c>
      <c r="J742" s="794">
        <v>8</v>
      </c>
      <c r="K742" s="86">
        <f ca="1">IF(I742&gt;0,J742*100/I742,0)</f>
        <v>100</v>
      </c>
      <c r="L742" s="70"/>
      <c r="M742" s="70"/>
      <c r="N742" s="70"/>
      <c r="O742" s="70"/>
      <c r="P742" s="70"/>
      <c r="Q742" s="519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70"/>
      <c r="M743" s="70"/>
      <c r="N743" s="70"/>
      <c r="O743" s="70"/>
      <c r="P743" s="70"/>
      <c r="Q743" s="519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IFERROR(__xludf.DUMMYFUNCTION("IMPORTRANGE(""https://docs.google.com/spreadsheets/d/1eHaY18a8A9IcSdp1K8H6x8fbOy06t2VsZHhMHf-1x7Y/edit?usp=sharing"",""แผน!GD57"")"),20)</f>
        <v>20</v>
      </c>
      <c r="J744" s="794">
        <v>0</v>
      </c>
      <c r="K744" s="86">
        <f ca="1">IF(I744&gt;0,J744*100/I744,0)</f>
        <v>0</v>
      </c>
      <c r="L744" s="70"/>
      <c r="M744" s="70"/>
      <c r="N744" s="70"/>
      <c r="O744" s="70"/>
      <c r="P744" s="70"/>
      <c r="Q744" s="519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2</v>
      </c>
      <c r="K745" s="70"/>
      <c r="L745" s="70"/>
      <c r="M745" s="70"/>
      <c r="N745" s="70"/>
      <c r="O745" s="70"/>
      <c r="P745" s="70"/>
      <c r="Q745" s="519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IFERROR(__xludf.DUMMYFUNCTION("IMPORTRANGE(""https://docs.google.com/spreadsheets/d/1eHaY18a8A9IcSdp1K8H6x8fbOy06t2VsZHhMHf-1x7Y/edit?usp=sharing"",""แผน!GE57"")"),2)</f>
        <v>2</v>
      </c>
      <c r="J746" s="794">
        <v>2</v>
      </c>
      <c r="K746" s="86">
        <f ca="1">IF(I746&gt;0,J746*100/I746,0)</f>
        <v>100</v>
      </c>
      <c r="L746" s="70"/>
      <c r="M746" s="70"/>
      <c r="N746" s="70"/>
      <c r="O746" s="70"/>
      <c r="P746" s="70"/>
      <c r="Q746" s="519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70"/>
      <c r="M747" s="70"/>
      <c r="N747" s="70"/>
      <c r="O747" s="70"/>
      <c r="P747" s="70"/>
      <c r="Q747" s="519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0</v>
      </c>
      <c r="K748" s="70"/>
      <c r="L748" s="70"/>
      <c r="M748" s="70"/>
      <c r="N748" s="70"/>
      <c r="O748" s="70"/>
      <c r="P748" s="70"/>
      <c r="Q748" s="519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IFERROR(__xludf.DUMMYFUNCTION("IMPORTRANGE(""https://docs.google.com/spreadsheets/d/1eHaY18a8A9IcSdp1K8H6x8fbOy06t2VsZHhMHf-1x7Y/edit?usp=sharing"",""แผน!GF57"")"),1)</f>
        <v>1</v>
      </c>
      <c r="J749" s="794">
        <v>1</v>
      </c>
      <c r="K749" s="86">
        <f ca="1">IF(I749&gt;0,J749*100/I749,0)</f>
        <v>100</v>
      </c>
      <c r="L749" s="70"/>
      <c r="M749" s="70"/>
      <c r="N749" s="70"/>
      <c r="O749" s="70"/>
      <c r="P749" s="70"/>
      <c r="Q749" s="519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70"/>
      <c r="M750" s="70"/>
      <c r="N750" s="70"/>
      <c r="O750" s="70"/>
      <c r="P750" s="70"/>
      <c r="Q750" s="519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70"/>
      <c r="M751" s="70"/>
      <c r="N751" s="70"/>
      <c r="O751" s="70"/>
      <c r="P751" s="70"/>
      <c r="Q751" s="519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IFERROR(__xludf.DUMMYFUNCTION("IMPORTRANGE(""https://docs.google.com/spreadsheets/d/1eHaY18a8A9IcSdp1K8H6x8fbOy06t2VsZHhMHf-1x7Y/edit?usp=sharing"",""แผน!GB57"")"),80)</f>
        <v>80</v>
      </c>
      <c r="J752" s="794">
        <v>0</v>
      </c>
      <c r="K752" s="86">
        <f ca="1">IF(I752&gt;0,J752*100/I752,0)</f>
        <v>0</v>
      </c>
      <c r="L752" s="70"/>
      <c r="M752" s="70"/>
      <c r="N752" s="70"/>
      <c r="O752" s="70"/>
      <c r="P752" s="70"/>
      <c r="Q752" s="519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>
        <v>0</v>
      </c>
      <c r="K753" s="70"/>
      <c r="L753" s="70"/>
      <c r="M753" s="70"/>
      <c r="N753" s="70"/>
      <c r="O753" s="70"/>
      <c r="P753" s="70"/>
      <c r="Q753" s="519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70"/>
      <c r="M754" s="70"/>
      <c r="N754" s="70"/>
      <c r="O754" s="70"/>
      <c r="P754" s="70"/>
      <c r="Q754" s="519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IFERROR(__xludf.DUMMYFUNCTION("IMPORTRANGE(""https://docs.google.com/spreadsheets/d/1eHaY18a8A9IcSdp1K8H6x8fbOy06t2VsZHhMHf-1x7Y/edit?usp=sharing"",""แผน!GD57"")"),20)</f>
        <v>20</v>
      </c>
      <c r="J755" s="794">
        <v>0</v>
      </c>
      <c r="K755" s="86">
        <f ca="1">IF(I755&gt;0,J755*100/I755,0)</f>
        <v>0</v>
      </c>
      <c r="L755" s="70"/>
      <c r="M755" s="70"/>
      <c r="N755" s="70"/>
      <c r="O755" s="70"/>
      <c r="P755" s="70"/>
      <c r="Q755" s="519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>
        <v>0</v>
      </c>
      <c r="K756" s="70"/>
      <c r="L756" s="70"/>
      <c r="M756" s="70"/>
      <c r="N756" s="70"/>
      <c r="O756" s="70"/>
      <c r="P756" s="70"/>
      <c r="Q756" s="519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1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2"/>
      <c r="M758" s="712"/>
      <c r="N758" s="712"/>
      <c r="O758" s="712"/>
      <c r="P758" s="712"/>
      <c r="Q758" s="713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2"/>
      <c r="M759" s="712"/>
      <c r="N759" s="712"/>
      <c r="O759" s="712"/>
      <c r="P759" s="712"/>
      <c r="Q759" s="713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262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389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5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4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2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1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1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5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4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2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1">
        <f ca="1">IFERROR(__xludf.DUMMYFUNCTION("IMPORTRANGE(""https://docs.google.com/spreadsheets/d/1ItG2mGa2ceCfYo0BwxsXqNm01IGEUdYcSSLTEv9YCik/edit?usp=sharing"",""เบิกจ่ายกองทุน!AA57"")"),0)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IFERROR(__xludf.DUMMYFUNCTION("IMPORTRANGE(""https://docs.google.com/spreadsheets/d/1ItG2mGa2ceCfYo0BwxsXqNm01IGEUdYcSSLTEv9YCik/edit?usp=sharing"",""เบิกจ่ายกองทุน!AB57"")"),0)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IFERROR(__xludf.DUMMYFUNCTION("IMPORTRANGE(""https://docs.google.com/spreadsheets/d/1ItG2mGa2ceCfYo0BwxsXqNm01IGEUdYcSSLTEv9YCik/edit?usp=sharing"",""เบิกจ่ายกองทุน!AC57"")"),0)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1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5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4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2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1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IFERROR(__xludf.DUMMYFUNCTION("IMPORTRANGE(""https://docs.google.com/spreadsheets/d/1eHaY18a8A9IcSdp1K8H6x8fbOy06t2VsZHhMHf-1x7Y/edit?usp=sharing"",""แผน!FI57"")"),0)</f>
        <v>0</v>
      </c>
      <c r="J770" s="570"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IFERROR(__xludf.DUMMYFUNCTION("IMPORTRANGE(""https://docs.google.com/spreadsheets/d/1eHaY18a8A9IcSdp1K8H6x8fbOy06t2VsZHhMHf-1x7Y/edit?usp=sharing"",""แผน!FQ57"")"),0)</f>
        <v>0</v>
      </c>
      <c r="J772" s="292">
        <v>0</v>
      </c>
      <c r="K772" s="72">
        <f ca="1">IF(I772&gt;0,J772*100/I772,0)</f>
        <v>0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IFERROR(__xludf.DUMMYFUNCTION("IMPORTRANGE(""https://docs.google.com/spreadsheets/d/1eHaY18a8A9IcSdp1K8H6x8fbOy06t2VsZHhMHf-1x7Y/edit?usp=sharing"",""แผน!FR57"")"),0)</f>
        <v>0</v>
      </c>
      <c r="J774" s="292">
        <v>0</v>
      </c>
      <c r="K774" s="72">
        <f ca="1">IF(I774&gt;0,J774*100/I774,0)</f>
        <v>0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IFERROR(__xludf.DUMMYFUNCTION("IMPORTRANGE(""https://docs.google.com/spreadsheets/d/1eHaY18a8A9IcSdp1K8H6x8fbOy06t2VsZHhMHf-1x7Y/edit?usp=sharing"",""แผน!FS57"")"),0)</f>
        <v>0</v>
      </c>
      <c r="J775" s="292">
        <v>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IFERROR(__xludf.DUMMYFUNCTION("IMPORTRANGE(""https://docs.google.com/spreadsheets/d/1eHaY18a8A9IcSdp1K8H6x8fbOy06t2VsZHhMHf-1x7Y/edit?usp=sharing"",""แผน!FT57"")"),0)</f>
        <v>0</v>
      </c>
      <c r="J776" s="739">
        <v>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IFERROR(__xludf.DUMMYFUNCTION("IMPORTRANGE(""https://docs.google.com/spreadsheets/d/10OvvATaaLtwErnr3qtWFcTmtbfpFEt5Bsqel9sXx0uE/edit?usp=sharing"",""งานกองทุน!D57"")"),2311595.19)</f>
        <v>2311595.19</v>
      </c>
      <c r="J778" s="291">
        <f ca="1">IFERROR(__xludf.DUMMYFUNCTION("IMPORTRANGE(""https://docs.google.com/spreadsheets/d/10OvvATaaLtwErnr3qtWFcTmtbfpFEt5Bsqel9sXx0uE/edit?usp=sharing"",""งานกองทุน!F57"")"),1608325.09)</f>
        <v>1608325.09</v>
      </c>
      <c r="K778" s="72">
        <f t="shared" ref="K778:K785" ca="1" si="192">IF(I778&gt;0,J778*100/I778,0)</f>
        <v>69.576416189030056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IFERROR(__xludf.DUMMYFUNCTION("IMPORTRANGE(""https://docs.google.com/spreadsheets/d/10OvvATaaLtwErnr3qtWFcTmtbfpFEt5Bsqel9sXx0uE/edit?usp=sharing"",""งานกองทุน!C57"")"),134)</f>
        <v>134</v>
      </c>
      <c r="J779" s="291">
        <f ca="1">IFERROR(__xludf.DUMMYFUNCTION("IMPORTRANGE(""https://docs.google.com/spreadsheets/d/10OvvATaaLtwErnr3qtWFcTmtbfpFEt5Bsqel9sXx0uE/edit?usp=sharing"",""งานกองทุน!E57"")"),95)</f>
        <v>95</v>
      </c>
      <c r="K779" s="72">
        <f t="shared" ca="1" si="192"/>
        <v>70.895522388059703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IFERROR(__xludf.DUMMYFUNCTION("IMPORTRANGE(""https://docs.google.com/spreadsheets/d/10OvvATaaLtwErnr3qtWFcTmtbfpFEt5Bsqel9sXx0uE/edit?usp=sharing"",""งานกองทุน!I57"")"),6704945.28)</f>
        <v>6704945.2800000003</v>
      </c>
      <c r="J780" s="291">
        <f ca="1">IFERROR(__xludf.DUMMYFUNCTION("IMPORTRANGE(""https://docs.google.com/spreadsheets/d/10OvvATaaLtwErnr3qtWFcTmtbfpFEt5Bsqel9sXx0uE/edit?usp=sharing"",""งานกองทุน!K57"")"),554604.97)</f>
        <v>554604.97</v>
      </c>
      <c r="K780" s="72">
        <f t="shared" ca="1" si="192"/>
        <v>8.2715808532295725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IFERROR(__xludf.DUMMYFUNCTION("IMPORTRANGE(""https://docs.google.com/spreadsheets/d/10OvvATaaLtwErnr3qtWFcTmtbfpFEt5Bsqel9sXx0uE/edit?usp=sharing"",""งานกองทุน!H57"")"),288)</f>
        <v>288</v>
      </c>
      <c r="J781" s="291">
        <f ca="1">IFERROR(__xludf.DUMMYFUNCTION("IMPORTRANGE(""https://docs.google.com/spreadsheets/d/10OvvATaaLtwErnr3qtWFcTmtbfpFEt5Bsqel9sXx0uE/edit?usp=sharing"",""งานกองทุน!J57"")"),65)</f>
        <v>65</v>
      </c>
      <c r="K781" s="72">
        <f t="shared" ca="1" si="192"/>
        <v>22.569444444444443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IFERROR(__xludf.DUMMYFUNCTION("IMPORTRANGE(""https://docs.google.com/spreadsheets/d/10OvvATaaLtwErnr3qtWFcTmtbfpFEt5Bsqel9sXx0uE/edit?usp=sharing"",""งานกองทุน!N57"")"),8628977.84)</f>
        <v>8628977.8399999999</v>
      </c>
      <c r="J782" s="291">
        <f ca="1">IFERROR(__xludf.DUMMYFUNCTION("IMPORTRANGE(""https://docs.google.com/spreadsheets/d/10OvvATaaLtwErnr3qtWFcTmtbfpFEt5Bsqel9sXx0uE/edit?usp=sharing"",""งานกองทุน!P57"")"),1360508.08)</f>
        <v>1360508.08</v>
      </c>
      <c r="K782" s="72">
        <f t="shared" ca="1" si="192"/>
        <v>15.766735124678453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IFERROR(__xludf.DUMMYFUNCTION("IMPORTRANGE(""https://docs.google.com/spreadsheets/d/10OvvATaaLtwErnr3qtWFcTmtbfpFEt5Bsqel9sXx0uE/edit?usp=sharing"",""งานกองทุน!M57"")"),259)</f>
        <v>259</v>
      </c>
      <c r="J783" s="291">
        <f ca="1">IFERROR(__xludf.DUMMYFUNCTION("IMPORTRANGE(""https://docs.google.com/spreadsheets/d/10OvvATaaLtwErnr3qtWFcTmtbfpFEt5Bsqel9sXx0uE/edit?usp=sharing"",""งานกองทุน!O57"")"),25)</f>
        <v>25</v>
      </c>
      <c r="K783" s="72">
        <f t="shared" ca="1" si="192"/>
        <v>9.6525096525096519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IFERROR(__xludf.DUMMYFUNCTION("IMPORTRANGE(""https://docs.google.com/spreadsheets/d/10OvvATaaLtwErnr3qtWFcTmtbfpFEt5Bsqel9sXx0uE/edit?usp=sharing"",""งานกองทุน!S57"")"),3640000)</f>
        <v>3640000</v>
      </c>
      <c r="J784" s="291">
        <f ca="1">IFERROR(__xludf.DUMMYFUNCTION("IMPORTRANGE(""https://docs.google.com/spreadsheets/d/10OvvATaaLtwErnr3qtWFcTmtbfpFEt5Bsqel9sXx0uE/edit?usp=sharing"",""งานกองทุน!U57"")"),1750000)</f>
        <v>1750000</v>
      </c>
      <c r="K784" s="72">
        <f t="shared" ca="1" si="192"/>
        <v>48.07692307692308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IFERROR(__xludf.DUMMYFUNCTION("IMPORTRANGE(""https://docs.google.com/spreadsheets/d/10OvvATaaLtwErnr3qtWFcTmtbfpFEt5Bsqel9sXx0uE/edit?usp=sharing"",""งานกองทุน!R57"")"),130)</f>
        <v>130</v>
      </c>
      <c r="J785" s="773">
        <f ca="1">IFERROR(__xludf.DUMMYFUNCTION("IMPORTRANGE(""https://docs.google.com/spreadsheets/d/10OvvATaaLtwErnr3qtWFcTmtbfpFEt5Bsqel9sXx0uE/edit?usp=sharing"",""งานกองทุน!T57"")"),44)</f>
        <v>44</v>
      </c>
      <c r="K785" s="181">
        <f t="shared" ca="1" si="192"/>
        <v>33.846153846153847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7C398-8060-46C2-AE06-86AB3777A55E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349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61" t="s">
        <v>3</v>
      </c>
      <c r="I4" s="1463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6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09"/>
      <c r="I5" s="1411"/>
      <c r="J5" s="1411"/>
      <c r="K5" s="1412"/>
      <c r="L5" s="1457" t="s">
        <v>7</v>
      </c>
      <c r="M5" s="1412"/>
      <c r="N5" s="1433" t="s">
        <v>8</v>
      </c>
      <c r="O5" s="1411"/>
      <c r="P5" s="1412"/>
      <c r="Q5" s="1426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12"/>
      <c r="I6" s="1342" t="s">
        <v>9</v>
      </c>
      <c r="J6" s="1343" t="s">
        <v>10</v>
      </c>
      <c r="K6" s="1342" t="s">
        <v>11</v>
      </c>
      <c r="L6" s="1067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7"/>
      <c r="M7" s="17"/>
      <c r="N7" s="17"/>
      <c r="O7" s="17"/>
      <c r="P7" s="17"/>
      <c r="Q7" s="16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8"/>
      <c r="M8" s="28"/>
      <c r="N8" s="28"/>
      <c r="O8" s="28"/>
      <c r="P8" s="28"/>
      <c r="Q8" s="27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8"/>
      <c r="M9" s="28"/>
      <c r="N9" s="28"/>
      <c r="O9" s="28"/>
      <c r="P9" s="28"/>
      <c r="Q9" s="27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8"/>
      <c r="M10" s="28"/>
      <c r="N10" s="28"/>
      <c r="O10" s="28"/>
      <c r="P10" s="28"/>
      <c r="Q10" s="27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8"/>
      <c r="M11" s="28"/>
      <c r="N11" s="28"/>
      <c r="O11" s="28"/>
      <c r="P11" s="28"/>
      <c r="Q11" s="27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8"/>
      <c r="M12" s="28"/>
      <c r="N12" s="28"/>
      <c r="O12" s="28"/>
      <c r="P12" s="28"/>
      <c r="Q12" s="27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8"/>
      <c r="M13" s="28"/>
      <c r="N13" s="28"/>
      <c r="O13" s="28"/>
      <c r="P13" s="28"/>
      <c r="Q13" s="27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7"/>
      <c r="M16" s="17"/>
      <c r="N16" s="17"/>
      <c r="O16" s="17"/>
      <c r="P16" s="17"/>
      <c r="Q16" s="16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5"/>
      <c r="M17" s="45"/>
      <c r="N17" s="45"/>
      <c r="O17" s="45"/>
      <c r="P17" s="45"/>
      <c r="Q17" s="44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7">
        <f ca="1">L19+L20</f>
        <v>2814816</v>
      </c>
      <c r="M18" s="57">
        <f ca="1">M19+M20</f>
        <v>3315786</v>
      </c>
      <c r="N18" s="57">
        <f ca="1">N19+N20</f>
        <v>2462243.63</v>
      </c>
      <c r="O18" s="57">
        <f t="shared" ref="O18:O26" ca="1" si="0">IF(L18&gt;0,N18*100/L18,0)</f>
        <v>87.474407918670352</v>
      </c>
      <c r="P18" s="57">
        <f t="shared" ref="P18:P26" ca="1" si="1">IF(M18&gt;0,N18*100/M18,0)</f>
        <v>74.258219016546903</v>
      </c>
      <c r="Q18" s="56">
        <f ca="1">Q19+Q20</f>
        <v>620929</v>
      </c>
      <c r="R18" s="57">
        <f ca="1">R19+R20</f>
        <v>620929</v>
      </c>
      <c r="S18" s="57">
        <f ca="1">S19+S20</f>
        <v>332965</v>
      </c>
      <c r="T18" s="57">
        <f t="shared" ref="T18:T26" ca="1" si="2">IF(Q18&gt;0,S18*100/Q18,0)</f>
        <v>53.623683223041603</v>
      </c>
      <c r="U18" s="57">
        <f t="shared" ref="U18:U26" ca="1" si="3">IF(R18&gt;0,S18*100/R18,0)</f>
        <v>53.623683223041603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1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0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3">
        <f t="shared" ca="1" si="4"/>
        <v>2814816</v>
      </c>
      <c r="M20" s="63">
        <f t="shared" ca="1" si="4"/>
        <v>3315786</v>
      </c>
      <c r="N20" s="63">
        <f t="shared" ca="1" si="4"/>
        <v>2462243.63</v>
      </c>
      <c r="O20" s="63">
        <f t="shared" ca="1" si="0"/>
        <v>87.474407918670352</v>
      </c>
      <c r="P20" s="63">
        <f t="shared" ca="1" si="1"/>
        <v>74.258219016546903</v>
      </c>
      <c r="Q20" s="62">
        <f t="shared" ca="1" si="5"/>
        <v>620929</v>
      </c>
      <c r="R20" s="63">
        <f t="shared" ca="1" si="5"/>
        <v>620929</v>
      </c>
      <c r="S20" s="63">
        <f t="shared" ca="1" si="5"/>
        <v>332965</v>
      </c>
      <c r="T20" s="63">
        <f t="shared" ca="1" si="2"/>
        <v>53.623683223041603</v>
      </c>
      <c r="U20" s="63">
        <f t="shared" ca="1" si="3"/>
        <v>53.623683223041603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2">
        <f ca="1">L22+L23</f>
        <v>2164816</v>
      </c>
      <c r="M21" s="72">
        <f ca="1">M22+M23</f>
        <v>2665786</v>
      </c>
      <c r="N21" s="72">
        <f ca="1">N22+N23</f>
        <v>1812243.63</v>
      </c>
      <c r="O21" s="72">
        <f t="shared" ca="1" si="0"/>
        <v>83.713517915610382</v>
      </c>
      <c r="P21" s="72">
        <f t="shared" ca="1" si="1"/>
        <v>67.981587044121326</v>
      </c>
      <c r="Q21" s="71">
        <f ca="1">Q22+Q23</f>
        <v>620929</v>
      </c>
      <c r="R21" s="72">
        <f ca="1">R22+R23</f>
        <v>620929</v>
      </c>
      <c r="S21" s="72">
        <f ca="1">S22+S23</f>
        <v>332965</v>
      </c>
      <c r="T21" s="72">
        <f t="shared" ca="1" si="2"/>
        <v>53.623683223041603</v>
      </c>
      <c r="U21" s="72">
        <f t="shared" ca="1" si="3"/>
        <v>53.623683223041603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5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4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2">
        <f ca="1">L49+L64+L77+L99+L122+L144+L162+L191+L178+L271+L287+L308+L325+L338+L361+L380+L418+L498+L518+L539+L560+L581+L604+L621+L647+L695+L719+L733+L765</f>
        <v>2164816</v>
      </c>
      <c r="M23" s="72">
        <f ca="1">M49+M64+M77+M99+M122+M144+M162+M191+M178+M271+M287+M308+M325+M338+M361+M380+M418+M498+M518+M539+M560+M581+M604+M621+M647+M695+M719+M733+M765</f>
        <v>2665786</v>
      </c>
      <c r="N23" s="72">
        <f ca="1">N49+N64+N77+N99+N122+N144+N162+N191+N178+N271+N287+N308+N325+N338+N361+N380+N418+N498+N518+N539+N560+N581+N604+N621+N647+N695+N719+N733+N765</f>
        <v>1812243.63</v>
      </c>
      <c r="O23" s="72">
        <f t="shared" ca="1" si="0"/>
        <v>83.713517915610382</v>
      </c>
      <c r="P23" s="72">
        <f t="shared" ca="1" si="1"/>
        <v>67.981587044121326</v>
      </c>
      <c r="Q23" s="71">
        <f t="shared" ca="1" si="6"/>
        <v>620929</v>
      </c>
      <c r="R23" s="72">
        <f t="shared" ca="1" si="6"/>
        <v>620929</v>
      </c>
      <c r="S23" s="72">
        <f t="shared" ca="1" si="6"/>
        <v>332965</v>
      </c>
      <c r="T23" s="72">
        <f t="shared" ca="1" si="2"/>
        <v>53.623683223041603</v>
      </c>
      <c r="U23" s="72">
        <f t="shared" ca="1" si="3"/>
        <v>53.623683223041603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2">
        <f ca="1">L25+L26</f>
        <v>650000</v>
      </c>
      <c r="M24" s="72">
        <f ca="1">M25+M26</f>
        <v>650000</v>
      </c>
      <c r="N24" s="72">
        <f ca="1">N25+N26</f>
        <v>650000</v>
      </c>
      <c r="O24" s="72">
        <f t="shared" ca="1" si="0"/>
        <v>100</v>
      </c>
      <c r="P24" s="72">
        <f t="shared" ca="1" si="1"/>
        <v>100</v>
      </c>
      <c r="Q24" s="71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5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4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2">
        <f ca="1">L52+L67+L80+L102+L125+L147+L165+L194+L181+L274+L290+L311+L328+L341+L364+L383+L421+L501+L521+L542+L563+L584+L607+L624+L650+L698+L722+L736+L768</f>
        <v>650000</v>
      </c>
      <c r="M26" s="72">
        <f ca="1">M52+M67+M80+M102+M125+M147+M165+M194+M181+M274+M290+M311+M328+M341+M364+M383+M421+M501+M521+M542+M563+M584+M607+M624+M650+M698+M722+M736+M768</f>
        <v>650000</v>
      </c>
      <c r="N26" s="72">
        <f ca="1">N52+N67+N80+N102+N125+N147+N165+N194+N181+N274+N290+N311+N328+N341+N364+N383+N421+N501+N521+N542+N563+N584+N607+N624+N650+N698+N722+N736+N768</f>
        <v>650000</v>
      </c>
      <c r="O26" s="72">
        <f t="shared" ca="1" si="0"/>
        <v>100</v>
      </c>
      <c r="P26" s="72">
        <f t="shared" ca="1" si="1"/>
        <v>100</v>
      </c>
      <c r="Q26" s="74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72"/>
      <c r="M27" s="72"/>
      <c r="N27" s="72"/>
      <c r="O27" s="72"/>
      <c r="P27" s="72"/>
      <c r="Q27" s="84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75"/>
      <c r="M28" s="75"/>
      <c r="N28" s="75"/>
      <c r="O28" s="75"/>
      <c r="P28" s="75"/>
      <c r="Q28" s="84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181"/>
      <c r="M29" s="181"/>
      <c r="N29" s="181"/>
      <c r="O29" s="181"/>
      <c r="P29" s="181"/>
      <c r="Q29" s="95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7"/>
      <c r="M30" s="17"/>
      <c r="N30" s="17"/>
      <c r="O30" s="17"/>
      <c r="P30" s="17"/>
      <c r="Q30" s="16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8"/>
      <c r="M32" s="28"/>
      <c r="N32" s="28"/>
      <c r="O32" s="28"/>
      <c r="P32" s="28"/>
      <c r="Q32" s="27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8"/>
      <c r="M37" s="28"/>
      <c r="N37" s="28"/>
      <c r="O37" s="28"/>
      <c r="P37" s="28"/>
      <c r="Q37" s="27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7"/>
      <c r="M39" s="17"/>
      <c r="N39" s="17"/>
      <c r="O39" s="17"/>
      <c r="P39" s="17"/>
      <c r="Q39" s="16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0">
        <f ca="1">L44+L59+L72+L94+L125+L139+L157+L173+L186+L266+L282+L303+L320+L333+L356</f>
        <v>2515780</v>
      </c>
      <c r="M40" s="1050">
        <f ca="1">M44+M59+M72+M94+M125+M139+M157+M173+M186+M266+M282+M303+M320+M333+M356</f>
        <v>2596750</v>
      </c>
      <c r="N40" s="1050">
        <f ca="1">N44+N59+N72+N94+N125+N139+N157+N173+N186+N266+N282+N303+N320+N333+N356</f>
        <v>2002627.63</v>
      </c>
      <c r="O40" s="1050">
        <f ca="1">IF(L40&gt;0,N40*100/L40,0)</f>
        <v>79.602653252669157</v>
      </c>
      <c r="P40" s="1050">
        <f ca="1">IF(M40&gt;0,N40*100/M40,0)</f>
        <v>77.120540290748053</v>
      </c>
      <c r="Q40" s="1341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340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7"/>
      <c r="M42" s="1037"/>
      <c r="N42" s="1037"/>
      <c r="O42" s="1037"/>
      <c r="P42" s="1037"/>
      <c r="Q42" s="1038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1">
        <f ca="1">L45+L46</f>
        <v>291730</v>
      </c>
      <c r="M44" s="1031">
        <f ca="1">M45+M46</f>
        <v>301410</v>
      </c>
      <c r="N44" s="1031">
        <f ca="1">N45+N46</f>
        <v>230289</v>
      </c>
      <c r="O44" s="1031">
        <f t="shared" ref="O44:O52" ca="1" si="8">IF(L44&gt;0,N44*100/L44,0)</f>
        <v>78.939087512425871</v>
      </c>
      <c r="P44" s="1031">
        <f t="shared" ref="P44:P52" ca="1" si="9">IF(M44&gt;0,N44*100/M44,0)</f>
        <v>76.403901662187721</v>
      </c>
      <c r="Q44" s="1032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7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8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8">
        <f t="shared" ca="1" si="12"/>
        <v>291730</v>
      </c>
      <c r="M46" s="1018">
        <f t="shared" ca="1" si="12"/>
        <v>301410</v>
      </c>
      <c r="N46" s="1018">
        <f t="shared" ca="1" si="12"/>
        <v>230289</v>
      </c>
      <c r="O46" s="1018">
        <f t="shared" ca="1" si="8"/>
        <v>78.939087512425871</v>
      </c>
      <c r="P46" s="1018">
        <f t="shared" ca="1" si="9"/>
        <v>76.403901662187721</v>
      </c>
      <c r="Q46" s="1019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2">
        <f ca="1">L48+L49</f>
        <v>291730</v>
      </c>
      <c r="M47" s="72">
        <f ca="1">M48+M49</f>
        <v>301410</v>
      </c>
      <c r="N47" s="72">
        <f ca="1">N48+N49</f>
        <v>230289</v>
      </c>
      <c r="O47" s="72">
        <f t="shared" ca="1" si="8"/>
        <v>78.939087512425871</v>
      </c>
      <c r="P47" s="72">
        <f t="shared" ca="1" si="9"/>
        <v>76.403901662187721</v>
      </c>
      <c r="Q47" s="71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5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4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2">
        <f ca="1">IFERROR(__xludf.DUMMYFUNCTION("IMPORTRANGE(""https://docs.google.com/spreadsheets/d/1-uDff_7J0KD5mKrp0Vvzr7lt3OU09vwQwhkpOPPYv2Y/edit?usp=sharing"",""งบพรบ!P58"")"),291730)</f>
        <v>291730</v>
      </c>
      <c r="M49" s="72">
        <f ca="1">IFERROR(__xludf.DUMMYFUNCTION("IMPORTRANGE(""https://docs.google.com/spreadsheets/d/1-uDff_7J0KD5mKrp0Vvzr7lt3OU09vwQwhkpOPPYv2Y/edit?usp=sharing"",""งบพรบ!V58"")"),301410)</f>
        <v>301410</v>
      </c>
      <c r="N49" s="72">
        <f ca="1">IFERROR(__xludf.DUMMYFUNCTION("IMPORTRANGE(""https://docs.google.com/spreadsheets/d/1-uDff_7J0KD5mKrp0Vvzr7lt3OU09vwQwhkpOPPYv2Y/edit?usp=sharing"",""งบพรบ!Y58"")"),230289)</f>
        <v>230289</v>
      </c>
      <c r="O49" s="72">
        <f t="shared" ca="1" si="8"/>
        <v>78.939087512425871</v>
      </c>
      <c r="P49" s="72">
        <f t="shared" ca="1" si="9"/>
        <v>76.403901662187721</v>
      </c>
      <c r="Q49" s="71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2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1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5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4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2">
        <f ca="1">IFERROR(__xludf.DUMMYFUNCTION("IMPORTRANGE(""https://docs.google.com/spreadsheets/d/1-uDff_7J0KD5mKrp0Vvzr7lt3OU09vwQwhkpOPPYv2Y/edit?usp=sharing"",""งบพรบ!S58"")"),0)</f>
        <v>0</v>
      </c>
      <c r="M52" s="72">
        <f ca="1">IFERROR(__xludf.DUMMYFUNCTION("IMPORTRANGE(""https://docs.google.com/spreadsheets/d/1-uDff_7J0KD5mKrp0Vvzr7lt3OU09vwQwhkpOPPYv2Y/edit?usp=sharing"",""งบพรบ!W58"")"),0)</f>
        <v>0</v>
      </c>
      <c r="N52" s="72">
        <f ca="1">IFERROR(__xludf.DUMMYFUNCTION("IMPORTRANGE(""https://docs.google.com/spreadsheets/d/1-uDff_7J0KD5mKrp0Vvzr7lt3OU09vwQwhkpOPPYv2Y/edit?usp=sharing"",""งบพรบ!Z58"")"),0)</f>
        <v>0</v>
      </c>
      <c r="O52" s="72">
        <f t="shared" ca="1" si="8"/>
        <v>0</v>
      </c>
      <c r="P52" s="72">
        <f t="shared" ca="1" si="9"/>
        <v>0</v>
      </c>
      <c r="Q52" s="71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72"/>
      <c r="M53" s="72"/>
      <c r="N53" s="72"/>
      <c r="O53" s="72"/>
      <c r="P53" s="72"/>
      <c r="Q53" s="84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75"/>
      <c r="M54" s="75"/>
      <c r="N54" s="75"/>
      <c r="O54" s="75"/>
      <c r="P54" s="75"/>
      <c r="Q54" s="84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181"/>
      <c r="M55" s="181"/>
      <c r="N55" s="181"/>
      <c r="O55" s="181"/>
      <c r="P55" s="181"/>
      <c r="Q55" s="95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339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5"/>
      <c r="M57" s="145"/>
      <c r="N57" s="145"/>
      <c r="O57" s="145"/>
      <c r="P57" s="145"/>
      <c r="Q57" s="144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3"/>
      <c r="M58" s="153"/>
      <c r="N58" s="153"/>
      <c r="O58" s="153"/>
      <c r="P58" s="153"/>
      <c r="Q58" s="152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1">
        <f ca="1">L60+L61</f>
        <v>1290400</v>
      </c>
      <c r="M59" s="1001">
        <f ca="1">M60+M61</f>
        <v>1290400</v>
      </c>
      <c r="N59" s="1001">
        <f ca="1">N60+N61</f>
        <v>1123539.6299999999</v>
      </c>
      <c r="O59" s="1001">
        <f t="shared" ref="O59:O67" ca="1" si="14">IF(L59&gt;0,N59*100/L59,0)</f>
        <v>87.069097179169233</v>
      </c>
      <c r="P59" s="1001">
        <f t="shared" ref="P59:P67" ca="1" si="15">IF(M59&gt;0,N59*100/M59,0)</f>
        <v>87.069097179169233</v>
      </c>
      <c r="Q59" s="1002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7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8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8">
        <f t="shared" ca="1" si="18"/>
        <v>1290400</v>
      </c>
      <c r="M61" s="988">
        <f t="shared" ca="1" si="18"/>
        <v>1290400</v>
      </c>
      <c r="N61" s="988">
        <f t="shared" ca="1" si="18"/>
        <v>1123539.6299999999</v>
      </c>
      <c r="O61" s="988">
        <f t="shared" ca="1" si="14"/>
        <v>87.069097179169233</v>
      </c>
      <c r="P61" s="988">
        <f t="shared" ca="1" si="15"/>
        <v>87.069097179169233</v>
      </c>
      <c r="Q61" s="989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2">
        <f ca="1">L63+L64</f>
        <v>640400</v>
      </c>
      <c r="M62" s="72">
        <f ca="1">M63+M64</f>
        <v>640400</v>
      </c>
      <c r="N62" s="72">
        <f ca="1">N63+N64</f>
        <v>473539.63</v>
      </c>
      <c r="O62" s="72">
        <f t="shared" ca="1" si="14"/>
        <v>73.944351967520305</v>
      </c>
      <c r="P62" s="72">
        <f t="shared" ca="1" si="15"/>
        <v>73.944351967520305</v>
      </c>
      <c r="Q62" s="71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5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4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2">
        <f ca="1">IFERROR(__xludf.DUMMYFUNCTION("IMPORTRANGE(""https://docs.google.com/spreadsheets/d/1-uDff_7J0KD5mKrp0Vvzr7lt3OU09vwQwhkpOPPYv2Y/edit?usp=sharing"",""งบพรบ!AC58"")"),640400)</f>
        <v>640400</v>
      </c>
      <c r="M64" s="72">
        <f ca="1">IFERROR(__xludf.DUMMYFUNCTION("IMPORTRANGE(""https://docs.google.com/spreadsheets/d/1-uDff_7J0KD5mKrp0Vvzr7lt3OU09vwQwhkpOPPYv2Y/edit?usp=sharing"",""งบพรบ!AH58"")"),640400)</f>
        <v>640400</v>
      </c>
      <c r="N64" s="72">
        <f ca="1">IFERROR(__xludf.DUMMYFUNCTION("IMPORTRANGE(""https://docs.google.com/spreadsheets/d/1-uDff_7J0KD5mKrp0Vvzr7lt3OU09vwQwhkpOPPYv2Y/edit?usp=sharing"",""งบพรบ!AJ58"")"),473539.63)</f>
        <v>473539.63</v>
      </c>
      <c r="O64" s="72">
        <f t="shared" ca="1" si="14"/>
        <v>73.944351967520305</v>
      </c>
      <c r="P64" s="72">
        <f t="shared" ca="1" si="15"/>
        <v>73.944351967520305</v>
      </c>
      <c r="Q64" s="71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2">
        <f ca="1">L66+L67</f>
        <v>650000</v>
      </c>
      <c r="M65" s="72">
        <f ca="1">M66+M67</f>
        <v>650000</v>
      </c>
      <c r="N65" s="72">
        <f ca="1">N66+N67</f>
        <v>650000</v>
      </c>
      <c r="O65" s="72">
        <f t="shared" ca="1" si="14"/>
        <v>100</v>
      </c>
      <c r="P65" s="72">
        <f t="shared" ca="1" si="15"/>
        <v>100</v>
      </c>
      <c r="Q65" s="71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5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4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81">
        <f ca="1">IFERROR(__xludf.DUMMYFUNCTION("IMPORTRANGE(""https://docs.google.com/spreadsheets/d/1-uDff_7J0KD5mKrp0Vvzr7lt3OU09vwQwhkpOPPYv2Y/edit?usp=sharing"",""งบพรบ!AF58"")"),650000)</f>
        <v>650000</v>
      </c>
      <c r="M67" s="181">
        <f ca="1">IFERROR(__xludf.DUMMYFUNCTION("IMPORTRANGE(""https://docs.google.com/spreadsheets/d/1-uDff_7J0KD5mKrp0Vvzr7lt3OU09vwQwhkpOPPYv2Y/edit?usp=sharing"",""งบพรบ!AI58"")"),650000)</f>
        <v>650000</v>
      </c>
      <c r="N67" s="181">
        <f ca="1">IFERROR(__xludf.DUMMYFUNCTION("IMPORTRANGE(""https://docs.google.com/spreadsheets/d/1-uDff_7J0KD5mKrp0Vvzr7lt3OU09vwQwhkpOPPYv2Y/edit?usp=sharing"",""งบพรบ!AK58"")"),650000)</f>
        <v>650000</v>
      </c>
      <c r="O67" s="181">
        <f t="shared" ca="1" si="14"/>
        <v>100</v>
      </c>
      <c r="P67" s="181">
        <f t="shared" ca="1" si="15"/>
        <v>100</v>
      </c>
      <c r="Q67" s="180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89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9"/>
      <c r="M69" s="199"/>
      <c r="N69" s="199"/>
      <c r="O69" s="199"/>
      <c r="P69" s="199"/>
      <c r="Q69" s="198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6"/>
      <c r="M70" s="206"/>
      <c r="N70" s="206"/>
      <c r="O70" s="206"/>
      <c r="P70" s="206"/>
      <c r="Q70" s="205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6"/>
      <c r="M71" s="206"/>
      <c r="N71" s="206"/>
      <c r="O71" s="206"/>
      <c r="P71" s="206"/>
      <c r="Q71" s="205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262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389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5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4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2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1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2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1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5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4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2">
        <f ca="1">IFERROR(__xludf.DUMMYFUNCTION("IMPORTRANGE(""https://docs.google.com/spreadsheets/d/1-uDff_7J0KD5mKrp0Vvzr7lt3OU09vwQwhkpOPPYv2Y/edit?usp=sharing"",""งบพรบ!AM58"")"),0)</f>
        <v>0</v>
      </c>
      <c r="M77" s="72">
        <f ca="1">IFERROR(__xludf.DUMMYFUNCTION("IMPORTRANGE(""https://docs.google.com/spreadsheets/d/1-uDff_7J0KD5mKrp0Vvzr7lt3OU09vwQwhkpOPPYv2Y/edit?usp=sharing"",""งบพรบ!AR58"")"),0)</f>
        <v>0</v>
      </c>
      <c r="N77" s="72">
        <f ca="1">IFERROR(__xludf.DUMMYFUNCTION("IMPORTRANGE(""https://docs.google.com/spreadsheets/d/1-uDff_7J0KD5mKrp0Vvzr7lt3OU09vwQwhkpOPPYv2Y/edit?usp=sharing"",""งบพรบ!AT58"")"),0)</f>
        <v>0</v>
      </c>
      <c r="O77" s="72">
        <f t="shared" ca="1" si="20"/>
        <v>0</v>
      </c>
      <c r="P77" s="72">
        <f t="shared" ca="1" si="21"/>
        <v>0</v>
      </c>
      <c r="Q77" s="71">
        <f ca="1">IFERROR(__xludf.DUMMYFUNCTION("IMPORTRANGE(""https://docs.google.com/spreadsheets/d/1ItG2mGa2ceCfYo0BwxsXqNm01IGEUdYcSSLTEv9YCik/edit?usp=sharing"",""เบิกจ่ายกองทุน!BH58"")"),0)</f>
        <v>0</v>
      </c>
      <c r="R77" s="72">
        <f ca="1">IFERROR(__xludf.DUMMYFUNCTION("IMPORTRANGE(""https://docs.google.com/spreadsheets/d/1ItG2mGa2ceCfYo0BwxsXqNm01IGEUdYcSSLTEv9YCik/edit?usp=sharing"",""เบิกจ่ายกองทุน!BI58"")"),0)</f>
        <v>0</v>
      </c>
      <c r="S77" s="72">
        <f ca="1">IFERROR(__xludf.DUMMYFUNCTION("IMPORTRANGE(""https://docs.google.com/spreadsheets/d/1ItG2mGa2ceCfYo0BwxsXqNm01IGEUdYcSSLTEv9YCik/edit?usp=sharing"",""เบิกจ่ายกองทุน!BJ58"")"),0)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2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1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5">
        <v>0</v>
      </c>
      <c r="M79" s="85"/>
      <c r="N79" s="85"/>
      <c r="O79" s="75">
        <f t="shared" si="20"/>
        <v>0</v>
      </c>
      <c r="P79" s="75">
        <f t="shared" si="21"/>
        <v>0</v>
      </c>
      <c r="Q79" s="74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2">
        <f ca="1">IFERROR(__xludf.DUMMYFUNCTION("IMPORTRANGE(""https://docs.google.com/spreadsheets/d/1-uDff_7J0KD5mKrp0Vvzr7lt3OU09vwQwhkpOPPYv2Y/edit?usp=sharing"",""งบพรบ!AP58"")"),0)</f>
        <v>0</v>
      </c>
      <c r="M80" s="72">
        <f ca="1">IFERROR(__xludf.DUMMYFUNCTION("IMPORTRANGE(""https://docs.google.com/spreadsheets/d/1-uDff_7J0KD5mKrp0Vvzr7lt3OU09vwQwhkpOPPYv2Y/edit?usp=sharing"",""งบพรบ!AS58"")"),0)</f>
        <v>0</v>
      </c>
      <c r="N80" s="72">
        <f ca="1">IFERROR(__xludf.DUMMYFUNCTION("IMPORTRANGE(""https://docs.google.com/spreadsheets/d/1-uDff_7J0KD5mKrp0Vvzr7lt3OU09vwQwhkpOPPYv2Y/edit?usp=sharing"",""งบพรบ!AU58"")"),0)</f>
        <v>0</v>
      </c>
      <c r="O80" s="72">
        <f t="shared" ca="1" si="20"/>
        <v>0</v>
      </c>
      <c r="P80" s="72">
        <f t="shared" ca="1" si="21"/>
        <v>0</v>
      </c>
      <c r="Q80" s="71">
        <f ca="1">IFERROR(__xludf.DUMMYFUNCTION("IMPORTRANGE(""https://docs.google.com/spreadsheets/d/1ItG2mGa2ceCfYo0BwxsXqNm01IGEUdYcSSLTEv9YCik/edit?usp=sharing"",""เบิกจ่ายกองทุน!BK58"")"),0)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IFERROR(__xludf.DUMMYFUNCTION("IMPORTRANGE(""https://docs.google.com/spreadsheets/d/1ItG2mGa2ceCfYo0BwxsXqNm01IGEUdYcSSLTEv9YCik/edit?usp=sharing"",""เบิกจ่ายกองทุน!BL58"")"),0)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IFERROR(__xludf.DUMMYFUNCTION("IMPORTRANGE(""https://docs.google.com/spreadsheets/d/1ItG2mGa2ceCfYo0BwxsXqNm01IGEUdYcSSLTEv9YCik/edit?usp=sharing"",""เบิกจ่ายกองทุน!BM58"")"),0)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7"/>
      <c r="M81" s="227"/>
      <c r="N81" s="227"/>
      <c r="O81" s="227"/>
      <c r="P81" s="227"/>
      <c r="Q81" s="226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7"/>
      <c r="M82" s="227"/>
      <c r="N82" s="227"/>
      <c r="O82" s="227"/>
      <c r="P82" s="227"/>
      <c r="Q82" s="226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7"/>
      <c r="M83" s="227"/>
      <c r="N83" s="227"/>
      <c r="O83" s="227"/>
      <c r="P83" s="227"/>
      <c r="Q83" s="226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IFERROR(__xludf.DUMMYFUNCTION("IMPORTRANGE(""https://docs.google.com/spreadsheets/d/1eHaY18a8A9IcSdp1K8H6x8fbOy06t2VsZHhMHf-1x7Y/edit?usp=sharing"",""แผน!H58"")"),0)</f>
        <v>0</v>
      </c>
      <c r="J84" s="292">
        <v>0</v>
      </c>
      <c r="K84" s="746">
        <f t="shared" ca="1" si="26"/>
        <v>0</v>
      </c>
      <c r="L84" s="227"/>
      <c r="M84" s="227"/>
      <c r="N84" s="227"/>
      <c r="O84" s="227"/>
      <c r="P84" s="227"/>
      <c r="Q84" s="226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IFERROR(__xludf.DUMMYFUNCTION("IMPORTRANGE(""https://docs.google.com/spreadsheets/d/1eHaY18a8A9IcSdp1K8H6x8fbOy06t2VsZHhMHf-1x7Y/edit?usp=sharing"",""แผน!I58"")"),0)</f>
        <v>0</v>
      </c>
      <c r="J85" s="292">
        <v>0</v>
      </c>
      <c r="K85" s="746">
        <f t="shared" ca="1" si="26"/>
        <v>0</v>
      </c>
      <c r="L85" s="227"/>
      <c r="M85" s="227"/>
      <c r="N85" s="227"/>
      <c r="O85" s="227"/>
      <c r="P85" s="227"/>
      <c r="Q85" s="226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IFERROR(__xludf.DUMMYFUNCTION("IMPORTRANGE(""https://docs.google.com/spreadsheets/d/1eHaY18a8A9IcSdp1K8H6x8fbOy06t2VsZHhMHf-1x7Y/edit?usp=sharing"",""แผน!F58"")"),0)</f>
        <v>0</v>
      </c>
      <c r="J86" s="292">
        <v>0</v>
      </c>
      <c r="K86" s="746">
        <f t="shared" ca="1" si="26"/>
        <v>0</v>
      </c>
      <c r="L86" s="227"/>
      <c r="M86" s="227"/>
      <c r="N86" s="227"/>
      <c r="O86" s="227"/>
      <c r="P86" s="227"/>
      <c r="Q86" s="226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IFERROR(__xludf.DUMMYFUNCTION("IMPORTRANGE(""https://docs.google.com/spreadsheets/d/1eHaY18a8A9IcSdp1K8H6x8fbOy06t2VsZHhMHf-1x7Y/edit?usp=sharing"",""แผน!G58"")"),0)</f>
        <v>0</v>
      </c>
      <c r="J87" s="292">
        <v>0</v>
      </c>
      <c r="K87" s="746">
        <f t="shared" ca="1" si="26"/>
        <v>0</v>
      </c>
      <c r="L87" s="227"/>
      <c r="M87" s="227"/>
      <c r="N87" s="227"/>
      <c r="O87" s="227"/>
      <c r="P87" s="227"/>
      <c r="Q87" s="226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IFERROR(__xludf.DUMMYFUNCTION("IMPORTRANGE(""https://docs.google.com/spreadsheets/d/1eHaY18a8A9IcSdp1K8H6x8fbOy06t2VsZHhMHf-1x7Y/edit?usp=sharing"",""แผน!D58"")"),0)</f>
        <v>0</v>
      </c>
      <c r="J88" s="292">
        <v>0</v>
      </c>
      <c r="K88" s="746">
        <f t="shared" ca="1" si="26"/>
        <v>0</v>
      </c>
      <c r="L88" s="227"/>
      <c r="M88" s="227"/>
      <c r="N88" s="227"/>
      <c r="O88" s="227"/>
      <c r="P88" s="227"/>
      <c r="Q88" s="226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IFERROR(__xludf.DUMMYFUNCTION("IMPORTRANGE(""https://docs.google.com/spreadsheets/d/1eHaY18a8A9IcSdp1K8H6x8fbOy06t2VsZHhMHf-1x7Y/edit?usp=sharing"",""แผน!E58"")"),0)</f>
        <v>0</v>
      </c>
      <c r="J89" s="292">
        <v>0</v>
      </c>
      <c r="K89" s="746">
        <f t="shared" ca="1" si="26"/>
        <v>0</v>
      </c>
      <c r="L89" s="227"/>
      <c r="M89" s="227"/>
      <c r="N89" s="227"/>
      <c r="O89" s="227"/>
      <c r="P89" s="227"/>
      <c r="Q89" s="226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IFERROR(__xludf.DUMMYFUNCTION("IMPORTRANGE(""https://docs.google.com/spreadsheets/d/1eHaY18a8A9IcSdp1K8H6x8fbOy06t2VsZHhMHf-1x7Y/edit?usp=sharing"",""แผน!J58"")"),0)</f>
        <v>0</v>
      </c>
      <c r="J90" s="292">
        <v>0</v>
      </c>
      <c r="K90" s="746">
        <f t="shared" ca="1" si="26"/>
        <v>0</v>
      </c>
      <c r="L90" s="227"/>
      <c r="M90" s="227"/>
      <c r="N90" s="227"/>
      <c r="O90" s="227"/>
      <c r="P90" s="227"/>
      <c r="Q90" s="226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9"/>
      <c r="M91" s="199"/>
      <c r="N91" s="199"/>
      <c r="O91" s="199"/>
      <c r="P91" s="199"/>
      <c r="Q91" s="198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6"/>
      <c r="M92" s="206"/>
      <c r="N92" s="206"/>
      <c r="O92" s="206"/>
      <c r="P92" s="206"/>
      <c r="Q92" s="205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6"/>
      <c r="M93" s="206"/>
      <c r="N93" s="206"/>
      <c r="O93" s="206"/>
      <c r="P93" s="206"/>
      <c r="Q93" s="205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262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389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5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4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2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1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2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1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5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4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2">
        <f ca="1">IFERROR(__xludf.DUMMYFUNCTION("IMPORTRANGE(""https://docs.google.com/spreadsheets/d/1-uDff_7J0KD5mKrp0Vvzr7lt3OU09vwQwhkpOPPYv2Y/edit?usp=sharing"",""งบพรบ!AW58"")"),0)</f>
        <v>0</v>
      </c>
      <c r="M99" s="72">
        <f ca="1">IFERROR(__xludf.DUMMYFUNCTION("IMPORTRANGE(""https://docs.google.com/spreadsheets/d/1-uDff_7J0KD5mKrp0Vvzr7lt3OU09vwQwhkpOPPYv2Y/edit?usp=sharing"",""งบพรบ!BB58"")"),0)</f>
        <v>0</v>
      </c>
      <c r="N99" s="72">
        <f ca="1">IFERROR(__xludf.DUMMYFUNCTION("IMPORTRANGE(""https://docs.google.com/spreadsheets/d/1-uDff_7J0KD5mKrp0Vvzr7lt3OU09vwQwhkpOPPYv2Y/edit?usp=sharing"",""งบพรบ!BD58"")"),0)</f>
        <v>0</v>
      </c>
      <c r="O99" s="72">
        <f t="shared" ca="1" si="27"/>
        <v>0</v>
      </c>
      <c r="P99" s="72">
        <f t="shared" ca="1" si="28"/>
        <v>0</v>
      </c>
      <c r="Q99" s="71">
        <f ca="1">IFERROR(__xludf.DUMMYFUNCTION("IMPORTRANGE(""https://docs.google.com/spreadsheets/d/1ItG2mGa2ceCfYo0BwxsXqNm01IGEUdYcSSLTEv9YCik/edit?usp=sharing"",""เบิกจ่ายกองทุน!AJ58"")"),0)</f>
        <v>0</v>
      </c>
      <c r="R99" s="72">
        <f ca="1">IFERROR(__xludf.DUMMYFUNCTION("IMPORTRANGE(""https://docs.google.com/spreadsheets/d/1ItG2mGa2ceCfYo0BwxsXqNm01IGEUdYcSSLTEv9YCik/edit?usp=sharing"",""เบิกจ่ายกองทุน!AK58"")"),0)</f>
        <v>0</v>
      </c>
      <c r="S99" s="72">
        <f ca="1">IFERROR(__xludf.DUMMYFUNCTION("IMPORTRANGE(""https://docs.google.com/spreadsheets/d/1ItG2mGa2ceCfYo0BwxsXqNm01IGEUdYcSSLTEv9YCik/edit?usp=sharing"",""เบิกจ่ายกองทุน!AL58"")"),0)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2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1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5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4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2">
        <f ca="1">IFERROR(__xludf.DUMMYFUNCTION("IMPORTRANGE(""https://docs.google.com/spreadsheets/d/1-uDff_7J0KD5mKrp0Vvzr7lt3OU09vwQwhkpOPPYv2Y/edit?usp=sharing"",""งบพรบ!AZ58"")"),0)</f>
        <v>0</v>
      </c>
      <c r="M102" s="72">
        <f ca="1">IFERROR(__xludf.DUMMYFUNCTION("IMPORTRANGE(""https://docs.google.com/spreadsheets/d/1-uDff_7J0KD5mKrp0Vvzr7lt3OU09vwQwhkpOPPYv2Y/edit?usp=sharing"",""งบพรบ!BC58"")"),0)</f>
        <v>0</v>
      </c>
      <c r="N102" s="72">
        <f ca="1">IFERROR(__xludf.DUMMYFUNCTION("IMPORTRANGE(""https://docs.google.com/spreadsheets/d/1-uDff_7J0KD5mKrp0Vvzr7lt3OU09vwQwhkpOPPYv2Y/edit?usp=sharing"",""งบพรบ!BE58"")"),0)</f>
        <v>0</v>
      </c>
      <c r="O102" s="72">
        <f t="shared" ca="1" si="27"/>
        <v>0</v>
      </c>
      <c r="P102" s="72">
        <f t="shared" ca="1" si="28"/>
        <v>0</v>
      </c>
      <c r="Q102" s="71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5"/>
      <c r="M103" s="85"/>
      <c r="N103" s="85"/>
      <c r="O103" s="227"/>
      <c r="P103" s="227"/>
      <c r="Q103" s="84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8"/>
      <c r="M106" s="28"/>
      <c r="N106" s="28"/>
      <c r="O106" s="28"/>
      <c r="P106" s="28"/>
      <c r="Q106" s="27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5"/>
      <c r="M107" s="85"/>
      <c r="N107" s="85"/>
      <c r="O107" s="227"/>
      <c r="P107" s="227"/>
      <c r="Q107" s="84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IFERROR(__xludf.DUMMYFUNCTION("IMPORTRANGE(""https://docs.google.com/spreadsheets/d/1eHaY18a8A9IcSdp1K8H6x8fbOy06t2VsZHhMHf-1x7Y/edit?usp=sharing"",""แผน!N58"")"),0)</f>
        <v>0</v>
      </c>
      <c r="J108" s="292">
        <v>0</v>
      </c>
      <c r="K108" s="72">
        <f ca="1">IF(I108&gt;0,J108*100/I108,0)</f>
        <v>0</v>
      </c>
      <c r="L108" s="85"/>
      <c r="M108" s="85"/>
      <c r="N108" s="85"/>
      <c r="O108" s="227"/>
      <c r="P108" s="227"/>
      <c r="Q108" s="84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IFERROR(__xludf.DUMMYFUNCTION("IMPORTRANGE(""https://docs.google.com/spreadsheets/d/1eHaY18a8A9IcSdp1K8H6x8fbOy06t2VsZHhMHf-1x7Y/edit?usp=sharing"",""แผน!O58"")"),0)</f>
        <v>0</v>
      </c>
      <c r="J109" s="292">
        <v>0</v>
      </c>
      <c r="K109" s="72">
        <f ca="1">IF(I109&gt;0,J109*100/I109,0)</f>
        <v>0</v>
      </c>
      <c r="L109" s="85"/>
      <c r="M109" s="85"/>
      <c r="N109" s="85"/>
      <c r="O109" s="227"/>
      <c r="P109" s="227"/>
      <c r="Q109" s="84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8"/>
      <c r="M112" s="28"/>
      <c r="N112" s="28"/>
      <c r="O112" s="28"/>
      <c r="P112" s="28"/>
      <c r="Q112" s="27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8"/>
      <c r="M113" s="28"/>
      <c r="N113" s="28"/>
      <c r="O113" s="28"/>
      <c r="P113" s="28"/>
      <c r="Q113" s="27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IFERROR(__xludf.DUMMYFUNCTION("IMPORTRANGE(""https://docs.google.com/spreadsheets/d/1eHaY18a8A9IcSdp1K8H6x8fbOy06t2VsZHhMHf-1x7Y/edit?usp=sharing"",""แผน!R58"")"),0)</f>
        <v>0</v>
      </c>
      <c r="J114" s="292">
        <v>0</v>
      </c>
      <c r="K114" s="72">
        <f ca="1">IF(I114&gt;0,J114*100/I114,0)</f>
        <v>0</v>
      </c>
      <c r="L114" s="85"/>
      <c r="M114" s="85"/>
      <c r="N114" s="85"/>
      <c r="O114" s="227"/>
      <c r="P114" s="227"/>
      <c r="Q114" s="84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8"/>
      <c r="R115" s="199"/>
      <c r="S115" s="199"/>
      <c r="T115" s="199"/>
      <c r="U115" s="199"/>
    </row>
    <row r="116" spans="1:21" ht="19.5" x14ac:dyDescent="0.3">
      <c r="A116" s="248"/>
      <c r="B116" s="249" t="s">
        <v>345</v>
      </c>
      <c r="C116" s="299"/>
      <c r="D116" s="251"/>
      <c r="E116" s="250"/>
      <c r="F116" s="250"/>
      <c r="G116" s="250"/>
      <c r="H116" s="251"/>
      <c r="I116" s="1203">
        <f ca="1">I127</f>
        <v>20</v>
      </c>
      <c r="J116" s="1202">
        <f>J127</f>
        <v>20</v>
      </c>
      <c r="K116" s="1201">
        <f ca="1">IF(I116&gt;0,J116*100/I116,0)</f>
        <v>100</v>
      </c>
      <c r="L116" s="206"/>
      <c r="M116" s="206"/>
      <c r="N116" s="206"/>
      <c r="O116" s="206"/>
      <c r="P116" s="206"/>
      <c r="Q116" s="205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262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389">
        <f ca="1">Q118+Q119</f>
        <v>211520</v>
      </c>
      <c r="R117" s="262">
        <f ca="1">R118+R119</f>
        <v>211520</v>
      </c>
      <c r="S117" s="262">
        <f ca="1">S118+S119</f>
        <v>129766</v>
      </c>
      <c r="T117" s="262">
        <f t="shared" ref="T117:T125" ca="1" si="35">IF(Q117&gt;0,S117*100/Q117,0)</f>
        <v>61.349281391830559</v>
      </c>
      <c r="U117" s="262">
        <f t="shared" ref="U117:U125" ca="1" si="36">IF(R117&gt;0,S117*100/R117,0)</f>
        <v>61.349281391830559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5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4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2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1">
        <f t="shared" ca="1" si="38"/>
        <v>211520</v>
      </c>
      <c r="R119" s="72">
        <f t="shared" ca="1" si="38"/>
        <v>211520</v>
      </c>
      <c r="S119" s="72">
        <f t="shared" ca="1" si="38"/>
        <v>129766</v>
      </c>
      <c r="T119" s="72">
        <f t="shared" ca="1" si="35"/>
        <v>61.349281391830559</v>
      </c>
      <c r="U119" s="72">
        <f t="shared" ca="1" si="36"/>
        <v>61.349281391830559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2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1">
        <f ca="1">Q121+Q122</f>
        <v>211520</v>
      </c>
      <c r="R120" s="72">
        <f ca="1">R121+R122</f>
        <v>211520</v>
      </c>
      <c r="S120" s="72">
        <f ca="1">S121+S122</f>
        <v>129766</v>
      </c>
      <c r="T120" s="72">
        <f t="shared" ca="1" si="35"/>
        <v>61.349281391830559</v>
      </c>
      <c r="U120" s="72">
        <f t="shared" ca="1" si="36"/>
        <v>61.349281391830559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5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4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2">
        <f ca="1">IFERROR(__xludf.DUMMYFUNCTION("IMPORTRANGE(""https://docs.google.com/spreadsheets/d/1-uDff_7J0KD5mKrp0Vvzr7lt3OU09vwQwhkpOPPYv2Y/edit?usp=sharing"",""งบพรบ!BG58"")"),0)</f>
        <v>0</v>
      </c>
      <c r="M122" s="72">
        <f ca="1">IFERROR(__xludf.DUMMYFUNCTION("IMPORTRANGE(""https://docs.google.com/spreadsheets/d/1-uDff_7J0KD5mKrp0Vvzr7lt3OU09vwQwhkpOPPYv2Y/edit?usp=sharing"",""งบพรบ!BL58"")"),0)</f>
        <v>0</v>
      </c>
      <c r="N122" s="72">
        <f ca="1">IFERROR(__xludf.DUMMYFUNCTION("IMPORTRANGE(""https://docs.google.com/spreadsheets/d/1-uDff_7J0KD5mKrp0Vvzr7lt3OU09vwQwhkpOPPYv2Y/edit?usp=sharing"",""งบพรบ!BN58"")"),0)</f>
        <v>0</v>
      </c>
      <c r="O122" s="72">
        <f t="shared" ca="1" si="33"/>
        <v>0</v>
      </c>
      <c r="P122" s="72">
        <f t="shared" ca="1" si="34"/>
        <v>0</v>
      </c>
      <c r="Q122" s="71">
        <f ca="1">IFERROR(__xludf.DUMMYFUNCTION("IMPORTRANGE(""https://docs.google.com/spreadsheets/d/1ItG2mGa2ceCfYo0BwxsXqNm01IGEUdYcSSLTEv9YCik/edit?usp=sharing"",""เบิกจ่ายกองทุน!U58"")"),211520)</f>
        <v>211520</v>
      </c>
      <c r="R122" s="72">
        <f ca="1">IFERROR(__xludf.DUMMYFUNCTION("IMPORTRANGE(""https://docs.google.com/spreadsheets/d/1ItG2mGa2ceCfYo0BwxsXqNm01IGEUdYcSSLTEv9YCik/edit?usp=sharing"",""เบิกจ่ายกองทุน!V58"")"),211520)</f>
        <v>211520</v>
      </c>
      <c r="S122" s="72">
        <f ca="1">IFERROR(__xludf.DUMMYFUNCTION("IMPORTRANGE(""https://docs.google.com/spreadsheets/d/1ItG2mGa2ceCfYo0BwxsXqNm01IGEUdYcSSLTEv9YCik/edit?usp=sharing"",""เบิกจ่ายกองทุน!W58"")"),129766)</f>
        <v>129766</v>
      </c>
      <c r="T122" s="72">
        <f t="shared" ca="1" si="35"/>
        <v>61.349281391830559</v>
      </c>
      <c r="U122" s="72">
        <f t="shared" ca="1" si="36"/>
        <v>61.349281391830559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2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1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5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4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2">
        <f ca="1">IFERROR(__xludf.DUMMYFUNCTION("IMPORTRANGE(""https://docs.google.com/spreadsheets/d/1-uDff_7J0KD5mKrp0Vvzr7lt3OU09vwQwhkpOPPYv2Y/edit?usp=sharing"",""งบพรบ!BJ58"")"),0)</f>
        <v>0</v>
      </c>
      <c r="M125" s="72">
        <f ca="1">IFERROR(__xludf.DUMMYFUNCTION("IMPORTRANGE(""https://docs.google.com/spreadsheets/d/1-uDff_7J0KD5mKrp0Vvzr7lt3OU09vwQwhkpOPPYv2Y/edit?usp=sharing"",""งบพรบ!BM58"")"),0)</f>
        <v>0</v>
      </c>
      <c r="N125" s="72">
        <f ca="1">IFERROR(__xludf.DUMMYFUNCTION("IMPORTRANGE(""https://docs.google.com/spreadsheets/d/1-uDff_7J0KD5mKrp0Vvzr7lt3OU09vwQwhkpOPPYv2Y/edit?usp=sharing"",""งบพรบ!BO58"")"),0)</f>
        <v>0</v>
      </c>
      <c r="O125" s="72">
        <f t="shared" ca="1" si="33"/>
        <v>0</v>
      </c>
      <c r="P125" s="72">
        <f t="shared" ca="1" si="34"/>
        <v>0</v>
      </c>
      <c r="Q125" s="71">
        <f ca="1">IFERROR(__xludf.DUMMYFUNCTION("IMPORTRANGE(""https://docs.google.com/spreadsheets/d/1ItG2mGa2ceCfYo0BwxsXqNm01IGEUdYcSSLTEv9YCik/edit?usp=sharing"",""เบิกจ่ายกองทุน!X58"")"),0)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IFERROR(__xludf.DUMMYFUNCTION("IMPORTRANGE(""https://docs.google.com/spreadsheets/d/1ItG2mGa2ceCfYo0BwxsXqNm01IGEUdYcSSLTEv9YCik/edit?usp=sharing"",""เบิกจ่ายกองทุน!Y58"")"),0)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IFERROR(__xludf.DUMMYFUNCTION("IMPORTRANGE(""https://docs.google.com/spreadsheets/d/1ItG2mGa2ceCfYo0BwxsXqNm01IGEUdYcSSLTEv9YCik/edit?usp=sharing"",""เบิกจ่ายกองทุน!Z58"")"),0)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384"/>
      <c r="M126" s="384"/>
      <c r="N126" s="384"/>
      <c r="O126" s="384"/>
      <c r="P126" s="384"/>
      <c r="Q126" s="84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IFERROR(__xludf.DUMMYFUNCTION("IMPORTRANGE(""https://docs.google.com/spreadsheets/d/1eHaY18a8A9IcSdp1K8H6x8fbOy06t2VsZHhMHf-1x7Y/edit?usp=sharing"",""แผน!FF58"")"),20)</f>
        <v>20</v>
      </c>
      <c r="J127" s="292">
        <v>20</v>
      </c>
      <c r="K127" s="72">
        <f ca="1">IF(I127&gt;0,J127*100/I127,0)</f>
        <v>100</v>
      </c>
      <c r="L127" s="85"/>
      <c r="M127" s="85"/>
      <c r="N127" s="85"/>
      <c r="O127" s="85"/>
      <c r="P127" s="85"/>
      <c r="Q127" s="84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IFERROR(__xludf.DUMMYFUNCTION("IMPORTRANGE(""https://docs.google.com/spreadsheets/d/1eHaY18a8A9IcSdp1K8H6x8fbOy06t2VsZHhMHf-1x7Y/edit?usp=sharing"",""แผน!FG58"")"),0)</f>
        <v>0</v>
      </c>
      <c r="J128" s="292">
        <v>2</v>
      </c>
      <c r="K128" s="72">
        <f ca="1">IF(I128&gt;0,J128*100/I128,0)</f>
        <v>0</v>
      </c>
      <c r="L128" s="85"/>
      <c r="M128" s="85"/>
      <c r="N128" s="85"/>
      <c r="O128" s="85"/>
      <c r="P128" s="85"/>
      <c r="Q128" s="84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IFERROR(__xludf.DUMMYFUNCTION("IMPORTRANGE(""https://docs.google.com/spreadsheets/d/1eHaY18a8A9IcSdp1K8H6x8fbOy06t2VsZHhMHf-1x7Y/edit?usp=sharing"",""แผน!FH58"")"),20)</f>
        <v>20</v>
      </c>
      <c r="J129" s="292">
        <v>20</v>
      </c>
      <c r="K129" s="72">
        <f ca="1">IF(I129&gt;0,J129*100/I129,0)</f>
        <v>100</v>
      </c>
      <c r="L129" s="85"/>
      <c r="M129" s="85"/>
      <c r="N129" s="85"/>
      <c r="O129" s="85"/>
      <c r="P129" s="85"/>
      <c r="Q129" s="84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IFERROR(__xludf.DUMMYFUNCTION("IMPORTRANGE(""https://docs.google.com/spreadsheets/d/1eHaY18a8A9IcSdp1K8H6x8fbOy06t2VsZHhMHf-1x7Y/edit?usp=sharing"",""แผน!FI58"")"),0)</f>
        <v>0</v>
      </c>
      <c r="J130" s="292">
        <v>2</v>
      </c>
      <c r="K130" s="72">
        <f ca="1">IF(I130&gt;0,J130*100/I130,0)</f>
        <v>0</v>
      </c>
      <c r="L130" s="85"/>
      <c r="M130" s="85"/>
      <c r="N130" s="85"/>
      <c r="O130" s="85"/>
      <c r="P130" s="85"/>
      <c r="Q130" s="84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5"/>
      <c r="M131" s="85"/>
      <c r="N131" s="85"/>
      <c r="O131" s="85"/>
      <c r="P131" s="85"/>
      <c r="Q131" s="84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5"/>
      <c r="M132" s="85"/>
      <c r="N132" s="85"/>
      <c r="O132" s="85"/>
      <c r="P132" s="85"/>
      <c r="Q132" s="84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8"/>
      <c r="M133" s="28"/>
      <c r="N133" s="28"/>
      <c r="O133" s="28"/>
      <c r="P133" s="28"/>
      <c r="Q133" s="27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8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6"/>
      <c r="M135" s="206"/>
      <c r="N135" s="206"/>
      <c r="O135" s="206"/>
      <c r="P135" s="206"/>
      <c r="Q135" s="205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6"/>
      <c r="M136" s="206"/>
      <c r="N136" s="206"/>
      <c r="O136" s="206"/>
      <c r="P136" s="206"/>
      <c r="Q136" s="205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6"/>
      <c r="M137" s="206"/>
      <c r="N137" s="206"/>
      <c r="O137" s="206"/>
      <c r="P137" s="206"/>
      <c r="Q137" s="205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6"/>
      <c r="M138" s="206"/>
      <c r="N138" s="206"/>
      <c r="O138" s="206"/>
      <c r="P138" s="206"/>
      <c r="Q138" s="205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262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389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5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4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2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1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2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1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5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4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2">
        <f ca="1">IFERROR(__xludf.DUMMYFUNCTION("IMPORTRANGE(""https://docs.google.com/spreadsheets/d/1-uDff_7J0KD5mKrp0Vvzr7lt3OU09vwQwhkpOPPYv2Y/edit?usp=sharing"",""งบพรบ!BQ58"")"),0)</f>
        <v>0</v>
      </c>
      <c r="M144" s="72">
        <f ca="1">IFERROR(__xludf.DUMMYFUNCTION("IMPORTRANGE(""https://docs.google.com/spreadsheets/d/1-uDff_7J0KD5mKrp0Vvzr7lt3OU09vwQwhkpOPPYv2Y/edit?usp=sharing"",""งบพรบ!BV58"")"),0)</f>
        <v>0</v>
      </c>
      <c r="N144" s="72">
        <f ca="1">IFERROR(__xludf.DUMMYFUNCTION("IMPORTRANGE(""https://docs.google.com/spreadsheets/d/1-uDff_7J0KD5mKrp0Vvzr7lt3OU09vwQwhkpOPPYv2Y/edit?usp=sharing"",""งบพรบ!BX58"")"),0)</f>
        <v>0</v>
      </c>
      <c r="O144" s="72">
        <f t="shared" ca="1" si="39"/>
        <v>0</v>
      </c>
      <c r="P144" s="72">
        <f t="shared" ca="1" si="40"/>
        <v>0</v>
      </c>
      <c r="Q144" s="71">
        <f ca="1">IFERROR(__xludf.DUMMYFUNCTION("IMPORTRANGE(""https://docs.google.com/spreadsheets/d/1ItG2mGa2ceCfYo0BwxsXqNm01IGEUdYcSSLTEv9YCik/edit?usp=sharing"",""เบิกจ่ายกองทุน!CF58"")"),0)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IFERROR(__xludf.DUMMYFUNCTION("IMPORTRANGE(""https://docs.google.com/spreadsheets/d/1ItG2mGa2ceCfYo0BwxsXqNm01IGEUdYcSSLTEv9YCik/edit?usp=sharing"",""เบิกจ่ายกองทุน!CG58"")"),0)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IFERROR(__xludf.DUMMYFUNCTION("IMPORTRANGE(""https://docs.google.com/spreadsheets/d/1ItG2mGa2ceCfYo0BwxsXqNm01IGEUdYcSSLTEv9YCik/edit?usp=sharing"",""เบิกจ่ายกองทุน!CH58"")"),0)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2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1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5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4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2">
        <f ca="1">IFERROR(__xludf.DUMMYFUNCTION("IMPORTRANGE(""https://docs.google.com/spreadsheets/d/1-uDff_7J0KD5mKrp0Vvzr7lt3OU09vwQwhkpOPPYv2Y/edit?usp=sharing"",""งบพรบ!BT58"")"),0)</f>
        <v>0</v>
      </c>
      <c r="M147" s="72">
        <f ca="1">IFERROR(__xludf.DUMMYFUNCTION("IMPORTRANGE(""https://docs.google.com/spreadsheets/d/1-uDff_7J0KD5mKrp0Vvzr7lt3OU09vwQwhkpOPPYv2Y/edit?usp=sharing"",""งบพรบ!BW58"")"),0)</f>
        <v>0</v>
      </c>
      <c r="N147" s="72">
        <f ca="1">IFERROR(__xludf.DUMMYFUNCTION("IMPORTRANGE(""https://docs.google.com/spreadsheets/d/1-uDff_7J0KD5mKrp0Vvzr7lt3OU09vwQwhkpOPPYv2Y/edit?usp=sharing"",""งบพรบ!BY58"")"),0)</f>
        <v>0</v>
      </c>
      <c r="O147" s="72">
        <f t="shared" ca="1" si="39"/>
        <v>0</v>
      </c>
      <c r="P147" s="72">
        <f t="shared" ca="1" si="40"/>
        <v>0</v>
      </c>
      <c r="Q147" s="71">
        <f ca="1">IFERROR(__xludf.DUMMYFUNCTION("IMPORTRANGE(""https://docs.google.com/spreadsheets/d/1ItG2mGa2ceCfYo0BwxsXqNm01IGEUdYcSSLTEv9YCik/edit?usp=sharing"",""เบิกจ่ายกองทุน!CI58"")"),0)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IFERROR(__xludf.DUMMYFUNCTION("IMPORTRANGE(""https://docs.google.com/spreadsheets/d/1ItG2mGa2ceCfYo0BwxsXqNm01IGEUdYcSSLTEv9YCik/edit?usp=sharing"",""เบิกจ่ายกองทุน!CJ58"")"),0)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IFERROR(__xludf.DUMMYFUNCTION("IMPORTRANGE(""https://docs.google.com/spreadsheets/d/1ItG2mGa2ceCfYo0BwxsXqNm01IGEUdYcSSLTEv9YCik/edit?usp=sharing"",""เบิกจ่ายกองทุน!CK58"")"),0)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5"/>
      <c r="M148" s="85"/>
      <c r="N148" s="85"/>
      <c r="O148" s="85"/>
      <c r="P148" s="85"/>
      <c r="Q148" s="84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5"/>
      <c r="M149" s="85"/>
      <c r="N149" s="85"/>
      <c r="O149" s="85"/>
      <c r="P149" s="85"/>
      <c r="Q149" s="84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IFERROR(__xludf.DUMMYFUNCTION("IMPORTRANGE(""https://docs.google.com/spreadsheets/d/1eHaY18a8A9IcSdp1K8H6x8fbOy06t2VsZHhMHf-1x7Y/edit?usp=sharing"",""แผน!U58"")"),0)</f>
        <v>0</v>
      </c>
      <c r="J150" s="292">
        <v>0</v>
      </c>
      <c r="K150" s="72">
        <f ca="1">IF(I150&gt;0,J150*100/I150,0)</f>
        <v>0</v>
      </c>
      <c r="L150" s="85"/>
      <c r="M150" s="85"/>
      <c r="N150" s="85"/>
      <c r="O150" s="85"/>
      <c r="P150" s="85"/>
      <c r="Q150" s="84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IFERROR(__xludf.DUMMYFUNCTION("IMPORTRANGE(""https://docs.google.com/spreadsheets/d/1eHaY18a8A9IcSdp1K8H6x8fbOy06t2VsZHhMHf-1x7Y/edit?usp=sharing"",""แผน!V58"")"),0)</f>
        <v>0</v>
      </c>
      <c r="J151" s="292">
        <v>0</v>
      </c>
      <c r="K151" s="72">
        <f ca="1">IF(I151&gt;0,J151*100/I151,0)</f>
        <v>0</v>
      </c>
      <c r="L151" s="85"/>
      <c r="M151" s="85"/>
      <c r="N151" s="85"/>
      <c r="O151" s="85"/>
      <c r="P151" s="85"/>
      <c r="Q151" s="84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IFERROR(__xludf.DUMMYFUNCTION("IMPORTRANGE(""https://docs.google.com/spreadsheets/d/1eHaY18a8A9IcSdp1K8H6x8fbOy06t2VsZHhMHf-1x7Y/edit?usp=sharing"",""แผน!W58"")"),0)</f>
        <v>0</v>
      </c>
      <c r="J152" s="292">
        <v>0</v>
      </c>
      <c r="K152" s="72">
        <f ca="1">IF(I152&gt;0,J152*100/I152,0)</f>
        <v>0</v>
      </c>
      <c r="L152" s="85"/>
      <c r="M152" s="85"/>
      <c r="N152" s="85"/>
      <c r="O152" s="85"/>
      <c r="P152" s="85"/>
      <c r="Q152" s="84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IFERROR(__xludf.DUMMYFUNCTION("IMPORTRANGE(""https://docs.google.com/spreadsheets/d/1eHaY18a8A9IcSdp1K8H6x8fbOy06t2VsZHhMHf-1x7Y/edit?usp=sharing"",""แผน!X58"")"),0)</f>
        <v>0</v>
      </c>
      <c r="J153" s="292">
        <v>0</v>
      </c>
      <c r="K153" s="72">
        <f ca="1">IF(I153&gt;0,J153*100/I153,0)</f>
        <v>0</v>
      </c>
      <c r="L153" s="85"/>
      <c r="M153" s="85"/>
      <c r="N153" s="85"/>
      <c r="O153" s="85"/>
      <c r="P153" s="85"/>
      <c r="Q153" s="84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IFERROR(__xludf.DUMMYFUNCTION("IMPORTRANGE(""https://docs.google.com/spreadsheets/d/1eHaY18a8A9IcSdp1K8H6x8fbOy06t2VsZHhMHf-1x7Y/edit?usp=sharing"",""แผน!Y58"")"),0)</f>
        <v>0</v>
      </c>
      <c r="J154" s="292">
        <v>0</v>
      </c>
      <c r="K154" s="72">
        <f ca="1">IF(I154&gt;0,J154*100/I154,0)</f>
        <v>0</v>
      </c>
      <c r="L154" s="85"/>
      <c r="M154" s="85"/>
      <c r="N154" s="85"/>
      <c r="O154" s="85"/>
      <c r="P154" s="85"/>
      <c r="Q154" s="84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8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6"/>
      <c r="M156" s="206"/>
      <c r="N156" s="206"/>
      <c r="O156" s="206"/>
      <c r="P156" s="206"/>
      <c r="Q156" s="205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262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389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5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4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2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1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2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1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5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4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2">
        <f ca="1">IFERROR(__xludf.DUMMYFUNCTION("IMPORTRANGE(""https://docs.google.com/spreadsheets/d/1-uDff_7J0KD5mKrp0Vvzr7lt3OU09vwQwhkpOPPYv2Y/edit?usp=sharing"",""งบพรบ!CA58"")"),0)</f>
        <v>0</v>
      </c>
      <c r="M162" s="72">
        <f ca="1">IFERROR(__xludf.DUMMYFUNCTION("IMPORTRANGE(""https://docs.google.com/spreadsheets/d/1-uDff_7J0KD5mKrp0Vvzr7lt3OU09vwQwhkpOPPYv2Y/edit?usp=sharing"",""งบพรบ!CF58"")"),0)</f>
        <v>0</v>
      </c>
      <c r="N162" s="72">
        <f ca="1">IFERROR(__xludf.DUMMYFUNCTION("IMPORTRANGE(""https://docs.google.com/spreadsheets/d/1-uDff_7J0KD5mKrp0Vvzr7lt3OU09vwQwhkpOPPYv2Y/edit?usp=sharing"",""งบพรบ!CH58"")"),0)</f>
        <v>0</v>
      </c>
      <c r="O162" s="72">
        <f t="shared" ca="1" si="45"/>
        <v>0</v>
      </c>
      <c r="P162" s="72">
        <f t="shared" ca="1" si="46"/>
        <v>0</v>
      </c>
      <c r="Q162" s="71">
        <f ca="1">IFERROR(__xludf.DUMMYFUNCTION("IMPORTRANGE(""https://docs.google.com/spreadsheets/d/1ItG2mGa2ceCfYo0BwxsXqNm01IGEUdYcSSLTEv9YCik/edit?usp=sharing"",""เบิกจ่ายกองทุน!AM58"")"),0)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IFERROR(__xludf.DUMMYFUNCTION("IMPORTRANGE(""https://docs.google.com/spreadsheets/d/1ItG2mGa2ceCfYo0BwxsXqNm01IGEUdYcSSLTEv9YCik/edit?usp=sharing"",""เบิกจ่ายกองทุน!AN58"")"),0)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IFERROR(__xludf.DUMMYFUNCTION("IMPORTRANGE(""https://docs.google.com/spreadsheets/d/1ItG2mGa2ceCfYo0BwxsXqNm01IGEUdYcSSLTEv9YCik/edit?usp=sharing"",""เบิกจ่ายกองทุน!AO58"")"),0)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2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1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5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4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2">
        <f ca="1">IFERROR(__xludf.DUMMYFUNCTION("IMPORTRANGE(""https://docs.google.com/spreadsheets/d/1-uDff_7J0KD5mKrp0Vvzr7lt3OU09vwQwhkpOPPYv2Y/edit?usp=sharing"",""งบพรบ!CD58"")"),0)</f>
        <v>0</v>
      </c>
      <c r="M165" s="72">
        <f ca="1">IFERROR(__xludf.DUMMYFUNCTION("IMPORTRANGE(""https://docs.google.com/spreadsheets/d/1-uDff_7J0KD5mKrp0Vvzr7lt3OU09vwQwhkpOPPYv2Y/edit?usp=sharing"",""งบพรบ!CG58"")"),0)</f>
        <v>0</v>
      </c>
      <c r="N165" s="72">
        <f ca="1">IFERROR(__xludf.DUMMYFUNCTION("IMPORTRANGE(""https://docs.google.com/spreadsheets/d/1-uDff_7J0KD5mKrp0Vvzr7lt3OU09vwQwhkpOPPYv2Y/edit?usp=sharing"",""งบพรบ!CI58"")"),0)</f>
        <v>0</v>
      </c>
      <c r="O165" s="72">
        <f t="shared" ca="1" si="45"/>
        <v>0</v>
      </c>
      <c r="P165" s="72">
        <f t="shared" ca="1" si="46"/>
        <v>0</v>
      </c>
      <c r="Q165" s="71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5"/>
      <c r="M166" s="85"/>
      <c r="N166" s="85"/>
      <c r="O166" s="85"/>
      <c r="P166" s="85"/>
      <c r="Q166" s="84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IFERROR(__xludf.DUMMYFUNCTION("IMPORTRANGE(""https://docs.google.com/spreadsheets/d/1eHaY18a8A9IcSdp1K8H6x8fbOy06t2VsZHhMHf-1x7Y/edit?usp=sharing"",""แผน!Z58"")"),0)</f>
        <v>0</v>
      </c>
      <c r="J167" s="292">
        <v>0</v>
      </c>
      <c r="K167" s="72">
        <f ca="1">IF(I167&gt;0,J167*100/I167,0)</f>
        <v>0</v>
      </c>
      <c r="L167" s="85"/>
      <c r="M167" s="85"/>
      <c r="N167" s="85"/>
      <c r="O167" s="85"/>
      <c r="P167" s="85"/>
      <c r="Q167" s="84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IFERROR(__xludf.DUMMYFUNCTION("IMPORTRANGE(""https://docs.google.com/spreadsheets/d/1eHaY18a8A9IcSdp1K8H6x8fbOy06t2VsZHhMHf-1x7Y/edit?usp=sharing"",""แผน!Z58"")"),0)</f>
        <v>0</v>
      </c>
      <c r="J168" s="832">
        <v>0</v>
      </c>
      <c r="K168" s="75">
        <f ca="1">IF(I168&gt;0,J168*100/I168,0)</f>
        <v>0</v>
      </c>
      <c r="L168" s="85"/>
      <c r="M168" s="85"/>
      <c r="N168" s="85"/>
      <c r="O168" s="85"/>
      <c r="P168" s="85"/>
      <c r="Q168" s="84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IFERROR(__xludf.DUMMYFUNCTION("IMPORTRANGE(""https://docs.google.com/spreadsheets/d/1eHaY18a8A9IcSdp1K8H6x8fbOy06t2VsZHhMHf-1x7Y/edit?usp=sharing"",""แผน!Z58"")"),0)</f>
        <v>0</v>
      </c>
      <c r="J169" s="829">
        <v>0</v>
      </c>
      <c r="K169" s="828">
        <f ca="1">IF(I169&gt;0,J169*100/I169,0)</f>
        <v>0</v>
      </c>
      <c r="L169" s="96"/>
      <c r="M169" s="96"/>
      <c r="N169" s="96"/>
      <c r="O169" s="96"/>
      <c r="P169" s="96"/>
      <c r="Q169" s="95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4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4"/>
      <c r="M171" s="354"/>
      <c r="N171" s="354"/>
      <c r="O171" s="354"/>
      <c r="P171" s="354"/>
      <c r="Q171" s="353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3"/>
      <c r="M172" s="363"/>
      <c r="N172" s="363"/>
      <c r="O172" s="363"/>
      <c r="P172" s="363"/>
      <c r="Q172" s="362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262">
        <f ca="1">L174+L175</f>
        <v>19590</v>
      </c>
      <c r="M173" s="262">
        <f ca="1">M174+M175</f>
        <v>30980</v>
      </c>
      <c r="N173" s="262">
        <f ca="1">N174+N175</f>
        <v>30980</v>
      </c>
      <c r="O173" s="262">
        <f t="shared" ref="O173:O181" ca="1" si="51">IF(L173&gt;0,N173*100/L173,0)</f>
        <v>158.14190913731497</v>
      </c>
      <c r="P173" s="262">
        <f t="shared" ref="P173:P181" ca="1" si="52">IF(M173&gt;0,N173*100/M173,0)</f>
        <v>100</v>
      </c>
      <c r="Q173" s="389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5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4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2">
        <f t="shared" ca="1" si="55"/>
        <v>19590</v>
      </c>
      <c r="M175" s="72">
        <f t="shared" ca="1" si="55"/>
        <v>30980</v>
      </c>
      <c r="N175" s="72">
        <f t="shared" ca="1" si="55"/>
        <v>30980</v>
      </c>
      <c r="O175" s="72">
        <f t="shared" ca="1" si="51"/>
        <v>158.14190913731497</v>
      </c>
      <c r="P175" s="72">
        <f t="shared" ca="1" si="52"/>
        <v>100</v>
      </c>
      <c r="Q175" s="71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2">
        <f ca="1">L177+L178</f>
        <v>19590</v>
      </c>
      <c r="M176" s="72">
        <f ca="1">M177+M178</f>
        <v>30980</v>
      </c>
      <c r="N176" s="72">
        <f ca="1">N177+N178</f>
        <v>30980</v>
      </c>
      <c r="O176" s="72">
        <f t="shared" ca="1" si="51"/>
        <v>158.14190913731497</v>
      </c>
      <c r="P176" s="72">
        <f t="shared" ca="1" si="52"/>
        <v>100</v>
      </c>
      <c r="Q176" s="71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5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4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2">
        <f ca="1">IFERROR(__xludf.DUMMYFUNCTION("IMPORTRANGE(""https://docs.google.com/spreadsheets/d/1-uDff_7J0KD5mKrp0Vvzr7lt3OU09vwQwhkpOPPYv2Y/edit?usp=sharing"",""งบพรบ!CK58"")"),19590)</f>
        <v>19590</v>
      </c>
      <c r="M178" s="72">
        <f ca="1">IFERROR(__xludf.DUMMYFUNCTION("IMPORTRANGE(""https://docs.google.com/spreadsheets/d/1-uDff_7J0KD5mKrp0Vvzr7lt3OU09vwQwhkpOPPYv2Y/edit?usp=sharing"",""งบพรบ!CP58"")"),30980)</f>
        <v>30980</v>
      </c>
      <c r="N178" s="72">
        <f ca="1">IFERROR(__xludf.DUMMYFUNCTION("IMPORTRANGE(""https://docs.google.com/spreadsheets/d/1-uDff_7J0KD5mKrp0Vvzr7lt3OU09vwQwhkpOPPYv2Y/edit?usp=sharing"",""งบพรบ!CR58"")"),30980)</f>
        <v>30980</v>
      </c>
      <c r="O178" s="72">
        <f t="shared" ca="1" si="51"/>
        <v>158.14190913731497</v>
      </c>
      <c r="P178" s="72">
        <f t="shared" ca="1" si="52"/>
        <v>100</v>
      </c>
      <c r="Q178" s="71">
        <f ca="1">IFERROR(__xludf.DUMMYFUNCTION("IMPORTRANGE(""https://docs.google.com/spreadsheets/d/1ItG2mGa2ceCfYo0BwxsXqNm01IGEUdYcSSLTEv9YCik/edit?usp=sharing"",""เบิกจ่ายกองทุน!DG58"")"),0)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IFERROR(__xludf.DUMMYFUNCTION("IMPORTRANGE(""https://docs.google.com/spreadsheets/d/1ItG2mGa2ceCfYo0BwxsXqNm01IGEUdYcSSLTEv9YCik/edit?usp=sharing"",""เบิกจ่ายกองทุน!DH58"")"),0)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IFERROR(__xludf.DUMMYFUNCTION("IMPORTRANGE(""https://docs.google.com/spreadsheets/d/1ItG2mGa2ceCfYo0BwxsXqNm01IGEUdYcSSLTEv9YCik/edit?usp=sharing"",""เบิกจ่ายกองทุน!DI58"")"),0)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2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1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5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4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2">
        <f ca="1">IFERROR(__xludf.DUMMYFUNCTION("IMPORTRANGE(""https://docs.google.com/spreadsheets/d/1-uDff_7J0KD5mKrp0Vvzr7lt3OU09vwQwhkpOPPYv2Y/edit?usp=sharing"",""งบพรบ!CN58"")"),0)</f>
        <v>0</v>
      </c>
      <c r="M181" s="72">
        <f ca="1">IFERROR(__xludf.DUMMYFUNCTION("IMPORTRANGE(""https://docs.google.com/spreadsheets/d/1-uDff_7J0KD5mKrp0Vvzr7lt3OU09vwQwhkpOPPYv2Y/edit?usp=sharing"",""งบพรบ!CQ58"")"),0)</f>
        <v>0</v>
      </c>
      <c r="N181" s="72">
        <f ca="1">IFERROR(__xludf.DUMMYFUNCTION("IMPORTRANGE(""https://docs.google.com/spreadsheets/d/1-uDff_7J0KD5mKrp0Vvzr7lt3OU09vwQwhkpOPPYv2Y/edit?usp=sharing"",""งบพรบ!CS58"")"),0)</f>
        <v>0</v>
      </c>
      <c r="O181" s="72">
        <f t="shared" ca="1" si="51"/>
        <v>0</v>
      </c>
      <c r="P181" s="72">
        <f t="shared" ca="1" si="52"/>
        <v>0</v>
      </c>
      <c r="Q181" s="71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5"/>
      <c r="M182" s="85"/>
      <c r="N182" s="85"/>
      <c r="O182" s="85"/>
      <c r="P182" s="85"/>
      <c r="Q182" s="84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IFERROR(__xludf.DUMMYFUNCTION("IMPORTRANGE(""https://docs.google.com/spreadsheets/d/1eHaY18a8A9IcSdp1K8H6x8fbOy06t2VsZHhMHf-1x7Y/edit?usp=sharing"",""แผน!AA58"")"),7)</f>
        <v>7</v>
      </c>
      <c r="J183" s="292">
        <v>7</v>
      </c>
      <c r="K183" s="72">
        <f ca="1">IF(I183&gt;0,J183*100/I183,0)</f>
        <v>100</v>
      </c>
      <c r="L183" s="85"/>
      <c r="M183" s="85"/>
      <c r="N183" s="85"/>
      <c r="O183" s="85"/>
      <c r="P183" s="85"/>
      <c r="Q183" s="84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5"/>
      <c r="M184" s="85"/>
      <c r="N184" s="85"/>
      <c r="O184" s="85"/>
      <c r="P184" s="85"/>
      <c r="Q184" s="84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0</v>
      </c>
      <c r="J185" s="963">
        <f>J230+J231</f>
        <v>0</v>
      </c>
      <c r="K185" s="962">
        <f ca="1">IF(I185&gt;0,J185*100/I185,0)</f>
        <v>0</v>
      </c>
      <c r="L185" s="363"/>
      <c r="M185" s="363"/>
      <c r="N185" s="363"/>
      <c r="O185" s="363"/>
      <c r="P185" s="363"/>
      <c r="Q185" s="362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262">
        <f ca="1">L187+L188</f>
        <v>111200</v>
      </c>
      <c r="M186" s="262">
        <f ca="1">M187+M188</f>
        <v>113200</v>
      </c>
      <c r="N186" s="262">
        <f ca="1">N187+N188</f>
        <v>107584</v>
      </c>
      <c r="O186" s="262">
        <f t="shared" ref="O186:O194" ca="1" si="57">IF(L186&gt;0,N186*100/L186,0)</f>
        <v>96.748201438848923</v>
      </c>
      <c r="P186" s="262">
        <f t="shared" ref="P186:P194" ca="1" si="58">IF(M186&gt;0,N186*100/M186,0)</f>
        <v>95.038869257950523</v>
      </c>
      <c r="Q186" s="389">
        <f ca="1">Q187+Q188</f>
        <v>41700</v>
      </c>
      <c r="R186" s="262">
        <f ca="1">R187+R188</f>
        <v>41700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5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4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2">
        <f t="shared" ca="1" si="61"/>
        <v>111200</v>
      </c>
      <c r="M188" s="72">
        <f t="shared" ca="1" si="61"/>
        <v>113200</v>
      </c>
      <c r="N188" s="72">
        <f t="shared" ca="1" si="61"/>
        <v>107584</v>
      </c>
      <c r="O188" s="72">
        <f t="shared" ca="1" si="57"/>
        <v>96.748201438848923</v>
      </c>
      <c r="P188" s="72">
        <f t="shared" ca="1" si="58"/>
        <v>95.038869257950523</v>
      </c>
      <c r="Q188" s="71">
        <f t="shared" ca="1" si="62"/>
        <v>41700</v>
      </c>
      <c r="R188" s="72">
        <f t="shared" ca="1" si="62"/>
        <v>41700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2">
        <f ca="1">L190+L191</f>
        <v>111200</v>
      </c>
      <c r="M189" s="72">
        <f ca="1">M190+M191</f>
        <v>113200</v>
      </c>
      <c r="N189" s="72">
        <f ca="1">N190+N191</f>
        <v>107584</v>
      </c>
      <c r="O189" s="72">
        <f t="shared" ca="1" si="57"/>
        <v>96.748201438848923</v>
      </c>
      <c r="P189" s="72">
        <f t="shared" ca="1" si="58"/>
        <v>95.038869257950523</v>
      </c>
      <c r="Q189" s="71">
        <f ca="1">Q190+Q191</f>
        <v>41700</v>
      </c>
      <c r="R189" s="72">
        <f ca="1">R190+R191</f>
        <v>41700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5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4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2">
        <f ca="1">IFERROR(__xludf.DUMMYFUNCTION("IMPORTRANGE(""https://docs.google.com/spreadsheets/d/1-uDff_7J0KD5mKrp0Vvzr7lt3OU09vwQwhkpOPPYv2Y/edit?usp=sharing"",""งบพรบ!CU58"")"),111200)</f>
        <v>111200</v>
      </c>
      <c r="M191" s="72">
        <f ca="1">IFERROR(__xludf.DUMMYFUNCTION("IMPORTRANGE(""https://docs.google.com/spreadsheets/d/1-uDff_7J0KD5mKrp0Vvzr7lt3OU09vwQwhkpOPPYv2Y/edit?usp=sharing"",""งบพรบ!CZ58"")"),113200)</f>
        <v>113200</v>
      </c>
      <c r="N191" s="72">
        <f ca="1">IFERROR(__xludf.DUMMYFUNCTION("IMPORTRANGE(""https://docs.google.com/spreadsheets/d/1-uDff_7J0KD5mKrp0Vvzr7lt3OU09vwQwhkpOPPYv2Y/edit?usp=sharing"",""งบพรบ!DB58"")"),107584)</f>
        <v>107584</v>
      </c>
      <c r="O191" s="72">
        <f t="shared" ca="1" si="57"/>
        <v>96.748201438848923</v>
      </c>
      <c r="P191" s="72">
        <f t="shared" ca="1" si="58"/>
        <v>95.038869257950523</v>
      </c>
      <c r="Q191" s="71">
        <f ca="1">IFERROR(__xludf.DUMMYFUNCTION("IMPORTRANGE(""https://docs.google.com/spreadsheets/d/1ItG2mGa2ceCfYo0BwxsXqNm01IGEUdYcSSLTEv9YCik/edit?usp=sharing"",""เบิกจ่ายกองทุน!BQ58"")"),41700)</f>
        <v>41700</v>
      </c>
      <c r="R191" s="72">
        <f ca="1">IFERROR(__xludf.DUMMYFUNCTION("IMPORTRANGE(""https://docs.google.com/spreadsheets/d/1ItG2mGa2ceCfYo0BwxsXqNm01IGEUdYcSSLTEv9YCik/edit?usp=sharing"",""เบิกจ่ายกองทุน!BR58"")"),41700)</f>
        <v>41700</v>
      </c>
      <c r="S191" s="72">
        <f ca="1">IFERROR(__xludf.DUMMYFUNCTION("IMPORTRANGE(""https://docs.google.com/spreadsheets/d/1ItG2mGa2ceCfYo0BwxsXqNm01IGEUdYcSSLTEv9YCik/edit?usp=sharing"",""เบิกจ่ายกองทุน!BS58"")"),0)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2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1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5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4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2">
        <f ca="1">IFERROR(__xludf.DUMMYFUNCTION("IMPORTRANGE(""https://docs.google.com/spreadsheets/d/1-uDff_7J0KD5mKrp0Vvzr7lt3OU09vwQwhkpOPPYv2Y/edit?usp=sharing"",""งบพรบ!CX58"")"),0)</f>
        <v>0</v>
      </c>
      <c r="M194" s="72">
        <f ca="1">IFERROR(__xludf.DUMMYFUNCTION("IMPORTRANGE(""https://docs.google.com/spreadsheets/d/1-uDff_7J0KD5mKrp0Vvzr7lt3OU09vwQwhkpOPPYv2Y/edit?usp=sharing"",""งบพรบ!DA58"")"),0)</f>
        <v>0</v>
      </c>
      <c r="N194" s="72">
        <f ca="1">IFERROR(__xludf.DUMMYFUNCTION("IMPORTRANGE(""https://docs.google.com/spreadsheets/d/1-uDff_7J0KD5mKrp0Vvzr7lt3OU09vwQwhkpOPPYv2Y/edit?usp=sharing"",""งบพรบ!DC58"")"),0)</f>
        <v>0</v>
      </c>
      <c r="O194" s="72">
        <f t="shared" ca="1" si="57"/>
        <v>0</v>
      </c>
      <c r="P194" s="72">
        <f t="shared" ca="1" si="58"/>
        <v>0</v>
      </c>
      <c r="Q194" s="71">
        <f ca="1">IFERROR(__xludf.DUMMYFUNCTION("IMPORTRANGE(""https://docs.google.com/spreadsheets/d/1ItG2mGa2ceCfYo0BwxsXqNm01IGEUdYcSSLTEv9YCik/edit?usp=sharing"",""เบิกจ่ายกองทุน!BT58"")"),0)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IFERROR(__xludf.DUMMYFUNCTION("IMPORTRANGE(""https://docs.google.com/spreadsheets/d/1ItG2mGa2ceCfYo0BwxsXqNm01IGEUdYcSSLTEv9YCik/edit?usp=sharing"",""เบิกจ่ายกองทุน!BU58"")"),0)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IFERROR(__xludf.DUMMYFUNCTION("IMPORTRANGE(""https://docs.google.com/spreadsheets/d/1ItG2mGa2ceCfYo0BwxsXqNm01IGEUdYcSSLTEv9YCik/edit?usp=sharing"",""เบิกจ่ายกองทุน!BV58"")"),0)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8"/>
      <c r="M195" s="378"/>
      <c r="N195" s="378"/>
      <c r="O195" s="378"/>
      <c r="P195" s="378"/>
      <c r="Q195" s="377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262">
        <f ca="1">IFERROR(__xludf.DUMMYFUNCTION("IMPORTRANGE(""https://docs.google.com/spreadsheets/d/1eHaY18a8A9IcSdp1K8H6x8fbOy06t2VsZHhMHf-1x7Y/edit?usp=sharing"",""แผน!AB58"")"),6000)</f>
        <v>6000</v>
      </c>
      <c r="M196" s="85"/>
      <c r="N196" s="961">
        <v>5000</v>
      </c>
      <c r="O196" s="262">
        <f ca="1">IF(L196&gt;0,N196*100/L196,0)</f>
        <v>83.333333333333329</v>
      </c>
      <c r="P196" s="262">
        <f>IF(M196&gt;0,N196*100/M196,0)</f>
        <v>0</v>
      </c>
      <c r="Q196" s="84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5"/>
      <c r="M197" s="85"/>
      <c r="N197" s="85"/>
      <c r="O197" s="85"/>
      <c r="P197" s="85"/>
      <c r="Q197" s="84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IFERROR(__xludf.DUMMYFUNCTION("IMPORTRANGE(""https://docs.google.com/spreadsheets/d/1eHaY18a8A9IcSdp1K8H6x8fbOy06t2VsZHhMHf-1x7Y/edit?usp=sharing"",""แผน!AE58"")"),4)</f>
        <v>4</v>
      </c>
      <c r="J198" s="292">
        <v>3</v>
      </c>
      <c r="K198" s="72">
        <f ca="1">IF(I198&gt;0,J198*100/I198,0)</f>
        <v>75</v>
      </c>
      <c r="L198" s="85"/>
      <c r="M198" s="85"/>
      <c r="N198" s="85"/>
      <c r="O198" s="85"/>
      <c r="P198" s="85"/>
      <c r="Q198" s="84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105</v>
      </c>
      <c r="K199" s="85"/>
      <c r="L199" s="85"/>
      <c r="M199" s="85"/>
      <c r="N199" s="85"/>
      <c r="O199" s="85"/>
      <c r="P199" s="85"/>
      <c r="Q199" s="84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105</v>
      </c>
      <c r="K200" s="85"/>
      <c r="L200" s="85"/>
      <c r="M200" s="85"/>
      <c r="N200" s="85"/>
      <c r="O200" s="85"/>
      <c r="P200" s="85"/>
      <c r="Q200" s="84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5"/>
      <c r="M201" s="85"/>
      <c r="N201" s="85"/>
      <c r="O201" s="85"/>
      <c r="P201" s="85"/>
      <c r="Q201" s="84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8"/>
      <c r="M202" s="378"/>
      <c r="N202" s="378"/>
      <c r="O202" s="378"/>
      <c r="P202" s="378"/>
      <c r="Q202" s="377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262">
        <f ca="1">L204+L205+L206+L207</f>
        <v>13000</v>
      </c>
      <c r="M203" s="85"/>
      <c r="N203" s="262">
        <f>N204+N205+N206+N207</f>
        <v>13000</v>
      </c>
      <c r="O203" s="262">
        <f ca="1">IF(L203&gt;0,N203*100/L203,0)</f>
        <v>100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2">
        <f ca="1">IFERROR(__xludf.DUMMYFUNCTION("IMPORTRANGE(""https://docs.google.com/spreadsheets/d/1eHaY18a8A9IcSdp1K8H6x8fbOy06t2VsZHhMHf-1x7Y/edit?usp=sharing"",""แผน!AG58"")"),1000)</f>
        <v>1000</v>
      </c>
      <c r="M204" s="85"/>
      <c r="N204" s="387">
        <v>1000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2">
        <f ca="1">IFERROR(__xludf.DUMMYFUNCTION("IMPORTRANGE(""https://docs.google.com/spreadsheets/d/1eHaY18a8A9IcSdp1K8H6x8fbOy06t2VsZHhMHf-1x7Y/edit?usp=sharing"",""แผน!AH58"")"),0)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2">
        <f ca="1">IFERROR(__xludf.DUMMYFUNCTION("IMPORTRANGE(""https://docs.google.com/spreadsheets/d/1eHaY18a8A9IcSdp1K8H6x8fbOy06t2VsZHhMHf-1x7Y/edit?usp=sharing"",""แผน!AI58"")"),8000)</f>
        <v>8000</v>
      </c>
      <c r="M206" s="85"/>
      <c r="N206" s="387">
        <v>8000</v>
      </c>
      <c r="O206" s="227"/>
      <c r="P206" s="85"/>
      <c r="Q206" s="71">
        <f ca="1">IFERROR(__xludf.DUMMYFUNCTION("IMPORTRANGE(""https://docs.google.com/spreadsheets/d/1eHaY18a8A9IcSdp1K8H6x8fbOy06t2VsZHhMHf-1x7Y/edit?usp=sharing"",""แผน!LV58"")"),0)</f>
        <v>0</v>
      </c>
      <c r="R206" s="85"/>
      <c r="S206" s="387">
        <v>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2">
        <f ca="1">IFERROR(__xludf.DUMMYFUNCTION("IMPORTRANGE(""https://docs.google.com/spreadsheets/d/1eHaY18a8A9IcSdp1K8H6x8fbOy06t2VsZHhMHf-1x7Y/edit?usp=sharing"",""แผน!AJ58"")"),4000)</f>
        <v>4000</v>
      </c>
      <c r="M207" s="85"/>
      <c r="N207" s="387">
        <v>4000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7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IFERROR(__xludf.DUMMYFUNCTION("IMPORTRANGE(""https://docs.google.com/spreadsheets/d/1eHaY18a8A9IcSdp1K8H6x8fbOy06t2VsZHhMHf-1x7Y/edit?usp=sharing"",""แผน!AK58"")"),1)</f>
        <v>1</v>
      </c>
      <c r="J209" s="292">
        <v>1</v>
      </c>
      <c r="K209" s="746">
        <f ca="1">IF(I209&gt;0,J209*100/I209,0)</f>
        <v>100</v>
      </c>
      <c r="L209" s="85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5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IFERROR(__xludf.DUMMYFUNCTION("IMPORTRANGE(""https://docs.google.com/spreadsheets/d/1eHaY18a8A9IcSdp1K8H6x8fbOy06t2VsZHhMHf-1x7Y/edit?usp=sharing"",""แผน!JX58"")"),1)</f>
        <v>1</v>
      </c>
      <c r="J211" s="292">
        <v>1</v>
      </c>
      <c r="K211" s="746">
        <f ca="1">IF(I211&gt;0,J211*100/I211,0)</f>
        <v>100</v>
      </c>
      <c r="L211" s="85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IFERROR(__xludf.DUMMYFUNCTION("IMPORTRANGE(""https://docs.google.com/spreadsheets/d/1eHaY18a8A9IcSdp1K8H6x8fbOy06t2VsZHhMHf-1x7Y/edit?usp=sharing"",""แผน!JY58"")"),0)</f>
        <v>0</v>
      </c>
      <c r="J212" s="292">
        <v>0</v>
      </c>
      <c r="K212" s="746">
        <f ca="1">IF(I212&gt;0,J212*100/I212,0)</f>
        <v>0</v>
      </c>
      <c r="L212" s="85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1</v>
      </c>
      <c r="J213" s="538">
        <f>J220</f>
        <v>1</v>
      </c>
      <c r="K213" s="539">
        <f ca="1">IF(I213&gt;0,J213*100/I213,0)</f>
        <v>100</v>
      </c>
      <c r="L213" s="378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x14ac:dyDescent="0.3">
      <c r="A214" s="255"/>
      <c r="B214" s="267"/>
      <c r="C214" s="668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262">
        <f ca="1">L215+L216+L217</f>
        <v>14000</v>
      </c>
      <c r="M214" s="85"/>
      <c r="N214" s="262">
        <f>N215+N216+N217</f>
        <v>14000</v>
      </c>
      <c r="O214" s="262">
        <f ca="1">IF(L214&gt;0,N214*100/L214,0)</f>
        <v>100</v>
      </c>
      <c r="P214" s="262">
        <f>IF(M214&gt;0,N214*100/M214,0)</f>
        <v>0</v>
      </c>
      <c r="Q214" s="389">
        <f ca="1">Q215+Q216+Q217</f>
        <v>41700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2">
        <f ca="1">IFERROR(__xludf.DUMMYFUNCTION("IMPORTRANGE(""https://docs.google.com/spreadsheets/d/1eHaY18a8A9IcSdp1K8H6x8fbOy06t2VsZHhMHf-1x7Y/edit?usp=sharing"",""แผน!AM58"")"),1000)</f>
        <v>1000</v>
      </c>
      <c r="M215" s="85"/>
      <c r="N215" s="387">
        <v>1000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2">
        <f ca="1">IFERROR(__xludf.DUMMYFUNCTION("IMPORTRANGE(""https://docs.google.com/spreadsheets/d/1eHaY18a8A9IcSdp1K8H6x8fbOy06t2VsZHhMHf-1x7Y/edit?usp=sharing"",""แผน!AN58"")"),5000)</f>
        <v>5000</v>
      </c>
      <c r="M216" s="85"/>
      <c r="N216" s="387">
        <v>5000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2">
        <f ca="1">IFERROR(__xludf.DUMMYFUNCTION("IMPORTRANGE(""https://docs.google.com/spreadsheets/d/1eHaY18a8A9IcSdp1K8H6x8fbOy06t2VsZHhMHf-1x7Y/edit?usp=sharing"",""แผน!AO58"")"),8000)</f>
        <v>8000</v>
      </c>
      <c r="M217" s="85"/>
      <c r="N217" s="387">
        <v>8000</v>
      </c>
      <c r="O217" s="227"/>
      <c r="P217" s="85"/>
      <c r="Q217" s="71">
        <f ca="1">IFERROR(__xludf.DUMMYFUNCTION("IMPORTRANGE(""https://docs.google.com/spreadsheets/d/1eHaY18a8A9IcSdp1K8H6x8fbOy06t2VsZHhMHf-1x7Y/edit?usp=sharing"",""แผน!LY58"")"),41700)</f>
        <v>41700</v>
      </c>
      <c r="R217" s="85"/>
      <c r="S217" s="387">
        <v>0</v>
      </c>
      <c r="T217" s="227"/>
      <c r="U217" s="85"/>
    </row>
    <row r="218" spans="1:21" ht="19.5" x14ac:dyDescent="0.3">
      <c r="A218" s="274"/>
      <c r="B218" s="275"/>
      <c r="C218" s="668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5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IFERROR(__xludf.DUMMYFUNCTION("IMPORTRANGE(""https://docs.google.com/spreadsheets/d/1eHaY18a8A9IcSdp1K8H6x8fbOy06t2VsZHhMHf-1x7Y/edit?usp=sharing"",""แผน!AP58"")"),1)</f>
        <v>1</v>
      </c>
      <c r="J219" s="292">
        <v>1</v>
      </c>
      <c r="K219" s="72">
        <f ca="1">IF(I219&gt;0,J219*100/I219,0)</f>
        <v>100</v>
      </c>
      <c r="L219" s="85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IFERROR(__xludf.DUMMYFUNCTION("IMPORTRANGE(""https://docs.google.com/spreadsheets/d/1eHaY18a8A9IcSdp1K8H6x8fbOy06t2VsZHhMHf-1x7Y/edit?usp=sharing"",""แผน!AP58"")"),1)</f>
        <v>1</v>
      </c>
      <c r="J220" s="292">
        <v>1</v>
      </c>
      <c r="K220" s="72">
        <f ca="1">IF(I220&gt;0,J220*100/I220,0)</f>
        <v>100</v>
      </c>
      <c r="L220" s="85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3200</v>
      </c>
      <c r="J221" s="538">
        <f>J229</f>
        <v>3200</v>
      </c>
      <c r="K221" s="539">
        <f ca="1">IF(I221&gt;0,J221*100/I221,0)</f>
        <v>100</v>
      </c>
      <c r="L221" s="378"/>
      <c r="M221" s="378"/>
      <c r="N221" s="378"/>
      <c r="O221" s="378"/>
      <c r="P221" s="378"/>
      <c r="Q221" s="377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262">
        <f ca="1">L223+L224+L225</f>
        <v>4500</v>
      </c>
      <c r="M222" s="85"/>
      <c r="N222" s="262">
        <f>N223+N224+N225</f>
        <v>2055</v>
      </c>
      <c r="O222" s="262">
        <f ca="1">IF(L222&gt;0,N222*100/L222,0)</f>
        <v>45.666666666666664</v>
      </c>
      <c r="P222" s="262">
        <f>IF(M222&gt;0,N222*100/M222,0)</f>
        <v>0</v>
      </c>
      <c r="Q222" s="84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2">
        <f ca="1">IFERROR(__xludf.DUMMYFUNCTION("IMPORTRANGE(""https://docs.google.com/spreadsheets/d/1eHaY18a8A9IcSdp1K8H6x8fbOy06t2VsZHhMHf-1x7Y/edit?usp=sharing"",""แผน!AR58"")"),2500)</f>
        <v>2500</v>
      </c>
      <c r="M223" s="85"/>
      <c r="N223" s="387">
        <v>1055</v>
      </c>
      <c r="O223" s="227"/>
      <c r="P223" s="85"/>
      <c r="Q223" s="84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2">
        <f ca="1">IFERROR(__xludf.DUMMYFUNCTION("IMPORTRANGE(""https://docs.google.com/spreadsheets/d/1eHaY18a8A9IcSdp1K8H6x8fbOy06t2VsZHhMHf-1x7Y/edit?usp=sharing"",""แผน!AS58"")"),2000)</f>
        <v>2000</v>
      </c>
      <c r="M224" s="85"/>
      <c r="N224" s="387">
        <v>1000</v>
      </c>
      <c r="O224" s="227"/>
      <c r="P224" s="85"/>
      <c r="Q224" s="84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2">
        <f ca="1">IFERROR(__xludf.DUMMYFUNCTION("IMPORTRANGE(""https://docs.google.com/spreadsheets/d/1eHaY18a8A9IcSdp1K8H6x8fbOy06t2VsZHhMHf-1x7Y/edit?usp=sharing"",""แผน!AT58"")"),0)</f>
        <v>0</v>
      </c>
      <c r="M225" s="85"/>
      <c r="N225" s="387">
        <v>0</v>
      </c>
      <c r="O225" s="227"/>
      <c r="P225" s="85"/>
      <c r="Q225" s="84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7"/>
      <c r="M226" s="227"/>
      <c r="N226" s="227"/>
      <c r="O226" s="227"/>
      <c r="P226" s="227"/>
      <c r="Q226" s="226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7"/>
      <c r="M227" s="227"/>
      <c r="N227" s="227"/>
      <c r="O227" s="227"/>
      <c r="P227" s="227"/>
      <c r="Q227" s="226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IFERROR(__xludf.DUMMYFUNCTION("IMPORTRANGE(""https://docs.google.com/spreadsheets/d/1eHaY18a8A9IcSdp1K8H6x8fbOy06t2VsZHhMHf-1x7Y/edit?usp=sharing"",""แผน!AV58"")"),3200)</f>
        <v>3200</v>
      </c>
      <c r="J228" s="292">
        <v>3200</v>
      </c>
      <c r="K228" s="746">
        <f ca="1">IF(I228&gt;0,J228*100/I228,0)</f>
        <v>100</v>
      </c>
      <c r="L228" s="227"/>
      <c r="M228" s="227"/>
      <c r="N228" s="227"/>
      <c r="O228" s="227"/>
      <c r="P228" s="227"/>
      <c r="Q228" s="226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IFERROR(__xludf.DUMMYFUNCTION("IMPORTRANGE(""https://docs.google.com/spreadsheets/d/1eHaY18a8A9IcSdp1K8H6x8fbOy06t2VsZHhMHf-1x7Y/edit?usp=sharing"",""แผน!AV58"")"),3200)</f>
        <v>3200</v>
      </c>
      <c r="J229" s="292">
        <v>3200</v>
      </c>
      <c r="K229" s="746">
        <f ca="1">IF(I229&gt;0,J229*100/I229,0)</f>
        <v>100</v>
      </c>
      <c r="L229" s="85"/>
      <c r="M229" s="85"/>
      <c r="N229" s="85"/>
      <c r="O229" s="85"/>
      <c r="P229" s="85"/>
      <c r="Q229" s="84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IFERROR(__xludf.DUMMYFUNCTION("IMPORTRANGE(""https://docs.google.com/spreadsheets/d/1eHaY18a8A9IcSdp1K8H6x8fbOy06t2VsZHhMHf-1x7Y/edit?usp=sharing"",""แผน!AU58"")"),0)</f>
        <v>0</v>
      </c>
      <c r="J230" s="292">
        <v>0</v>
      </c>
      <c r="K230" s="746">
        <f ca="1">IF(I230&gt;0,J230*100/I230,0)</f>
        <v>0</v>
      </c>
      <c r="L230" s="85"/>
      <c r="M230" s="85"/>
      <c r="N230" s="85"/>
      <c r="O230" s="85"/>
      <c r="P230" s="85"/>
      <c r="Q230" s="84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0</v>
      </c>
      <c r="J231" s="951">
        <f>J242+J253</f>
        <v>0</v>
      </c>
      <c r="K231" s="950">
        <f ca="1">IF(I231&gt;0,J231*100/I231,0)</f>
        <v>0</v>
      </c>
      <c r="L231" s="1188"/>
      <c r="M231" s="1188"/>
      <c r="N231" s="1188"/>
      <c r="O231" s="1188"/>
      <c r="P231" s="1188"/>
      <c r="Q231" s="1189"/>
      <c r="R231" s="1188"/>
      <c r="S231" s="1188"/>
      <c r="T231" s="1188"/>
      <c r="U231" s="118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6">
        <f ca="1">L243+L254</f>
        <v>0</v>
      </c>
      <c r="M232" s="938"/>
      <c r="N232" s="956">
        <f>N243+N254</f>
        <v>0</v>
      </c>
      <c r="O232" s="938"/>
      <c r="P232" s="938"/>
      <c r="Q232" s="215">
        <v>0</v>
      </c>
      <c r="R232" s="131"/>
      <c r="S232" s="131">
        <v>0</v>
      </c>
      <c r="T232" s="938"/>
      <c r="U232" s="938"/>
    </row>
    <row r="233" spans="1:21" ht="18.75" hidden="1" x14ac:dyDescent="0.25">
      <c r="A233" s="936"/>
      <c r="B233" s="1082"/>
      <c r="C233" s="1082"/>
      <c r="D233" s="569" t="s">
        <v>86</v>
      </c>
      <c r="E233" s="935"/>
      <c r="F233" s="935"/>
      <c r="G233" s="934"/>
      <c r="H233" s="271" t="s">
        <v>14</v>
      </c>
      <c r="I233" s="933"/>
      <c r="J233" s="933"/>
      <c r="K233" s="932"/>
      <c r="L233" s="75">
        <f ca="1">L244+L255</f>
        <v>0</v>
      </c>
      <c r="M233" s="938"/>
      <c r="N233" s="75">
        <f>N244+N255</f>
        <v>0</v>
      </c>
      <c r="O233" s="938"/>
      <c r="P233" s="938"/>
      <c r="Q233" s="1184">
        <v>0</v>
      </c>
      <c r="R233" s="1183"/>
      <c r="S233" s="1183">
        <v>0</v>
      </c>
      <c r="T233" s="938"/>
      <c r="U233" s="938"/>
    </row>
    <row r="234" spans="1:21" ht="18.75" hidden="1" x14ac:dyDescent="0.25">
      <c r="A234" s="1083"/>
      <c r="B234" s="1082"/>
      <c r="C234" s="1082"/>
      <c r="D234" s="569" t="s">
        <v>88</v>
      </c>
      <c r="E234" s="935"/>
      <c r="F234" s="935"/>
      <c r="G234" s="934"/>
      <c r="H234" s="271" t="s">
        <v>14</v>
      </c>
      <c r="I234" s="939"/>
      <c r="J234" s="939"/>
      <c r="K234" s="938"/>
      <c r="L234" s="75">
        <f ca="1">L245+L256</f>
        <v>0</v>
      </c>
      <c r="M234" s="938"/>
      <c r="N234" s="75">
        <f>N245+N256</f>
        <v>0</v>
      </c>
      <c r="O234" s="938"/>
      <c r="P234" s="938"/>
      <c r="Q234" s="74">
        <v>0</v>
      </c>
      <c r="R234" s="75"/>
      <c r="S234" s="75">
        <v>0</v>
      </c>
      <c r="T234" s="938"/>
      <c r="U234" s="938"/>
    </row>
    <row r="235" spans="1:21" ht="18.75" hidden="1" x14ac:dyDescent="0.25">
      <c r="A235" s="1083"/>
      <c r="B235" s="1082"/>
      <c r="C235" s="1082"/>
      <c r="D235" s="569" t="s">
        <v>106</v>
      </c>
      <c r="E235" s="935"/>
      <c r="F235" s="935"/>
      <c r="G235" s="934"/>
      <c r="H235" s="271" t="s">
        <v>14</v>
      </c>
      <c r="I235" s="939"/>
      <c r="J235" s="939"/>
      <c r="K235" s="938"/>
      <c r="L235" s="75">
        <f ca="1">L246+L257</f>
        <v>0</v>
      </c>
      <c r="M235" s="938"/>
      <c r="N235" s="75">
        <f>N246+N257</f>
        <v>0</v>
      </c>
      <c r="O235" s="938"/>
      <c r="P235" s="938"/>
      <c r="Q235" s="74">
        <v>0</v>
      </c>
      <c r="R235" s="75"/>
      <c r="S235" s="75">
        <v>0</v>
      </c>
      <c r="T235" s="938"/>
      <c r="U235" s="938"/>
    </row>
    <row r="236" spans="1:21" ht="18.75" hidden="1" x14ac:dyDescent="0.25">
      <c r="A236" s="1083"/>
      <c r="B236" s="1082"/>
      <c r="C236" s="1082"/>
      <c r="D236" s="263" t="s">
        <v>107</v>
      </c>
      <c r="E236" s="935"/>
      <c r="F236" s="935"/>
      <c r="G236" s="934"/>
      <c r="H236" s="271" t="s">
        <v>14</v>
      </c>
      <c r="I236" s="939"/>
      <c r="J236" s="939"/>
      <c r="K236" s="938"/>
      <c r="L236" s="75">
        <f ca="1">L247+L258</f>
        <v>0</v>
      </c>
      <c r="M236" s="938"/>
      <c r="N236" s="75">
        <f>N247+N258</f>
        <v>0</v>
      </c>
      <c r="O236" s="938"/>
      <c r="P236" s="938"/>
      <c r="Q236" s="74">
        <v>0</v>
      </c>
      <c r="R236" s="75"/>
      <c r="S236" s="75">
        <v>0</v>
      </c>
      <c r="T236" s="938"/>
      <c r="U236" s="938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938"/>
      <c r="M237" s="938"/>
      <c r="N237" s="938"/>
      <c r="O237" s="932"/>
      <c r="P237" s="932"/>
      <c r="Q237" s="1182"/>
      <c r="R237" s="938"/>
      <c r="S237" s="938"/>
      <c r="T237" s="932"/>
      <c r="U237" s="932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0</v>
      </c>
      <c r="J238" s="570">
        <f>J249+J260</f>
        <v>0</v>
      </c>
      <c r="K238" s="75">
        <f ca="1">IF(I238&gt;0,J238*100/I238,0)</f>
        <v>0</v>
      </c>
      <c r="L238" s="938"/>
      <c r="M238" s="938"/>
      <c r="N238" s="938"/>
      <c r="O238" s="938"/>
      <c r="P238" s="938"/>
      <c r="Q238" s="1182"/>
      <c r="R238" s="938"/>
      <c r="S238" s="938"/>
      <c r="T238" s="938"/>
      <c r="U238" s="938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938"/>
      <c r="M239" s="938"/>
      <c r="N239" s="938"/>
      <c r="O239" s="932"/>
      <c r="P239" s="932"/>
      <c r="Q239" s="1182"/>
      <c r="R239" s="938"/>
      <c r="S239" s="938"/>
      <c r="T239" s="932"/>
      <c r="U239" s="932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>I251+I262</f>
        <v>0</v>
      </c>
      <c r="J240" s="570">
        <f>J251+J262</f>
        <v>0</v>
      </c>
      <c r="K240" s="75">
        <f>IF(I240&gt;0,J240*100/I240,0)</f>
        <v>0</v>
      </c>
      <c r="L240" s="938"/>
      <c r="M240" s="938"/>
      <c r="N240" s="938"/>
      <c r="O240" s="938"/>
      <c r="P240" s="938"/>
      <c r="Q240" s="1182"/>
      <c r="R240" s="938"/>
      <c r="S240" s="938"/>
      <c r="T240" s="938"/>
      <c r="U240" s="938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>I252+I263</f>
        <v>0</v>
      </c>
      <c r="J241" s="570">
        <f>J252+J263</f>
        <v>0</v>
      </c>
      <c r="K241" s="75">
        <f>IF(I241&gt;0,J241*100/I241,0)</f>
        <v>0</v>
      </c>
      <c r="L241" s="938"/>
      <c r="M241" s="938"/>
      <c r="N241" s="938"/>
      <c r="O241" s="938"/>
      <c r="P241" s="938"/>
      <c r="Q241" s="1182"/>
      <c r="R241" s="938"/>
      <c r="S241" s="938"/>
      <c r="T241" s="938"/>
      <c r="U241" s="938"/>
    </row>
    <row r="242" spans="1:21" ht="19.5" hidden="1" x14ac:dyDescent="0.3">
      <c r="A242" s="1087"/>
      <c r="B242" s="1086"/>
      <c r="C242" s="1304" t="s">
        <v>111</v>
      </c>
      <c r="D242" s="1085"/>
      <c r="E242" s="1085"/>
      <c r="F242" s="1085"/>
      <c r="G242" s="1084"/>
      <c r="H242" s="952" t="s">
        <v>35</v>
      </c>
      <c r="I242" s="951">
        <f ca="1">I249</f>
        <v>0</v>
      </c>
      <c r="J242" s="951">
        <f>J249</f>
        <v>0</v>
      </c>
      <c r="K242" s="950">
        <f ca="1">IF(I242&gt;0,J242*100/I242,0)</f>
        <v>0</v>
      </c>
      <c r="L242" s="1188"/>
      <c r="M242" s="1188"/>
      <c r="N242" s="1188"/>
      <c r="O242" s="1188"/>
      <c r="P242" s="1188"/>
      <c r="Q242" s="1189"/>
      <c r="R242" s="1188"/>
      <c r="S242" s="1188"/>
      <c r="T242" s="1188"/>
      <c r="U242" s="1188"/>
    </row>
    <row r="243" spans="1:21" ht="19.5" hidden="1" x14ac:dyDescent="0.3">
      <c r="A243" s="936"/>
      <c r="B243" s="1082"/>
      <c r="C243" s="948" t="s">
        <v>18</v>
      </c>
      <c r="D243" s="799" t="s">
        <v>19</v>
      </c>
      <c r="E243" s="935"/>
      <c r="F243" s="935"/>
      <c r="G243" s="934"/>
      <c r="H243" s="753" t="s">
        <v>14</v>
      </c>
      <c r="I243" s="933"/>
      <c r="J243" s="933"/>
      <c r="K243" s="932"/>
      <c r="L243" s="956">
        <f ca="1">L244+L245+L246+L247</f>
        <v>0</v>
      </c>
      <c r="M243" s="938"/>
      <c r="N243" s="956">
        <f>N244+N245+N246+N247</f>
        <v>0</v>
      </c>
      <c r="O243" s="956">
        <f ca="1">IF(L243&gt;0,N243*100/L243,0)</f>
        <v>0</v>
      </c>
      <c r="P243" s="956">
        <f>IF(M243&gt;0,N243*100/M243,0)</f>
        <v>0</v>
      </c>
      <c r="Q243" s="1182"/>
      <c r="R243" s="938"/>
      <c r="S243" s="938"/>
      <c r="T243" s="938"/>
      <c r="U243" s="938"/>
    </row>
    <row r="244" spans="1:21" ht="18.75" hidden="1" x14ac:dyDescent="0.25">
      <c r="A244" s="936"/>
      <c r="B244" s="1082"/>
      <c r="C244" s="1082"/>
      <c r="D244" s="569" t="s">
        <v>86</v>
      </c>
      <c r="E244" s="935"/>
      <c r="F244" s="935"/>
      <c r="G244" s="934"/>
      <c r="H244" s="271" t="s">
        <v>14</v>
      </c>
      <c r="I244" s="933"/>
      <c r="J244" s="933"/>
      <c r="K244" s="932"/>
      <c r="L244" s="75">
        <f ca="1">IFERROR(__xludf.DUMMYFUNCTION("IMPORTRANGE(""https://docs.google.com/spreadsheets/d/1eHaY18a8A9IcSdp1K8H6x8fbOy06t2VsZHhMHf-1x7Y/edit?usp=sharing"",""แผน!AX58"")"),0)</f>
        <v>0</v>
      </c>
      <c r="M244" s="938"/>
      <c r="N244" s="1338">
        <v>0</v>
      </c>
      <c r="O244" s="938"/>
      <c r="P244" s="938"/>
      <c r="Q244" s="1182"/>
      <c r="R244" s="938"/>
      <c r="S244" s="938"/>
      <c r="T244" s="938"/>
      <c r="U244" s="938"/>
    </row>
    <row r="245" spans="1:21" ht="18.75" hidden="1" x14ac:dyDescent="0.25">
      <c r="A245" s="1083"/>
      <c r="B245" s="1082"/>
      <c r="C245" s="1082"/>
      <c r="D245" s="569" t="s">
        <v>88</v>
      </c>
      <c r="E245" s="935"/>
      <c r="F245" s="935"/>
      <c r="G245" s="934"/>
      <c r="H245" s="271" t="s">
        <v>14</v>
      </c>
      <c r="I245" s="939"/>
      <c r="J245" s="939"/>
      <c r="K245" s="938"/>
      <c r="L245" s="75">
        <f ca="1">IFERROR(__xludf.DUMMYFUNCTION("IMPORTRANGE(""https://docs.google.com/spreadsheets/d/1eHaY18a8A9IcSdp1K8H6x8fbOy06t2VsZHhMHf-1x7Y/edit?usp=sharing"",""แผน!AY58"")"),0)</f>
        <v>0</v>
      </c>
      <c r="M245" s="938"/>
      <c r="N245" s="1338">
        <v>0</v>
      </c>
      <c r="O245" s="938"/>
      <c r="P245" s="938"/>
      <c r="Q245" s="1182"/>
      <c r="R245" s="938"/>
      <c r="S245" s="938"/>
      <c r="T245" s="938"/>
      <c r="U245" s="938"/>
    </row>
    <row r="246" spans="1:21" ht="18.75" hidden="1" x14ac:dyDescent="0.25">
      <c r="A246" s="1083"/>
      <c r="B246" s="1082"/>
      <c r="C246" s="1082"/>
      <c r="D246" s="569" t="s">
        <v>106</v>
      </c>
      <c r="E246" s="935"/>
      <c r="F246" s="935"/>
      <c r="G246" s="934"/>
      <c r="H246" s="271" t="s">
        <v>14</v>
      </c>
      <c r="I246" s="939"/>
      <c r="J246" s="939"/>
      <c r="K246" s="938"/>
      <c r="L246" s="75">
        <f ca="1">IFERROR(__xludf.DUMMYFUNCTION("IMPORTRANGE(""https://docs.google.com/spreadsheets/d/1eHaY18a8A9IcSdp1K8H6x8fbOy06t2VsZHhMHf-1x7Y/edit?usp=sharing"",""แผน!AZ58"")"),0)</f>
        <v>0</v>
      </c>
      <c r="M246" s="938"/>
      <c r="N246" s="1338">
        <v>0</v>
      </c>
      <c r="O246" s="938"/>
      <c r="P246" s="938"/>
      <c r="Q246" s="1182"/>
      <c r="R246" s="938"/>
      <c r="S246" s="938"/>
      <c r="T246" s="938"/>
      <c r="U246" s="938"/>
    </row>
    <row r="247" spans="1:21" ht="18.75" hidden="1" x14ac:dyDescent="0.25">
      <c r="A247" s="1083"/>
      <c r="B247" s="1082"/>
      <c r="C247" s="1082"/>
      <c r="D247" s="263" t="s">
        <v>107</v>
      </c>
      <c r="E247" s="935"/>
      <c r="F247" s="935"/>
      <c r="G247" s="934"/>
      <c r="H247" s="271" t="s">
        <v>14</v>
      </c>
      <c r="I247" s="939"/>
      <c r="J247" s="939"/>
      <c r="K247" s="938"/>
      <c r="L247" s="75">
        <f ca="1">IFERROR(__xludf.DUMMYFUNCTION("IMPORTRANGE(""https://docs.google.com/spreadsheets/d/1eHaY18a8A9IcSdp1K8H6x8fbOy06t2VsZHhMHf-1x7Y/edit?usp=sharing"",""แผน!BA58"")"),0)</f>
        <v>0</v>
      </c>
      <c r="M247" s="938"/>
      <c r="N247" s="1338">
        <v>0</v>
      </c>
      <c r="O247" s="938"/>
      <c r="P247" s="938"/>
      <c r="Q247" s="1182"/>
      <c r="R247" s="938"/>
      <c r="S247" s="938"/>
      <c r="T247" s="938"/>
      <c r="U247" s="938"/>
    </row>
    <row r="248" spans="1:21" ht="19.5" hidden="1" x14ac:dyDescent="0.3">
      <c r="A248" s="1079"/>
      <c r="B248" s="1078"/>
      <c r="C248" s="948" t="s">
        <v>18</v>
      </c>
      <c r="D248" s="813" t="s">
        <v>38</v>
      </c>
      <c r="E248" s="1081"/>
      <c r="F248" s="1081"/>
      <c r="G248" s="1080"/>
      <c r="H248" s="1306"/>
      <c r="I248" s="933"/>
      <c r="J248" s="939"/>
      <c r="K248" s="938"/>
      <c r="L248" s="938"/>
      <c r="M248" s="938"/>
      <c r="N248" s="938"/>
      <c r="O248" s="932"/>
      <c r="P248" s="932"/>
      <c r="Q248" s="1182"/>
      <c r="R248" s="938"/>
      <c r="S248" s="938"/>
      <c r="T248" s="932"/>
      <c r="U248" s="932"/>
    </row>
    <row r="249" spans="1:21" ht="18.75" hidden="1" x14ac:dyDescent="0.25">
      <c r="A249" s="1079"/>
      <c r="B249" s="1078"/>
      <c r="C249" s="1078"/>
      <c r="D249" s="306" t="s">
        <v>108</v>
      </c>
      <c r="E249" s="1077"/>
      <c r="F249" s="1077"/>
      <c r="G249" s="1076"/>
      <c r="H249" s="756" t="s">
        <v>35</v>
      </c>
      <c r="I249" s="570">
        <f ca="1">IFERROR(__xludf.DUMMYFUNCTION("IMPORTRANGE(""https://docs.google.com/spreadsheets/d/1eHaY18a8A9IcSdp1K8H6x8fbOy06t2VsZHhMHf-1x7Y/edit?usp=sharing"",""แผน!BG58"")"),0)</f>
        <v>0</v>
      </c>
      <c r="J249" s="832">
        <v>0</v>
      </c>
      <c r="K249" s="75">
        <f ca="1">IF(I249&gt;0,J249*100/I249,0)</f>
        <v>0</v>
      </c>
      <c r="L249" s="938"/>
      <c r="M249" s="938"/>
      <c r="N249" s="938"/>
      <c r="O249" s="938"/>
      <c r="P249" s="938"/>
      <c r="Q249" s="1182"/>
      <c r="R249" s="938"/>
      <c r="S249" s="938"/>
      <c r="T249" s="938"/>
      <c r="U249" s="938"/>
    </row>
    <row r="250" spans="1:21" ht="18.75" hidden="1" x14ac:dyDescent="0.25">
      <c r="A250" s="1079"/>
      <c r="B250" s="1078"/>
      <c r="C250" s="1078"/>
      <c r="D250" s="947" t="s">
        <v>43</v>
      </c>
      <c r="E250" s="1077"/>
      <c r="F250" s="1077"/>
      <c r="G250" s="1076"/>
      <c r="H250" s="1306"/>
      <c r="I250" s="939"/>
      <c r="J250" s="939"/>
      <c r="K250" s="938"/>
      <c r="L250" s="938"/>
      <c r="M250" s="938"/>
      <c r="N250" s="938"/>
      <c r="O250" s="932"/>
      <c r="P250" s="932"/>
      <c r="Q250" s="1182"/>
      <c r="R250" s="938"/>
      <c r="S250" s="938"/>
      <c r="T250" s="932"/>
      <c r="U250" s="932"/>
    </row>
    <row r="251" spans="1:21" ht="18.75" hidden="1" x14ac:dyDescent="0.25">
      <c r="A251" s="1079"/>
      <c r="B251" s="1078"/>
      <c r="C251" s="1078"/>
      <c r="D251" s="1078"/>
      <c r="E251" s="946" t="s">
        <v>109</v>
      </c>
      <c r="F251" s="1077"/>
      <c r="G251" s="1076"/>
      <c r="H251" s="756" t="s">
        <v>35</v>
      </c>
      <c r="I251" s="570">
        <v>0</v>
      </c>
      <c r="J251" s="832">
        <v>0</v>
      </c>
      <c r="K251" s="75">
        <f>IF(I251&gt;0,J251*100/I251,0)</f>
        <v>0</v>
      </c>
      <c r="L251" s="938"/>
      <c r="M251" s="938"/>
      <c r="N251" s="938"/>
      <c r="O251" s="938"/>
      <c r="P251" s="938"/>
      <c r="Q251" s="1182"/>
      <c r="R251" s="938"/>
      <c r="S251" s="938"/>
      <c r="T251" s="938"/>
      <c r="U251" s="938"/>
    </row>
    <row r="252" spans="1:21" ht="18.75" hidden="1" x14ac:dyDescent="0.25">
      <c r="A252" s="1079"/>
      <c r="B252" s="1078"/>
      <c r="C252" s="1078"/>
      <c r="D252" s="1078"/>
      <c r="E252" s="946" t="s">
        <v>110</v>
      </c>
      <c r="F252" s="1077"/>
      <c r="G252" s="1076"/>
      <c r="H252" s="756" t="s">
        <v>61</v>
      </c>
      <c r="I252" s="570">
        <v>0</v>
      </c>
      <c r="J252" s="832">
        <v>0</v>
      </c>
      <c r="K252" s="75">
        <f>IF(I252&gt;0,J252*100/I252,0)</f>
        <v>0</v>
      </c>
      <c r="L252" s="938"/>
      <c r="M252" s="938"/>
      <c r="N252" s="938"/>
      <c r="O252" s="938"/>
      <c r="P252" s="938"/>
      <c r="Q252" s="1182"/>
      <c r="R252" s="938"/>
      <c r="S252" s="938"/>
      <c r="T252" s="938"/>
      <c r="U252" s="938"/>
    </row>
    <row r="253" spans="1:21" ht="19.5" hidden="1" x14ac:dyDescent="0.3">
      <c r="A253" s="1087"/>
      <c r="B253" s="1086"/>
      <c r="C253" s="1304" t="s">
        <v>112</v>
      </c>
      <c r="D253" s="1085"/>
      <c r="E253" s="1085"/>
      <c r="F253" s="1085"/>
      <c r="G253" s="1084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1188"/>
      <c r="M253" s="1188"/>
      <c r="N253" s="1188"/>
      <c r="O253" s="1188"/>
      <c r="P253" s="1188"/>
      <c r="Q253" s="1189"/>
      <c r="R253" s="1188"/>
      <c r="S253" s="1188"/>
      <c r="T253" s="1188"/>
      <c r="U253" s="1188"/>
    </row>
    <row r="254" spans="1:21" ht="19.5" hidden="1" x14ac:dyDescent="0.3">
      <c r="A254" s="936"/>
      <c r="B254" s="1082"/>
      <c r="C254" s="948" t="s">
        <v>18</v>
      </c>
      <c r="D254" s="949" t="s">
        <v>19</v>
      </c>
      <c r="E254" s="935"/>
      <c r="F254" s="935"/>
      <c r="G254" s="934"/>
      <c r="H254" s="753" t="s">
        <v>14</v>
      </c>
      <c r="I254" s="933"/>
      <c r="J254" s="933"/>
      <c r="K254" s="932"/>
      <c r="L254" s="956">
        <f ca="1">L255+L256+L257+L258</f>
        <v>0</v>
      </c>
      <c r="M254" s="938"/>
      <c r="N254" s="956">
        <f>N255+N256+N257+N258</f>
        <v>0</v>
      </c>
      <c r="O254" s="956">
        <f ca="1">IF(L254&gt;0,N254*100/L254,0)</f>
        <v>0</v>
      </c>
      <c r="P254" s="956">
        <f>IF(M254&gt;0,N254*100/M254,0)</f>
        <v>0</v>
      </c>
      <c r="Q254" s="1182"/>
      <c r="R254" s="938"/>
      <c r="S254" s="938"/>
      <c r="T254" s="938"/>
      <c r="U254" s="938"/>
    </row>
    <row r="255" spans="1:21" ht="18.75" hidden="1" x14ac:dyDescent="0.25">
      <c r="A255" s="936"/>
      <c r="B255" s="1082"/>
      <c r="C255" s="1082"/>
      <c r="D255" s="569" t="s">
        <v>86</v>
      </c>
      <c r="E255" s="935"/>
      <c r="F255" s="935"/>
      <c r="G255" s="934"/>
      <c r="H255" s="271" t="s">
        <v>14</v>
      </c>
      <c r="I255" s="933"/>
      <c r="J255" s="933"/>
      <c r="K255" s="932"/>
      <c r="L255" s="75">
        <f ca="1">IFERROR(__xludf.DUMMYFUNCTION("IMPORTRANGE(""https://docs.google.com/spreadsheets/d/1eHaY18a8A9IcSdp1K8H6x8fbOy06t2VsZHhMHf-1x7Y/edit?usp=sharing"",""แผน!BB58"")"),0)</f>
        <v>0</v>
      </c>
      <c r="M255" s="938"/>
      <c r="N255" s="1338">
        <v>0</v>
      </c>
      <c r="O255" s="938"/>
      <c r="P255" s="938"/>
      <c r="Q255" s="1182"/>
      <c r="R255" s="938"/>
      <c r="S255" s="938"/>
      <c r="T255" s="938"/>
      <c r="U255" s="938"/>
    </row>
    <row r="256" spans="1:21" ht="18.75" hidden="1" x14ac:dyDescent="0.25">
      <c r="A256" s="1083"/>
      <c r="B256" s="1082"/>
      <c r="C256" s="1082"/>
      <c r="D256" s="569" t="s">
        <v>88</v>
      </c>
      <c r="E256" s="935"/>
      <c r="F256" s="935"/>
      <c r="G256" s="934"/>
      <c r="H256" s="271" t="s">
        <v>14</v>
      </c>
      <c r="I256" s="939"/>
      <c r="J256" s="939"/>
      <c r="K256" s="938"/>
      <c r="L256" s="75">
        <f ca="1">IFERROR(__xludf.DUMMYFUNCTION("IMPORTRANGE(""https://docs.google.com/spreadsheets/d/1eHaY18a8A9IcSdp1K8H6x8fbOy06t2VsZHhMHf-1x7Y/edit?usp=sharing"",""แผน!BC58"")"),0)</f>
        <v>0</v>
      </c>
      <c r="M256" s="938"/>
      <c r="N256" s="1338">
        <v>0</v>
      </c>
      <c r="O256" s="938"/>
      <c r="P256" s="938"/>
      <c r="Q256" s="1182"/>
      <c r="R256" s="938"/>
      <c r="S256" s="938"/>
      <c r="T256" s="938"/>
      <c r="U256" s="938"/>
    </row>
    <row r="257" spans="1:21" ht="18.75" hidden="1" x14ac:dyDescent="0.25">
      <c r="A257" s="1083"/>
      <c r="B257" s="1082"/>
      <c r="C257" s="1082"/>
      <c r="D257" s="569" t="s">
        <v>106</v>
      </c>
      <c r="E257" s="935"/>
      <c r="F257" s="935"/>
      <c r="G257" s="934"/>
      <c r="H257" s="271" t="s">
        <v>14</v>
      </c>
      <c r="I257" s="939"/>
      <c r="J257" s="939"/>
      <c r="K257" s="938"/>
      <c r="L257" s="75">
        <f ca="1">IFERROR(__xludf.DUMMYFUNCTION("IMPORTRANGE(""https://docs.google.com/spreadsheets/d/1eHaY18a8A9IcSdp1K8H6x8fbOy06t2VsZHhMHf-1x7Y/edit?usp=sharing"",""แผน!BD58"")"),0)</f>
        <v>0</v>
      </c>
      <c r="M257" s="938"/>
      <c r="N257" s="1338">
        <v>0</v>
      </c>
      <c r="O257" s="938"/>
      <c r="P257" s="938"/>
      <c r="Q257" s="1182"/>
      <c r="R257" s="938"/>
      <c r="S257" s="938"/>
      <c r="T257" s="938"/>
      <c r="U257" s="938"/>
    </row>
    <row r="258" spans="1:21" ht="18.75" hidden="1" x14ac:dyDescent="0.25">
      <c r="A258" s="1083"/>
      <c r="B258" s="1082"/>
      <c r="C258" s="1082"/>
      <c r="D258" s="263" t="s">
        <v>107</v>
      </c>
      <c r="E258" s="935"/>
      <c r="F258" s="935"/>
      <c r="G258" s="934"/>
      <c r="H258" s="271" t="s">
        <v>14</v>
      </c>
      <c r="I258" s="939"/>
      <c r="J258" s="939"/>
      <c r="K258" s="938"/>
      <c r="L258" s="75">
        <f ca="1">IFERROR(__xludf.DUMMYFUNCTION("IMPORTRANGE(""https://docs.google.com/spreadsheets/d/1eHaY18a8A9IcSdp1K8H6x8fbOy06t2VsZHhMHf-1x7Y/edit?usp=sharing"",""แผน!BE58"")"),0)</f>
        <v>0</v>
      </c>
      <c r="M258" s="938"/>
      <c r="N258" s="1338">
        <v>0</v>
      </c>
      <c r="O258" s="938"/>
      <c r="P258" s="938"/>
      <c r="Q258" s="1182"/>
      <c r="R258" s="938"/>
      <c r="S258" s="938"/>
      <c r="T258" s="938"/>
      <c r="U258" s="938"/>
    </row>
    <row r="259" spans="1:21" ht="19.5" hidden="1" x14ac:dyDescent="0.3">
      <c r="A259" s="1079"/>
      <c r="B259" s="1078"/>
      <c r="C259" s="948" t="s">
        <v>18</v>
      </c>
      <c r="D259" s="813" t="s">
        <v>38</v>
      </c>
      <c r="E259" s="1081"/>
      <c r="F259" s="1081"/>
      <c r="G259" s="1080"/>
      <c r="H259" s="1076"/>
      <c r="I259" s="933"/>
      <c r="J259" s="939"/>
      <c r="K259" s="938"/>
      <c r="L259" s="938"/>
      <c r="M259" s="938"/>
      <c r="N259" s="938"/>
      <c r="O259" s="932"/>
      <c r="P259" s="932"/>
      <c r="Q259" s="1182"/>
      <c r="R259" s="938"/>
      <c r="S259" s="938"/>
      <c r="T259" s="932"/>
      <c r="U259" s="932"/>
    </row>
    <row r="260" spans="1:21" ht="18.75" hidden="1" x14ac:dyDescent="0.25">
      <c r="A260" s="1079"/>
      <c r="B260" s="1078"/>
      <c r="C260" s="1078"/>
      <c r="D260" s="306" t="s">
        <v>108</v>
      </c>
      <c r="E260" s="1077"/>
      <c r="F260" s="1077"/>
      <c r="G260" s="1076"/>
      <c r="H260" s="756" t="s">
        <v>35</v>
      </c>
      <c r="I260" s="570">
        <f ca="1">IFERROR(__xludf.DUMMYFUNCTION("IMPORTRANGE(""https://docs.google.com/spreadsheets/d/1eHaY18a8A9IcSdp1K8H6x8fbOy06t2VsZHhMHf-1x7Y/edit?usp=sharing"",""แผน!BH58"")"),0)</f>
        <v>0</v>
      </c>
      <c r="J260" s="832">
        <v>0</v>
      </c>
      <c r="K260" s="75">
        <f ca="1">IF(I260&gt;0,J260*100/I260,0)</f>
        <v>0</v>
      </c>
      <c r="L260" s="938"/>
      <c r="M260" s="938"/>
      <c r="N260" s="938"/>
      <c r="O260" s="938"/>
      <c r="P260" s="938"/>
      <c r="Q260" s="1182"/>
      <c r="R260" s="938"/>
      <c r="S260" s="938"/>
      <c r="T260" s="938"/>
      <c r="U260" s="938"/>
    </row>
    <row r="261" spans="1:21" ht="18.75" hidden="1" x14ac:dyDescent="0.25">
      <c r="A261" s="1079"/>
      <c r="B261" s="1078"/>
      <c r="C261" s="1078"/>
      <c r="D261" s="947" t="s">
        <v>43</v>
      </c>
      <c r="E261" s="1077"/>
      <c r="F261" s="1077"/>
      <c r="G261" s="1076"/>
      <c r="H261" s="1306"/>
      <c r="I261" s="939"/>
      <c r="J261" s="939"/>
      <c r="K261" s="938"/>
      <c r="L261" s="938"/>
      <c r="M261" s="938"/>
      <c r="N261" s="938"/>
      <c r="O261" s="932"/>
      <c r="P261" s="932"/>
      <c r="Q261" s="1182"/>
      <c r="R261" s="938"/>
      <c r="S261" s="938"/>
      <c r="T261" s="932"/>
      <c r="U261" s="932"/>
    </row>
    <row r="262" spans="1:21" ht="18.75" hidden="1" x14ac:dyDescent="0.25">
      <c r="A262" s="1079"/>
      <c r="B262" s="1078"/>
      <c r="C262" s="1078"/>
      <c r="D262" s="1078"/>
      <c r="E262" s="946" t="s">
        <v>109</v>
      </c>
      <c r="F262" s="1077"/>
      <c r="G262" s="1076"/>
      <c r="H262" s="756" t="s">
        <v>35</v>
      </c>
      <c r="I262" s="939"/>
      <c r="J262" s="832">
        <v>0</v>
      </c>
      <c r="K262" s="75">
        <f>IF(I262&gt;0,J262*100/I262,0)</f>
        <v>0</v>
      </c>
      <c r="L262" s="938"/>
      <c r="M262" s="938"/>
      <c r="N262" s="938"/>
      <c r="O262" s="938"/>
      <c r="P262" s="938"/>
      <c r="Q262" s="1182"/>
      <c r="R262" s="938"/>
      <c r="S262" s="938"/>
      <c r="T262" s="938"/>
      <c r="U262" s="938"/>
    </row>
    <row r="263" spans="1:21" ht="18.75" hidden="1" x14ac:dyDescent="0.25">
      <c r="A263" s="1079"/>
      <c r="B263" s="1078"/>
      <c r="C263" s="1078"/>
      <c r="D263" s="1078"/>
      <c r="E263" s="946" t="s">
        <v>110</v>
      </c>
      <c r="F263" s="1077"/>
      <c r="G263" s="1076"/>
      <c r="H263" s="756" t="s">
        <v>61</v>
      </c>
      <c r="I263" s="939"/>
      <c r="J263" s="832">
        <v>0</v>
      </c>
      <c r="K263" s="75">
        <f>IF(I263&gt;0,J263*100/I263,0)</f>
        <v>0</v>
      </c>
      <c r="L263" s="938"/>
      <c r="M263" s="938"/>
      <c r="N263" s="938"/>
      <c r="O263" s="938"/>
      <c r="P263" s="938"/>
      <c r="Q263" s="1182"/>
      <c r="R263" s="938"/>
      <c r="S263" s="938"/>
      <c r="T263" s="938"/>
      <c r="U263" s="938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352"/>
      <c r="M264" s="352"/>
      <c r="N264" s="352"/>
      <c r="O264" s="352"/>
      <c r="P264" s="352"/>
      <c r="Q264" s="944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361"/>
      <c r="M265" s="361"/>
      <c r="N265" s="361"/>
      <c r="O265" s="361"/>
      <c r="P265" s="361"/>
      <c r="Q265" s="942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211">
        <f ca="1">L267+L268</f>
        <v>5000</v>
      </c>
      <c r="M266" s="211">
        <f ca="1">M267+M268</f>
        <v>5000</v>
      </c>
      <c r="N266" s="211">
        <f ca="1">N267+N268</f>
        <v>0</v>
      </c>
      <c r="O266" s="211">
        <f t="shared" ref="O266:O274" ca="1" si="63">IF(L266&gt;0,N266*100/L266,0)</f>
        <v>0</v>
      </c>
      <c r="P266" s="211">
        <f t="shared" ref="P266:P274" ca="1" si="64">IF(M266&gt;0,N266*100/M266,0)</f>
        <v>0</v>
      </c>
      <c r="Q266" s="940">
        <f ca="1">Q267+Q268</f>
        <v>50660</v>
      </c>
      <c r="R266" s="211">
        <f ca="1">R267+R268</f>
        <v>50660</v>
      </c>
      <c r="S266" s="211">
        <f ca="1">S267+S268</f>
        <v>44280</v>
      </c>
      <c r="T266" s="211">
        <f t="shared" ref="T266:T274" ca="1" si="65">IF(Q266&gt;0,S266*100/Q266,0)</f>
        <v>87.406237662850373</v>
      </c>
      <c r="U266" s="211">
        <f t="shared" ref="U266:U274" ca="1" si="66">IF(R266&gt;0,S266*100/R266,0)</f>
        <v>87.406237662850373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5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4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86">
        <f t="shared" ca="1" si="67"/>
        <v>5000</v>
      </c>
      <c r="M268" s="86">
        <f t="shared" ca="1" si="67"/>
        <v>5000</v>
      </c>
      <c r="N268" s="86">
        <f t="shared" ca="1" si="67"/>
        <v>0</v>
      </c>
      <c r="O268" s="86">
        <f t="shared" ca="1" si="63"/>
        <v>0</v>
      </c>
      <c r="P268" s="86">
        <f t="shared" ca="1" si="64"/>
        <v>0</v>
      </c>
      <c r="Q268" s="685">
        <f t="shared" ca="1" si="68"/>
        <v>50660</v>
      </c>
      <c r="R268" s="86">
        <f t="shared" ca="1" si="68"/>
        <v>50660</v>
      </c>
      <c r="S268" s="86">
        <f t="shared" ca="1" si="68"/>
        <v>44280</v>
      </c>
      <c r="T268" s="86">
        <f t="shared" ca="1" si="65"/>
        <v>87.406237662850373</v>
      </c>
      <c r="U268" s="86">
        <f t="shared" ca="1" si="66"/>
        <v>87.406237662850373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86">
        <f ca="1">L270+L271</f>
        <v>5000</v>
      </c>
      <c r="M269" s="86">
        <f ca="1">M270+M271</f>
        <v>5000</v>
      </c>
      <c r="N269" s="86">
        <f ca="1">N270+N271</f>
        <v>0</v>
      </c>
      <c r="O269" s="86">
        <f t="shared" ca="1" si="63"/>
        <v>0</v>
      </c>
      <c r="P269" s="86">
        <f t="shared" ca="1" si="64"/>
        <v>0</v>
      </c>
      <c r="Q269" s="685">
        <f ca="1">Q270+Q271</f>
        <v>50660</v>
      </c>
      <c r="R269" s="86">
        <f ca="1">R270+R271</f>
        <v>50660</v>
      </c>
      <c r="S269" s="86">
        <f ca="1">S270+S271</f>
        <v>44280</v>
      </c>
      <c r="T269" s="86">
        <f t="shared" ca="1" si="65"/>
        <v>87.406237662850373</v>
      </c>
      <c r="U269" s="86">
        <f t="shared" ca="1" si="66"/>
        <v>87.406237662850373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5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4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86">
        <f ca="1">IFERROR(__xludf.DUMMYFUNCTION("IMPORTRANGE(""https://docs.google.com/spreadsheets/d/1-uDff_7J0KD5mKrp0Vvzr7lt3OU09vwQwhkpOPPYv2Y/edit?usp=sharing"",""งบพรบ!DE58"")"),5000)</f>
        <v>5000</v>
      </c>
      <c r="M271" s="86">
        <f ca="1">IFERROR(__xludf.DUMMYFUNCTION("IMPORTRANGE(""https://docs.google.com/spreadsheets/d/1-uDff_7J0KD5mKrp0Vvzr7lt3OU09vwQwhkpOPPYv2Y/edit?usp=sharing"",""งบพรบ!DJ58"")"),5000)</f>
        <v>5000</v>
      </c>
      <c r="N271" s="86">
        <f ca="1">IFERROR(__xludf.DUMMYFUNCTION("IMPORTRANGE(""https://docs.google.com/spreadsheets/d/1-uDff_7J0KD5mKrp0Vvzr7lt3OU09vwQwhkpOPPYv2Y/edit?usp=sharing"",""งบพรบ!DL58"")"),0)</f>
        <v>0</v>
      </c>
      <c r="O271" s="86">
        <f t="shared" ca="1" si="63"/>
        <v>0</v>
      </c>
      <c r="P271" s="86">
        <f t="shared" ca="1" si="64"/>
        <v>0</v>
      </c>
      <c r="Q271" s="685">
        <f ca="1">IFERROR(__xludf.DUMMYFUNCTION("IMPORTRANGE(""https://docs.google.com/spreadsheets/d/1ItG2mGa2ceCfYo0BwxsXqNm01IGEUdYcSSLTEv9YCik/edit?usp=sharing"",""เบิกจ่ายกองทุน!AP58"")"),50660)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IFERROR(__xludf.DUMMYFUNCTION("IMPORTRANGE(""https://docs.google.com/spreadsheets/d/1ItG2mGa2ceCfYo0BwxsXqNm01IGEUdYcSSLTEv9YCik/edit?usp=sharing"",""เบิกจ่ายกองทุน!AQ58"")"),50660)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IFERROR(__xludf.DUMMYFUNCTION("IMPORTRANGE(""https://docs.google.com/spreadsheets/d/1ItG2mGa2ceCfYo0BwxsXqNm01IGEUdYcSSLTEv9YCik/edit?usp=sharing"",""เบิกจ่ายกองทุน!AR58"")"),44280)</f>
        <v>44280</v>
      </c>
      <c r="T271" s="86">
        <f t="shared" ca="1" si="65"/>
        <v>87.406237662850373</v>
      </c>
      <c r="U271" s="86">
        <f t="shared" ca="1" si="66"/>
        <v>87.406237662850373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86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685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5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4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86">
        <f ca="1">IFERROR(__xludf.DUMMYFUNCTION("IMPORTRANGE(""https://docs.google.com/spreadsheets/d/1-uDff_7J0KD5mKrp0Vvzr7lt3OU09vwQwhkpOPPYv2Y/edit?usp=sharing"",""งบพรบ!DH58"")"),0)</f>
        <v>0</v>
      </c>
      <c r="M274" s="86">
        <f ca="1">IFERROR(__xludf.DUMMYFUNCTION("IMPORTRANGE(""https://docs.google.com/spreadsheets/d/1-uDff_7J0KD5mKrp0Vvzr7lt3OU09vwQwhkpOPPYv2Y/edit?usp=sharing"",""งบพรบ!DK58"")"),0)</f>
        <v>0</v>
      </c>
      <c r="N274" s="86">
        <f ca="1">IFERROR(__xludf.DUMMYFUNCTION("IMPORTRANGE(""https://docs.google.com/spreadsheets/d/1-uDff_7J0KD5mKrp0Vvzr7lt3OU09vwQwhkpOPPYv2Y/edit?usp=sharing"",""งบพรบ!DM58"")"),0)</f>
        <v>0</v>
      </c>
      <c r="O274" s="86">
        <f t="shared" ca="1" si="63"/>
        <v>0</v>
      </c>
      <c r="P274" s="86">
        <f t="shared" ca="1" si="64"/>
        <v>0</v>
      </c>
      <c r="Q274" s="685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218"/>
      <c r="M275" s="218"/>
      <c r="N275" s="218"/>
      <c r="O275" s="218"/>
      <c r="P275" s="218"/>
      <c r="Q275" s="930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IFERROR(__xludf.DUMMYFUNCTION("IMPORTRANGE(""https://docs.google.com/spreadsheets/d/1eHaY18a8A9IcSdp1K8H6x8fbOy06t2VsZHhMHf-1x7Y/edit?usp=sharing"",""แผน!EC58"")"),22)</f>
        <v>22</v>
      </c>
      <c r="J276" s="1117">
        <v>22</v>
      </c>
      <c r="K276" s="83">
        <f ca="1">IF(I276&gt;0,J276*100/I276,0)</f>
        <v>100</v>
      </c>
      <c r="L276" s="82"/>
      <c r="M276" s="82"/>
      <c r="N276" s="82"/>
      <c r="O276" s="82"/>
      <c r="P276" s="82"/>
      <c r="Q276" s="519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1297" t="s">
        <v>35</v>
      </c>
      <c r="I277" s="760">
        <v>0</v>
      </c>
      <c r="J277" s="760">
        <v>0</v>
      </c>
      <c r="K277" s="927">
        <v>0</v>
      </c>
      <c r="L277" s="1111"/>
      <c r="M277" s="1111"/>
      <c r="N277" s="1111"/>
      <c r="O277" s="1111"/>
      <c r="P277" s="1111"/>
      <c r="Q277" s="1112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49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9"/>
      <c r="M279" s="459"/>
      <c r="N279" s="459"/>
      <c r="O279" s="459"/>
      <c r="P279" s="459"/>
      <c r="Q279" s="458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70"/>
      <c r="M280" s="470"/>
      <c r="N280" s="470"/>
      <c r="O280" s="470"/>
      <c r="P280" s="470"/>
      <c r="Q280" s="469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70"/>
      <c r="M281" s="470"/>
      <c r="N281" s="470"/>
      <c r="O281" s="470"/>
      <c r="P281" s="470"/>
      <c r="Q281" s="469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262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389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5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4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2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1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2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1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5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4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2">
        <f ca="1">IFERROR(__xludf.DUMMYFUNCTION("IMPORTRANGE(""https://docs.google.com/spreadsheets/d/1-uDff_7J0KD5mKrp0Vvzr7lt3OU09vwQwhkpOPPYv2Y/edit?usp=sharing"",""งบพรบ!DO58"")"),0)</f>
        <v>0</v>
      </c>
      <c r="M287" s="72">
        <f ca="1">IFERROR(__xludf.DUMMYFUNCTION("IMPORTRANGE(""https://docs.google.com/spreadsheets/d/1-uDff_7J0KD5mKrp0Vvzr7lt3OU09vwQwhkpOPPYv2Y/edit?usp=sharing"",""งบพรบ!DT58"")"),0)</f>
        <v>0</v>
      </c>
      <c r="N287" s="72">
        <f ca="1">IFERROR(__xludf.DUMMYFUNCTION("IMPORTRANGE(""https://docs.google.com/spreadsheets/d/1-uDff_7J0KD5mKrp0Vvzr7lt3OU09vwQwhkpOPPYv2Y/edit?usp=sharing"",""งบพรบ!DV58"")"),0)</f>
        <v>0</v>
      </c>
      <c r="O287" s="72">
        <f t="shared" ca="1" si="69"/>
        <v>0</v>
      </c>
      <c r="P287" s="72">
        <f t="shared" ca="1" si="70"/>
        <v>0</v>
      </c>
      <c r="Q287" s="71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2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1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5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4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2">
        <f ca="1">IFERROR(__xludf.DUMMYFUNCTION("IMPORTRANGE(""https://docs.google.com/spreadsheets/d/1-uDff_7J0KD5mKrp0Vvzr7lt3OU09vwQwhkpOPPYv2Y/edit?usp=sharing"",""งบพรบ!DR58"")"),0)</f>
        <v>0</v>
      </c>
      <c r="M290" s="72">
        <f ca="1">IFERROR(__xludf.DUMMYFUNCTION("IMPORTRANGE(""https://docs.google.com/spreadsheets/d/1-uDff_7J0KD5mKrp0Vvzr7lt3OU09vwQwhkpOPPYv2Y/edit?usp=sharing"",""งบพรบ!DU58"")"),0)</f>
        <v>0</v>
      </c>
      <c r="N290" s="72">
        <f ca="1">IFERROR(__xludf.DUMMYFUNCTION("IMPORTRANGE(""https://docs.google.com/spreadsheets/d/1-uDff_7J0KD5mKrp0Vvzr7lt3OU09vwQwhkpOPPYv2Y/edit?usp=sharing"",""งบพรบ!DW58"")"),0)</f>
        <v>0</v>
      </c>
      <c r="O290" s="72">
        <f t="shared" ca="1" si="69"/>
        <v>0</v>
      </c>
      <c r="P290" s="72">
        <f t="shared" ca="1" si="70"/>
        <v>0</v>
      </c>
      <c r="Q290" s="71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7"/>
      <c r="M291" s="227"/>
      <c r="N291" s="227"/>
      <c r="O291" s="227"/>
      <c r="P291" s="227"/>
      <c r="Q291" s="226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IFERROR(__xludf.DUMMYFUNCTION("IMPORTRANGE(""https://docs.google.com/spreadsheets/d/1eHaY18a8A9IcSdp1K8H6x8fbOy06t2VsZHhMHf-1x7Y/edit?usp=sharing"",""แผน!EE58"")"),0)</f>
        <v>0</v>
      </c>
      <c r="J292" s="292">
        <v>0</v>
      </c>
      <c r="K292" s="746">
        <f ca="1">IF(I292&gt;0,J292*100/I292,0)</f>
        <v>0</v>
      </c>
      <c r="L292" s="227"/>
      <c r="M292" s="227"/>
      <c r="N292" s="227"/>
      <c r="O292" s="227"/>
      <c r="P292" s="227"/>
      <c r="Q292" s="226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IFERROR(__xludf.DUMMYFUNCTION("IMPORTRANGE(""https://docs.google.com/spreadsheets/d/1eHaY18a8A9IcSdp1K8H6x8fbOy06t2VsZHhMHf-1x7Y/edit?usp=sharing"",""แผน!ED58"")"),0)</f>
        <v>0</v>
      </c>
      <c r="J293" s="601">
        <f>J296</f>
        <v>0</v>
      </c>
      <c r="K293" s="908">
        <f ca="1">IF(I293&gt;0,J293*100/I293,0)</f>
        <v>0</v>
      </c>
      <c r="L293" s="227"/>
      <c r="M293" s="227"/>
      <c r="N293" s="227"/>
      <c r="O293" s="227"/>
      <c r="P293" s="227"/>
      <c r="Q293" s="226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7"/>
      <c r="M294" s="227"/>
      <c r="N294" s="227"/>
      <c r="O294" s="227"/>
      <c r="P294" s="227"/>
      <c r="Q294" s="226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IFERROR(__xludf.DUMMYFUNCTION("IMPORTRANGE(""https://docs.google.com/spreadsheets/d/1eHaY18a8A9IcSdp1K8H6x8fbOy06t2VsZHhMHf-1x7Y/edit?usp=sharing"",""แผน!ED58"")"),0)</f>
        <v>0</v>
      </c>
      <c r="J295" s="292">
        <v>0</v>
      </c>
      <c r="K295" s="746">
        <f ca="1">IF(I295&gt;0,J295*100/I295,0)</f>
        <v>0</v>
      </c>
      <c r="L295" s="227"/>
      <c r="M295" s="227"/>
      <c r="N295" s="227"/>
      <c r="O295" s="227"/>
      <c r="P295" s="227"/>
      <c r="Q295" s="226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IFERROR(__xludf.DUMMYFUNCTION("IMPORTRANGE(""https://docs.google.com/spreadsheets/d/1eHaY18a8A9IcSdp1K8H6x8fbOy06t2VsZHhMHf-1x7Y/edit?usp=sharing"",""แผน!ED58"")"),0)</f>
        <v>0</v>
      </c>
      <c r="J296" s="292">
        <v>0</v>
      </c>
      <c r="K296" s="746">
        <f ca="1">IF(I296&gt;0,J296*100/I296,0)</f>
        <v>0</v>
      </c>
      <c r="L296" s="227"/>
      <c r="M296" s="227"/>
      <c r="N296" s="227"/>
      <c r="O296" s="227"/>
      <c r="P296" s="227"/>
      <c r="Q296" s="226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8"/>
      <c r="M297" s="28"/>
      <c r="N297" s="28"/>
      <c r="O297" s="28"/>
      <c r="P297" s="28"/>
      <c r="Q297" s="27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8"/>
      <c r="M298" s="28"/>
      <c r="N298" s="28"/>
      <c r="O298" s="28"/>
      <c r="P298" s="28"/>
      <c r="Q298" s="27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7"/>
      <c r="M299" s="17"/>
      <c r="N299" s="17"/>
      <c r="O299" s="17"/>
      <c r="P299" s="17"/>
      <c r="Q299" s="16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0"/>
      <c r="R300" s="491"/>
      <c r="S300" s="491"/>
      <c r="T300" s="491"/>
      <c r="U300" s="492"/>
    </row>
    <row r="301" spans="1:21" ht="19.5" hidden="1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500"/>
      <c r="M301" s="500"/>
      <c r="N301" s="500"/>
      <c r="O301" s="500"/>
      <c r="P301" s="500"/>
      <c r="Q301" s="499"/>
      <c r="R301" s="500"/>
      <c r="S301" s="500"/>
      <c r="T301" s="500"/>
      <c r="U301" s="500"/>
    </row>
    <row r="302" spans="1:21" ht="19.5" hidden="1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10"/>
      <c r="M302" s="510"/>
      <c r="N302" s="510"/>
      <c r="O302" s="510"/>
      <c r="P302" s="510"/>
      <c r="Q302" s="509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262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389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5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4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2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1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2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1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5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4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2">
        <f ca="1">IFERROR(__xludf.DUMMYFUNCTION("IMPORTRANGE(""https://docs.google.com/spreadsheets/d/1-uDff_7J0KD5mKrp0Vvzr7lt3OU09vwQwhkpOPPYv2Y/edit?usp=sharing"",""งบพรบ!DY58"")"),0)</f>
        <v>0</v>
      </c>
      <c r="M308" s="72">
        <f ca="1">IFERROR(__xludf.DUMMYFUNCTION("IMPORTRANGE(""https://docs.google.com/spreadsheets/d/1-uDff_7J0KD5mKrp0Vvzr7lt3OU09vwQwhkpOPPYv2Y/edit?usp=sharing"",""งบพรบ!ED58"")"),0)</f>
        <v>0</v>
      </c>
      <c r="N308" s="72">
        <f ca="1">IFERROR(__xludf.DUMMYFUNCTION("IMPORTRANGE(""https://docs.google.com/spreadsheets/d/1-uDff_7J0KD5mKrp0Vvzr7lt3OU09vwQwhkpOPPYv2Y/edit?usp=sharing"",""งบพรบ!EF58"")"),0)</f>
        <v>0</v>
      </c>
      <c r="O308" s="72">
        <f t="shared" ca="1" si="75"/>
        <v>0</v>
      </c>
      <c r="P308" s="72">
        <f t="shared" ca="1" si="76"/>
        <v>0</v>
      </c>
      <c r="Q308" s="71">
        <f ca="1">IFERROR(__xludf.DUMMYFUNCTION("IMPORTRANGE(""https://docs.google.com/spreadsheets/d/1ItG2mGa2ceCfYo0BwxsXqNm01IGEUdYcSSLTEv9YCik/edit?usp=sharing"",""เบิกจ่ายกองทุน!BB58"")"),0)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IFERROR(__xludf.DUMMYFUNCTION("IMPORTRANGE(""https://docs.google.com/spreadsheets/d/1ItG2mGa2ceCfYo0BwxsXqNm01IGEUdYcSSLTEv9YCik/edit?usp=sharing"",""เบิกจ่ายกองทุน!BC58"")"),0)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IFERROR(__xludf.DUMMYFUNCTION("IMPORTRANGE(""https://docs.google.com/spreadsheets/d/1ItG2mGa2ceCfYo0BwxsXqNm01IGEUdYcSSLTEv9YCik/edit?usp=sharing"",""เบิกจ่ายกองทุน!BD58"")"),0)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2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1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5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4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2">
        <f ca="1">IFERROR(__xludf.DUMMYFUNCTION("IMPORTRANGE(""https://docs.google.com/spreadsheets/d/1-uDff_7J0KD5mKrp0Vvzr7lt3OU09vwQwhkpOPPYv2Y/edit?usp=sharing"",""งบพรบ!EB58"")"),0)</f>
        <v>0</v>
      </c>
      <c r="M311" s="72">
        <f ca="1">IFERROR(__xludf.DUMMYFUNCTION("IMPORTRANGE(""https://docs.google.com/spreadsheets/d/1-uDff_7J0KD5mKrp0Vvzr7lt3OU09vwQwhkpOPPYv2Y/edit?usp=sharing"",""งบพรบ!EE58"")"),0)</f>
        <v>0</v>
      </c>
      <c r="N311" s="72">
        <f ca="1">IFERROR(__xludf.DUMMYFUNCTION("IMPORTRANGE(""https://docs.google.com/spreadsheets/d/1-uDff_7J0KD5mKrp0Vvzr7lt3OU09vwQwhkpOPPYv2Y/edit?usp=sharing"",""งบพรบ!EG58"")"),0)</f>
        <v>0</v>
      </c>
      <c r="O311" s="72">
        <f t="shared" ca="1" si="75"/>
        <v>0</v>
      </c>
      <c r="P311" s="72">
        <f t="shared" ca="1" si="76"/>
        <v>0</v>
      </c>
      <c r="Q311" s="71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76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5"/>
      <c r="M312" s="85"/>
      <c r="N312" s="85"/>
      <c r="O312" s="85"/>
      <c r="P312" s="85"/>
      <c r="Q312" s="84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30"/>
      <c r="E313" s="283"/>
      <c r="F313" s="283"/>
      <c r="G313" s="284"/>
      <c r="H313" s="284"/>
      <c r="I313" s="285"/>
      <c r="J313" s="896"/>
      <c r="K313" s="28"/>
      <c r="L313" s="28"/>
      <c r="M313" s="28"/>
      <c r="N313" s="28"/>
      <c r="O313" s="28"/>
      <c r="P313" s="28"/>
      <c r="Q313" s="27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IFERROR(__xludf.DUMMYFUNCTION("IMPORTRANGE(""https://docs.google.com/spreadsheets/d/1eHaY18a8A9IcSdp1K8H6x8fbOy06t2VsZHhMHf-1x7Y/edit?usp=sharing"",""แผน!EF58"")"),0)</f>
        <v>0</v>
      </c>
      <c r="J314" s="292">
        <v>0</v>
      </c>
      <c r="K314" s="72">
        <f ca="1">IF(I314&gt;0,J314*100/I314,0)</f>
        <v>0</v>
      </c>
      <c r="L314" s="85"/>
      <c r="M314" s="85"/>
      <c r="N314" s="85"/>
      <c r="O314" s="85"/>
      <c r="P314" s="85"/>
      <c r="Q314" s="84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1329"/>
      <c r="I315" s="896"/>
      <c r="J315" s="896"/>
      <c r="K315" s="895"/>
      <c r="L315" s="28"/>
      <c r="M315" s="28"/>
      <c r="N315" s="28"/>
      <c r="O315" s="28"/>
      <c r="P315" s="28"/>
      <c r="Q315" s="27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1329"/>
      <c r="I316" s="896"/>
      <c r="J316" s="896"/>
      <c r="K316" s="895"/>
      <c r="L316" s="28"/>
      <c r="M316" s="28"/>
      <c r="N316" s="28"/>
      <c r="O316" s="28"/>
      <c r="P316" s="28"/>
      <c r="Q316" s="27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1328"/>
      <c r="I317" s="892"/>
      <c r="J317" s="892"/>
      <c r="K317" s="891"/>
      <c r="L317" s="28"/>
      <c r="M317" s="28"/>
      <c r="N317" s="28"/>
      <c r="O317" s="28"/>
      <c r="P317" s="28"/>
      <c r="Q317" s="27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500"/>
      <c r="M318" s="500"/>
      <c r="N318" s="500"/>
      <c r="O318" s="500"/>
      <c r="P318" s="500"/>
      <c r="Q318" s="499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10"/>
      <c r="M319" s="510"/>
      <c r="N319" s="510"/>
      <c r="O319" s="510"/>
      <c r="P319" s="510"/>
      <c r="Q319" s="509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262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389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5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4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2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1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2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1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5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4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2">
        <f ca="1">IFERROR(__xludf.DUMMYFUNCTION("IMPORTRANGE(""https://docs.google.com/spreadsheets/d/1-uDff_7J0KD5mKrp0Vvzr7lt3OU09vwQwhkpOPPYv2Y/edit?usp=sharing"",""งบพรบ!EI58"")"),0)</f>
        <v>0</v>
      </c>
      <c r="M325" s="72">
        <f ca="1">IFERROR(__xludf.DUMMYFUNCTION("IMPORTRANGE(""https://docs.google.com/spreadsheets/d/1-uDff_7J0KD5mKrp0Vvzr7lt3OU09vwQwhkpOPPYv2Y/edit?usp=sharing"",""งบพรบ!EN58"")"),0)</f>
        <v>0</v>
      </c>
      <c r="N325" s="72">
        <f ca="1">IFERROR(__xludf.DUMMYFUNCTION("IMPORTRANGE(""https://docs.google.com/spreadsheets/d/1-uDff_7J0KD5mKrp0Vvzr7lt3OU09vwQwhkpOPPYv2Y/edit?usp=sharing"",""งบพรบ!EP58"")"),0)</f>
        <v>0</v>
      </c>
      <c r="O325" s="72">
        <f t="shared" ca="1" si="81"/>
        <v>0</v>
      </c>
      <c r="P325" s="72">
        <f t="shared" ca="1" si="82"/>
        <v>0</v>
      </c>
      <c r="Q325" s="71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2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1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5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4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2">
        <f ca="1">IFERROR(__xludf.DUMMYFUNCTION("IMPORTRANGE(""https://docs.google.com/spreadsheets/d/1-uDff_7J0KD5mKrp0Vvzr7lt3OU09vwQwhkpOPPYv2Y/edit?usp=sharing"",""งบพรบ!EL58"")"),0)</f>
        <v>0</v>
      </c>
      <c r="M328" s="72">
        <f ca="1">IFERROR(__xludf.DUMMYFUNCTION("IMPORTRANGE(""https://docs.google.com/spreadsheets/d/1-uDff_7J0KD5mKrp0Vvzr7lt3OU09vwQwhkpOPPYv2Y/edit?usp=sharing"",""งบพรบ!EO58"")"),0)</f>
        <v>0</v>
      </c>
      <c r="N328" s="72">
        <f ca="1">IFERROR(__xludf.DUMMYFUNCTION("IMPORTRANGE(""https://docs.google.com/spreadsheets/d/1-uDff_7J0KD5mKrp0Vvzr7lt3OU09vwQwhkpOPPYv2Y/edit?usp=sharing"",""งบพรบ!EQ58"")"),0)</f>
        <v>0</v>
      </c>
      <c r="O328" s="72">
        <f t="shared" ca="1" si="81"/>
        <v>0</v>
      </c>
      <c r="P328" s="72">
        <f t="shared" ca="1" si="82"/>
        <v>0</v>
      </c>
      <c r="Q328" s="71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5"/>
      <c r="M329" s="85"/>
      <c r="N329" s="85"/>
      <c r="O329" s="227"/>
      <c r="P329" s="227"/>
      <c r="Q329" s="84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IFERROR(__xludf.DUMMYFUNCTION("IMPORTRANGE(""https://docs.google.com/spreadsheets/d/1eHaY18a8A9IcSdp1K8H6x8fbOy06t2VsZHhMHf-1x7Y/edit?usp=sharing"",""แผน!EJ58"")"),0)</f>
        <v>0</v>
      </c>
      <c r="J330" s="292">
        <v>0</v>
      </c>
      <c r="K330" s="72">
        <f ca="1">IF(I330&gt;0,J330*100/I330,0)</f>
        <v>0</v>
      </c>
      <c r="L330" s="85"/>
      <c r="M330" s="85"/>
      <c r="N330" s="85"/>
      <c r="O330" s="227"/>
      <c r="P330" s="227"/>
      <c r="Q330" s="84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500"/>
      <c r="M331" s="500"/>
      <c r="N331" s="500"/>
      <c r="O331" s="500"/>
      <c r="P331" s="500"/>
      <c r="Q331" s="499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400</v>
      </c>
      <c r="J332" s="515">
        <f ca="1">J344+J347+J348+J349+J353+J354</f>
        <v>6047</v>
      </c>
      <c r="K332" s="516">
        <f ca="1">IF(I332&gt;0,J332*100/I332,0)</f>
        <v>1511.75</v>
      </c>
      <c r="L332" s="510"/>
      <c r="M332" s="510"/>
      <c r="N332" s="510"/>
      <c r="O332" s="510"/>
      <c r="P332" s="510"/>
      <c r="Q332" s="509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262">
        <f ca="1">L334+L335</f>
        <v>356800</v>
      </c>
      <c r="M333" s="262">
        <f ca="1">M334+M335</f>
        <v>356800</v>
      </c>
      <c r="N333" s="262">
        <f ca="1">N334+N335</f>
        <v>243197</v>
      </c>
      <c r="O333" s="262">
        <f t="shared" ref="O333:O341" ca="1" si="87">IF(L333&gt;0,N333*100/L333,0)</f>
        <v>68.160594170403584</v>
      </c>
      <c r="P333" s="262">
        <f t="shared" ref="P333:P341" ca="1" si="88">IF(M333&gt;0,N333*100/M333,0)</f>
        <v>68.160594170403584</v>
      </c>
      <c r="Q333" s="389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5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4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2">
        <f t="shared" ca="1" si="91"/>
        <v>356800</v>
      </c>
      <c r="M335" s="72">
        <f t="shared" ca="1" si="91"/>
        <v>356800</v>
      </c>
      <c r="N335" s="72">
        <f t="shared" ca="1" si="91"/>
        <v>243197</v>
      </c>
      <c r="O335" s="72">
        <f t="shared" ca="1" si="87"/>
        <v>68.160594170403584</v>
      </c>
      <c r="P335" s="72">
        <f t="shared" ca="1" si="88"/>
        <v>68.160594170403584</v>
      </c>
      <c r="Q335" s="71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2">
        <f ca="1">L337+L338</f>
        <v>356800</v>
      </c>
      <c r="M336" s="72">
        <f ca="1">M337+M338</f>
        <v>356800</v>
      </c>
      <c r="N336" s="72">
        <f ca="1">N337+N338</f>
        <v>243197</v>
      </c>
      <c r="O336" s="72">
        <f t="shared" ca="1" si="87"/>
        <v>68.160594170403584</v>
      </c>
      <c r="P336" s="72">
        <f t="shared" ca="1" si="88"/>
        <v>68.160594170403584</v>
      </c>
      <c r="Q336" s="71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5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4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2">
        <f ca="1">IFERROR(__xludf.DUMMYFUNCTION("IMPORTRANGE(""https://docs.google.com/spreadsheets/d/1-uDff_7J0KD5mKrp0Vvzr7lt3OU09vwQwhkpOPPYv2Y/edit?usp=sharing"",""งบพรบ!ES58"")"),356800)</f>
        <v>356800</v>
      </c>
      <c r="M338" s="72">
        <f ca="1">IFERROR(__xludf.DUMMYFUNCTION("IMPORTRANGE(""https://docs.google.com/spreadsheets/d/1-uDff_7J0KD5mKrp0Vvzr7lt3OU09vwQwhkpOPPYv2Y/edit?usp=sharing"",""งบพรบ!EX58"")"),356800)</f>
        <v>356800</v>
      </c>
      <c r="N338" s="72">
        <f ca="1">IFERROR(__xludf.DUMMYFUNCTION("IMPORTRANGE(""https://docs.google.com/spreadsheets/d/1-uDff_7J0KD5mKrp0Vvzr7lt3OU09vwQwhkpOPPYv2Y/edit?usp=sharing"",""งบพรบ!EZ58"")"),243197)</f>
        <v>243197</v>
      </c>
      <c r="O338" s="72">
        <f t="shared" ca="1" si="87"/>
        <v>68.160594170403584</v>
      </c>
      <c r="P338" s="72">
        <f t="shared" ca="1" si="88"/>
        <v>68.160594170403584</v>
      </c>
      <c r="Q338" s="71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2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1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5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4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2">
        <f ca="1">IFERROR(__xludf.DUMMYFUNCTION("IMPORTRANGE(""https://docs.google.com/spreadsheets/d/1-uDff_7J0KD5mKrp0Vvzr7lt3OU09vwQwhkpOPPYv2Y/edit?usp=sharing"",""งบพรบ!EV58"")"),0)</f>
        <v>0</v>
      </c>
      <c r="M341" s="72">
        <f ca="1">IFERROR(__xludf.DUMMYFUNCTION("IMPORTRANGE(""https://docs.google.com/spreadsheets/d/1-uDff_7J0KD5mKrp0Vvzr7lt3OU09vwQwhkpOPPYv2Y/edit?usp=sharing"",""งบพรบ!EY58"")"),0)</f>
        <v>0</v>
      </c>
      <c r="N341" s="72">
        <f ca="1">IFERROR(__xludf.DUMMYFUNCTION("IMPORTRANGE(""https://docs.google.com/spreadsheets/d/1-uDff_7J0KD5mKrp0Vvzr7lt3OU09vwQwhkpOPPYv2Y/edit?usp=sharing"",""งบพรบ!FA58"")"),0)</f>
        <v>0</v>
      </c>
      <c r="O341" s="72">
        <f t="shared" ca="1" si="87"/>
        <v>0</v>
      </c>
      <c r="P341" s="72">
        <f t="shared" ca="1" si="88"/>
        <v>0</v>
      </c>
      <c r="Q341" s="71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5"/>
      <c r="M342" s="85"/>
      <c r="N342" s="85"/>
      <c r="O342" s="227"/>
      <c r="P342" s="227"/>
      <c r="Q342" s="84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874</v>
      </c>
      <c r="K343" s="527">
        <v>0</v>
      </c>
      <c r="L343" s="1337"/>
      <c r="M343" s="1337"/>
      <c r="N343" s="1337"/>
      <c r="O343" s="1337"/>
      <c r="P343" s="1337"/>
      <c r="Q343" s="377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IFERROR(__xludf.DUMMYFUNCTION("IMPORTRANGE(""https://docs.google.com/spreadsheets/d/1eHaY18a8A9IcSdp1K8H6x8fbOy06t2VsZHhMHf-1x7Y/edit?usp=sharing"",""แผน!EK58"")"),400)</f>
        <v>400</v>
      </c>
      <c r="J344" s="291">
        <f ca="1">IFERROR(__xludf.DUMMYFUNCTION("IMPORTRANGE(""https://docs.google.com/spreadsheets/d/1awYsYK3VOup2i3Pq_Yjnu8DRu_mYwSBnCR2QPthd0rU/edit?usp=sharing"",""ศูนย์ยกเว้นโฉนด!D58"")"),866)</f>
        <v>866</v>
      </c>
      <c r="K344" s="72">
        <f ca="1">IF(I344&gt;0,J344*100/I344,0)</f>
        <v>216.5</v>
      </c>
      <c r="L344" s="85"/>
      <c r="M344" s="85"/>
      <c r="N344" s="85"/>
      <c r="O344" s="85"/>
      <c r="P344" s="85"/>
      <c r="Q344" s="84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5"/>
      <c r="M345" s="85"/>
      <c r="N345" s="85"/>
      <c r="O345" s="85"/>
      <c r="P345" s="85"/>
      <c r="Q345" s="84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IFERROR(__xludf.DUMMYFUNCTION("IMPORTRANGE(""https://docs.google.com/spreadsheets/d/1eHaY18a8A9IcSdp1K8H6x8fbOy06t2VsZHhMHf-1x7Y/edit?usp=sharing"",""แผน!EL58"")"),1)</f>
        <v>1</v>
      </c>
      <c r="J346" s="291">
        <f ca="1">IFERROR(__xludf.DUMMYFUNCTION("IMPORTRANGE(""https://docs.google.com/spreadsheets/d/1awYsYK3VOup2i3Pq_Yjnu8DRu_mYwSBnCR2QPthd0rU/edit?usp=sharing"",""ศูนย์รวม!E58"")"),2)</f>
        <v>2</v>
      </c>
      <c r="K346" s="72">
        <f ca="1">IF(I346&gt;0,J346*100/I346,0)</f>
        <v>200</v>
      </c>
      <c r="L346" s="85"/>
      <c r="M346" s="85"/>
      <c r="N346" s="85"/>
      <c r="O346" s="85"/>
      <c r="P346" s="85"/>
      <c r="Q346" s="84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IFERROR(__xludf.DUMMYFUNCTION("IMPORTRANGE(""https://docs.google.com/spreadsheets/d/1awYsYK3VOup2i3Pq_Yjnu8DRu_mYwSBnCR2QPthd0rU/edit?usp=sharing"",""ศูนย์ยกเว้นโฉนด!F58"")"),1)</f>
        <v>1</v>
      </c>
      <c r="K347" s="85"/>
      <c r="L347" s="85"/>
      <c r="M347" s="85"/>
      <c r="N347" s="85"/>
      <c r="O347" s="85"/>
      <c r="P347" s="85"/>
      <c r="Q347" s="84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IFERROR(__xludf.DUMMYFUNCTION("IMPORTRANGE(""https://docs.google.com/spreadsheets/d/1awYsYK3VOup2i3Pq_Yjnu8DRu_mYwSBnCR2QPthd0rU/edit?usp=sharing"",""ศูนย์ยกเว้นโฉนด!G58"")"),7)</f>
        <v>7</v>
      </c>
      <c r="K348" s="85"/>
      <c r="L348" s="85"/>
      <c r="M348" s="85"/>
      <c r="N348" s="85"/>
      <c r="O348" s="85"/>
      <c r="P348" s="85"/>
      <c r="Q348" s="84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IFERROR(__xludf.DUMMYFUNCTION("IMPORTRANGE(""https://docs.google.com/spreadsheets/d/1awYsYK3VOup2i3Pq_Yjnu8DRu_mYwSBnCR2QPthd0rU/edit?usp=sharing"",""ศูนย์ยกเว้นโฉนด!H58"")"),0)</f>
        <v>0</v>
      </c>
      <c r="K349" s="85"/>
      <c r="L349" s="85"/>
      <c r="M349" s="85"/>
      <c r="N349" s="85"/>
      <c r="O349" s="85"/>
      <c r="P349" s="85"/>
      <c r="Q349" s="84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5"/>
      <c r="M350" s="85"/>
      <c r="N350" s="85"/>
      <c r="O350" s="85"/>
      <c r="P350" s="85"/>
      <c r="Q350" s="84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>
        <f ca="1">J352+J353+J354</f>
        <v>5189</v>
      </c>
      <c r="K351" s="539">
        <v>0</v>
      </c>
      <c r="L351" s="378"/>
      <c r="M351" s="378"/>
      <c r="N351" s="378"/>
      <c r="O351" s="378"/>
      <c r="P351" s="378"/>
      <c r="Q351" s="377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IFERROR(__xludf.DUMMYFUNCTION("IMPORTRANGE(""https://docs.google.com/spreadsheets/d/1awYsYK3VOup2i3Pq_Yjnu8DRu_mYwSBnCR2QPthd0rU/edit?usp=sharing"",""โฉนดM3!G58"")"),16)</f>
        <v>16</v>
      </c>
      <c r="K352" s="85"/>
      <c r="L352" s="85"/>
      <c r="M352" s="85"/>
      <c r="N352" s="85"/>
      <c r="O352" s="85"/>
      <c r="P352" s="85"/>
      <c r="Q352" s="84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IFERROR(__xludf.DUMMYFUNCTION("IMPORTRANGE(""https://docs.google.com/spreadsheets/d/1awYsYK3VOup2i3Pq_Yjnu8DRu_mYwSBnCR2QPthd0rU/edit?usp=sharing"",""โฉนดM3!H58"")"),4999)</f>
        <v>4999</v>
      </c>
      <c r="K353" s="85"/>
      <c r="L353" s="85"/>
      <c r="M353" s="85"/>
      <c r="N353" s="85"/>
      <c r="O353" s="85"/>
      <c r="P353" s="85"/>
      <c r="Q353" s="84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IFERROR(__xludf.DUMMYFUNCTION("IMPORTRANGE(""https://docs.google.com/spreadsheets/d/1awYsYK3VOup2i3Pq_Yjnu8DRu_mYwSBnCR2QPthd0rU/edit?usp=sharing"",""โฉนดM3!I58"")"),174)</f>
        <v>174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10"/>
      <c r="M355" s="510"/>
      <c r="N355" s="510"/>
      <c r="O355" s="510"/>
      <c r="P355" s="510"/>
      <c r="Q355" s="509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262">
        <f ca="1">L357+L358</f>
        <v>441060</v>
      </c>
      <c r="M356" s="262">
        <f ca="1">M357+M358</f>
        <v>498960</v>
      </c>
      <c r="N356" s="262">
        <f ca="1">N357+N358</f>
        <v>267038</v>
      </c>
      <c r="O356" s="262">
        <f t="shared" ref="O356:O364" ca="1" si="93">IF(L356&gt;0,N356*100/L356,0)</f>
        <v>60.544597106969576</v>
      </c>
      <c r="P356" s="262">
        <f t="shared" ref="P356:P364" ca="1" si="94">IF(M356&gt;0,N356*100/M356,0)</f>
        <v>53.518919352252688</v>
      </c>
      <c r="Q356" s="389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5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4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2">
        <f t="shared" ca="1" si="97"/>
        <v>441060</v>
      </c>
      <c r="M358" s="72">
        <f t="shared" ca="1" si="97"/>
        <v>498960</v>
      </c>
      <c r="N358" s="72">
        <f t="shared" ca="1" si="97"/>
        <v>267038</v>
      </c>
      <c r="O358" s="72">
        <f t="shared" ca="1" si="93"/>
        <v>60.544597106969576</v>
      </c>
      <c r="P358" s="72">
        <f t="shared" ca="1" si="94"/>
        <v>53.518919352252688</v>
      </c>
      <c r="Q358" s="71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2">
        <f ca="1">L360+L361</f>
        <v>441060</v>
      </c>
      <c r="M359" s="72">
        <f ca="1">M360+M361</f>
        <v>498960</v>
      </c>
      <c r="N359" s="72">
        <f ca="1">N360+N361</f>
        <v>267038</v>
      </c>
      <c r="O359" s="72">
        <f t="shared" ca="1" si="93"/>
        <v>60.544597106969576</v>
      </c>
      <c r="P359" s="72">
        <f t="shared" ca="1" si="94"/>
        <v>53.518919352252688</v>
      </c>
      <c r="Q359" s="71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5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4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2">
        <f ca="1">IFERROR(__xludf.DUMMYFUNCTION("IMPORTRANGE(""https://docs.google.com/spreadsheets/d/1-uDff_7J0KD5mKrp0Vvzr7lt3OU09vwQwhkpOPPYv2Y/edit?usp=sharing"",""งบพรบ!FC58"")"),441060)</f>
        <v>441060</v>
      </c>
      <c r="M361" s="72">
        <f ca="1">IFERROR(__xludf.DUMMYFUNCTION("IMPORTRANGE(""https://docs.google.com/spreadsheets/d/1-uDff_7J0KD5mKrp0Vvzr7lt3OU09vwQwhkpOPPYv2Y/edit?usp=sharing"",""งบพรบ!FH58"")"),498960)</f>
        <v>498960</v>
      </c>
      <c r="N361" s="72">
        <f ca="1">IFERROR(__xludf.DUMMYFUNCTION("IMPORTRANGE(""https://docs.google.com/spreadsheets/d/1-uDff_7J0KD5mKrp0Vvzr7lt3OU09vwQwhkpOPPYv2Y/edit?usp=sharing"",""งบพรบ!FJ58"")"),267038)</f>
        <v>267038</v>
      </c>
      <c r="O361" s="72">
        <f t="shared" ca="1" si="93"/>
        <v>60.544597106969576</v>
      </c>
      <c r="P361" s="72">
        <f t="shared" ca="1" si="94"/>
        <v>53.518919352252688</v>
      </c>
      <c r="Q361" s="71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2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1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5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4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2">
        <f ca="1">IFERROR(__xludf.DUMMYFUNCTION("IMPORTRANGE(""https://docs.google.com/spreadsheets/d/1-uDff_7J0KD5mKrp0Vvzr7lt3OU09vwQwhkpOPPYv2Y/edit?usp=sharing"",""งบพรบ!FF58"")"),0)</f>
        <v>0</v>
      </c>
      <c r="M364" s="72">
        <f ca="1">IFERROR(__xludf.DUMMYFUNCTION("IMPORTRANGE(""https://docs.google.com/spreadsheets/d/1-uDff_7J0KD5mKrp0Vvzr7lt3OU09vwQwhkpOPPYv2Y/edit?usp=sharing"",""งบพรบ!FI58"")"),0)</f>
        <v>0</v>
      </c>
      <c r="N364" s="72">
        <f ca="1">IFERROR(__xludf.DUMMYFUNCTION("IMPORTRANGE(""https://docs.google.com/spreadsheets/d/1-uDff_7J0KD5mKrp0Vvzr7lt3OU09vwQwhkpOPPYv2Y/edit?usp=sharing"",""งบพรบ!FK58"")"),0)</f>
        <v>0</v>
      </c>
      <c r="O364" s="72">
        <f t="shared" ca="1" si="93"/>
        <v>0</v>
      </c>
      <c r="P364" s="72">
        <f t="shared" ca="1" si="94"/>
        <v>0</v>
      </c>
      <c r="Q364" s="71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219</v>
      </c>
      <c r="J365" s="538">
        <f ca="1">J371</f>
        <v>199</v>
      </c>
      <c r="K365" s="539">
        <f ca="1">IF(I365&gt;0,J365*100/I365,0)</f>
        <v>90.867579908675793</v>
      </c>
      <c r="L365" s="378"/>
      <c r="M365" s="378"/>
      <c r="N365" s="378"/>
      <c r="O365" s="378"/>
      <c r="P365" s="378"/>
      <c r="Q365" s="377"/>
      <c r="R365" s="378"/>
      <c r="S365" s="378"/>
      <c r="T365" s="378"/>
      <c r="U365" s="378"/>
    </row>
    <row r="366" spans="1:21" ht="19.5" x14ac:dyDescent="0.3">
      <c r="A366" s="274"/>
      <c r="B366" s="275"/>
      <c r="C366" s="668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7"/>
      <c r="M366" s="227"/>
      <c r="N366" s="227"/>
      <c r="O366" s="227"/>
      <c r="P366" s="227"/>
      <c r="Q366" s="226"/>
      <c r="R366" s="227"/>
      <c r="S366" s="227"/>
      <c r="T366" s="227"/>
      <c r="U366" s="227"/>
    </row>
    <row r="367" spans="1:21" ht="18.75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IFERROR(__xludf.DUMMYFUNCTION("IMPORTRANGE(""https://docs.google.com/spreadsheets/d/1tdoBKaGub7dwA3U6UFTqxio9LNnvDCQjHKmttSEBsFQ/edit?usp=sharing"",""จัดที่ดิน!AB58"")"),48)</f>
        <v>48</v>
      </c>
      <c r="K367" s="72">
        <f t="shared" ref="K367:K372" si="99">IF(I367&gt;0,J367*100/I367,0)</f>
        <v>0</v>
      </c>
      <c r="L367" s="227"/>
      <c r="M367" s="227"/>
      <c r="N367" s="227"/>
      <c r="O367" s="227"/>
      <c r="P367" s="227"/>
      <c r="Q367" s="226"/>
      <c r="R367" s="227"/>
      <c r="S367" s="227"/>
      <c r="T367" s="227"/>
      <c r="U367" s="227"/>
    </row>
    <row r="368" spans="1:21" ht="18.75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IFERROR(__xludf.DUMMYFUNCTION("IMPORTRANGE(""https://docs.google.com/spreadsheets/d/1eHaY18a8A9IcSdp1K8H6x8fbOy06t2VsZHhMHf-1x7Y/edit?usp=sharing"",""แผน!EW58"")"),805)</f>
        <v>805</v>
      </c>
      <c r="J368" s="879">
        <f ca="1">IFERROR(__xludf.DUMMYFUNCTION("IMPORTRANGE(""https://docs.google.com/spreadsheets/d/1tdoBKaGub7dwA3U6UFTqxio9LNnvDCQjHKmttSEBsFQ/edit?usp=sharing"",""จัดที่ดิน!AC58"")"),1343.71)</f>
        <v>1343.71</v>
      </c>
      <c r="K368" s="72">
        <f t="shared" ca="1" si="99"/>
        <v>166.92049689440995</v>
      </c>
      <c r="L368" s="227"/>
      <c r="M368" s="227"/>
      <c r="N368" s="227"/>
      <c r="O368" s="227"/>
      <c r="P368" s="227"/>
      <c r="Q368" s="226"/>
      <c r="R368" s="227"/>
      <c r="S368" s="227"/>
      <c r="T368" s="227"/>
      <c r="U368" s="227"/>
    </row>
    <row r="369" spans="1:21" ht="18.75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IFERROR(__xludf.DUMMYFUNCTION("IMPORTRANGE(""https://docs.google.com/spreadsheets/d/1eHaY18a8A9IcSdp1K8H6x8fbOy06t2VsZHhMHf-1x7Y/edit?usp=sharing"",""แผน!EX58"")"),219)</f>
        <v>219</v>
      </c>
      <c r="J369" s="291">
        <f ca="1">IFERROR(__xludf.DUMMYFUNCTION("IMPORTRANGE(""https://docs.google.com/spreadsheets/d/1tdoBKaGub7dwA3U6UFTqxio9LNnvDCQjHKmttSEBsFQ/edit?usp=sharing"",""จัดที่ดิน!AD58"")"),207)</f>
        <v>207</v>
      </c>
      <c r="K369" s="72">
        <f t="shared" ca="1" si="99"/>
        <v>94.520547945205479</v>
      </c>
      <c r="L369" s="227"/>
      <c r="M369" s="227"/>
      <c r="N369" s="227"/>
      <c r="O369" s="227"/>
      <c r="P369" s="227"/>
      <c r="Q369" s="226"/>
      <c r="R369" s="227"/>
      <c r="S369" s="227"/>
      <c r="T369" s="227"/>
      <c r="U369" s="227"/>
    </row>
    <row r="370" spans="1:21" ht="18.75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IFERROR(__xludf.DUMMYFUNCTION("IMPORTRANGE(""https://docs.google.com/spreadsheets/d/1tdoBKaGub7dwA3U6UFTqxio9LNnvDCQjHKmttSEBsFQ/edit?usp=sharing"",""จัดที่ดิน!AE58"")"),3757.3)</f>
        <v>3757.3</v>
      </c>
      <c r="K370" s="72">
        <f t="shared" si="99"/>
        <v>0</v>
      </c>
      <c r="L370" s="227"/>
      <c r="M370" s="227"/>
      <c r="N370" s="227"/>
      <c r="O370" s="227"/>
      <c r="P370" s="227"/>
      <c r="Q370" s="226"/>
      <c r="R370" s="227"/>
      <c r="S370" s="227"/>
      <c r="T370" s="227"/>
      <c r="U370" s="227"/>
    </row>
    <row r="371" spans="1:21" ht="18.75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IFERROR(__xludf.DUMMYFUNCTION("IMPORTRANGE(""https://docs.google.com/spreadsheets/d/1eHaY18a8A9IcSdp1K8H6x8fbOy06t2VsZHhMHf-1x7Y/edit?usp=sharing"",""แผน!EY58"")"),219)</f>
        <v>219</v>
      </c>
      <c r="J371" s="291">
        <f ca="1">IFERROR(__xludf.DUMMYFUNCTION("IMPORTRANGE(""https://docs.google.com/spreadsheets/d/1tdoBKaGub7dwA3U6UFTqxio9LNnvDCQjHKmttSEBsFQ/edit?usp=sharing"",""จัดที่ดิน!AF58"")"),199)</f>
        <v>199</v>
      </c>
      <c r="K371" s="72">
        <f t="shared" ca="1" si="99"/>
        <v>90.867579908675793</v>
      </c>
      <c r="L371" s="227"/>
      <c r="M371" s="227"/>
      <c r="N371" s="227"/>
      <c r="O371" s="227"/>
      <c r="P371" s="227"/>
      <c r="Q371" s="226"/>
      <c r="R371" s="227"/>
      <c r="S371" s="227"/>
      <c r="T371" s="227"/>
      <c r="U371" s="227"/>
    </row>
    <row r="372" spans="1:21" ht="18.75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IFERROR(__xludf.DUMMYFUNCTION("IMPORTRANGE(""https://docs.google.com/spreadsheets/d/1tdoBKaGub7dwA3U6UFTqxio9LNnvDCQjHKmttSEBsFQ/edit?usp=sharing"",""จัดที่ดิน!AG58"")"),3572.65)</f>
        <v>3572.65</v>
      </c>
      <c r="K372" s="72">
        <f t="shared" si="99"/>
        <v>0</v>
      </c>
      <c r="L372" s="227"/>
      <c r="M372" s="227"/>
      <c r="N372" s="227"/>
      <c r="O372" s="227"/>
      <c r="P372" s="227"/>
      <c r="Q372" s="226"/>
      <c r="R372" s="227"/>
      <c r="S372" s="227"/>
      <c r="T372" s="227"/>
      <c r="U372" s="227"/>
    </row>
    <row r="373" spans="1:21" ht="16.5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6"/>
      <c r="M373" s="96"/>
      <c r="N373" s="96"/>
      <c r="O373" s="96"/>
      <c r="P373" s="96"/>
      <c r="Q373" s="95"/>
      <c r="R373" s="96"/>
      <c r="S373" s="96"/>
      <c r="T373" s="96"/>
      <c r="U373" s="96"/>
    </row>
    <row r="374" spans="1:21" ht="19.5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I386+I388</f>
        <v>1000</v>
      </c>
      <c r="J374" s="563">
        <f ca="1">J386+J388</f>
        <v>275</v>
      </c>
      <c r="K374" s="564">
        <f ca="1">IF(I374&gt;0,J374*100/I374,0)</f>
        <v>27.5</v>
      </c>
      <c r="L374" s="565"/>
      <c r="M374" s="565"/>
      <c r="N374" s="565"/>
      <c r="O374" s="565"/>
      <c r="P374" s="565"/>
      <c r="Q374" s="509"/>
      <c r="R374" s="510"/>
      <c r="S374" s="510"/>
      <c r="T374" s="510"/>
      <c r="U374" s="510"/>
    </row>
    <row r="375" spans="1:21" ht="19.5" x14ac:dyDescent="0.3">
      <c r="A375" s="255"/>
      <c r="B375" s="267"/>
      <c r="C375" s="668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262">
        <f ca="1">L376+L377</f>
        <v>40600</v>
      </c>
      <c r="M375" s="262">
        <f ca="1">M376+M377</f>
        <v>40600</v>
      </c>
      <c r="N375" s="262">
        <f ca="1">N376+N377</f>
        <v>18346</v>
      </c>
      <c r="O375" s="262">
        <f t="shared" ref="O375:O383" ca="1" si="100">IF(L375&gt;0,N375*100/L375,0)</f>
        <v>45.187192118226598</v>
      </c>
      <c r="P375" s="262">
        <f t="shared" ref="P375:P383" ca="1" si="101">IF(M375&gt;0,N375*100/M375,0)</f>
        <v>45.187192118226598</v>
      </c>
      <c r="Q375" s="389">
        <f ca="1">Q376+Q377</f>
        <v>62500</v>
      </c>
      <c r="R375" s="262">
        <f ca="1">R376+R377</f>
        <v>62500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5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4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2">
        <f t="shared" ca="1" si="104"/>
        <v>40600</v>
      </c>
      <c r="M377" s="72">
        <f t="shared" ca="1" si="104"/>
        <v>40600</v>
      </c>
      <c r="N377" s="72">
        <f t="shared" ca="1" si="104"/>
        <v>18346</v>
      </c>
      <c r="O377" s="72">
        <f t="shared" ca="1" si="100"/>
        <v>45.187192118226598</v>
      </c>
      <c r="P377" s="72">
        <f t="shared" ca="1" si="101"/>
        <v>45.187192118226598</v>
      </c>
      <c r="Q377" s="71">
        <f t="shared" ca="1" si="105"/>
        <v>62500</v>
      </c>
      <c r="R377" s="72">
        <f t="shared" ca="1" si="105"/>
        <v>62500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2">
        <f ca="1">L379+L380</f>
        <v>40600</v>
      </c>
      <c r="M378" s="72">
        <f ca="1">M379+M380</f>
        <v>40600</v>
      </c>
      <c r="N378" s="72">
        <f ca="1">N379+N380</f>
        <v>18346</v>
      </c>
      <c r="O378" s="72">
        <f t="shared" ca="1" si="100"/>
        <v>45.187192118226598</v>
      </c>
      <c r="P378" s="72">
        <f t="shared" ca="1" si="101"/>
        <v>45.187192118226598</v>
      </c>
      <c r="Q378" s="71">
        <f ca="1">Q379+Q380</f>
        <v>62500</v>
      </c>
      <c r="R378" s="72">
        <f ca="1">R379+R380</f>
        <v>62500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5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4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2">
        <f ca="1">IFERROR(__xludf.DUMMYFUNCTION("IMPORTRANGE(""https://docs.google.com/spreadsheets/d/1-uDff_7J0KD5mKrp0Vvzr7lt3OU09vwQwhkpOPPYv2Y/edit?usp=sharing"",""งบพรบ!IE58"")"),40600)</f>
        <v>40600</v>
      </c>
      <c r="M380" s="72">
        <f ca="1">IFERROR(__xludf.DUMMYFUNCTION("IMPORTRANGE(""https://docs.google.com/spreadsheets/d/1-uDff_7J0KD5mKrp0Vvzr7lt3OU09vwQwhkpOPPYv2Y/edit?usp=sharing"",""งบพรบ!IJ58"")"),40600)</f>
        <v>40600</v>
      </c>
      <c r="N380" s="72">
        <f ca="1">IFERROR(__xludf.DUMMYFUNCTION("IMPORTRANGE(""https://docs.google.com/spreadsheets/d/1-uDff_7J0KD5mKrp0Vvzr7lt3OU09vwQwhkpOPPYv2Y/edit?usp=sharing"",""งบพรบ!IL58"")"),18346)</f>
        <v>18346</v>
      </c>
      <c r="O380" s="72">
        <f t="shared" ca="1" si="100"/>
        <v>45.187192118226598</v>
      </c>
      <c r="P380" s="72">
        <f t="shared" ca="1" si="101"/>
        <v>45.187192118226598</v>
      </c>
      <c r="Q380" s="71">
        <f ca="1">IFERROR(__xludf.DUMMYFUNCTION("IMPORTRANGE(""https://docs.google.com/spreadsheets/d/1ItG2mGa2ceCfYo0BwxsXqNm01IGEUdYcSSLTEv9YCik/edit?usp=sharing"",""เบิกจ่ายกองทุน!BW58"")"),62500)</f>
        <v>62500</v>
      </c>
      <c r="R380" s="72">
        <f ca="1">IFERROR(__xludf.DUMMYFUNCTION("IMPORTRANGE(""https://docs.google.com/spreadsheets/d/1ItG2mGa2ceCfYo0BwxsXqNm01IGEUdYcSSLTEv9YCik/edit?usp=sharing"",""เบิกจ่ายกองทุน!BX58"")"),62500)</f>
        <v>62500</v>
      </c>
      <c r="S380" s="72">
        <f ca="1">IFERROR(__xludf.DUMMYFUNCTION("IMPORTRANGE(""https://docs.google.com/spreadsheets/d/1ItG2mGa2ceCfYo0BwxsXqNm01IGEUdYcSSLTEv9YCik/edit?usp=sharing"",""เบิกจ่ายกองทุน!BY58"")"),0)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2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1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5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4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2">
        <f ca="1">IFERROR(__xludf.DUMMYFUNCTION("IMPORTRANGE(""https://docs.google.com/spreadsheets/d/1-uDff_7J0KD5mKrp0Vvzr7lt3OU09vwQwhkpOPPYv2Y/edit?usp=sharing"",""งบพรบ!IH58"")"),0)</f>
        <v>0</v>
      </c>
      <c r="M383" s="72">
        <f ca="1">IFERROR(__xludf.DUMMYFUNCTION("IMPORTRANGE(""https://docs.google.com/spreadsheets/d/1-uDff_7J0KD5mKrp0Vvzr7lt3OU09vwQwhkpOPPYv2Y/edit?usp=sharing"",""งบพรบ!IK58"")"),0)</f>
        <v>0</v>
      </c>
      <c r="N383" s="72">
        <f ca="1">IFERROR(__xludf.DUMMYFUNCTION("IMPORTRANGE(""https://docs.google.com/spreadsheets/d/1-uDff_7J0KD5mKrp0Vvzr7lt3OU09vwQwhkpOPPYv2Y/edit?usp=sharing"",""งบพรบ!IM58"")"),0)</f>
        <v>0</v>
      </c>
      <c r="O383" s="72">
        <f t="shared" ca="1" si="100"/>
        <v>0</v>
      </c>
      <c r="P383" s="72">
        <f t="shared" ca="1" si="101"/>
        <v>0</v>
      </c>
      <c r="Q383" s="71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x14ac:dyDescent="0.3">
      <c r="A384" s="274"/>
      <c r="B384" s="275"/>
      <c r="C384" s="668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5"/>
      <c r="M384" s="85"/>
      <c r="N384" s="85"/>
      <c r="O384" s="227"/>
      <c r="P384" s="227"/>
      <c r="Q384" s="84"/>
      <c r="R384" s="85"/>
      <c r="S384" s="85"/>
      <c r="T384" s="227"/>
      <c r="U384" s="227"/>
    </row>
    <row r="385" spans="1:21" ht="18.75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v>0</v>
      </c>
      <c r="J385" s="291">
        <f ca="1">IFERROR(__xludf.DUMMYFUNCTION("IMPORTRANGE(""https://docs.google.com/spreadsheets/d/1w5rwWK1o49a35cNtocGL0gxDwhFSTZUQu90BiH9_zqM/edit?usp=sharing"",""RTK!H58"")"),8)</f>
        <v>8</v>
      </c>
      <c r="K385" s="72">
        <f>IF(I385&gt;0,J385*100/I385,0)</f>
        <v>0</v>
      </c>
      <c r="L385" s="85"/>
      <c r="M385" s="85"/>
      <c r="N385" s="85"/>
      <c r="O385" s="85"/>
      <c r="P385" s="85"/>
      <c r="Q385" s="84"/>
      <c r="R385" s="85"/>
      <c r="S385" s="85"/>
      <c r="T385" s="85"/>
      <c r="U385" s="85"/>
    </row>
    <row r="386" spans="1:21" ht="18.75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IFERROR(__xludf.DUMMYFUNCTION("IMPORTRANGE(""https://docs.google.com/spreadsheets/d/1w5rwWK1o49a35cNtocGL0gxDwhFSTZUQu90BiH9_zqM/edit?usp=sharing"",""RTK!G58"")"),1000)</f>
        <v>1000</v>
      </c>
      <c r="J386" s="291">
        <f ca="1">IFERROR(__xludf.DUMMYFUNCTION("IMPORTRANGE(""https://docs.google.com/spreadsheets/d/1w5rwWK1o49a35cNtocGL0gxDwhFSTZUQu90BiH9_zqM/edit?usp=sharing"",""RTK!I58"")"),275)</f>
        <v>275</v>
      </c>
      <c r="K386" s="72">
        <f ca="1">IF(I386&gt;0,J386*100/I386,0)</f>
        <v>27.5</v>
      </c>
      <c r="L386" s="85"/>
      <c r="M386" s="85"/>
      <c r="N386" s="85"/>
      <c r="O386" s="85"/>
      <c r="P386" s="85"/>
      <c r="Q386" s="84"/>
      <c r="R386" s="85"/>
      <c r="S386" s="85"/>
      <c r="T386" s="85"/>
      <c r="U386" s="85"/>
    </row>
    <row r="387" spans="1:21" ht="18.75" x14ac:dyDescent="0.25">
      <c r="A387" s="364"/>
      <c r="B387" s="367"/>
      <c r="C387" s="367"/>
      <c r="D387" s="367"/>
      <c r="E387" s="365" t="s">
        <v>156</v>
      </c>
      <c r="F387" s="367"/>
      <c r="G387" s="795"/>
      <c r="H387" s="214" t="s">
        <v>34</v>
      </c>
      <c r="I387" s="237">
        <v>0</v>
      </c>
      <c r="J387" s="237">
        <f ca="1">IFERROR(__xludf.DUMMYFUNCTION("IMPORTRANGE(""https://docs.google.com/spreadsheets/d/1w5rwWK1o49a35cNtocGL0gxDwhFSTZUQu90BiH9_zqM/edit?usp=sharing"",""RTK!L58"")"),0)</f>
        <v>0</v>
      </c>
      <c r="K387" s="86">
        <f>IF(I387&gt;0,J387*100/I387,0)</f>
        <v>0</v>
      </c>
      <c r="L387" s="70"/>
      <c r="M387" s="70"/>
      <c r="N387" s="70"/>
      <c r="O387" s="70"/>
      <c r="P387" s="70"/>
      <c r="Q387" s="519"/>
      <c r="R387" s="70"/>
      <c r="S387" s="70"/>
      <c r="T387" s="70"/>
      <c r="U387" s="70"/>
    </row>
    <row r="388" spans="1:21" ht="18.75" x14ac:dyDescent="0.25">
      <c r="A388" s="364"/>
      <c r="B388" s="367"/>
      <c r="C388" s="367"/>
      <c r="D388" s="367"/>
      <c r="E388" s="367"/>
      <c r="F388" s="367"/>
      <c r="G388" s="795"/>
      <c r="H388" s="214" t="s">
        <v>46</v>
      </c>
      <c r="I388" s="237">
        <f ca="1">IFERROR(__xludf.DUMMYFUNCTION("IMPORTRANGE(""https://docs.google.com/spreadsheets/d/1w5rwWK1o49a35cNtocGL0gxDwhFSTZUQu90BiH9_zqM/edit?usp=sharing"",""RTK!K58"")"),0)</f>
        <v>0</v>
      </c>
      <c r="J388" s="237">
        <f ca="1">IFERROR(__xludf.DUMMYFUNCTION("IMPORTRANGE(""https://docs.google.com/spreadsheets/d/1w5rwWK1o49a35cNtocGL0gxDwhFSTZUQu90BiH9_zqM/edit?usp=sharing"",""RTK!M58"")"),0)</f>
        <v>0</v>
      </c>
      <c r="K388" s="86">
        <f ca="1">IF(I388&gt;0,J388*100/I388,0)</f>
        <v>0</v>
      </c>
      <c r="L388" s="70"/>
      <c r="M388" s="70"/>
      <c r="N388" s="70"/>
      <c r="O388" s="70"/>
      <c r="P388" s="70"/>
      <c r="Q388" s="519"/>
      <c r="R388" s="70"/>
      <c r="S388" s="70"/>
      <c r="T388" s="70"/>
      <c r="U388" s="70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4"/>
      <c r="M389" s="574"/>
      <c r="N389" s="574"/>
      <c r="O389" s="574"/>
      <c r="P389" s="574"/>
      <c r="Q389" s="575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79"/>
      <c r="M390" s="579"/>
      <c r="N390" s="579"/>
      <c r="O390" s="579"/>
      <c r="P390" s="579"/>
      <c r="Q390" s="580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10"/>
      <c r="M391" s="510"/>
      <c r="N391" s="510"/>
      <c r="O391" s="510"/>
      <c r="P391" s="510"/>
      <c r="Q391" s="509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262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389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5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4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2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1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2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1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5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4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2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1">
        <f ca="1">IFERROR(__xludf.DUMMYFUNCTION("IMPORTRANGE(""https://docs.google.com/spreadsheets/d/1ItG2mGa2ceCfYo0BwxsXqNm01IGEUdYcSSLTEv9YCik/edit?usp=sharing"",""เบิกจ่ายกองทุน!CL58"")"),0)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IFERROR(__xludf.DUMMYFUNCTION("IMPORTRANGE(""https://docs.google.com/spreadsheets/d/1ItG2mGa2ceCfYo0BwxsXqNm01IGEUdYcSSLTEv9YCik/edit?usp=sharing"",""เบิกจ่ายกองทุน!CM58"")"),0)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IFERROR(__xludf.DUMMYFUNCTION("IMPORTRANGE(""https://docs.google.com/spreadsheets/d/1ItG2mGa2ceCfYo0BwxsXqNm01IGEUdYcSSLTEv9YCik/edit?usp=sharing"",""เบิกจ่ายกองทุน!CN58"")"),0)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2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1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5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4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2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1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5"/>
      <c r="M401" s="85"/>
      <c r="N401" s="85"/>
      <c r="O401" s="227"/>
      <c r="P401" s="227"/>
      <c r="Q401" s="84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4"/>
      <c r="M402" s="574"/>
      <c r="N402" s="574"/>
      <c r="O402" s="574"/>
      <c r="P402" s="574"/>
      <c r="Q402" s="575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4"/>
      <c r="M403" s="574"/>
      <c r="N403" s="574"/>
      <c r="O403" s="574"/>
      <c r="P403" s="574"/>
      <c r="Q403" s="575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4"/>
      <c r="M404" s="574"/>
      <c r="N404" s="574"/>
      <c r="O404" s="574"/>
      <c r="P404" s="574"/>
      <c r="Q404" s="575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4"/>
      <c r="M405" s="574"/>
      <c r="N405" s="574"/>
      <c r="O405" s="574"/>
      <c r="P405" s="574"/>
      <c r="Q405" s="575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4"/>
      <c r="M406" s="574"/>
      <c r="N406" s="574"/>
      <c r="O406" s="574"/>
      <c r="P406" s="574"/>
      <c r="Q406" s="575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4"/>
      <c r="M407" s="574"/>
      <c r="N407" s="574"/>
      <c r="O407" s="574"/>
      <c r="P407" s="574"/>
      <c r="Q407" s="575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4"/>
      <c r="M408" s="574"/>
      <c r="N408" s="574"/>
      <c r="O408" s="574"/>
      <c r="P408" s="574"/>
      <c r="Q408" s="575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4"/>
      <c r="M409" s="574"/>
      <c r="N409" s="574"/>
      <c r="O409" s="574"/>
      <c r="P409" s="574"/>
      <c r="Q409" s="575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4"/>
      <c r="M410" s="574"/>
      <c r="N410" s="574"/>
      <c r="O410" s="574"/>
      <c r="P410" s="574"/>
      <c r="Q410" s="575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79"/>
      <c r="M411" s="579"/>
      <c r="N411" s="579"/>
      <c r="O411" s="579"/>
      <c r="P411" s="579"/>
      <c r="Q411" s="580"/>
      <c r="R411" s="579"/>
      <c r="S411" s="579"/>
      <c r="T411" s="579"/>
      <c r="U411" s="579"/>
    </row>
    <row r="412" spans="1:21" ht="19.5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10"/>
      <c r="M412" s="510"/>
      <c r="N412" s="510"/>
      <c r="O412" s="510"/>
      <c r="P412" s="510"/>
      <c r="Q412" s="509"/>
      <c r="R412" s="510"/>
      <c r="S412" s="510"/>
      <c r="T412" s="510"/>
      <c r="U412" s="510"/>
    </row>
    <row r="413" spans="1:21" ht="19.5" x14ac:dyDescent="0.3">
      <c r="A413" s="255"/>
      <c r="B413" s="267"/>
      <c r="C413" s="668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262">
        <f ca="1">L414+L415</f>
        <v>52840</v>
      </c>
      <c r="M413" s="262">
        <f ca="1">M414+M415</f>
        <v>472840</v>
      </c>
      <c r="N413" s="262">
        <f ca="1">N414+N415</f>
        <v>420840</v>
      </c>
      <c r="O413" s="262">
        <f t="shared" ref="O413:O421" ca="1" si="112">IF(L413&gt;0,N413*100/L413,0)</f>
        <v>796.44208932626793</v>
      </c>
      <c r="P413" s="262">
        <f t="shared" ref="P413:P421" ca="1" si="113">IF(M413&gt;0,N413*100/M413,0)</f>
        <v>89.002622451569238</v>
      </c>
      <c r="Q413" s="389">
        <f ca="1">Q414+Q415</f>
        <v>16250</v>
      </c>
      <c r="R413" s="262">
        <f ca="1">R414+R415</f>
        <v>16250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5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4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2">
        <f t="shared" ca="1" si="116"/>
        <v>52840</v>
      </c>
      <c r="M415" s="72">
        <f t="shared" ca="1" si="116"/>
        <v>472840</v>
      </c>
      <c r="N415" s="72">
        <f t="shared" ca="1" si="116"/>
        <v>420840</v>
      </c>
      <c r="O415" s="72">
        <f t="shared" ca="1" si="112"/>
        <v>796.44208932626793</v>
      </c>
      <c r="P415" s="72">
        <f t="shared" ca="1" si="113"/>
        <v>89.002622451569238</v>
      </c>
      <c r="Q415" s="71">
        <f t="shared" ca="1" si="117"/>
        <v>16250</v>
      </c>
      <c r="R415" s="72">
        <f t="shared" ca="1" si="117"/>
        <v>16250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2">
        <f ca="1">L417+L418</f>
        <v>52840</v>
      </c>
      <c r="M416" s="72">
        <f ca="1">M417+M418</f>
        <v>472840</v>
      </c>
      <c r="N416" s="72">
        <f ca="1">N417+N418</f>
        <v>420840</v>
      </c>
      <c r="O416" s="72">
        <f t="shared" ca="1" si="112"/>
        <v>796.44208932626793</v>
      </c>
      <c r="P416" s="72">
        <f t="shared" ca="1" si="113"/>
        <v>89.002622451569238</v>
      </c>
      <c r="Q416" s="71">
        <f ca="1">Q417+Q418</f>
        <v>16250</v>
      </c>
      <c r="R416" s="72">
        <f ca="1">R417+R418</f>
        <v>16250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5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4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2">
        <f ca="1">IFERROR(__xludf.DUMMYFUNCTION("IMPORTRANGE(""https://docs.google.com/spreadsheets/d/1-uDff_7J0KD5mKrp0Vvzr7lt3OU09vwQwhkpOPPYv2Y/edit?usp=sharing"",""งบพรบ!IO58"")"),52840)</f>
        <v>52840</v>
      </c>
      <c r="M418" s="72">
        <f ca="1">IFERROR(__xludf.DUMMYFUNCTION("IMPORTRANGE(""https://docs.google.com/spreadsheets/d/1-uDff_7J0KD5mKrp0Vvzr7lt3OU09vwQwhkpOPPYv2Y/edit?usp=sharing"",""งบพรบ!IT58"")"),472840)</f>
        <v>472840</v>
      </c>
      <c r="N418" s="72">
        <f ca="1">IFERROR(__xludf.DUMMYFUNCTION("IMPORTRANGE(""https://docs.google.com/spreadsheets/d/1-uDff_7J0KD5mKrp0Vvzr7lt3OU09vwQwhkpOPPYv2Y/edit?usp=sharing"",""งบพรบ!IV58"")"),420840)</f>
        <v>420840</v>
      </c>
      <c r="O418" s="72">
        <f t="shared" ca="1" si="112"/>
        <v>796.44208932626793</v>
      </c>
      <c r="P418" s="72">
        <f t="shared" ca="1" si="113"/>
        <v>89.002622451569238</v>
      </c>
      <c r="Q418" s="71">
        <f ca="1">IFERROR(__xludf.DUMMYFUNCTION("IMPORTRANGE(""https://docs.google.com/spreadsheets/d/1ItG2mGa2ceCfYo0BwxsXqNm01IGEUdYcSSLTEv9YCik/edit?usp=sharing"",""เบิกจ่ายกองทุน!BZ58"")"),16250)</f>
        <v>16250</v>
      </c>
      <c r="R418" s="72">
        <f ca="1">IFERROR(__xludf.DUMMYFUNCTION("IMPORTRANGE(""https://docs.google.com/spreadsheets/d/1ItG2mGa2ceCfYo0BwxsXqNm01IGEUdYcSSLTEv9YCik/edit?usp=sharing"",""เบิกจ่ายกองทุน!CA58"")"),16250)</f>
        <v>16250</v>
      </c>
      <c r="S418" s="72">
        <f ca="1">IFERROR(__xludf.DUMMYFUNCTION("IMPORTRANGE(""https://docs.google.com/spreadsheets/d/1ItG2mGa2ceCfYo0BwxsXqNm01IGEUdYcSSLTEv9YCik/edit?usp=sharing"",""เบิกจ่ายกองทุน!CB58"")"),0)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2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1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5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4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2">
        <f ca="1">IFERROR(__xludf.DUMMYFUNCTION("IMPORTRANGE(""https://docs.google.com/spreadsheets/d/1-uDff_7J0KD5mKrp0Vvzr7lt3OU09vwQwhkpOPPYv2Y/edit?usp=sharing"",""งบพรบ!IR58"")"),0)</f>
        <v>0</v>
      </c>
      <c r="M421" s="72">
        <f ca="1">IFERROR(__xludf.DUMMYFUNCTION("IMPORTRANGE(""https://docs.google.com/spreadsheets/d/1-uDff_7J0KD5mKrp0Vvzr7lt3OU09vwQwhkpOPPYv2Y/edit?usp=sharing"",""งบพรบ!IU58"")"),0)</f>
        <v>0</v>
      </c>
      <c r="N421" s="72">
        <f ca="1">IFERROR(__xludf.DUMMYFUNCTION("IMPORTRANGE(""https://docs.google.com/spreadsheets/d/1-uDff_7J0KD5mKrp0Vvzr7lt3OU09vwQwhkpOPPYv2Y/edit?usp=sharing"",""งบพรบ!IW58"")"),0)</f>
        <v>0</v>
      </c>
      <c r="O421" s="72">
        <f t="shared" ca="1" si="112"/>
        <v>0</v>
      </c>
      <c r="P421" s="72">
        <f t="shared" ca="1" si="113"/>
        <v>0</v>
      </c>
      <c r="Q421" s="71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x14ac:dyDescent="0.3">
      <c r="A422" s="529"/>
      <c r="B422" s="267"/>
      <c r="C422" s="668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5"/>
      <c r="M422" s="85"/>
      <c r="N422" s="85"/>
      <c r="O422" s="85"/>
      <c r="P422" s="85"/>
      <c r="Q422" s="84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1"/>
      <c r="M423" s="721"/>
      <c r="N423" s="721"/>
      <c r="O423" s="721"/>
      <c r="P423" s="721"/>
      <c r="Q423" s="722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IFERROR(__xludf.DUMMYFUNCTION("IMPORTRANGE(""https://docs.google.com/spreadsheets/d/1eHaY18a8A9IcSdp1K8H6x8fbOy06t2VsZHhMHf-1x7Y/edit?usp=sharing"",""แผน!HJ58"")"),0)</f>
        <v>0</v>
      </c>
      <c r="J424" s="870">
        <f>J426+J428+J430</f>
        <v>0</v>
      </c>
      <c r="K424" s="262">
        <f ca="1">IF(I424&gt;0,J424*100/I424,0)</f>
        <v>0</v>
      </c>
      <c r="L424" s="85"/>
      <c r="M424" s="85"/>
      <c r="N424" s="85"/>
      <c r="O424" s="85"/>
      <c r="P424" s="85"/>
      <c r="Q424" s="84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IFERROR(__xludf.DUMMYFUNCTION("IMPORTRANGE(""https://docs.google.com/spreadsheets/d/1eHaY18a8A9IcSdp1K8H6x8fbOy06t2VsZHhMHf-1x7Y/edit?usp=sharing"",""แผน!HK58"")"),0)</f>
        <v>0</v>
      </c>
      <c r="J425" s="870">
        <f>J427+J429+J431</f>
        <v>0</v>
      </c>
      <c r="K425" s="262">
        <f ca="1">IF(I425&gt;0,J425*100/I425,0)</f>
        <v>0</v>
      </c>
      <c r="L425" s="85"/>
      <c r="M425" s="85"/>
      <c r="N425" s="85"/>
      <c r="O425" s="85"/>
      <c r="P425" s="85"/>
      <c r="Q425" s="84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5"/>
      <c r="M426" s="85"/>
      <c r="N426" s="85"/>
      <c r="O426" s="85"/>
      <c r="P426" s="85"/>
      <c r="Q426" s="84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5"/>
      <c r="M427" s="85"/>
      <c r="N427" s="85"/>
      <c r="O427" s="85"/>
      <c r="P427" s="85"/>
      <c r="Q427" s="84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5"/>
      <c r="M428" s="85"/>
      <c r="N428" s="85"/>
      <c r="O428" s="85"/>
      <c r="P428" s="85"/>
      <c r="Q428" s="84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5"/>
      <c r="M429" s="85"/>
      <c r="N429" s="85"/>
      <c r="O429" s="85"/>
      <c r="P429" s="85"/>
      <c r="Q429" s="84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5"/>
      <c r="M430" s="85"/>
      <c r="N430" s="85"/>
      <c r="O430" s="85"/>
      <c r="P430" s="85"/>
      <c r="Q430" s="84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5"/>
      <c r="M431" s="85"/>
      <c r="N431" s="85"/>
      <c r="O431" s="85"/>
      <c r="P431" s="85"/>
      <c r="Q431" s="84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IFERROR(__xludf.DUMMYFUNCTION("IMPORTRANGE(""https://docs.google.com/spreadsheets/d/1eHaY18a8A9IcSdp1K8H6x8fbOy06t2VsZHhMHf-1x7Y/edit?usp=sharing"",""แผน!HJ58"")"),0)</f>
        <v>0</v>
      </c>
      <c r="J432" s="870">
        <f>J434+J436+J438</f>
        <v>0</v>
      </c>
      <c r="K432" s="262">
        <f ca="1">IF(I432&gt;0,J432*100/I432,0)</f>
        <v>0</v>
      </c>
      <c r="L432" s="85"/>
      <c r="M432" s="85"/>
      <c r="N432" s="85"/>
      <c r="O432" s="85"/>
      <c r="P432" s="85"/>
      <c r="Q432" s="84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IFERROR(__xludf.DUMMYFUNCTION("IMPORTRANGE(""https://docs.google.com/spreadsheets/d/1eHaY18a8A9IcSdp1K8H6x8fbOy06t2VsZHhMHf-1x7Y/edit?usp=sharing"",""แผน!HK58"")"),0)</f>
        <v>0</v>
      </c>
      <c r="J433" s="870">
        <f>J435+J437+J439</f>
        <v>0</v>
      </c>
      <c r="K433" s="262">
        <f ca="1">IF(I433&gt;0,J433*100/I433,0)</f>
        <v>0</v>
      </c>
      <c r="L433" s="85"/>
      <c r="M433" s="85"/>
      <c r="N433" s="85"/>
      <c r="O433" s="85"/>
      <c r="P433" s="85"/>
      <c r="Q433" s="84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5"/>
      <c r="M434" s="85"/>
      <c r="N434" s="85"/>
      <c r="O434" s="85"/>
      <c r="P434" s="85"/>
      <c r="Q434" s="84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5"/>
      <c r="M435" s="85"/>
      <c r="N435" s="85"/>
      <c r="O435" s="85"/>
      <c r="P435" s="85"/>
      <c r="Q435" s="84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5"/>
      <c r="M436" s="85"/>
      <c r="N436" s="85"/>
      <c r="O436" s="85"/>
      <c r="P436" s="85"/>
      <c r="Q436" s="84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5"/>
      <c r="M437" s="85"/>
      <c r="N437" s="85"/>
      <c r="O437" s="85"/>
      <c r="P437" s="85"/>
      <c r="Q437" s="84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5"/>
      <c r="M438" s="85"/>
      <c r="N438" s="85"/>
      <c r="O438" s="85"/>
      <c r="P438" s="85"/>
      <c r="Q438" s="84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5"/>
      <c r="M439" s="85"/>
      <c r="N439" s="85"/>
      <c r="O439" s="85"/>
      <c r="P439" s="85"/>
      <c r="Q439" s="84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IFERROR(__xludf.DUMMYFUNCTION("IMPORTRANGE(""https://docs.google.com/spreadsheets/d/1eHaY18a8A9IcSdp1K8H6x8fbOy06t2VsZHhMHf-1x7Y/edit?usp=sharing"",""แผน!HJ58"")"),0)</f>
        <v>0</v>
      </c>
      <c r="J440" s="870">
        <f>J442+J444+J446+J452+J454</f>
        <v>0</v>
      </c>
      <c r="K440" s="262">
        <f ca="1">IF(I440&gt;0,J440*100/I440,0)</f>
        <v>0</v>
      </c>
      <c r="L440" s="85"/>
      <c r="M440" s="85"/>
      <c r="N440" s="85"/>
      <c r="O440" s="85"/>
      <c r="P440" s="85"/>
      <c r="Q440" s="84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IFERROR(__xludf.DUMMYFUNCTION("IMPORTRANGE(""https://docs.google.com/spreadsheets/d/1eHaY18a8A9IcSdp1K8H6x8fbOy06t2VsZHhMHf-1x7Y/edit?usp=sharing"",""แผน!HK58"")"),0)</f>
        <v>0</v>
      </c>
      <c r="J441" s="870">
        <f>J443+J445+J447+J453+J455</f>
        <v>0</v>
      </c>
      <c r="K441" s="262">
        <f ca="1">IF(I441&gt;0,J441*100/I441,0)</f>
        <v>0</v>
      </c>
      <c r="L441" s="85"/>
      <c r="M441" s="85"/>
      <c r="N441" s="85"/>
      <c r="O441" s="85"/>
      <c r="P441" s="85"/>
      <c r="Q441" s="84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5"/>
      <c r="M442" s="85"/>
      <c r="N442" s="85"/>
      <c r="O442" s="85"/>
      <c r="P442" s="85"/>
      <c r="Q442" s="84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5"/>
      <c r="M443" s="85"/>
      <c r="N443" s="85"/>
      <c r="O443" s="85"/>
      <c r="P443" s="85"/>
      <c r="Q443" s="84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5"/>
      <c r="M444" s="85"/>
      <c r="N444" s="85"/>
      <c r="O444" s="85"/>
      <c r="P444" s="85"/>
      <c r="Q444" s="84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5"/>
      <c r="M445" s="85"/>
      <c r="N445" s="85"/>
      <c r="O445" s="85"/>
      <c r="P445" s="85"/>
      <c r="Q445" s="84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5"/>
      <c r="M446" s="85"/>
      <c r="N446" s="85"/>
      <c r="O446" s="85"/>
      <c r="P446" s="85"/>
      <c r="Q446" s="84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5"/>
      <c r="M447" s="85"/>
      <c r="N447" s="85"/>
      <c r="O447" s="85"/>
      <c r="P447" s="85"/>
      <c r="Q447" s="84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5"/>
      <c r="M448" s="85"/>
      <c r="N448" s="85"/>
      <c r="O448" s="85"/>
      <c r="P448" s="85"/>
      <c r="Q448" s="84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5"/>
      <c r="M449" s="85"/>
      <c r="N449" s="85"/>
      <c r="O449" s="85"/>
      <c r="P449" s="85"/>
      <c r="Q449" s="84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5"/>
      <c r="M450" s="85"/>
      <c r="N450" s="85"/>
      <c r="O450" s="85"/>
      <c r="P450" s="85"/>
      <c r="Q450" s="84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5"/>
      <c r="M451" s="85"/>
      <c r="N451" s="85"/>
      <c r="O451" s="85"/>
      <c r="P451" s="85"/>
      <c r="Q451" s="84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5"/>
      <c r="M452" s="85"/>
      <c r="N452" s="85"/>
      <c r="O452" s="85"/>
      <c r="P452" s="85"/>
      <c r="Q452" s="84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5"/>
      <c r="M453" s="85"/>
      <c r="N453" s="85"/>
      <c r="O453" s="85"/>
      <c r="P453" s="85"/>
      <c r="Q453" s="84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5"/>
      <c r="M454" s="85"/>
      <c r="N454" s="85"/>
      <c r="O454" s="85"/>
      <c r="P454" s="85"/>
      <c r="Q454" s="84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5"/>
      <c r="M455" s="85"/>
      <c r="N455" s="85"/>
      <c r="O455" s="85"/>
      <c r="P455" s="85"/>
      <c r="Q455" s="84"/>
      <c r="R455" s="85"/>
      <c r="S455" s="85"/>
      <c r="T455" s="85"/>
      <c r="U455" s="85"/>
    </row>
    <row r="456" spans="1:21" ht="19.5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174</v>
      </c>
      <c r="J456" s="868">
        <f>J457</f>
        <v>0</v>
      </c>
      <c r="K456" s="720">
        <f ca="1">IF(I456&gt;0,J456*100/I456,0)</f>
        <v>0</v>
      </c>
      <c r="L456" s="721"/>
      <c r="M456" s="721"/>
      <c r="N456" s="721"/>
      <c r="O456" s="721"/>
      <c r="P456" s="721"/>
      <c r="Q456" s="722"/>
      <c r="R456" s="721"/>
      <c r="S456" s="721"/>
      <c r="T456" s="721"/>
      <c r="U456" s="721"/>
    </row>
    <row r="457" spans="1:21" ht="19.5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IFERROR(__xludf.DUMMYFUNCTION("IMPORTRANGE(""https://docs.google.com/spreadsheets/d/1eHaY18a8A9IcSdp1K8H6x8fbOy06t2VsZHhMHf-1x7Y/edit?usp=sharing"",""แผน!HL58"")"),174)</f>
        <v>174</v>
      </c>
      <c r="J457" s="870">
        <f>J459+J467+J473</f>
        <v>0</v>
      </c>
      <c r="K457" s="262">
        <f ca="1">IF(I457&gt;0,J457*100/I457,0)</f>
        <v>0</v>
      </c>
      <c r="L457" s="85"/>
      <c r="M457" s="85"/>
      <c r="N457" s="85"/>
      <c r="O457" s="85"/>
      <c r="P457" s="85"/>
      <c r="Q457" s="84"/>
      <c r="R457" s="85"/>
      <c r="S457" s="85"/>
      <c r="T457" s="85"/>
      <c r="U457" s="85"/>
    </row>
    <row r="458" spans="1:21" ht="19.5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IFERROR(__xludf.DUMMYFUNCTION("IMPORTRANGE(""https://docs.google.com/spreadsheets/d/1eHaY18a8A9IcSdp1K8H6x8fbOy06t2VsZHhMHf-1x7Y/edit?usp=sharing"",""แผน!HM58"")"),0)</f>
        <v>0</v>
      </c>
      <c r="J458" s="870">
        <f>J460+J468+J474</f>
        <v>0</v>
      </c>
      <c r="K458" s="262">
        <f ca="1">IF(I458&gt;0,J458*100/I458,0)</f>
        <v>0</v>
      </c>
      <c r="L458" s="85"/>
      <c r="M458" s="85"/>
      <c r="N458" s="85"/>
      <c r="O458" s="85"/>
      <c r="P458" s="85"/>
      <c r="Q458" s="84"/>
      <c r="R458" s="85"/>
      <c r="S458" s="85"/>
      <c r="T458" s="85"/>
      <c r="U458" s="85"/>
    </row>
    <row r="459" spans="1:21" ht="18.75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5"/>
      <c r="M459" s="85"/>
      <c r="N459" s="85"/>
      <c r="O459" s="85"/>
      <c r="P459" s="85"/>
      <c r="Q459" s="84"/>
      <c r="R459" s="85"/>
      <c r="S459" s="85"/>
      <c r="T459" s="85"/>
      <c r="U459" s="85"/>
    </row>
    <row r="460" spans="1:21" ht="18.75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5"/>
      <c r="M460" s="85"/>
      <c r="N460" s="85"/>
      <c r="O460" s="85"/>
      <c r="P460" s="85"/>
      <c r="Q460" s="84"/>
      <c r="R460" s="85"/>
      <c r="S460" s="85"/>
      <c r="T460" s="85"/>
      <c r="U460" s="85"/>
    </row>
    <row r="461" spans="1:21" ht="18.75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5"/>
      <c r="M461" s="85"/>
      <c r="N461" s="85"/>
      <c r="O461" s="85"/>
      <c r="P461" s="85"/>
      <c r="Q461" s="84"/>
      <c r="R461" s="85"/>
      <c r="S461" s="85"/>
      <c r="T461" s="85"/>
      <c r="U461" s="85"/>
    </row>
    <row r="462" spans="1:21" ht="18.75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5"/>
      <c r="M462" s="85"/>
      <c r="N462" s="85"/>
      <c r="O462" s="85"/>
      <c r="P462" s="85"/>
      <c r="Q462" s="84"/>
      <c r="R462" s="85"/>
      <c r="S462" s="85"/>
      <c r="T462" s="85"/>
      <c r="U462" s="85"/>
    </row>
    <row r="463" spans="1:21" ht="18.75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5"/>
      <c r="M463" s="85"/>
      <c r="N463" s="85"/>
      <c r="O463" s="85"/>
      <c r="P463" s="85"/>
      <c r="Q463" s="84"/>
      <c r="R463" s="85"/>
      <c r="S463" s="85"/>
      <c r="T463" s="85"/>
      <c r="U463" s="85"/>
    </row>
    <row r="464" spans="1:21" ht="18.75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5"/>
      <c r="M464" s="85"/>
      <c r="N464" s="85"/>
      <c r="O464" s="85"/>
      <c r="P464" s="85"/>
      <c r="Q464" s="84"/>
      <c r="R464" s="85"/>
      <c r="S464" s="85"/>
      <c r="T464" s="85"/>
      <c r="U464" s="85"/>
    </row>
    <row r="465" spans="1:21" ht="18.75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5"/>
      <c r="M465" s="85"/>
      <c r="N465" s="85"/>
      <c r="O465" s="85"/>
      <c r="P465" s="85"/>
      <c r="Q465" s="84"/>
      <c r="R465" s="85"/>
      <c r="S465" s="85"/>
      <c r="T465" s="85"/>
      <c r="U465" s="85"/>
    </row>
    <row r="466" spans="1:21" ht="18.75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5"/>
      <c r="M466" s="85"/>
      <c r="N466" s="85"/>
      <c r="O466" s="85"/>
      <c r="P466" s="85"/>
      <c r="Q466" s="84"/>
      <c r="R466" s="85"/>
      <c r="S466" s="85"/>
      <c r="T466" s="85"/>
      <c r="U466" s="85"/>
    </row>
    <row r="467" spans="1:21" ht="18.75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5"/>
      <c r="M467" s="85"/>
      <c r="N467" s="85"/>
      <c r="O467" s="85"/>
      <c r="P467" s="85"/>
      <c r="Q467" s="84"/>
      <c r="R467" s="85"/>
      <c r="S467" s="85"/>
      <c r="T467" s="85"/>
      <c r="U467" s="85"/>
    </row>
    <row r="468" spans="1:21" ht="18.75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5"/>
      <c r="M468" s="85"/>
      <c r="N468" s="85"/>
      <c r="O468" s="85"/>
      <c r="P468" s="85"/>
      <c r="Q468" s="84"/>
      <c r="R468" s="85"/>
      <c r="S468" s="85"/>
      <c r="T468" s="85"/>
      <c r="U468" s="85"/>
    </row>
    <row r="469" spans="1:21" ht="18.75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5"/>
      <c r="M469" s="85"/>
      <c r="N469" s="85"/>
      <c r="O469" s="85"/>
      <c r="P469" s="85"/>
      <c r="Q469" s="84"/>
      <c r="R469" s="85"/>
      <c r="S469" s="85"/>
      <c r="T469" s="85"/>
      <c r="U469" s="85"/>
    </row>
    <row r="470" spans="1:21" ht="18.75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5"/>
      <c r="M470" s="85"/>
      <c r="N470" s="85"/>
      <c r="O470" s="85"/>
      <c r="P470" s="85"/>
      <c r="Q470" s="84"/>
      <c r="R470" s="85"/>
      <c r="S470" s="85"/>
      <c r="T470" s="85"/>
      <c r="U470" s="85"/>
    </row>
    <row r="471" spans="1:21" ht="18.75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5"/>
      <c r="M471" s="85"/>
      <c r="N471" s="85"/>
      <c r="O471" s="85"/>
      <c r="P471" s="85"/>
      <c r="Q471" s="84"/>
      <c r="R471" s="85"/>
      <c r="S471" s="85"/>
      <c r="T471" s="85"/>
      <c r="U471" s="85"/>
    </row>
    <row r="472" spans="1:21" ht="18.75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5"/>
      <c r="M472" s="85"/>
      <c r="N472" s="85"/>
      <c r="O472" s="85"/>
      <c r="P472" s="85"/>
      <c r="Q472" s="84"/>
      <c r="R472" s="85"/>
      <c r="S472" s="85"/>
      <c r="T472" s="85"/>
      <c r="U472" s="85"/>
    </row>
    <row r="473" spans="1:21" ht="18.75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5"/>
      <c r="M473" s="85"/>
      <c r="N473" s="85"/>
      <c r="O473" s="85"/>
      <c r="P473" s="85"/>
      <c r="Q473" s="84"/>
      <c r="R473" s="85"/>
      <c r="S473" s="85"/>
      <c r="T473" s="85"/>
      <c r="U473" s="85"/>
    </row>
    <row r="474" spans="1:21" ht="18.75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5"/>
      <c r="M474" s="85"/>
      <c r="N474" s="85"/>
      <c r="O474" s="85"/>
      <c r="P474" s="85"/>
      <c r="Q474" s="84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1"/>
      <c r="M475" s="721"/>
      <c r="N475" s="721"/>
      <c r="O475" s="721"/>
      <c r="P475" s="721"/>
      <c r="Q475" s="722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5"/>
      <c r="M476" s="855"/>
      <c r="N476" s="855"/>
      <c r="O476" s="855"/>
      <c r="P476" s="855"/>
      <c r="Q476" s="856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5"/>
      <c r="M477" s="855"/>
      <c r="N477" s="855"/>
      <c r="O477" s="855"/>
      <c r="P477" s="855"/>
      <c r="Q477" s="856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5"/>
      <c r="M478" s="85"/>
      <c r="N478" s="85"/>
      <c r="O478" s="85"/>
      <c r="P478" s="85"/>
      <c r="Q478" s="84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5"/>
      <c r="M479" s="85"/>
      <c r="N479" s="85"/>
      <c r="O479" s="85"/>
      <c r="P479" s="85"/>
      <c r="Q479" s="84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5"/>
      <c r="M480" s="85"/>
      <c r="N480" s="85"/>
      <c r="O480" s="85"/>
      <c r="P480" s="85"/>
      <c r="Q480" s="84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5"/>
      <c r="M481" s="85"/>
      <c r="N481" s="85"/>
      <c r="O481" s="85"/>
      <c r="P481" s="85"/>
      <c r="Q481" s="84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5"/>
      <c r="M482" s="85"/>
      <c r="N482" s="85"/>
      <c r="O482" s="85"/>
      <c r="P482" s="85"/>
      <c r="Q482" s="84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5"/>
      <c r="M483" s="85"/>
      <c r="N483" s="85"/>
      <c r="O483" s="85"/>
      <c r="P483" s="85"/>
      <c r="Q483" s="84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5"/>
      <c r="M484" s="855"/>
      <c r="N484" s="855"/>
      <c r="O484" s="855"/>
      <c r="P484" s="855"/>
      <c r="Q484" s="856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5"/>
      <c r="M485" s="855"/>
      <c r="N485" s="855"/>
      <c r="O485" s="855"/>
      <c r="P485" s="855"/>
      <c r="Q485" s="856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5"/>
      <c r="M486" s="85"/>
      <c r="N486" s="85"/>
      <c r="O486" s="85"/>
      <c r="P486" s="85"/>
      <c r="Q486" s="84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5"/>
      <c r="M487" s="85"/>
      <c r="N487" s="85"/>
      <c r="O487" s="85"/>
      <c r="P487" s="85"/>
      <c r="Q487" s="84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5"/>
      <c r="M488" s="85"/>
      <c r="N488" s="85"/>
      <c r="O488" s="85"/>
      <c r="P488" s="85"/>
      <c r="Q488" s="84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5"/>
      <c r="M489" s="85"/>
      <c r="N489" s="85"/>
      <c r="O489" s="85"/>
      <c r="P489" s="85"/>
      <c r="Q489" s="84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5"/>
      <c r="M490" s="85"/>
      <c r="N490" s="85"/>
      <c r="O490" s="85"/>
      <c r="P490" s="85"/>
      <c r="Q490" s="84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6"/>
      <c r="M491" s="96"/>
      <c r="N491" s="96"/>
      <c r="O491" s="96"/>
      <c r="P491" s="96"/>
      <c r="Q491" s="95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10"/>
      <c r="M492" s="510"/>
      <c r="N492" s="510"/>
      <c r="O492" s="510"/>
      <c r="P492" s="510"/>
      <c r="Q492" s="509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262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389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5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4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2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1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2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1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5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4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2">
        <f ca="1">IFERROR(__xludf.DUMMYFUNCTION("IMPORTRANGE(""https://docs.google.com/spreadsheets/d/1-uDff_7J0KD5mKrp0Vvzr7lt3OU09vwQwhkpOPPYv2Y/edit?usp=sharing"",""งบพรบ!HU58"")"),0)</f>
        <v>0</v>
      </c>
      <c r="M498" s="72">
        <f ca="1">IFERROR(__xludf.DUMMYFUNCTION("IMPORTRANGE(""https://docs.google.com/spreadsheets/d/1-uDff_7J0KD5mKrp0Vvzr7lt3OU09vwQwhkpOPPYv2Y/edit?usp=sharing"",""งบพรบ!HZ58"")"),0)</f>
        <v>0</v>
      </c>
      <c r="N498" s="72">
        <f ca="1">IFERROR(__xludf.DUMMYFUNCTION("IMPORTRANGE(""https://docs.google.com/spreadsheets/d/1-uDff_7J0KD5mKrp0Vvzr7lt3OU09vwQwhkpOPPYv2Y/edit?usp=sharing"",""งบพรบ!IB58"")"),0)</f>
        <v>0</v>
      </c>
      <c r="O498" s="72">
        <f t="shared" ca="1" si="118"/>
        <v>0</v>
      </c>
      <c r="P498" s="72">
        <f t="shared" ca="1" si="119"/>
        <v>0</v>
      </c>
      <c r="Q498" s="71">
        <f ca="1">IFERROR(__xludf.DUMMYFUNCTION("IMPORTRANGE(""https://docs.google.com/spreadsheets/d/1ItG2mGa2ceCfYo0BwxsXqNm01IGEUdYcSSLTEv9YCik/edit?usp=sharing"",""เบิกจ่ายกองทุน!AD58"")"),0)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IFERROR(__xludf.DUMMYFUNCTION("IMPORTRANGE(""https://docs.google.com/spreadsheets/d/1ItG2mGa2ceCfYo0BwxsXqNm01IGEUdYcSSLTEv9YCik/edit?usp=sharing"",""เบิกจ่ายกองทุน!AE58"")"),0)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IFERROR(__xludf.DUMMYFUNCTION("IMPORTRANGE(""https://docs.google.com/spreadsheets/d/1ItG2mGa2ceCfYo0BwxsXqNm01IGEUdYcSSLTEv9YCik/edit?usp=sharing"",""เบิกจ่ายกองทุน!AF58"")"),0)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2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1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5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4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2">
        <f ca="1">IFERROR(__xludf.DUMMYFUNCTION("IMPORTRANGE(""https://docs.google.com/spreadsheets/d/1-uDff_7J0KD5mKrp0Vvzr7lt3OU09vwQwhkpOPPYv2Y/edit?usp=sharing"",""งบพรบ!HX58"")"),0)</f>
        <v>0</v>
      </c>
      <c r="M501" s="72">
        <f ca="1">IFERROR(__xludf.DUMMYFUNCTION("IMPORTRANGE(""https://docs.google.com/spreadsheets/d/1-uDff_7J0KD5mKrp0Vvzr7lt3OU09vwQwhkpOPPYv2Y/edit?usp=sharing"",""งบพรบ!IA58"")"),0)</f>
        <v>0</v>
      </c>
      <c r="N501" s="72">
        <f ca="1">IFERROR(__xludf.DUMMYFUNCTION("IMPORTRANGE(""https://docs.google.com/spreadsheets/d/1-uDff_7J0KD5mKrp0Vvzr7lt3OU09vwQwhkpOPPYv2Y/edit?usp=sharing"",""งบพรบ!IC58"")"),0)</f>
        <v>0</v>
      </c>
      <c r="O501" s="72">
        <f t="shared" ca="1" si="118"/>
        <v>0</v>
      </c>
      <c r="P501" s="72">
        <f t="shared" ca="1" si="119"/>
        <v>0</v>
      </c>
      <c r="Q501" s="71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7"/>
      <c r="M502" s="227"/>
      <c r="N502" s="227"/>
      <c r="O502" s="227"/>
      <c r="P502" s="227"/>
      <c r="Q502" s="226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IFERROR(__xludf.DUMMYFUNCTION("IMPORTRANGE(""https://docs.google.com/spreadsheets/d/1eHaY18a8A9IcSdp1K8H6x8fbOy06t2VsZHhMHf-1x7Y/edit?usp=sharing"",""แผน!GX58"")"),0)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5"/>
      <c r="M503" s="85"/>
      <c r="N503" s="85"/>
      <c r="O503" s="85"/>
      <c r="P503" s="85"/>
      <c r="Q503" s="84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IFERROR(__xludf.DUMMYFUNCTION("IMPORTRANGE(""https://docs.google.com/spreadsheets/d/1eHaY18a8A9IcSdp1K8H6x8fbOy06t2VsZHhMHf-1x7Y/edit?usp=sharing"",""แผน!GY58"")"),0)</f>
        <v>0</v>
      </c>
      <c r="J504" s="292">
        <v>0</v>
      </c>
      <c r="K504" s="72">
        <f t="shared" ca="1" si="124"/>
        <v>0</v>
      </c>
      <c r="L504" s="85"/>
      <c r="M504" s="85"/>
      <c r="N504" s="85"/>
      <c r="O504" s="85"/>
      <c r="P504" s="85"/>
      <c r="Q504" s="84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IFERROR(__xludf.DUMMYFUNCTION("IMPORTRANGE(""https://docs.google.com/spreadsheets/d/1eHaY18a8A9IcSdp1K8H6x8fbOy06t2VsZHhMHf-1x7Y/edit?usp=sharing"",""แผน!GZ58"")"),0)</f>
        <v>0</v>
      </c>
      <c r="J505" s="292">
        <v>0</v>
      </c>
      <c r="K505" s="72">
        <f t="shared" ca="1" si="124"/>
        <v>0</v>
      </c>
      <c r="L505" s="85"/>
      <c r="M505" s="85"/>
      <c r="N505" s="85"/>
      <c r="O505" s="85"/>
      <c r="P505" s="85"/>
      <c r="Q505" s="84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IFERROR(__xludf.DUMMYFUNCTION("IMPORTRANGE(""https://docs.google.com/spreadsheets/d/1eHaY18a8A9IcSdp1K8H6x8fbOy06t2VsZHhMHf-1x7Y/edit?usp=sharing"",""แผน!HA58"")"),0)</f>
        <v>0</v>
      </c>
      <c r="J506" s="292">
        <v>0</v>
      </c>
      <c r="K506" s="72">
        <f t="shared" ca="1" si="124"/>
        <v>0</v>
      </c>
      <c r="L506" s="85"/>
      <c r="M506" s="85"/>
      <c r="N506" s="85"/>
      <c r="O506" s="85"/>
      <c r="P506" s="85"/>
      <c r="Q506" s="84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IFERROR(__xludf.DUMMYFUNCTION("IMPORTRANGE(""https://docs.google.com/spreadsheets/d/1eHaY18a8A9IcSdp1K8H6x8fbOy06t2VsZHhMHf-1x7Y/edit?usp=sharing"",""แผน!HB58"")"),0)</f>
        <v>0</v>
      </c>
      <c r="J507" s="292">
        <v>0</v>
      </c>
      <c r="K507" s="72">
        <f t="shared" ca="1" si="124"/>
        <v>0</v>
      </c>
      <c r="L507" s="85"/>
      <c r="M507" s="85"/>
      <c r="N507" s="85"/>
      <c r="O507" s="85"/>
      <c r="P507" s="85"/>
      <c r="Q507" s="84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5"/>
      <c r="M508" s="85"/>
      <c r="N508" s="85"/>
      <c r="O508" s="85"/>
      <c r="P508" s="85"/>
      <c r="Q508" s="84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IFERROR(__xludf.DUMMYFUNCTION("IMPORTRANGE(""https://docs.google.com/spreadsheets/d/1eHaY18a8A9IcSdp1K8H6x8fbOy06t2VsZHhMHf-1x7Y/edit?usp=sharing"",""แผน!HC58"")"),0)</f>
        <v>0</v>
      </c>
      <c r="J509" s="739">
        <v>0</v>
      </c>
      <c r="K509" s="181">
        <f t="shared" ca="1" si="124"/>
        <v>0</v>
      </c>
      <c r="L509" s="96"/>
      <c r="M509" s="96"/>
      <c r="N509" s="96"/>
      <c r="O509" s="96"/>
      <c r="P509" s="96"/>
      <c r="Q509" s="95"/>
      <c r="R509" s="96"/>
      <c r="S509" s="96"/>
      <c r="T509" s="96"/>
      <c r="U509" s="96"/>
    </row>
    <row r="510" spans="1:21" ht="19.5" x14ac:dyDescent="0.3">
      <c r="A510" s="1098" t="s">
        <v>206</v>
      </c>
      <c r="B510" s="1097"/>
      <c r="C510" s="1097"/>
      <c r="D510" s="1097"/>
      <c r="E510" s="1096"/>
      <c r="F510" s="1096"/>
      <c r="G510" s="1096"/>
      <c r="H510" s="1097"/>
      <c r="I510" s="1095"/>
      <c r="J510" s="1095"/>
      <c r="K510" s="1094"/>
      <c r="L510" s="1094"/>
      <c r="M510" s="1094"/>
      <c r="N510" s="1094"/>
      <c r="O510" s="1094"/>
      <c r="P510" s="1345"/>
      <c r="Q510" s="1093"/>
      <c r="R510" s="1092"/>
      <c r="S510" s="1092"/>
      <c r="T510" s="1092"/>
      <c r="U510" s="1092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841"/>
      <c r="M511" s="841"/>
      <c r="N511" s="841"/>
      <c r="O511" s="841"/>
      <c r="P511" s="841"/>
      <c r="Q511" s="631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3"/>
      <c r="M512" s="643"/>
      <c r="N512" s="643"/>
      <c r="O512" s="643"/>
      <c r="P512" s="643"/>
      <c r="Q512" s="642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956">
        <f ca="1">L514+L515</f>
        <v>0</v>
      </c>
      <c r="M513" s="956">
        <f ca="1">M514+M515</f>
        <v>0</v>
      </c>
      <c r="N513" s="956">
        <f ca="1">N514+N515</f>
        <v>0</v>
      </c>
      <c r="O513" s="956">
        <f t="shared" ref="O513:O521" ca="1" si="125">IF(L513&gt;0,N513*100/L513,0)</f>
        <v>0</v>
      </c>
      <c r="P513" s="956">
        <f t="shared" ref="P513:P521" ca="1" si="126">IF(M513&gt;0,N513*100/M513,0)</f>
        <v>0</v>
      </c>
      <c r="Q513" s="389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5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4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5">
        <f t="shared" ca="1" si="129"/>
        <v>0</v>
      </c>
      <c r="M515" s="75">
        <f t="shared" ca="1" si="129"/>
        <v>0</v>
      </c>
      <c r="N515" s="75">
        <f t="shared" ca="1" si="129"/>
        <v>0</v>
      </c>
      <c r="O515" s="75">
        <f t="shared" ca="1" si="125"/>
        <v>0</v>
      </c>
      <c r="P515" s="75">
        <f t="shared" ca="1" si="126"/>
        <v>0</v>
      </c>
      <c r="Q515" s="71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5">
        <f ca="1">L517+L518</f>
        <v>0</v>
      </c>
      <c r="M516" s="75">
        <f ca="1">M517+M518</f>
        <v>0</v>
      </c>
      <c r="N516" s="75">
        <f ca="1">N517+N518</f>
        <v>0</v>
      </c>
      <c r="O516" s="75">
        <f t="shared" ca="1" si="125"/>
        <v>0</v>
      </c>
      <c r="P516" s="75">
        <f t="shared" ca="1" si="126"/>
        <v>0</v>
      </c>
      <c r="Q516" s="71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5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4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5">
        <f ca="1">IFERROR(__xludf.DUMMYFUNCTION("IMPORTRANGE(""https://docs.google.com/spreadsheets/d/1-uDff_7J0KD5mKrp0Vvzr7lt3OU09vwQwhkpOPPYv2Y/edit?usp=sharing"",""งบพรบ!FM58"")"),0)</f>
        <v>0</v>
      </c>
      <c r="M518" s="75">
        <f ca="1">IFERROR(__xludf.DUMMYFUNCTION("IMPORTRANGE(""https://docs.google.com/spreadsheets/d/1-uDff_7J0KD5mKrp0Vvzr7lt3OU09vwQwhkpOPPYv2Y/edit?usp=sharing"",""งบพรบ!FR58"")"),0)</f>
        <v>0</v>
      </c>
      <c r="N518" s="75">
        <f ca="1">IFERROR(__xludf.DUMMYFUNCTION("IMPORTRANGE(""https://docs.google.com/spreadsheets/d/1-uDff_7J0KD5mKrp0Vvzr7lt3OU09vwQwhkpOPPYv2Y/edit?usp=sharing"",""งบพรบ!FT58"")"),0)</f>
        <v>0</v>
      </c>
      <c r="O518" s="75">
        <f t="shared" ca="1" si="125"/>
        <v>0</v>
      </c>
      <c r="P518" s="75">
        <f t="shared" ca="1" si="126"/>
        <v>0</v>
      </c>
      <c r="Q518" s="71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5">
        <f ca="1">L520+L521</f>
        <v>0</v>
      </c>
      <c r="M519" s="75">
        <f ca="1">M520+M521</f>
        <v>0</v>
      </c>
      <c r="N519" s="75">
        <f ca="1">N520+N521</f>
        <v>0</v>
      </c>
      <c r="O519" s="75">
        <f t="shared" ca="1" si="125"/>
        <v>0</v>
      </c>
      <c r="P519" s="75">
        <f t="shared" ca="1" si="126"/>
        <v>0</v>
      </c>
      <c r="Q519" s="71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5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4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5">
        <f ca="1">IFERROR(__xludf.DUMMYFUNCTION("IMPORTRANGE(""https://docs.google.com/spreadsheets/d/1-uDff_7J0KD5mKrp0Vvzr7lt3OU09vwQwhkpOPPYv2Y/edit?usp=sharing"",""งบพรบ!FP58"")"),0)</f>
        <v>0</v>
      </c>
      <c r="M521" s="75">
        <f ca="1">IFERROR(__xludf.DUMMYFUNCTION("IMPORTRANGE(""https://docs.google.com/spreadsheets/d/1-uDff_7J0KD5mKrp0Vvzr7lt3OU09vwQwhkpOPPYv2Y/edit?usp=sharing"",""งบพรบ!FS58"")"),0)</f>
        <v>0</v>
      </c>
      <c r="N521" s="75">
        <f ca="1">IFERROR(__xludf.DUMMYFUNCTION("IMPORTRANGE(""https://docs.google.com/spreadsheets/d/1-uDff_7J0KD5mKrp0Vvzr7lt3OU09vwQwhkpOPPYv2Y/edit?usp=sharing"",""งบพรบ!FU58"")"),0)</f>
        <v>0</v>
      </c>
      <c r="O521" s="75">
        <f t="shared" ca="1" si="125"/>
        <v>0</v>
      </c>
      <c r="P521" s="75">
        <f t="shared" ca="1" si="126"/>
        <v>0</v>
      </c>
      <c r="Q521" s="71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5"/>
      <c r="M522" s="85"/>
      <c r="N522" s="85"/>
      <c r="O522" s="227"/>
      <c r="P522" s="227"/>
      <c r="Q522" s="84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5"/>
      <c r="M523" s="85"/>
      <c r="N523" s="85"/>
      <c r="O523" s="85"/>
      <c r="P523" s="85"/>
      <c r="Q523" s="84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96"/>
      <c r="M524" s="96"/>
      <c r="N524" s="96"/>
      <c r="O524" s="96"/>
      <c r="P524" s="96"/>
      <c r="Q524" s="84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656"/>
      <c r="M525" s="656"/>
      <c r="N525" s="656"/>
      <c r="O525" s="656"/>
      <c r="P525" s="656"/>
      <c r="Q525" s="575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4"/>
      <c r="M526" s="574"/>
      <c r="N526" s="574"/>
      <c r="O526" s="574"/>
      <c r="P526" s="574"/>
      <c r="Q526" s="575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4"/>
      <c r="M527" s="574"/>
      <c r="N527" s="574"/>
      <c r="O527" s="574"/>
      <c r="P527" s="574"/>
      <c r="Q527" s="575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4"/>
      <c r="M528" s="574"/>
      <c r="N528" s="574"/>
      <c r="O528" s="574"/>
      <c r="P528" s="574"/>
      <c r="Q528" s="575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4"/>
      <c r="M529" s="574"/>
      <c r="N529" s="574"/>
      <c r="O529" s="574"/>
      <c r="P529" s="574"/>
      <c r="Q529" s="575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4"/>
      <c r="M530" s="574"/>
      <c r="N530" s="574"/>
      <c r="O530" s="574"/>
      <c r="P530" s="574"/>
      <c r="Q530" s="575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4"/>
      <c r="M531" s="574"/>
      <c r="N531" s="574"/>
      <c r="O531" s="574"/>
      <c r="P531" s="574"/>
      <c r="Q531" s="575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79"/>
      <c r="M532" s="579"/>
      <c r="N532" s="579"/>
      <c r="O532" s="579"/>
      <c r="P532" s="579"/>
      <c r="Q532" s="580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3"/>
      <c r="M533" s="643"/>
      <c r="N533" s="643"/>
      <c r="O533" s="643"/>
      <c r="P533" s="643"/>
      <c r="Q533" s="642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262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389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5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4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2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1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2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1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5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4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2">
        <f ca="1">IFERROR(__xludf.DUMMYFUNCTION("IMPORTRANGE(""https://docs.google.com/spreadsheets/d/1-uDff_7J0KD5mKrp0Vvzr7lt3OU09vwQwhkpOPPYv2Y/edit?usp=sharing"",""งบพรบ!FW58"")"),0)</f>
        <v>0</v>
      </c>
      <c r="M539" s="72">
        <f ca="1">IFERROR(__xludf.DUMMYFUNCTION("IMPORTRANGE(""https://docs.google.com/spreadsheets/d/1-uDff_7J0KD5mKrp0Vvzr7lt3OU09vwQwhkpOPPYv2Y/edit?usp=sharing"",""งบพรบ!GB58"")"),0)</f>
        <v>0</v>
      </c>
      <c r="N539" s="72">
        <f ca="1">IFERROR(__xludf.DUMMYFUNCTION("IMPORTRANGE(""https://docs.google.com/spreadsheets/d/1-uDff_7J0KD5mKrp0Vvzr7lt3OU09vwQwhkpOPPYv2Y/edit?usp=sharing"",""งบพรบ!GD58"")"),0)</f>
        <v>0</v>
      </c>
      <c r="O539" s="72">
        <f t="shared" ca="1" si="131"/>
        <v>0</v>
      </c>
      <c r="P539" s="72">
        <f t="shared" ca="1" si="132"/>
        <v>0</v>
      </c>
      <c r="Q539" s="71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2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1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5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4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2">
        <f ca="1">IFERROR(__xludf.DUMMYFUNCTION("IMPORTRANGE(""https://docs.google.com/spreadsheets/d/1-uDff_7J0KD5mKrp0Vvzr7lt3OU09vwQwhkpOPPYv2Y/edit?usp=sharing"",""งบพรบ!FZ58"")"),0)</f>
        <v>0</v>
      </c>
      <c r="M542" s="72">
        <f ca="1">IFERROR(__xludf.DUMMYFUNCTION("IMPORTRANGE(""https://docs.google.com/spreadsheets/d/1-uDff_7J0KD5mKrp0Vvzr7lt3OU09vwQwhkpOPPYv2Y/edit?usp=sharing"",""งบพรบ!GC58"")"),0)</f>
        <v>0</v>
      </c>
      <c r="N542" s="72">
        <f ca="1">IFERROR(__xludf.DUMMYFUNCTION("IMPORTRANGE(""https://docs.google.com/spreadsheets/d/1-uDff_7J0KD5mKrp0Vvzr7lt3OU09vwQwhkpOPPYv2Y/edit?usp=sharing"",""งบพรบ!GE58"")"),0)</f>
        <v>0</v>
      </c>
      <c r="O542" s="72">
        <f t="shared" ca="1" si="131"/>
        <v>0</v>
      </c>
      <c r="P542" s="72">
        <f t="shared" ca="1" si="132"/>
        <v>0</v>
      </c>
      <c r="Q542" s="71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5"/>
      <c r="M543" s="85"/>
      <c r="N543" s="85"/>
      <c r="O543" s="227"/>
      <c r="P543" s="227"/>
      <c r="Q543" s="84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4"/>
      <c r="M544" s="574"/>
      <c r="N544" s="574"/>
      <c r="O544" s="574"/>
      <c r="P544" s="574"/>
      <c r="Q544" s="575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4"/>
      <c r="M545" s="574"/>
      <c r="N545" s="574"/>
      <c r="O545" s="574"/>
      <c r="P545" s="574"/>
      <c r="Q545" s="575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4"/>
      <c r="M546" s="574"/>
      <c r="N546" s="574"/>
      <c r="O546" s="574"/>
      <c r="P546" s="574"/>
      <c r="Q546" s="575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4"/>
      <c r="M547" s="574"/>
      <c r="N547" s="574"/>
      <c r="O547" s="574"/>
      <c r="P547" s="574"/>
      <c r="Q547" s="575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4"/>
      <c r="M548" s="574"/>
      <c r="N548" s="574"/>
      <c r="O548" s="574"/>
      <c r="P548" s="574"/>
      <c r="Q548" s="575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4"/>
      <c r="M549" s="574"/>
      <c r="N549" s="574"/>
      <c r="O549" s="574"/>
      <c r="P549" s="574"/>
      <c r="Q549" s="575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4"/>
      <c r="M550" s="574"/>
      <c r="N550" s="574"/>
      <c r="O550" s="574"/>
      <c r="P550" s="574"/>
      <c r="Q550" s="575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4"/>
      <c r="M551" s="574"/>
      <c r="N551" s="574"/>
      <c r="O551" s="574"/>
      <c r="P551" s="574"/>
      <c r="Q551" s="575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4"/>
      <c r="M552" s="574"/>
      <c r="N552" s="574"/>
      <c r="O552" s="574"/>
      <c r="P552" s="574"/>
      <c r="Q552" s="575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79"/>
      <c r="M553" s="579"/>
      <c r="N553" s="579"/>
      <c r="O553" s="579"/>
      <c r="P553" s="579"/>
      <c r="Q553" s="580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3"/>
      <c r="M554" s="643"/>
      <c r="N554" s="643"/>
      <c r="O554" s="643"/>
      <c r="P554" s="643"/>
      <c r="Q554" s="642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262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389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5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4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2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1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2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1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5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4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2">
        <f ca="1">IFERROR(__xludf.DUMMYFUNCTION("IMPORTRANGE(""https://docs.google.com/spreadsheets/d/1-uDff_7J0KD5mKrp0Vvzr7lt3OU09vwQwhkpOPPYv2Y/edit?usp=sharing"",""งบพรบ!GG58"")"),0)</f>
        <v>0</v>
      </c>
      <c r="M560" s="72">
        <f ca="1">IFERROR(__xludf.DUMMYFUNCTION("IMPORTRANGE(""https://docs.google.com/spreadsheets/d/1-uDff_7J0KD5mKrp0Vvzr7lt3OU09vwQwhkpOPPYv2Y/edit?usp=sharing"",""งบพรบ!GL58"")"),0)</f>
        <v>0</v>
      </c>
      <c r="N560" s="72">
        <f ca="1">IFERROR(__xludf.DUMMYFUNCTION("IMPORTRANGE(""https://docs.google.com/spreadsheets/d/1-uDff_7J0KD5mKrp0Vvzr7lt3OU09vwQwhkpOPPYv2Y/edit?usp=sharing"",""งบพรบ!GN58"")"),0)</f>
        <v>0</v>
      </c>
      <c r="O560" s="72">
        <f t="shared" ca="1" si="137"/>
        <v>0</v>
      </c>
      <c r="P560" s="72">
        <f t="shared" ca="1" si="138"/>
        <v>0</v>
      </c>
      <c r="Q560" s="71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2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1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5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4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2">
        <f ca="1">IFERROR(__xludf.DUMMYFUNCTION("IMPORTRANGE(""https://docs.google.com/spreadsheets/d/1-uDff_7J0KD5mKrp0Vvzr7lt3OU09vwQwhkpOPPYv2Y/edit?usp=sharing"",""งบพรบ!GJ58"")"),0)</f>
        <v>0</v>
      </c>
      <c r="M563" s="72">
        <f ca="1">IFERROR(__xludf.DUMMYFUNCTION("IMPORTRANGE(""https://docs.google.com/spreadsheets/d/1-uDff_7J0KD5mKrp0Vvzr7lt3OU09vwQwhkpOPPYv2Y/edit?usp=sharing"",""งบพรบ!GM58"")"),0)</f>
        <v>0</v>
      </c>
      <c r="N563" s="72">
        <f ca="1">IFERROR(__xludf.DUMMYFUNCTION("IMPORTRANGE(""https://docs.google.com/spreadsheets/d/1-uDff_7J0KD5mKrp0Vvzr7lt3OU09vwQwhkpOPPYv2Y/edit?usp=sharing"",""งบพรบ!GO58"")"),0)</f>
        <v>0</v>
      </c>
      <c r="O563" s="72">
        <f t="shared" ca="1" si="137"/>
        <v>0</v>
      </c>
      <c r="P563" s="72">
        <f t="shared" ca="1" si="138"/>
        <v>0</v>
      </c>
      <c r="Q563" s="71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5"/>
      <c r="M564" s="85"/>
      <c r="N564" s="85"/>
      <c r="O564" s="227"/>
      <c r="P564" s="227"/>
      <c r="Q564" s="84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4"/>
      <c r="M565" s="574"/>
      <c r="N565" s="574"/>
      <c r="O565" s="574"/>
      <c r="P565" s="574"/>
      <c r="Q565" s="575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4"/>
      <c r="M566" s="574"/>
      <c r="N566" s="574"/>
      <c r="O566" s="574"/>
      <c r="P566" s="574"/>
      <c r="Q566" s="575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4"/>
      <c r="M567" s="574"/>
      <c r="N567" s="574"/>
      <c r="O567" s="574"/>
      <c r="P567" s="574"/>
      <c r="Q567" s="575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4"/>
      <c r="M568" s="574"/>
      <c r="N568" s="574"/>
      <c r="O568" s="574"/>
      <c r="P568" s="574"/>
      <c r="Q568" s="575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4"/>
      <c r="M569" s="574"/>
      <c r="N569" s="574"/>
      <c r="O569" s="574"/>
      <c r="P569" s="574"/>
      <c r="Q569" s="575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4"/>
      <c r="M570" s="574"/>
      <c r="N570" s="574"/>
      <c r="O570" s="574"/>
      <c r="P570" s="574"/>
      <c r="Q570" s="575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4"/>
      <c r="M571" s="574"/>
      <c r="N571" s="574"/>
      <c r="O571" s="574"/>
      <c r="P571" s="574"/>
      <c r="Q571" s="575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4"/>
      <c r="M572" s="574"/>
      <c r="N572" s="574"/>
      <c r="O572" s="574"/>
      <c r="P572" s="574"/>
      <c r="Q572" s="575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4"/>
      <c r="M573" s="574"/>
      <c r="N573" s="574"/>
      <c r="O573" s="574"/>
      <c r="P573" s="574"/>
      <c r="Q573" s="575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79"/>
      <c r="M574" s="579"/>
      <c r="N574" s="579"/>
      <c r="O574" s="579"/>
      <c r="P574" s="579"/>
      <c r="Q574" s="580"/>
      <c r="R574" s="579"/>
      <c r="S574" s="579"/>
      <c r="T574" s="579"/>
      <c r="U574" s="579"/>
    </row>
    <row r="575" spans="1:21" ht="19.5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666">
        <f>I587</f>
        <v>3</v>
      </c>
      <c r="J575" s="666">
        <f>J587</f>
        <v>0</v>
      </c>
      <c r="K575" s="667">
        <f>IF(I575&gt;0,J575*100/I575,0)</f>
        <v>0</v>
      </c>
      <c r="L575" s="643"/>
      <c r="M575" s="643"/>
      <c r="N575" s="643"/>
      <c r="O575" s="643"/>
      <c r="P575" s="643"/>
      <c r="Q575" s="642"/>
      <c r="R575" s="643"/>
      <c r="S575" s="643"/>
      <c r="T575" s="643"/>
      <c r="U575" s="643"/>
    </row>
    <row r="576" spans="1:21" ht="19.5" x14ac:dyDescent="0.3">
      <c r="A576" s="255"/>
      <c r="B576" s="256"/>
      <c r="C576" s="668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262">
        <f ca="1">L577+L578</f>
        <v>205596</v>
      </c>
      <c r="M576" s="262">
        <f ca="1">M577+M578</f>
        <v>205596</v>
      </c>
      <c r="N576" s="262">
        <f ca="1">N577+N578</f>
        <v>20430</v>
      </c>
      <c r="O576" s="262">
        <f t="shared" ref="O576:O584" ca="1" si="143">IF(L576&gt;0,N576*100/L576,0)</f>
        <v>9.9369637541586417</v>
      </c>
      <c r="P576" s="262">
        <f t="shared" ref="P576:P584" ca="1" si="144">IF(M576&gt;0,N576*100/M576,0)</f>
        <v>9.9369637541586417</v>
      </c>
      <c r="Q576" s="389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5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4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2">
        <f t="shared" ca="1" si="147"/>
        <v>205596</v>
      </c>
      <c r="M578" s="72">
        <f t="shared" ca="1" si="147"/>
        <v>205596</v>
      </c>
      <c r="N578" s="72">
        <f t="shared" ca="1" si="147"/>
        <v>20430</v>
      </c>
      <c r="O578" s="72">
        <f t="shared" ca="1" si="143"/>
        <v>9.9369637541586417</v>
      </c>
      <c r="P578" s="72">
        <f t="shared" ca="1" si="144"/>
        <v>9.9369637541586417</v>
      </c>
      <c r="Q578" s="71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2">
        <f ca="1">L580+L581</f>
        <v>205596</v>
      </c>
      <c r="M579" s="72">
        <f ca="1">M580+M581</f>
        <v>205596</v>
      </c>
      <c r="N579" s="72">
        <f ca="1">N580+N581</f>
        <v>20430</v>
      </c>
      <c r="O579" s="72">
        <f t="shared" ca="1" si="143"/>
        <v>9.9369637541586417</v>
      </c>
      <c r="P579" s="72">
        <f t="shared" ca="1" si="144"/>
        <v>9.9369637541586417</v>
      </c>
      <c r="Q579" s="71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5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4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2">
        <f ca="1">IFERROR(__xludf.DUMMYFUNCTION("IMPORTRANGE(""https://docs.google.com/spreadsheets/d/1-uDff_7J0KD5mKrp0Vvzr7lt3OU09vwQwhkpOPPYv2Y/edit?usp=sharing"",""งบพรบ!GQ58"")"),205596)</f>
        <v>205596</v>
      </c>
      <c r="M581" s="72">
        <f ca="1">IFERROR(__xludf.DUMMYFUNCTION("IMPORTRANGE(""https://docs.google.com/spreadsheets/d/1-uDff_7J0KD5mKrp0Vvzr7lt3OU09vwQwhkpOPPYv2Y/edit?usp=sharing"",""งบพรบ!GV58"")"),205596)</f>
        <v>205596</v>
      </c>
      <c r="N581" s="72">
        <f ca="1">IFERROR(__xludf.DUMMYFUNCTION("IMPORTRANGE(""https://docs.google.com/spreadsheets/d/1-uDff_7J0KD5mKrp0Vvzr7lt3OU09vwQwhkpOPPYv2Y/edit?usp=sharing"",""งบพรบ!GX58"")"),20430)</f>
        <v>20430</v>
      </c>
      <c r="O581" s="72">
        <f t="shared" ca="1" si="143"/>
        <v>9.9369637541586417</v>
      </c>
      <c r="P581" s="72">
        <f t="shared" ca="1" si="144"/>
        <v>9.9369637541586417</v>
      </c>
      <c r="Q581" s="71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2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1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5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4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2">
        <f ca="1">IFERROR(__xludf.DUMMYFUNCTION("IMPORTRANGE(""https://docs.google.com/spreadsheets/d/1-uDff_7J0KD5mKrp0Vvzr7lt3OU09vwQwhkpOPPYv2Y/edit?usp=sharing"",""งบพรบ!GT58"")"),0)</f>
        <v>0</v>
      </c>
      <c r="M584" s="72">
        <f ca="1">IFERROR(__xludf.DUMMYFUNCTION("IMPORTRANGE(""https://docs.google.com/spreadsheets/d/1-uDff_7J0KD5mKrp0Vvzr7lt3OU09vwQwhkpOPPYv2Y/edit?usp=sharing"",""งบพรบ!GW58"")"),0)</f>
        <v>0</v>
      </c>
      <c r="N584" s="72">
        <f ca="1">IFERROR(__xludf.DUMMYFUNCTION("IMPORTRANGE(""https://docs.google.com/spreadsheets/d/1-uDff_7J0KD5mKrp0Vvzr7lt3OU09vwQwhkpOPPYv2Y/edit?usp=sharing"",""งบพรบ!GY58"")"),0)</f>
        <v>0</v>
      </c>
      <c r="O584" s="72">
        <f t="shared" ca="1" si="143"/>
        <v>0</v>
      </c>
      <c r="P584" s="72">
        <f t="shared" ca="1" si="144"/>
        <v>0</v>
      </c>
      <c r="Q584" s="71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5"/>
      <c r="M585" s="85"/>
      <c r="N585" s="85"/>
      <c r="O585" s="227"/>
      <c r="P585" s="227"/>
      <c r="Q585" s="84"/>
      <c r="R585" s="85"/>
      <c r="S585" s="85"/>
      <c r="T585" s="227"/>
      <c r="U585" s="227"/>
    </row>
    <row r="586" spans="1:21" ht="18.75" x14ac:dyDescent="0.25">
      <c r="A586" s="669"/>
      <c r="B586" s="427"/>
      <c r="C586" s="425"/>
      <c r="D586" s="386" t="s">
        <v>215</v>
      </c>
      <c r="E586" s="425"/>
      <c r="F586" s="427"/>
      <c r="G586" s="428"/>
      <c r="H586" s="673" t="s">
        <v>79</v>
      </c>
      <c r="I586" s="431">
        <v>2</v>
      </c>
      <c r="J586" s="672">
        <v>0</v>
      </c>
      <c r="K586" s="671">
        <f>IF(I586&gt;0,J586*100/I586,0)</f>
        <v>0</v>
      </c>
      <c r="L586" s="384"/>
      <c r="M586" s="384"/>
      <c r="N586" s="384"/>
      <c r="O586" s="384"/>
      <c r="P586" s="384"/>
      <c r="Q586" s="384"/>
      <c r="R586" s="384"/>
      <c r="S586" s="384"/>
      <c r="T586" s="384"/>
      <c r="U586" s="384"/>
    </row>
    <row r="587" spans="1:21" ht="18.75" x14ac:dyDescent="0.25">
      <c r="A587" s="529"/>
      <c r="B587" s="256"/>
      <c r="C587" s="267"/>
      <c r="D587" s="265" t="s">
        <v>216</v>
      </c>
      <c r="E587" s="267"/>
      <c r="F587" s="256"/>
      <c r="G587" s="259"/>
      <c r="H587" s="290" t="s">
        <v>61</v>
      </c>
      <c r="I587" s="291">
        <v>3</v>
      </c>
      <c r="J587" s="292">
        <v>0</v>
      </c>
      <c r="K587" s="72">
        <f>IF(I587&gt;0,J587*100/I587,0)</f>
        <v>0</v>
      </c>
      <c r="L587" s="85"/>
      <c r="M587" s="85"/>
      <c r="N587" s="85"/>
      <c r="O587" s="85"/>
      <c r="P587" s="85"/>
      <c r="Q587" s="85"/>
      <c r="R587" s="85"/>
      <c r="S587" s="85"/>
      <c r="T587" s="85"/>
      <c r="U587" s="85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4"/>
      <c r="M588" s="574"/>
      <c r="N588" s="574"/>
      <c r="O588" s="574"/>
      <c r="P588" s="574"/>
      <c r="Q588" s="575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4"/>
      <c r="M589" s="574"/>
      <c r="N589" s="574"/>
      <c r="O589" s="574"/>
      <c r="P589" s="574"/>
      <c r="Q589" s="575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4"/>
      <c r="M590" s="574"/>
      <c r="N590" s="574"/>
      <c r="O590" s="574"/>
      <c r="P590" s="574"/>
      <c r="Q590" s="575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4"/>
      <c r="M591" s="574"/>
      <c r="N591" s="574"/>
      <c r="O591" s="574"/>
      <c r="P591" s="574"/>
      <c r="Q591" s="575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4"/>
      <c r="M592" s="574"/>
      <c r="N592" s="574"/>
      <c r="O592" s="574"/>
      <c r="P592" s="574"/>
      <c r="Q592" s="575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4"/>
      <c r="M593" s="574"/>
      <c r="N593" s="574"/>
      <c r="O593" s="574"/>
      <c r="P593" s="574"/>
      <c r="Q593" s="575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4"/>
      <c r="M594" s="574"/>
      <c r="N594" s="574"/>
      <c r="O594" s="574"/>
      <c r="P594" s="574"/>
      <c r="Q594" s="575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79"/>
      <c r="M595" s="579"/>
      <c r="N595" s="579"/>
      <c r="O595" s="579"/>
      <c r="P595" s="579"/>
      <c r="Q595" s="580"/>
      <c r="R595" s="579"/>
      <c r="S595" s="579"/>
      <c r="T595" s="579"/>
      <c r="U595" s="579"/>
    </row>
    <row r="596" spans="1:21" ht="19.5" hidden="1" x14ac:dyDescent="0.3">
      <c r="A596" s="826" t="s">
        <v>217</v>
      </c>
      <c r="B596" s="824"/>
      <c r="C596" s="825"/>
      <c r="D596" s="824"/>
      <c r="E596" s="824"/>
      <c r="F596" s="824"/>
      <c r="G596" s="824"/>
      <c r="H596" s="823"/>
      <c r="I596" s="822"/>
      <c r="J596" s="822"/>
      <c r="K596" s="821"/>
      <c r="L596" s="199"/>
      <c r="M596" s="199"/>
      <c r="N596" s="199"/>
      <c r="O596" s="199"/>
      <c r="P596" s="199"/>
      <c r="Q596" s="198"/>
      <c r="R596" s="199"/>
      <c r="S596" s="199"/>
      <c r="T596" s="199"/>
      <c r="U596" s="199"/>
    </row>
    <row r="597" spans="1:21" ht="19.5" hidden="1" x14ac:dyDescent="0.3">
      <c r="A597" s="248"/>
      <c r="B597" s="820" t="s">
        <v>218</v>
      </c>
      <c r="C597" s="299"/>
      <c r="D597" s="251"/>
      <c r="E597" s="250"/>
      <c r="F597" s="250"/>
      <c r="G597" s="250"/>
      <c r="H597" s="819" t="s">
        <v>99</v>
      </c>
      <c r="I597" s="818"/>
      <c r="J597" s="814"/>
      <c r="K597" s="206"/>
      <c r="L597" s="206"/>
      <c r="M597" s="206"/>
      <c r="N597" s="206"/>
      <c r="O597" s="206"/>
      <c r="P597" s="206"/>
      <c r="Q597" s="205"/>
      <c r="R597" s="206"/>
      <c r="S597" s="206"/>
      <c r="T597" s="206"/>
      <c r="U597" s="206"/>
    </row>
    <row r="598" spans="1:21" ht="19.5" hidden="1" x14ac:dyDescent="0.3">
      <c r="A598" s="817"/>
      <c r="B598" s="816" t="s">
        <v>219</v>
      </c>
      <c r="C598" s="251"/>
      <c r="D598" s="250"/>
      <c r="E598" s="250"/>
      <c r="F598" s="250"/>
      <c r="G598" s="252"/>
      <c r="H598" s="815" t="s">
        <v>35</v>
      </c>
      <c r="I598" s="814"/>
      <c r="J598" s="814"/>
      <c r="K598" s="206"/>
      <c r="L598" s="206"/>
      <c r="M598" s="206"/>
      <c r="N598" s="206"/>
      <c r="O598" s="206"/>
      <c r="P598" s="206"/>
      <c r="Q598" s="205"/>
      <c r="R598" s="206"/>
      <c r="S598" s="206"/>
      <c r="T598" s="206"/>
      <c r="U598" s="206"/>
    </row>
    <row r="599" spans="1:21" ht="19.5" hidden="1" x14ac:dyDescent="0.3">
      <c r="A599" s="255"/>
      <c r="B599" s="267"/>
      <c r="C599" s="304" t="s">
        <v>18</v>
      </c>
      <c r="D599" s="1444" t="s">
        <v>19</v>
      </c>
      <c r="E599" s="1401"/>
      <c r="F599" s="1401"/>
      <c r="G599" s="1402"/>
      <c r="H599" s="753" t="s">
        <v>14</v>
      </c>
      <c r="I599" s="261"/>
      <c r="J599" s="261"/>
      <c r="K599" s="85"/>
      <c r="L599" s="262">
        <f ca="1">L600+L601</f>
        <v>0</v>
      </c>
      <c r="M599" s="262">
        <f ca="1">M600+M601</f>
        <v>0</v>
      </c>
      <c r="N599" s="262">
        <f ca="1">N600+N601</f>
        <v>0</v>
      </c>
      <c r="O599" s="262">
        <f t="shared" ref="O599:O607" ca="1" si="149">IF(L599&gt;0,N599*100/L599,0)</f>
        <v>0</v>
      </c>
      <c r="P599" s="262">
        <f t="shared" ref="P599:P607" ca="1" si="150">IF(M599&gt;0,N599*100/M599,0)</f>
        <v>0</v>
      </c>
      <c r="Q599" s="389">
        <f ca="1">Q600+Q601</f>
        <v>0</v>
      </c>
      <c r="R599" s="262">
        <f ca="1">R600+R601</f>
        <v>0</v>
      </c>
      <c r="S599" s="262">
        <f ca="1">S600+S601</f>
        <v>0</v>
      </c>
      <c r="T599" s="262">
        <f t="shared" ref="T599:T607" ca="1" si="151">IF(Q599&gt;0,S599*100/Q599,0)</f>
        <v>0</v>
      </c>
      <c r="U599" s="262">
        <f t="shared" ref="U599:U607" ca="1" si="152">IF(R599&gt;0,S599*100/R599,0)</f>
        <v>0</v>
      </c>
    </row>
    <row r="600" spans="1:21" ht="18.75" hidden="1" x14ac:dyDescent="0.25">
      <c r="A600" s="255"/>
      <c r="B600" s="267"/>
      <c r="C600" s="267"/>
      <c r="D600" s="288"/>
      <c r="E600" s="263" t="s">
        <v>159</v>
      </c>
      <c r="F600" s="256"/>
      <c r="G600" s="259"/>
      <c r="H600" s="271" t="s">
        <v>14</v>
      </c>
      <c r="I600" s="261"/>
      <c r="J600" s="261"/>
      <c r="K600" s="85"/>
      <c r="L600" s="75">
        <f t="shared" ref="L600:N601" si="153">L603+L606</f>
        <v>0</v>
      </c>
      <c r="M600" s="75">
        <f t="shared" si="153"/>
        <v>0</v>
      </c>
      <c r="N600" s="75">
        <f t="shared" si="153"/>
        <v>0</v>
      </c>
      <c r="O600" s="75">
        <f t="shared" si="149"/>
        <v>0</v>
      </c>
      <c r="P600" s="75">
        <f t="shared" si="150"/>
        <v>0</v>
      </c>
      <c r="Q600" s="74">
        <f t="shared" ref="Q600:S601" si="154">Q603+Q606</f>
        <v>0</v>
      </c>
      <c r="R600" s="75">
        <f t="shared" si="154"/>
        <v>0</v>
      </c>
      <c r="S600" s="75">
        <f t="shared" si="154"/>
        <v>0</v>
      </c>
      <c r="T600" s="75">
        <f t="shared" si="151"/>
        <v>0</v>
      </c>
      <c r="U600" s="75">
        <f t="shared" si="152"/>
        <v>0</v>
      </c>
    </row>
    <row r="601" spans="1:21" ht="18.75" hidden="1" x14ac:dyDescent="0.25">
      <c r="A601" s="255"/>
      <c r="B601" s="267"/>
      <c r="C601" s="267"/>
      <c r="D601" s="288"/>
      <c r="E601" s="263" t="s">
        <v>160</v>
      </c>
      <c r="F601" s="256"/>
      <c r="G601" s="259"/>
      <c r="H601" s="271" t="s">
        <v>14</v>
      </c>
      <c r="I601" s="261"/>
      <c r="J601" s="261"/>
      <c r="K601" s="85"/>
      <c r="L601" s="72">
        <f t="shared" ca="1" si="153"/>
        <v>0</v>
      </c>
      <c r="M601" s="72">
        <f t="shared" ca="1" si="153"/>
        <v>0</v>
      </c>
      <c r="N601" s="72">
        <f t="shared" ca="1" si="153"/>
        <v>0</v>
      </c>
      <c r="O601" s="72">
        <f t="shared" ca="1" si="149"/>
        <v>0</v>
      </c>
      <c r="P601" s="72">
        <f t="shared" ca="1" si="150"/>
        <v>0</v>
      </c>
      <c r="Q601" s="71">
        <f t="shared" ca="1" si="154"/>
        <v>0</v>
      </c>
      <c r="R601" s="72">
        <f t="shared" ca="1" si="154"/>
        <v>0</v>
      </c>
      <c r="S601" s="72">
        <f t="shared" ca="1" si="154"/>
        <v>0</v>
      </c>
      <c r="T601" s="72">
        <f t="shared" ca="1" si="151"/>
        <v>0</v>
      </c>
      <c r="U601" s="72">
        <f t="shared" ca="1" si="152"/>
        <v>0</v>
      </c>
    </row>
    <row r="602" spans="1:21" ht="19.5" hidden="1" x14ac:dyDescent="0.3">
      <c r="A602" s="255"/>
      <c r="B602" s="267"/>
      <c r="C602" s="267"/>
      <c r="D602" s="799" t="s">
        <v>22</v>
      </c>
      <c r="E602" s="256"/>
      <c r="F602" s="256"/>
      <c r="G602" s="259"/>
      <c r="H602" s="753" t="s">
        <v>14</v>
      </c>
      <c r="I602" s="270"/>
      <c r="J602" s="270"/>
      <c r="K602" s="227"/>
      <c r="L602" s="72">
        <f ca="1">L603+L604</f>
        <v>0</v>
      </c>
      <c r="M602" s="72">
        <f ca="1">M603+M604</f>
        <v>0</v>
      </c>
      <c r="N602" s="72">
        <f ca="1">N603+N604</f>
        <v>0</v>
      </c>
      <c r="O602" s="72">
        <f t="shared" ca="1" si="149"/>
        <v>0</v>
      </c>
      <c r="P602" s="72">
        <f t="shared" ca="1" si="150"/>
        <v>0</v>
      </c>
      <c r="Q602" s="71">
        <f ca="1">Q603+Q604</f>
        <v>0</v>
      </c>
      <c r="R602" s="72">
        <f ca="1">R603+R604</f>
        <v>0</v>
      </c>
      <c r="S602" s="72">
        <f ca="1">S603+S604</f>
        <v>0</v>
      </c>
      <c r="T602" s="72">
        <f t="shared" ca="1" si="151"/>
        <v>0</v>
      </c>
      <c r="U602" s="72">
        <f t="shared" ca="1" si="152"/>
        <v>0</v>
      </c>
    </row>
    <row r="603" spans="1:21" ht="18.75" hidden="1" x14ac:dyDescent="0.25">
      <c r="A603" s="255"/>
      <c r="B603" s="267"/>
      <c r="C603" s="267"/>
      <c r="D603" s="288"/>
      <c r="E603" s="263" t="s">
        <v>159</v>
      </c>
      <c r="F603" s="256"/>
      <c r="G603" s="259"/>
      <c r="H603" s="271" t="s">
        <v>14</v>
      </c>
      <c r="I603" s="261"/>
      <c r="J603" s="261"/>
      <c r="K603" s="85"/>
      <c r="L603" s="75">
        <v>0</v>
      </c>
      <c r="M603" s="75">
        <v>0</v>
      </c>
      <c r="N603" s="75">
        <v>0</v>
      </c>
      <c r="O603" s="75">
        <f t="shared" si="149"/>
        <v>0</v>
      </c>
      <c r="P603" s="75">
        <f t="shared" si="150"/>
        <v>0</v>
      </c>
      <c r="Q603" s="74">
        <v>0</v>
      </c>
      <c r="R603" s="75">
        <v>0</v>
      </c>
      <c r="S603" s="75">
        <v>0</v>
      </c>
      <c r="T603" s="75">
        <f t="shared" si="151"/>
        <v>0</v>
      </c>
      <c r="U603" s="75">
        <f t="shared" si="152"/>
        <v>0</v>
      </c>
    </row>
    <row r="604" spans="1:21" ht="18.75" hidden="1" x14ac:dyDescent="0.25">
      <c r="A604" s="255"/>
      <c r="B604" s="267"/>
      <c r="C604" s="267"/>
      <c r="D604" s="288"/>
      <c r="E604" s="263" t="s">
        <v>160</v>
      </c>
      <c r="F604" s="256"/>
      <c r="G604" s="259"/>
      <c r="H604" s="271" t="s">
        <v>14</v>
      </c>
      <c r="I604" s="261"/>
      <c r="J604" s="261"/>
      <c r="K604" s="85"/>
      <c r="L604" s="72">
        <f ca="1">IFERROR(__xludf.DUMMYFUNCTION("IMPORTRANGE(""https://docs.google.com/spreadsheets/d/1-uDff_7J0KD5mKrp0Vvzr7lt3OU09vwQwhkpOPPYv2Y/edit?usp=sharing"",""งบพรบ!HK58"")"),0)</f>
        <v>0</v>
      </c>
      <c r="M604" s="72">
        <f ca="1">IFERROR(__xludf.DUMMYFUNCTION("IMPORTRANGE(""https://docs.google.com/spreadsheets/d/1-uDff_7J0KD5mKrp0Vvzr7lt3OU09vwQwhkpOPPYv2Y/edit?usp=sharing"",""งบพรบ!HP58"")"),0)</f>
        <v>0</v>
      </c>
      <c r="N604" s="72">
        <f ca="1">IFERROR(__xludf.DUMMYFUNCTION("IMPORTRANGE(""https://docs.google.com/spreadsheets/d/1-uDff_7J0KD5mKrp0Vvzr7lt3OU09vwQwhkpOPPYv2Y/edit?usp=sharing"",""งบพรบ!HR58"")"),0)</f>
        <v>0</v>
      </c>
      <c r="O604" s="72">
        <f t="shared" ca="1" si="149"/>
        <v>0</v>
      </c>
      <c r="P604" s="72">
        <f t="shared" ca="1" si="150"/>
        <v>0</v>
      </c>
      <c r="Q604" s="71">
        <f ca="1">IFERROR(__xludf.DUMMYFUNCTION("IMPORTRANGE(""https://docs.google.com/spreadsheets/d/1ItG2mGa2ceCfYo0BwxsXqNm01IGEUdYcSSLTEv9YCik/edit?usp=sharing"",""เบิกจ่ายกองทุน!AV58"")"),0)</f>
        <v>0</v>
      </c>
      <c r="R604" s="72">
        <f ca="1">IFERROR(__xludf.DUMMYFUNCTION("IMPORTRANGE(""https://docs.google.com/spreadsheets/d/1ItG2mGa2ceCfYo0BwxsXqNm01IGEUdYcSSLTEv9YCik/edit?usp=sharing"",""เบิกจ่ายกองทุน!AW58"")"),0)</f>
        <v>0</v>
      </c>
      <c r="S604" s="72">
        <f ca="1">IFERROR(__xludf.DUMMYFUNCTION("IMPORTRANGE(""https://docs.google.com/spreadsheets/d/1ItG2mGa2ceCfYo0BwxsXqNm01IGEUdYcSSLTEv9YCik/edit?usp=sharing"",""เบิกจ่ายกองทุน!AX58"")"),0)</f>
        <v>0</v>
      </c>
      <c r="T604" s="72">
        <f t="shared" ca="1" si="151"/>
        <v>0</v>
      </c>
      <c r="U604" s="72">
        <f t="shared" ca="1" si="152"/>
        <v>0</v>
      </c>
    </row>
    <row r="605" spans="1:21" ht="19.5" hidden="1" x14ac:dyDescent="0.3">
      <c r="A605" s="255"/>
      <c r="B605" s="267"/>
      <c r="C605" s="267"/>
      <c r="D605" s="799" t="s">
        <v>23</v>
      </c>
      <c r="E605" s="267"/>
      <c r="F605" s="256"/>
      <c r="G605" s="259"/>
      <c r="H605" s="755" t="s">
        <v>14</v>
      </c>
      <c r="I605" s="270"/>
      <c r="J605" s="270"/>
      <c r="K605" s="227"/>
      <c r="L605" s="72">
        <f ca="1">L606+L607</f>
        <v>0</v>
      </c>
      <c r="M605" s="72">
        <f ca="1">M606+M607</f>
        <v>0</v>
      </c>
      <c r="N605" s="72">
        <f ca="1">N606+N607</f>
        <v>0</v>
      </c>
      <c r="O605" s="72">
        <f t="shared" ca="1" si="149"/>
        <v>0</v>
      </c>
      <c r="P605" s="72">
        <f t="shared" ca="1" si="150"/>
        <v>0</v>
      </c>
      <c r="Q605" s="71">
        <f ca="1">Q606+Q607</f>
        <v>0</v>
      </c>
      <c r="R605" s="72">
        <f ca="1">R606+R607</f>
        <v>0</v>
      </c>
      <c r="S605" s="72">
        <f ca="1">S606+S607</f>
        <v>0</v>
      </c>
      <c r="T605" s="72">
        <f t="shared" ca="1" si="151"/>
        <v>0</v>
      </c>
      <c r="U605" s="72">
        <f t="shared" ca="1" si="152"/>
        <v>0</v>
      </c>
    </row>
    <row r="606" spans="1:21" ht="18.75" hidden="1" x14ac:dyDescent="0.25">
      <c r="A606" s="255"/>
      <c r="B606" s="267"/>
      <c r="C606" s="267"/>
      <c r="D606" s="267"/>
      <c r="E606" s="569" t="s">
        <v>20</v>
      </c>
      <c r="F606" s="256"/>
      <c r="G606" s="259"/>
      <c r="H606" s="271" t="s">
        <v>14</v>
      </c>
      <c r="I606" s="270"/>
      <c r="J606" s="270"/>
      <c r="K606" s="227"/>
      <c r="L606" s="75">
        <v>0</v>
      </c>
      <c r="M606" s="75">
        <v>0</v>
      </c>
      <c r="N606" s="75">
        <v>0</v>
      </c>
      <c r="O606" s="75">
        <f t="shared" si="149"/>
        <v>0</v>
      </c>
      <c r="P606" s="75">
        <f t="shared" si="150"/>
        <v>0</v>
      </c>
      <c r="Q606" s="74">
        <v>0</v>
      </c>
      <c r="R606" s="75">
        <v>0</v>
      </c>
      <c r="S606" s="75">
        <v>0</v>
      </c>
      <c r="T606" s="75">
        <f t="shared" si="151"/>
        <v>0</v>
      </c>
      <c r="U606" s="75">
        <f t="shared" si="152"/>
        <v>0</v>
      </c>
    </row>
    <row r="607" spans="1:21" ht="18.75" hidden="1" x14ac:dyDescent="0.25">
      <c r="A607" s="255"/>
      <c r="B607" s="267"/>
      <c r="C607" s="267"/>
      <c r="D607" s="256"/>
      <c r="E607" s="569" t="s">
        <v>21</v>
      </c>
      <c r="F607" s="256"/>
      <c r="G607" s="259"/>
      <c r="H607" s="756" t="s">
        <v>14</v>
      </c>
      <c r="I607" s="270"/>
      <c r="J607" s="270"/>
      <c r="K607" s="227"/>
      <c r="L607" s="72">
        <f ca="1">IFERROR(__xludf.DUMMYFUNCTION("IMPORTRANGE(""https://docs.google.com/spreadsheets/d/1-uDff_7J0KD5mKrp0Vvzr7lt3OU09vwQwhkpOPPYv2Y/edit?usp=sharing"",""งบพรบ!HN58"")"),0)</f>
        <v>0</v>
      </c>
      <c r="M607" s="72">
        <f ca="1">IFERROR(__xludf.DUMMYFUNCTION("IMPORTRANGE(""https://docs.google.com/spreadsheets/d/1-uDff_7J0KD5mKrp0Vvzr7lt3OU09vwQwhkpOPPYv2Y/edit?usp=sharing"",""งบพรบ!HQ58"")"),0)</f>
        <v>0</v>
      </c>
      <c r="N607" s="72">
        <f ca="1">IFERROR(__xludf.DUMMYFUNCTION("IMPORTRANGE(""https://docs.google.com/spreadsheets/d/1-uDff_7J0KD5mKrp0Vvzr7lt3OU09vwQwhkpOPPYv2Y/edit?usp=sharing"",""งบพรบ!HS58"")"),0)</f>
        <v>0</v>
      </c>
      <c r="O607" s="72">
        <f t="shared" ca="1" si="149"/>
        <v>0</v>
      </c>
      <c r="P607" s="72">
        <f t="shared" ca="1" si="150"/>
        <v>0</v>
      </c>
      <c r="Q607" s="71">
        <f ca="1">IFERROR(__xludf.DUMMYFUNCTION("IMPORTRANGE(""https://docs.google.com/spreadsheets/d/1ItG2mGa2ceCfYo0BwxsXqNm01IGEUdYcSSLTEv9YCik/edit?usp=sharing"",""เบิกจ่ายกองทุน!AY58"")"),0)</f>
        <v>0</v>
      </c>
      <c r="R607" s="72">
        <f ca="1">IFERROR(__xludf.DUMMYFUNCTION("IMPORTRANGE(""https://docs.google.com/spreadsheets/d/1ItG2mGa2ceCfYo0BwxsXqNm01IGEUdYcSSLTEv9YCik/edit?usp=sharing"",""เบิกจ่ายกองทุน!AZ58"")"),0)</f>
        <v>0</v>
      </c>
      <c r="S607" s="72">
        <f ca="1">IFERROR(__xludf.DUMMYFUNCTION("IMPORTRANGE(""https://docs.google.com/spreadsheets/d/1ItG2mGa2ceCfYo0BwxsXqNm01IGEUdYcSSLTEv9YCik/edit?usp=sharing"",""เบิกจ่ายกองทุน!BA58"")"),0)</f>
        <v>0</v>
      </c>
      <c r="T607" s="72">
        <f t="shared" ca="1" si="151"/>
        <v>0</v>
      </c>
      <c r="U607" s="72">
        <f t="shared" ca="1" si="152"/>
        <v>0</v>
      </c>
    </row>
    <row r="608" spans="1:21" ht="19.5" hidden="1" x14ac:dyDescent="0.3">
      <c r="A608" s="274"/>
      <c r="B608" s="275"/>
      <c r="C608" s="304" t="s">
        <v>18</v>
      </c>
      <c r="D608" s="813" t="s">
        <v>38</v>
      </c>
      <c r="E608" s="278"/>
      <c r="F608" s="278"/>
      <c r="G608" s="279"/>
      <c r="H608" s="305"/>
      <c r="I608" s="270"/>
      <c r="J608" s="270"/>
      <c r="K608" s="227"/>
      <c r="L608" s="85"/>
      <c r="M608" s="85"/>
      <c r="N608" s="85"/>
      <c r="O608" s="85"/>
      <c r="P608" s="85"/>
      <c r="Q608" s="84"/>
      <c r="R608" s="85"/>
      <c r="S608" s="85"/>
      <c r="T608" s="85"/>
      <c r="U608" s="85"/>
    </row>
    <row r="609" spans="1:21" ht="18.75" hidden="1" x14ac:dyDescent="0.25">
      <c r="A609" s="274"/>
      <c r="B609" s="275"/>
      <c r="C609" s="275"/>
      <c r="D609" s="772" t="s">
        <v>220</v>
      </c>
      <c r="E609" s="288"/>
      <c r="F609" s="288"/>
      <c r="G609" s="280"/>
      <c r="H609" s="271" t="s">
        <v>99</v>
      </c>
      <c r="I609" s="261"/>
      <c r="J609" s="261"/>
      <c r="K609" s="227"/>
      <c r="L609" s="85"/>
      <c r="M609" s="85"/>
      <c r="N609" s="85"/>
      <c r="O609" s="85"/>
      <c r="P609" s="85"/>
      <c r="Q609" s="84"/>
      <c r="R609" s="85"/>
      <c r="S609" s="85"/>
      <c r="T609" s="85"/>
      <c r="U609" s="85"/>
    </row>
    <row r="610" spans="1:21" ht="19.5" hidden="1" x14ac:dyDescent="0.3">
      <c r="A610" s="274"/>
      <c r="B610" s="275"/>
      <c r="C610" s="275"/>
      <c r="D610" s="772" t="s">
        <v>221</v>
      </c>
      <c r="E610" s="288"/>
      <c r="F610" s="288"/>
      <c r="G610" s="280"/>
      <c r="H610" s="753" t="s">
        <v>35</v>
      </c>
      <c r="I610" s="261"/>
      <c r="J610" s="261"/>
      <c r="K610" s="227"/>
      <c r="L610" s="85"/>
      <c r="M610" s="85"/>
      <c r="N610" s="85"/>
      <c r="O610" s="85"/>
      <c r="P610" s="85"/>
      <c r="Q610" s="84"/>
      <c r="R610" s="85"/>
      <c r="S610" s="85"/>
      <c r="T610" s="85"/>
      <c r="U610" s="85"/>
    </row>
    <row r="611" spans="1:21" ht="18.75" hidden="1" x14ac:dyDescent="0.25">
      <c r="A611" s="274"/>
      <c r="B611" s="275"/>
      <c r="C611" s="275"/>
      <c r="D611" s="275"/>
      <c r="E611" s="772" t="s">
        <v>222</v>
      </c>
      <c r="F611" s="288"/>
      <c r="G611" s="280"/>
      <c r="H611" s="756" t="s">
        <v>35</v>
      </c>
      <c r="I611" s="261"/>
      <c r="J611" s="261"/>
      <c r="K611" s="227"/>
      <c r="L611" s="85"/>
      <c r="M611" s="85"/>
      <c r="N611" s="85"/>
      <c r="O611" s="85"/>
      <c r="P611" s="85"/>
      <c r="Q611" s="84"/>
      <c r="R611" s="85"/>
      <c r="S611" s="85"/>
      <c r="T611" s="85"/>
      <c r="U611" s="85"/>
    </row>
    <row r="612" spans="1:21" ht="19.5" hidden="1" thickBot="1" x14ac:dyDescent="0.3">
      <c r="A612" s="812"/>
      <c r="B612" s="811"/>
      <c r="C612" s="811"/>
      <c r="D612" s="811"/>
      <c r="E612" s="810" t="s">
        <v>223</v>
      </c>
      <c r="F612" s="809"/>
      <c r="G612" s="808"/>
      <c r="H612" s="807" t="s">
        <v>35</v>
      </c>
      <c r="I612" s="806"/>
      <c r="J612" s="806"/>
      <c r="K612" s="805"/>
      <c r="L612" s="803"/>
      <c r="M612" s="803"/>
      <c r="N612" s="803"/>
      <c r="O612" s="803"/>
      <c r="P612" s="803"/>
      <c r="Q612" s="804"/>
      <c r="R612" s="803"/>
      <c r="S612" s="803"/>
      <c r="T612" s="803"/>
      <c r="U612" s="803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4"/>
      <c r="M613" s="704"/>
      <c r="N613" s="704"/>
      <c r="O613" s="704"/>
      <c r="P613" s="704"/>
      <c r="Q613" s="705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2"/>
      <c r="M614" s="712"/>
      <c r="N614" s="712"/>
      <c r="O614" s="712"/>
      <c r="P614" s="712"/>
      <c r="Q614" s="713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1317">
        <f ca="1">I626</f>
        <v>0</v>
      </c>
      <c r="J615" s="1317">
        <f>J626</f>
        <v>0</v>
      </c>
      <c r="K615" s="720">
        <f ca="1">IF(I615&gt;0,J615*100/I615,0)</f>
        <v>0</v>
      </c>
      <c r="L615" s="721"/>
      <c r="M615" s="721"/>
      <c r="N615" s="721"/>
      <c r="O615" s="721"/>
      <c r="P615" s="721"/>
      <c r="Q615" s="722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262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389">
        <f ca="1">Q617+Q618</f>
        <v>1775</v>
      </c>
      <c r="R616" s="262">
        <f ca="1">R617+R618</f>
        <v>1775</v>
      </c>
      <c r="S616" s="262">
        <f ca="1">S617+S618</f>
        <v>1775</v>
      </c>
      <c r="T616" s="262">
        <f t="shared" ref="T616:T624" ca="1" si="157">IF(Q616&gt;0,S616*100/Q616,0)</f>
        <v>100</v>
      </c>
      <c r="U616" s="262">
        <f t="shared" ref="U616:U624" ca="1" si="158">IF(R616&gt;0,S616*100/R616,0)</f>
        <v>100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5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4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2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1">
        <f t="shared" ca="1" si="160"/>
        <v>1775</v>
      </c>
      <c r="R618" s="72">
        <f t="shared" ca="1" si="160"/>
        <v>1775</v>
      </c>
      <c r="S618" s="72">
        <f t="shared" ca="1" si="160"/>
        <v>1775</v>
      </c>
      <c r="T618" s="72">
        <f t="shared" ca="1" si="157"/>
        <v>100</v>
      </c>
      <c r="U618" s="72">
        <f t="shared" ca="1" si="158"/>
        <v>100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2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1">
        <f ca="1">Q620+Q621</f>
        <v>1775</v>
      </c>
      <c r="R619" s="72">
        <f ca="1">R620+R621</f>
        <v>1775</v>
      </c>
      <c r="S619" s="72">
        <f ca="1">S620+S621</f>
        <v>1775</v>
      </c>
      <c r="T619" s="72">
        <f t="shared" ca="1" si="157"/>
        <v>100</v>
      </c>
      <c r="U619" s="72">
        <f t="shared" ca="1" si="158"/>
        <v>100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5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4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2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1">
        <f ca="1">IFERROR(__xludf.DUMMYFUNCTION("IMPORTRANGE(""https://docs.google.com/spreadsheets/d/1ItG2mGa2ceCfYo0BwxsXqNm01IGEUdYcSSLTEv9YCik/edit?usp=sharing"",""เบิกจ่ายกองทุน!F58"")"),1775)</f>
        <v>1775</v>
      </c>
      <c r="R621" s="72">
        <f ca="1">IFERROR(__xludf.DUMMYFUNCTION("IMPORTRANGE(""https://docs.google.com/spreadsheets/d/1ItG2mGa2ceCfYo0BwxsXqNm01IGEUdYcSSLTEv9YCik/edit?usp=sharing"",""เบิกจ่ายกองทุน!G58"")"),1775)</f>
        <v>1775</v>
      </c>
      <c r="S621" s="72">
        <f ca="1">IFERROR(__xludf.DUMMYFUNCTION("IMPORTRANGE(""https://docs.google.com/spreadsheets/d/1ItG2mGa2ceCfYo0BwxsXqNm01IGEUdYcSSLTEv9YCik/edit?usp=sharing"",""เบิกจ่ายกองทุน!H58"")"),1775)</f>
        <v>1775</v>
      </c>
      <c r="T621" s="72">
        <f t="shared" ca="1" si="157"/>
        <v>100</v>
      </c>
      <c r="U621" s="72">
        <f t="shared" ca="1" si="158"/>
        <v>100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2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1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5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4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2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1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7"/>
      <c r="M625" s="227"/>
      <c r="N625" s="227"/>
      <c r="O625" s="227"/>
      <c r="P625" s="227"/>
      <c r="Q625" s="226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IFERROR(__xludf.DUMMYFUNCTION("IMPORTRANGE(""https://docs.google.com/spreadsheets/d/1eHaY18a8A9IcSdp1K8H6x8fbOy06t2VsZHhMHf-1x7Y/edit?usp=sharing"",""แผน!ID58"")"),0)</f>
        <v>0</v>
      </c>
      <c r="J626" s="601">
        <f>J632</f>
        <v>0</v>
      </c>
      <c r="K626" s="262">
        <f ca="1">IF(I626&gt;0,J626*100/I626,0)</f>
        <v>0</v>
      </c>
      <c r="L626" s="227"/>
      <c r="M626" s="227"/>
      <c r="N626" s="227"/>
      <c r="O626" s="227"/>
      <c r="P626" s="227"/>
      <c r="Q626" s="226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IFERROR(__xludf.DUMMYFUNCTION("IMPORTRANGE(""https://docs.google.com/spreadsheets/d/1eHaY18a8A9IcSdp1K8H6x8fbOy06t2VsZHhMHf-1x7Y/edit?usp=sharing"",""แผน!IC58"")"),1)</f>
        <v>1</v>
      </c>
      <c r="J627" s="292">
        <v>1</v>
      </c>
      <c r="K627" s="72">
        <f ca="1">IF(I627&gt;0,(J627*100)/I627,0)</f>
        <v>100</v>
      </c>
      <c r="L627" s="227"/>
      <c r="M627" s="227"/>
      <c r="N627" s="227"/>
      <c r="O627" s="227"/>
      <c r="P627" s="227"/>
      <c r="Q627" s="226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IFERROR(__xludf.DUMMYFUNCTION("IMPORTRANGE(""https://docs.google.com/spreadsheets/d/1eHaY18a8A9IcSdp1K8H6x8fbOy06t2VsZHhMHf-1x7Y/edit?usp=sharing"",""แผน!IC58"")"),1)</f>
        <v>1</v>
      </c>
      <c r="J628" s="292">
        <v>1</v>
      </c>
      <c r="K628" s="72">
        <f ca="1">IF(I628&gt;0,(J628*100)/I628,0)</f>
        <v>100</v>
      </c>
      <c r="L628" s="227"/>
      <c r="M628" s="227"/>
      <c r="N628" s="227"/>
      <c r="O628" s="227"/>
      <c r="P628" s="227"/>
      <c r="Q628" s="226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7"/>
      <c r="M629" s="227"/>
      <c r="N629" s="227"/>
      <c r="O629" s="227"/>
      <c r="P629" s="227"/>
      <c r="Q629" s="226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7"/>
      <c r="M630" s="227"/>
      <c r="N630" s="227"/>
      <c r="O630" s="227"/>
      <c r="P630" s="227"/>
      <c r="Q630" s="226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7"/>
      <c r="M631" s="227"/>
      <c r="N631" s="227"/>
      <c r="O631" s="227"/>
      <c r="P631" s="227"/>
      <c r="Q631" s="226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7"/>
      <c r="M632" s="227"/>
      <c r="N632" s="227"/>
      <c r="O632" s="227"/>
      <c r="P632" s="227"/>
      <c r="Q632" s="226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7"/>
      <c r="M633" s="227"/>
      <c r="N633" s="227"/>
      <c r="O633" s="227"/>
      <c r="P633" s="227"/>
      <c r="Q633" s="226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7"/>
      <c r="M634" s="227"/>
      <c r="N634" s="227"/>
      <c r="O634" s="227"/>
      <c r="P634" s="227"/>
      <c r="Q634" s="226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IFERROR(__xludf.DUMMYFUNCTION("IMPORTRANGE(""https://docs.google.com/spreadsheets/d/1eHaY18a8A9IcSdp1K8H6x8fbOy06t2VsZHhMHf-1x7Y/edit?usp=sharing"",""แผน!IE58"")"),0)</f>
        <v>0</v>
      </c>
      <c r="J635" s="601">
        <f>J636</f>
        <v>0</v>
      </c>
      <c r="K635" s="262">
        <f ca="1">IF(I635&gt;0,J635*100/I635,0)</f>
        <v>0</v>
      </c>
      <c r="L635" s="227"/>
      <c r="M635" s="227"/>
      <c r="N635" s="227"/>
      <c r="O635" s="227"/>
      <c r="P635" s="227"/>
      <c r="Q635" s="226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7"/>
      <c r="M636" s="227"/>
      <c r="N636" s="227"/>
      <c r="O636" s="227"/>
      <c r="P636" s="227"/>
      <c r="Q636" s="226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7"/>
      <c r="M637" s="227"/>
      <c r="N637" s="227"/>
      <c r="O637" s="227"/>
      <c r="P637" s="227"/>
      <c r="Q637" s="226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7"/>
      <c r="M638" s="227"/>
      <c r="N638" s="227"/>
      <c r="O638" s="227"/>
      <c r="P638" s="227"/>
      <c r="Q638" s="226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7"/>
      <c r="M639" s="227"/>
      <c r="N639" s="227"/>
      <c r="O639" s="227"/>
      <c r="P639" s="227"/>
      <c r="Q639" s="226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7"/>
      <c r="M640" s="227"/>
      <c r="N640" s="227"/>
      <c r="O640" s="227"/>
      <c r="P640" s="227"/>
      <c r="Q640" s="226"/>
      <c r="R640" s="227"/>
      <c r="S640" s="227"/>
      <c r="T640" s="227"/>
      <c r="U640" s="227"/>
    </row>
    <row r="641" spans="1:21" ht="19.5" hidden="1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1"/>
      <c r="M641" s="721"/>
      <c r="N641" s="721"/>
      <c r="O641" s="721"/>
      <c r="P641" s="721"/>
      <c r="Q641" s="722"/>
      <c r="R641" s="721"/>
      <c r="S641" s="721"/>
      <c r="T641" s="721"/>
      <c r="U641" s="721"/>
    </row>
    <row r="642" spans="1:21" ht="19.5" hidden="1" x14ac:dyDescent="0.3">
      <c r="A642" s="255"/>
      <c r="B642" s="267"/>
      <c r="C642" s="567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262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389">
        <f ca="1">Q643+Q644</f>
        <v>0</v>
      </c>
      <c r="R642" s="262">
        <f ca="1">R643+R644</f>
        <v>0</v>
      </c>
      <c r="S642" s="262">
        <f ca="1">S643+S644</f>
        <v>0</v>
      </c>
      <c r="T642" s="262">
        <f t="shared" ref="T642:T650" ca="1" si="163">IF(Q642&gt;0,S642*100/Q642,0)</f>
        <v>0</v>
      </c>
      <c r="U642" s="262">
        <f t="shared" ref="U642:U650" ca="1" si="164">IF(R642&gt;0,S642*100/R642,0)</f>
        <v>0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5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4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2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1">
        <f t="shared" ca="1" si="166"/>
        <v>0</v>
      </c>
      <c r="R644" s="72">
        <f t="shared" ca="1" si="166"/>
        <v>0</v>
      </c>
      <c r="S644" s="72">
        <f t="shared" ca="1" si="166"/>
        <v>0</v>
      </c>
      <c r="T644" s="72">
        <f t="shared" ca="1" si="163"/>
        <v>0</v>
      </c>
      <c r="U644" s="72">
        <f t="shared" ca="1" si="164"/>
        <v>0</v>
      </c>
    </row>
    <row r="645" spans="1:21" ht="18.75" hidden="1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2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1">
        <f ca="1">Q646+Q647</f>
        <v>0</v>
      </c>
      <c r="R645" s="72">
        <f ca="1">R646+R647</f>
        <v>0</v>
      </c>
      <c r="S645" s="72">
        <f ca="1">S646+S647</f>
        <v>0</v>
      </c>
      <c r="T645" s="72">
        <f t="shared" ca="1" si="163"/>
        <v>0</v>
      </c>
      <c r="U645" s="72">
        <f t="shared" ca="1" si="164"/>
        <v>0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5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4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2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1">
        <f ca="1">IFERROR(__xludf.DUMMYFUNCTION("IMPORTRANGE(""https://docs.google.com/spreadsheets/d/1ItG2mGa2ceCfYo0BwxsXqNm01IGEUdYcSSLTEv9YCik/edit?usp=sharing"",""เบิกจ่ายกองทุน!I58"")"),0)</f>
        <v>0</v>
      </c>
      <c r="R647" s="72">
        <f ca="1">IFERROR(__xludf.DUMMYFUNCTION("IMPORTRANGE(""https://docs.google.com/spreadsheets/d/1ItG2mGa2ceCfYo0BwxsXqNm01IGEUdYcSSLTEv9YCik/edit?usp=sharing"",""เบิกจ่ายกองทุน!J58"")"),0)</f>
        <v>0</v>
      </c>
      <c r="S647" s="72">
        <f ca="1">IFERROR(__xludf.DUMMYFUNCTION("IMPORTRANGE(""https://docs.google.com/spreadsheets/d/1ItG2mGa2ceCfYo0BwxsXqNm01IGEUdYcSSLTEv9YCik/edit?usp=sharing"",""เบิกจ่ายกองทุน!K58"")"),0)</f>
        <v>0</v>
      </c>
      <c r="T647" s="72">
        <f t="shared" ca="1" si="163"/>
        <v>0</v>
      </c>
      <c r="U647" s="72">
        <f t="shared" ca="1" si="164"/>
        <v>0</v>
      </c>
    </row>
    <row r="648" spans="1:21" ht="18.75" hidden="1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2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1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5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4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2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1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hidden="1" x14ac:dyDescent="0.3">
      <c r="A651" s="274"/>
      <c r="B651" s="275"/>
      <c r="C651" s="567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7"/>
      <c r="M651" s="227"/>
      <c r="N651" s="227"/>
      <c r="O651" s="227"/>
      <c r="P651" s="227"/>
      <c r="Q651" s="84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IFERROR(__xludf.DUMMYFUNCTION("IMPORTRANGE(""https://docs.google.com/spreadsheets/d/1eHaY18a8A9IcSdp1K8H6x8fbOy06t2VsZHhMHf-1x7Y/edit?usp=sharing"",""แผน!IF58"")"),0)</f>
        <v>0</v>
      </c>
      <c r="J652" s="291">
        <f ca="1">IFERROR(__xludf.DUMMYFUNCTION("IMPORTRANGE(""https://docs.google.com/spreadsheets/d/1tdoBKaGub7dwA3U6UFTqxio9LNnvDCQjHKmttSEBsFQ/edit?usp=sharing"",""จัดที่ดิน!AU58"")"),0)</f>
        <v>0</v>
      </c>
      <c r="K652" s="72">
        <f ca="1">IF(I652&gt;0,J652*100/I652,0)</f>
        <v>0</v>
      </c>
      <c r="L652" s="85"/>
      <c r="M652" s="85"/>
      <c r="N652" s="730"/>
      <c r="O652" s="85"/>
      <c r="P652" s="85"/>
      <c r="Q652" s="84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IFERROR(__xludf.DUMMYFUNCTION("IMPORTRANGE(""https://docs.google.com/spreadsheets/d/1eHaY18a8A9IcSdp1K8H6x8fbOy06t2VsZHhMHf-1x7Y/edit?usp=sharing"",""แผน!IG58"")"),0)</f>
        <v>0</v>
      </c>
      <c r="J653" s="291">
        <f ca="1">IFERROR(__xludf.DUMMYFUNCTION("IMPORTRANGE(""https://docs.google.com/spreadsheets/d/1tdoBKaGub7dwA3U6UFTqxio9LNnvDCQjHKmttSEBsFQ/edit?usp=sharing"",""จัดที่ดิน!AW58"")"),0)</f>
        <v>0</v>
      </c>
      <c r="K653" s="72">
        <f ca="1">IF(I653&gt;0,J653*100/I653,0)</f>
        <v>0</v>
      </c>
      <c r="L653" s="85"/>
      <c r="M653" s="85"/>
      <c r="N653" s="730"/>
      <c r="O653" s="85"/>
      <c r="P653" s="85"/>
      <c r="Q653" s="84"/>
      <c r="R653" s="85"/>
      <c r="S653" s="730"/>
      <c r="T653" s="85"/>
      <c r="U653" s="85"/>
    </row>
    <row r="654" spans="1:21" ht="19.5" hidden="1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IFERROR(__xludf.DUMMYFUNCTION("IMPORTRANGE(""https://docs.google.com/spreadsheets/d/1eHaY18a8A9IcSdp1K8H6x8fbOy06t2VsZHhMHf-1x7Y/edit?usp=sharing"",""แผน!IH58"")"),0)</f>
        <v>0</v>
      </c>
      <c r="J654" s="601">
        <f>J657+J660</f>
        <v>0</v>
      </c>
      <c r="K654" s="262">
        <f ca="1">IF(I654&gt;0,J654*100/I654,0)</f>
        <v>0</v>
      </c>
      <c r="L654" s="85"/>
      <c r="M654" s="85"/>
      <c r="N654" s="730"/>
      <c r="O654" s="85"/>
      <c r="P654" s="85"/>
      <c r="Q654" s="84"/>
      <c r="R654" s="85"/>
      <c r="S654" s="730"/>
      <c r="T654" s="85"/>
      <c r="U654" s="85"/>
    </row>
    <row r="655" spans="1:21" ht="18.75" hidden="1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5"/>
      <c r="M655" s="85"/>
      <c r="N655" s="730"/>
      <c r="O655" s="85"/>
      <c r="P655" s="85"/>
      <c r="Q655" s="84"/>
      <c r="R655" s="85"/>
      <c r="S655" s="730"/>
      <c r="T655" s="85"/>
      <c r="U655" s="85"/>
    </row>
    <row r="656" spans="1:21" ht="18.75" hidden="1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5"/>
      <c r="M656" s="85"/>
      <c r="N656" s="730"/>
      <c r="O656" s="85"/>
      <c r="P656" s="85"/>
      <c r="Q656" s="84"/>
      <c r="R656" s="85"/>
      <c r="S656" s="730"/>
      <c r="T656" s="85"/>
      <c r="U656" s="85"/>
    </row>
    <row r="657" spans="1:21" ht="18.75" hidden="1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IFERROR(__xludf.DUMMYFUNCTION("IMPORTRANGE(""https://docs.google.com/spreadsheets/d/1eHaY18a8A9IcSdp1K8H6x8fbOy06t2VsZHhMHf-1x7Y/edit?usp=sharing"",""แผน!II58"")"),0)</f>
        <v>0</v>
      </c>
      <c r="J657" s="292">
        <v>0</v>
      </c>
      <c r="K657" s="85"/>
      <c r="L657" s="85"/>
      <c r="M657" s="85"/>
      <c r="N657" s="730"/>
      <c r="O657" s="85"/>
      <c r="P657" s="85"/>
      <c r="Q657" s="84"/>
      <c r="R657" s="85"/>
      <c r="S657" s="730"/>
      <c r="T657" s="85"/>
      <c r="U657" s="85"/>
    </row>
    <row r="658" spans="1:21" ht="18.75" hidden="1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5"/>
      <c r="M658" s="85"/>
      <c r="N658" s="730"/>
      <c r="O658" s="85"/>
      <c r="P658" s="85"/>
      <c r="Q658" s="84"/>
      <c r="R658" s="85"/>
      <c r="S658" s="730"/>
      <c r="T658" s="85"/>
      <c r="U658" s="85"/>
    </row>
    <row r="659" spans="1:21" ht="18.75" hidden="1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5"/>
      <c r="M659" s="85"/>
      <c r="N659" s="730"/>
      <c r="O659" s="85"/>
      <c r="P659" s="85"/>
      <c r="Q659" s="84"/>
      <c r="R659" s="85"/>
      <c r="S659" s="730"/>
      <c r="T659" s="85"/>
      <c r="U659" s="85"/>
    </row>
    <row r="660" spans="1:21" ht="18.75" hidden="1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IFERROR(__xludf.DUMMYFUNCTION("IMPORTRANGE(""https://docs.google.com/spreadsheets/d/1eHaY18a8A9IcSdp1K8H6x8fbOy06t2VsZHhMHf-1x7Y/edit?usp=sharing"",""แผน!IJ58"")"),0)</f>
        <v>0</v>
      </c>
      <c r="J660" s="292">
        <v>0</v>
      </c>
      <c r="K660" s="85"/>
      <c r="L660" s="85"/>
      <c r="M660" s="85"/>
      <c r="N660" s="730"/>
      <c r="O660" s="85"/>
      <c r="P660" s="85"/>
      <c r="Q660" s="84"/>
      <c r="R660" s="85"/>
      <c r="S660" s="730"/>
      <c r="T660" s="85"/>
      <c r="U660" s="85"/>
    </row>
    <row r="661" spans="1:21" ht="19.5" hidden="1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IFERROR(__xludf.DUMMYFUNCTION("IMPORTRANGE(""https://docs.google.com/spreadsheets/d/1eHaY18a8A9IcSdp1K8H6x8fbOy06t2VsZHhMHf-1x7Y/edit?usp=sharing"",""แผน!IK58"")"),0)</f>
        <v>0</v>
      </c>
      <c r="J661" s="601">
        <f>J667+J670</f>
        <v>0</v>
      </c>
      <c r="K661" s="262">
        <f ca="1">IF(I661&gt;0,J661*100/I661,0)</f>
        <v>0</v>
      </c>
      <c r="L661" s="85"/>
      <c r="M661" s="85"/>
      <c r="N661" s="730"/>
      <c r="O661" s="85"/>
      <c r="P661" s="85"/>
      <c r="Q661" s="84"/>
      <c r="R661" s="85"/>
      <c r="S661" s="730"/>
      <c r="T661" s="85"/>
      <c r="U661" s="85"/>
    </row>
    <row r="662" spans="1:21" ht="18.75" hidden="1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0"/>
      <c r="M662" s="85"/>
      <c r="N662" s="730"/>
      <c r="O662" s="85"/>
      <c r="P662" s="85"/>
      <c r="Q662" s="732"/>
      <c r="R662" s="85"/>
      <c r="S662" s="730"/>
      <c r="T662" s="85"/>
      <c r="U662" s="85"/>
    </row>
    <row r="663" spans="1:21" ht="18.75" hidden="1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0"/>
      <c r="M663" s="85"/>
      <c r="N663" s="730"/>
      <c r="O663" s="85"/>
      <c r="P663" s="85"/>
      <c r="Q663" s="732"/>
      <c r="R663" s="85"/>
      <c r="S663" s="730"/>
      <c r="T663" s="85"/>
      <c r="U663" s="85"/>
    </row>
    <row r="664" spans="1:21" ht="18.75" hidden="1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0"/>
      <c r="M664" s="85"/>
      <c r="N664" s="730"/>
      <c r="O664" s="85"/>
      <c r="P664" s="85"/>
      <c r="Q664" s="732"/>
      <c r="R664" s="85"/>
      <c r="S664" s="730"/>
      <c r="T664" s="85"/>
      <c r="U664" s="85"/>
    </row>
    <row r="665" spans="1:21" ht="18.75" hidden="1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0"/>
      <c r="M665" s="85"/>
      <c r="N665" s="730"/>
      <c r="O665" s="85"/>
      <c r="P665" s="85"/>
      <c r="Q665" s="732"/>
      <c r="R665" s="85"/>
      <c r="S665" s="730"/>
      <c r="T665" s="85"/>
      <c r="U665" s="85"/>
    </row>
    <row r="666" spans="1:21" ht="18.75" hidden="1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0"/>
      <c r="M666" s="85"/>
      <c r="N666" s="730"/>
      <c r="O666" s="85"/>
      <c r="P666" s="85"/>
      <c r="Q666" s="732"/>
      <c r="R666" s="85"/>
      <c r="S666" s="730"/>
      <c r="T666" s="85"/>
      <c r="U666" s="85"/>
    </row>
    <row r="667" spans="1:21" ht="18.75" hidden="1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0"/>
      <c r="M667" s="85"/>
      <c r="N667" s="730"/>
      <c r="O667" s="85"/>
      <c r="P667" s="85"/>
      <c r="Q667" s="732"/>
      <c r="R667" s="85"/>
      <c r="S667" s="730"/>
      <c r="T667" s="85"/>
      <c r="U667" s="85"/>
    </row>
    <row r="668" spans="1:21" ht="18.75" hidden="1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0"/>
      <c r="M668" s="85"/>
      <c r="N668" s="730"/>
      <c r="O668" s="85"/>
      <c r="P668" s="85"/>
      <c r="Q668" s="732"/>
      <c r="R668" s="85"/>
      <c r="S668" s="730"/>
      <c r="T668" s="85"/>
      <c r="U668" s="85"/>
    </row>
    <row r="669" spans="1:21" ht="18.75" hidden="1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0"/>
      <c r="M669" s="85"/>
      <c r="N669" s="730"/>
      <c r="O669" s="85"/>
      <c r="P669" s="85"/>
      <c r="Q669" s="732"/>
      <c r="R669" s="85"/>
      <c r="S669" s="730"/>
      <c r="T669" s="85"/>
      <c r="U669" s="85"/>
    </row>
    <row r="670" spans="1:21" ht="18.75" hidden="1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0"/>
      <c r="M670" s="85"/>
      <c r="N670" s="730"/>
      <c r="O670" s="85"/>
      <c r="P670" s="85"/>
      <c r="Q670" s="732"/>
      <c r="R670" s="85"/>
      <c r="S670" s="730"/>
      <c r="T670" s="85"/>
      <c r="U670" s="85"/>
    </row>
    <row r="671" spans="1:21" ht="18.75" hidden="1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IFERROR(__xludf.DUMMYFUNCTION("IMPORTRANGE(""https://docs.google.com/spreadsheets/d/1tdoBKaGub7dwA3U6UFTqxio9LNnvDCQjHKmttSEBsFQ/edit?usp=sharing"",""จัดที่ดิน!AY58"")"),0)</f>
        <v>0</v>
      </c>
      <c r="K671" s="85"/>
      <c r="L671" s="85"/>
      <c r="M671" s="85"/>
      <c r="N671" s="730"/>
      <c r="O671" s="85"/>
      <c r="P671" s="85"/>
      <c r="Q671" s="84"/>
      <c r="R671" s="85"/>
      <c r="S671" s="730"/>
      <c r="T671" s="85"/>
      <c r="U671" s="85"/>
    </row>
    <row r="672" spans="1:21" ht="18.75" hidden="1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IFERROR(__xludf.DUMMYFUNCTION("IMPORTRANGE(""https://docs.google.com/spreadsheets/d/1tdoBKaGub7dwA3U6UFTqxio9LNnvDCQjHKmttSEBsFQ/edit?usp=sharing"",""จัดที่ดิน!AZ58"")"),0)</f>
        <v>0</v>
      </c>
      <c r="K672" s="85"/>
      <c r="L672" s="730"/>
      <c r="M672" s="85"/>
      <c r="N672" s="730"/>
      <c r="O672" s="85"/>
      <c r="P672" s="85"/>
      <c r="Q672" s="732"/>
      <c r="R672" s="85"/>
      <c r="S672" s="730"/>
      <c r="T672" s="85"/>
      <c r="U672" s="85"/>
    </row>
    <row r="673" spans="1:21" ht="18.75" hidden="1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IFERROR(__xludf.DUMMYFUNCTION("IMPORTRANGE(""https://docs.google.com/spreadsheets/d/1eHaY18a8A9IcSdp1K8H6x8fbOy06t2VsZHhMHf-1x7Y/edit?usp=sharing"",""แผน!IL58"")"),0)</f>
        <v>0</v>
      </c>
      <c r="J673" s="291">
        <f ca="1">IFERROR(__xludf.DUMMYFUNCTION("IMPORTRANGE(""https://docs.google.com/spreadsheets/d/1tdoBKaGub7dwA3U6UFTqxio9LNnvDCQjHKmttSEBsFQ/edit?usp=sharing"",""จัดที่ดิน!BA58"")"),0)</f>
        <v>0</v>
      </c>
      <c r="K673" s="72">
        <f ca="1">IF(I673&gt;0,J673*100/I673,0)</f>
        <v>0</v>
      </c>
      <c r="L673" s="730"/>
      <c r="M673" s="85"/>
      <c r="N673" s="730"/>
      <c r="O673" s="85"/>
      <c r="P673" s="85"/>
      <c r="Q673" s="732"/>
      <c r="R673" s="85"/>
      <c r="S673" s="730"/>
      <c r="T673" s="85"/>
      <c r="U673" s="85"/>
    </row>
    <row r="674" spans="1:21" ht="19.5" hidden="1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IFERROR(__xludf.DUMMYFUNCTION("IMPORTRANGE(""https://docs.google.com/spreadsheets/d/1eHaY18a8A9IcSdp1K8H6x8fbOy06t2VsZHhMHf-1x7Y/edit?usp=sharing"",""แผน!IM58"")"),0)</f>
        <v>0</v>
      </c>
      <c r="J674" s="601">
        <f ca="1">J676+J679</f>
        <v>0</v>
      </c>
      <c r="K674" s="262">
        <f ca="1">IF(I674&gt;0,J674*100/I674,0)</f>
        <v>0</v>
      </c>
      <c r="L674" s="730"/>
      <c r="M674" s="85"/>
      <c r="N674" s="730"/>
      <c r="O674" s="85"/>
      <c r="P674" s="85"/>
      <c r="Q674" s="732"/>
      <c r="R674" s="85"/>
      <c r="S674" s="730"/>
      <c r="T674" s="85"/>
      <c r="U674" s="85"/>
    </row>
    <row r="675" spans="1:21" ht="19.5" hidden="1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IFERROR(__xludf.DUMMYFUNCTION("IMPORTRANGE(""https://docs.google.com/spreadsheets/d/1eHaY18a8A9IcSdp1K8H6x8fbOy06t2VsZHhMHf-1x7Y/edit?usp=sharing"",""แผน!IN58"")"),0)</f>
        <v>0</v>
      </c>
      <c r="J675" s="601">
        <f ca="1">J678+J681</f>
        <v>0</v>
      </c>
      <c r="K675" s="262">
        <f ca="1">IF(I675&gt;0,J675*100/I675,0)</f>
        <v>0</v>
      </c>
      <c r="L675" s="85"/>
      <c r="M675" s="85"/>
      <c r="N675" s="730"/>
      <c r="O675" s="85"/>
      <c r="P675" s="85"/>
      <c r="Q675" s="84"/>
      <c r="R675" s="85"/>
      <c r="S675" s="730"/>
      <c r="T675" s="85"/>
      <c r="U675" s="85"/>
    </row>
    <row r="676" spans="1:21" ht="18.75" hidden="1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IFERROR(__xludf.DUMMYFUNCTION("IMPORTRANGE(""https://docs.google.com/spreadsheets/d/1eHaY18a8A9IcSdp1K8H6x8fbOy06t2VsZHhMHf-1x7Y/edit?usp=sharing"",""แผน!IO58"")"),0)</f>
        <v>0</v>
      </c>
      <c r="J676" s="291">
        <f ca="1">IFERROR(__xludf.DUMMYFUNCTION("IMPORTRANGE(""https://docs.google.com/spreadsheets/d/1tdoBKaGub7dwA3U6UFTqxio9LNnvDCQjHKmttSEBsFQ/edit?usp=sharing"",""จัดที่ดิน!BF58"")"),0)</f>
        <v>0</v>
      </c>
      <c r="K676" s="72">
        <f ca="1">IF(I676&gt;0,J676*100/I676,0)</f>
        <v>0</v>
      </c>
      <c r="L676" s="85"/>
      <c r="M676" s="85"/>
      <c r="N676" s="730"/>
      <c r="O676" s="85"/>
      <c r="P676" s="85"/>
      <c r="Q676" s="84"/>
      <c r="R676" s="85"/>
      <c r="S676" s="730"/>
      <c r="T676" s="85"/>
      <c r="U676" s="85"/>
    </row>
    <row r="677" spans="1:21" ht="18.75" hidden="1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IFERROR(__xludf.DUMMYFUNCTION("IMPORTRANGE(""https://docs.google.com/spreadsheets/d/1tdoBKaGub7dwA3U6UFTqxio9LNnvDCQjHKmttSEBsFQ/edit?usp=sharing"",""จัดที่ดิน!BG58"")"),0)</f>
        <v>0</v>
      </c>
      <c r="K677" s="85"/>
      <c r="L677" s="730"/>
      <c r="M677" s="85"/>
      <c r="N677" s="730"/>
      <c r="O677" s="85"/>
      <c r="P677" s="85"/>
      <c r="Q677" s="732"/>
      <c r="R677" s="85"/>
      <c r="S677" s="730"/>
      <c r="T677" s="85"/>
      <c r="U677" s="85"/>
    </row>
    <row r="678" spans="1:21" ht="18.75" hidden="1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IFERROR(__xludf.DUMMYFUNCTION("IMPORTRANGE(""https://docs.google.com/spreadsheets/d/1eHaY18a8A9IcSdp1K8H6x8fbOy06t2VsZHhMHf-1x7Y/edit?usp=sharing"",""แผน!IP58"")"),0)</f>
        <v>0</v>
      </c>
      <c r="J678" s="291">
        <f ca="1">IFERROR(__xludf.DUMMYFUNCTION("IMPORTRANGE(""https://docs.google.com/spreadsheets/d/1tdoBKaGub7dwA3U6UFTqxio9LNnvDCQjHKmttSEBsFQ/edit?usp=sharing"",""จัดที่ดิน!BH58"")"),0)</f>
        <v>0</v>
      </c>
      <c r="K678" s="72">
        <f ca="1">IF(I678&gt;0,J678*100/I678,0)</f>
        <v>0</v>
      </c>
      <c r="L678" s="730"/>
      <c r="M678" s="85"/>
      <c r="N678" s="730"/>
      <c r="O678" s="85"/>
      <c r="P678" s="85"/>
      <c r="Q678" s="732"/>
      <c r="R678" s="85"/>
      <c r="S678" s="730"/>
      <c r="T678" s="85"/>
      <c r="U678" s="85"/>
    </row>
    <row r="679" spans="1:21" ht="18.75" hidden="1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IFERROR(__xludf.DUMMYFUNCTION("IMPORTRANGE(""https://docs.google.com/spreadsheets/d/1eHaY18a8A9IcSdp1K8H6x8fbOy06t2VsZHhMHf-1x7Y/edit?usp=sharing"",""แผน!IQ58"")"),0)</f>
        <v>0</v>
      </c>
      <c r="J679" s="291">
        <f ca="1">IFERROR(__xludf.DUMMYFUNCTION("IMPORTRANGE(""https://docs.google.com/spreadsheets/d/1tdoBKaGub7dwA3U6UFTqxio9LNnvDCQjHKmttSEBsFQ/edit?usp=sharing"",""จัดที่ดิน!BK58"")"),0)</f>
        <v>0</v>
      </c>
      <c r="K679" s="72">
        <f ca="1">IF(I679&gt;0,J679*100/I679,0)</f>
        <v>0</v>
      </c>
      <c r="L679" s="85"/>
      <c r="M679" s="85"/>
      <c r="N679" s="730"/>
      <c r="O679" s="85"/>
      <c r="P679" s="85"/>
      <c r="Q679" s="84"/>
      <c r="R679" s="85"/>
      <c r="S679" s="730"/>
      <c r="T679" s="85"/>
      <c r="U679" s="85"/>
    </row>
    <row r="680" spans="1:21" ht="18.75" hidden="1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IFERROR(__xludf.DUMMYFUNCTION("IMPORTRANGE(""https://docs.google.com/spreadsheets/d/1tdoBKaGub7dwA3U6UFTqxio9LNnvDCQjHKmttSEBsFQ/edit?usp=sharing"",""จัดที่ดิน!BL58"")"),0)</f>
        <v>0</v>
      </c>
      <c r="K680" s="85"/>
      <c r="L680" s="730"/>
      <c r="M680" s="85"/>
      <c r="N680" s="730"/>
      <c r="O680" s="85"/>
      <c r="P680" s="85"/>
      <c r="Q680" s="732"/>
      <c r="R680" s="85"/>
      <c r="S680" s="730"/>
      <c r="T680" s="85"/>
      <c r="U680" s="85"/>
    </row>
    <row r="681" spans="1:21" ht="18.75" hidden="1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IFERROR(__xludf.DUMMYFUNCTION("IMPORTRANGE(""https://docs.google.com/spreadsheets/d/1eHaY18a8A9IcSdp1K8H6x8fbOy06t2VsZHhMHf-1x7Y/edit?usp=sharing"",""แผน!IR58"")"),0)</f>
        <v>0</v>
      </c>
      <c r="J681" s="291">
        <f ca="1">IFERROR(__xludf.DUMMYFUNCTION("IMPORTRANGE(""https://docs.google.com/spreadsheets/d/1tdoBKaGub7dwA3U6UFTqxio9LNnvDCQjHKmttSEBsFQ/edit?usp=sharing"",""จัดที่ดิน!BM58"")"),0)</f>
        <v>0</v>
      </c>
      <c r="K681" s="72">
        <f ca="1">IF(I681&gt;0,J681*100/I681,0)</f>
        <v>0</v>
      </c>
      <c r="L681" s="730"/>
      <c r="M681" s="85"/>
      <c r="N681" s="730"/>
      <c r="O681" s="85"/>
      <c r="P681" s="85"/>
      <c r="Q681" s="732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IFERROR(__xludf.DUMMYFUNCTION("IMPORTRANGE(""https://docs.google.com/spreadsheets/d/1eHaY18a8A9IcSdp1K8H6x8fbOy06t2VsZHhMHf-1x7Y/edit?usp=sharing"",""แผน!IS58"")"),0)</f>
        <v>0</v>
      </c>
      <c r="J682" s="601">
        <f>J685+J688</f>
        <v>0</v>
      </c>
      <c r="K682" s="262">
        <f ca="1">IF(I682&gt;0,J682*100/I682,0)</f>
        <v>0</v>
      </c>
      <c r="L682" s="85"/>
      <c r="M682" s="85"/>
      <c r="N682" s="730"/>
      <c r="O682" s="85"/>
      <c r="P682" s="85"/>
      <c r="Q682" s="84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0"/>
      <c r="M683" s="85"/>
      <c r="N683" s="730"/>
      <c r="O683" s="85"/>
      <c r="P683" s="85"/>
      <c r="Q683" s="732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0"/>
      <c r="M684" s="85"/>
      <c r="N684" s="730"/>
      <c r="O684" s="85"/>
      <c r="P684" s="85"/>
      <c r="Q684" s="732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0"/>
      <c r="M685" s="85"/>
      <c r="N685" s="730"/>
      <c r="O685" s="85"/>
      <c r="P685" s="85"/>
      <c r="Q685" s="732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0"/>
      <c r="M686" s="85"/>
      <c r="N686" s="730"/>
      <c r="O686" s="85"/>
      <c r="P686" s="85"/>
      <c r="Q686" s="732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0"/>
      <c r="M687" s="85"/>
      <c r="N687" s="730"/>
      <c r="O687" s="85"/>
      <c r="P687" s="85"/>
      <c r="Q687" s="732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0"/>
      <c r="M688" s="96"/>
      <c r="N688" s="740"/>
      <c r="O688" s="96"/>
      <c r="P688" s="96"/>
      <c r="Q688" s="741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2"/>
      <c r="M689" s="712"/>
      <c r="N689" s="712"/>
      <c r="O689" s="712"/>
      <c r="P689" s="712"/>
      <c r="Q689" s="713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262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389">
        <f ca="1">Q691+Q692</f>
        <v>60530</v>
      </c>
      <c r="R690" s="262">
        <f ca="1">R691+R692</f>
        <v>60530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5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4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2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1">
        <f t="shared" ca="1" si="172"/>
        <v>60530</v>
      </c>
      <c r="R692" s="72">
        <f t="shared" ca="1" si="172"/>
        <v>60530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2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1">
        <f ca="1">Q694+Q695</f>
        <v>60530</v>
      </c>
      <c r="R693" s="72">
        <f ca="1">R694+R695</f>
        <v>60530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5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4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2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1">
        <f ca="1">IFERROR(__xludf.DUMMYFUNCTION("IMPORTRANGE(""https://docs.google.com/spreadsheets/d/1ItG2mGa2ceCfYo0BwxsXqNm01IGEUdYcSSLTEv9YCik/edit?usp=sharing"",""เบิกจ่ายกองทุน!L58"")"),60530)</f>
        <v>60530</v>
      </c>
      <c r="R695" s="72">
        <f ca="1">IFERROR(__xludf.DUMMYFUNCTION("IMPORTRANGE(""https://docs.google.com/spreadsheets/d/1ItG2mGa2ceCfYo0BwxsXqNm01IGEUdYcSSLTEv9YCik/edit?usp=sharing"",""เบิกจ่ายกองทุน!M58"")"),60530)</f>
        <v>60530</v>
      </c>
      <c r="S695" s="72">
        <f ca="1">IFERROR(__xludf.DUMMYFUNCTION("IMPORTRANGE(""https://docs.google.com/spreadsheets/d/1ItG2mGa2ceCfYo0BwxsXqNm01IGEUdYcSSLTEv9YCik/edit?usp=sharing"",""เบิกจ่ายกองทุน!N58"")"),0)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2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1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5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4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2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1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5"/>
      <c r="M699" s="85"/>
      <c r="N699" s="85"/>
      <c r="O699" s="85"/>
      <c r="P699" s="85"/>
      <c r="Q699" s="84"/>
      <c r="R699" s="85"/>
      <c r="S699" s="85"/>
      <c r="T699" s="85"/>
      <c r="U699" s="85"/>
    </row>
    <row r="700" spans="1:21" ht="19.5" x14ac:dyDescent="0.3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IFERROR(__xludf.DUMMYFUNCTION("IMPORTRANGE(""https://docs.google.com/spreadsheets/d/1eHaY18a8A9IcSdp1K8H6x8fbOy06t2VsZHhMHf-1x7Y/edit?usp=sharing"",""แผน!LC58"")"),0)</f>
        <v>0</v>
      </c>
      <c r="J700" s="1344">
        <v>0</v>
      </c>
      <c r="K700" s="746">
        <f t="shared" ref="K700:K710" ca="1" si="173">IF(I700&gt;0,J700*100/I700,0)</f>
        <v>0</v>
      </c>
      <c r="L700" s="227"/>
      <c r="M700" s="227"/>
      <c r="N700" s="85"/>
      <c r="O700" s="227"/>
      <c r="P700" s="227"/>
      <c r="Q700" s="226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4</v>
      </c>
      <c r="J701" s="601">
        <f ca="1">J703+J705</f>
        <v>0</v>
      </c>
      <c r="K701" s="262">
        <f t="shared" ca="1" si="173"/>
        <v>0</v>
      </c>
      <c r="L701" s="227"/>
      <c r="M701" s="227"/>
      <c r="N701" s="227"/>
      <c r="O701" s="227"/>
      <c r="P701" s="227"/>
      <c r="Q701" s="226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7"/>
      <c r="M702" s="227"/>
      <c r="N702" s="227"/>
      <c r="O702" s="227"/>
      <c r="P702" s="227"/>
      <c r="Q702" s="226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IFERROR(__xludf.DUMMYFUNCTION("IMPORTRANGE(""https://docs.google.com/spreadsheets/d/1eHaY18a8A9IcSdp1K8H6x8fbOy06t2VsZHhMHf-1x7Y/edit?usp=sharing"",""แผน!LJ58"")"),0)</f>
        <v>0</v>
      </c>
      <c r="J703" s="291">
        <f ca="1">IFERROR(__xludf.DUMMYFUNCTION("IMPORTRANGE(""https://docs.google.com/spreadsheets/d/1tdoBKaGub7dwA3U6UFTqxio9LNnvDCQjHKmttSEBsFQ/edit?usp=sharing"",""จัดที่ดิน!AP58"")"),0)</f>
        <v>0</v>
      </c>
      <c r="K703" s="72">
        <f t="shared" ca="1" si="173"/>
        <v>0</v>
      </c>
      <c r="L703" s="227"/>
      <c r="M703" s="227"/>
      <c r="N703" s="227"/>
      <c r="O703" s="227"/>
      <c r="P703" s="227"/>
      <c r="Q703" s="226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IFERROR(__xludf.DUMMYFUNCTION("IMPORTRANGE(""https://docs.google.com/spreadsheets/d/1tdoBKaGub7dwA3U6UFTqxio9LNnvDCQjHKmttSEBsFQ/edit?usp=sharing"",""จัดที่ดิน!AQ58"")"),0)</f>
        <v>0</v>
      </c>
      <c r="K704" s="72">
        <f t="shared" si="173"/>
        <v>0</v>
      </c>
      <c r="L704" s="227"/>
      <c r="M704" s="227"/>
      <c r="N704" s="227"/>
      <c r="O704" s="227"/>
      <c r="P704" s="227"/>
      <c r="Q704" s="226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IFERROR(__xludf.DUMMYFUNCTION("IMPORTRANGE(""https://docs.google.com/spreadsheets/d/1eHaY18a8A9IcSdp1K8H6x8fbOy06t2VsZHhMHf-1x7Y/edit?usp=sharing"",""แผน!LK58"")"),4)</f>
        <v>4</v>
      </c>
      <c r="J705" s="291">
        <f ca="1">IFERROR(__xludf.DUMMYFUNCTION("IMPORTRANGE(""https://docs.google.com/spreadsheets/d/1tdoBKaGub7dwA3U6UFTqxio9LNnvDCQjHKmttSEBsFQ/edit?usp=sharing"",""จัดที่ดิน!AR58"")"),0)</f>
        <v>0</v>
      </c>
      <c r="K705" s="746">
        <f t="shared" ca="1" si="173"/>
        <v>0</v>
      </c>
      <c r="L705" s="227"/>
      <c r="M705" s="227"/>
      <c r="N705" s="227"/>
      <c r="O705" s="227"/>
      <c r="P705" s="227"/>
      <c r="Q705" s="226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IFERROR(__xludf.DUMMYFUNCTION("IMPORTRANGE(""https://docs.google.com/spreadsheets/d/1tdoBKaGub7dwA3U6UFTqxio9LNnvDCQjHKmttSEBsFQ/edit?usp=sharing"",""จัดที่ดิน!AS58"")"),0)</f>
        <v>0</v>
      </c>
      <c r="K706" s="72">
        <f t="shared" si="173"/>
        <v>0</v>
      </c>
      <c r="L706" s="227"/>
      <c r="M706" s="227"/>
      <c r="N706" s="227"/>
      <c r="O706" s="227"/>
      <c r="P706" s="227"/>
      <c r="Q706" s="226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IFERROR(__xludf.DUMMYFUNCTION("IMPORTRANGE(""https://docs.google.com/spreadsheets/d/1eHaY18a8A9IcSdp1K8H6x8fbOy06t2VsZHhMHf-1x7Y/edit?usp=sharing"",""แผน!LJ58"")"),0)</f>
        <v>0</v>
      </c>
      <c r="J707" s="291">
        <f ca="1">IFERROR(__xludf.DUMMYFUNCTION("IMPORTRANGE(""https://docs.google.com/spreadsheets/d/1tdoBKaGub7dwA3U6UFTqxio9LNnvDCQjHKmttSEBsFQ/edit?usp=sharing"",""จัดที่ดิน!BN58"")"),0)</f>
        <v>0</v>
      </c>
      <c r="K707" s="72">
        <f t="shared" ca="1" si="173"/>
        <v>0</v>
      </c>
      <c r="L707" s="227"/>
      <c r="M707" s="227"/>
      <c r="N707" s="227"/>
      <c r="O707" s="227"/>
      <c r="P707" s="227"/>
      <c r="Q707" s="226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IFERROR(__xludf.DUMMYFUNCTION("IMPORTRANGE(""https://docs.google.com/spreadsheets/d/1tdoBKaGub7dwA3U6UFTqxio9LNnvDCQjHKmttSEBsFQ/edit?usp=sharing"",""จัดที่ดิน!BO58"")"),0)</f>
        <v>0</v>
      </c>
      <c r="K708" s="72">
        <f t="shared" si="173"/>
        <v>0</v>
      </c>
      <c r="L708" s="227"/>
      <c r="M708" s="227"/>
      <c r="N708" s="227"/>
      <c r="O708" s="227"/>
      <c r="P708" s="227"/>
      <c r="Q708" s="226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IFERROR(__xludf.DUMMYFUNCTION("IMPORTRANGE(""https://docs.google.com/spreadsheets/d/1eHaY18a8A9IcSdp1K8H6x8fbOy06t2VsZHhMHf-1x7Y/edit?usp=sharing"",""แผน!LK58"")"),4)</f>
        <v>4</v>
      </c>
      <c r="J709" s="291">
        <f ca="1">IFERROR(__xludf.DUMMYFUNCTION("IMPORTRANGE(""https://docs.google.com/spreadsheets/d/1tdoBKaGub7dwA3U6UFTqxio9LNnvDCQjHKmttSEBsFQ/edit?usp=sharing"",""จัดที่ดิน!BP58"")"),0)</f>
        <v>0</v>
      </c>
      <c r="K709" s="72">
        <f t="shared" ca="1" si="173"/>
        <v>0</v>
      </c>
      <c r="L709" s="85"/>
      <c r="M709" s="85"/>
      <c r="N709" s="85"/>
      <c r="O709" s="85"/>
      <c r="P709" s="85"/>
      <c r="Q709" s="84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IFERROR(__xludf.DUMMYFUNCTION("IMPORTRANGE(""https://docs.google.com/spreadsheets/d/1tdoBKaGub7dwA3U6UFTqxio9LNnvDCQjHKmttSEBsFQ/edit?usp=sharing"",""จัดที่ดิน!BQ58"")"),0)</f>
        <v>0</v>
      </c>
      <c r="K710" s="72">
        <f t="shared" si="173"/>
        <v>0</v>
      </c>
      <c r="L710" s="85"/>
      <c r="M710" s="85"/>
      <c r="N710" s="85"/>
      <c r="O710" s="85"/>
      <c r="P710" s="85"/>
      <c r="Q710" s="84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79"/>
      <c r="M711" s="579"/>
      <c r="N711" s="579"/>
      <c r="O711" s="579"/>
      <c r="P711" s="579"/>
      <c r="Q711" s="580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2"/>
      <c r="M712" s="712"/>
      <c r="N712" s="712"/>
      <c r="O712" s="712"/>
      <c r="P712" s="712"/>
      <c r="Q712" s="713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2"/>
      <c r="M713" s="712"/>
      <c r="N713" s="712"/>
      <c r="O713" s="712"/>
      <c r="P713" s="712"/>
      <c r="Q713" s="713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262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389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5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4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2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1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2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1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5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4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2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1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2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1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5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4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2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1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7"/>
      <c r="M723" s="227"/>
      <c r="N723" s="227"/>
      <c r="O723" s="227"/>
      <c r="P723" s="227"/>
      <c r="Q723" s="226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5"/>
      <c r="M724" s="85"/>
      <c r="N724" s="85"/>
      <c r="O724" s="85"/>
      <c r="P724" s="85"/>
      <c r="Q724" s="84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6"/>
      <c r="M725" s="96"/>
      <c r="N725" s="96"/>
      <c r="O725" s="96"/>
      <c r="P725" s="96"/>
      <c r="Q725" s="95"/>
      <c r="R725" s="96"/>
      <c r="S725" s="96"/>
      <c r="T725" s="96"/>
      <c r="U725" s="96"/>
    </row>
    <row r="726" spans="1:21" ht="19.5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IFERROR(__xludf.DUMMYFUNCTION("IMPORTRANGE(""https://docs.google.com/spreadsheets/d/1eHaY18a8A9IcSdp1K8H6x8fbOy06t2VsZHhMHf-1x7Y/edit?usp=sharing"",""แผน!GA58"")"),21)</f>
        <v>21</v>
      </c>
      <c r="J726" s="743">
        <f>J742+J746+J749</f>
        <v>21</v>
      </c>
      <c r="K726" s="744">
        <f ca="1">IF(I726&gt;0,J726*100/I726,0)</f>
        <v>100</v>
      </c>
      <c r="L726" s="712"/>
      <c r="M726" s="712"/>
      <c r="N726" s="712"/>
      <c r="O726" s="712"/>
      <c r="P726" s="712"/>
      <c r="Q726" s="713"/>
      <c r="R726" s="712"/>
      <c r="S726" s="712"/>
      <c r="T726" s="712"/>
      <c r="U726" s="712"/>
    </row>
    <row r="727" spans="1:21" ht="19.5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IFERROR(__xludf.DUMMYFUNCTION("IMPORTRANGE(""https://docs.google.com/spreadsheets/d/1eHaY18a8A9IcSdp1K8H6x8fbOy06t2VsZHhMHf-1x7Y/edit?usp=sharing"",""แผน!FZ58"")"),200)</f>
        <v>200</v>
      </c>
      <c r="J727" s="743">
        <f>J752+J755</f>
        <v>200</v>
      </c>
      <c r="K727" s="744">
        <f ca="1">IF(I727&gt;0,J727*100/I727,0)</f>
        <v>100</v>
      </c>
      <c r="L727" s="712"/>
      <c r="M727" s="712"/>
      <c r="N727" s="712"/>
      <c r="O727" s="712"/>
      <c r="P727" s="712"/>
      <c r="Q727" s="713"/>
      <c r="R727" s="712"/>
      <c r="S727" s="712"/>
      <c r="T727" s="712"/>
      <c r="U727" s="712"/>
    </row>
    <row r="728" spans="1:21" ht="19.5" x14ac:dyDescent="0.3">
      <c r="A728" s="255"/>
      <c r="B728" s="267"/>
      <c r="C728" s="668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262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389">
        <f ca="1">Q729+Q730</f>
        <v>175994</v>
      </c>
      <c r="R728" s="262">
        <f ca="1">R729+R730</f>
        <v>175994</v>
      </c>
      <c r="S728" s="262">
        <f ca="1">S729+S730</f>
        <v>157144</v>
      </c>
      <c r="T728" s="262">
        <f t="shared" ref="T728:T736" ca="1" si="182">IF(Q728&gt;0,S728*100/Q728,0)</f>
        <v>89.289407593440686</v>
      </c>
      <c r="U728" s="262">
        <f t="shared" ref="U728:U736" ca="1" si="183">IF(R728&gt;0,S728*100/R728,0)</f>
        <v>89.289407593440686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5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4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2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1">
        <f t="shared" ca="1" si="185"/>
        <v>175994</v>
      </c>
      <c r="R730" s="72">
        <f t="shared" ca="1" si="185"/>
        <v>175994</v>
      </c>
      <c r="S730" s="72">
        <f t="shared" ca="1" si="185"/>
        <v>157144</v>
      </c>
      <c r="T730" s="72">
        <f t="shared" ca="1" si="182"/>
        <v>89.289407593440686</v>
      </c>
      <c r="U730" s="72">
        <f t="shared" ca="1" si="183"/>
        <v>89.289407593440686</v>
      </c>
    </row>
    <row r="731" spans="1:21" ht="18.75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2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1">
        <f ca="1">Q732+Q733</f>
        <v>175994</v>
      </c>
      <c r="R731" s="72">
        <f ca="1">R732+R733</f>
        <v>175994</v>
      </c>
      <c r="S731" s="72">
        <f ca="1">S732+S733</f>
        <v>157144</v>
      </c>
      <c r="T731" s="72">
        <f t="shared" ca="1" si="182"/>
        <v>89.289407593440686</v>
      </c>
      <c r="U731" s="72">
        <f t="shared" ca="1" si="183"/>
        <v>89.289407593440686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5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4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2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1">
        <f ca="1">IFERROR(__xludf.DUMMYFUNCTION("IMPORTRANGE(""https://docs.google.com/spreadsheets/d/1ItG2mGa2ceCfYo0BwxsXqNm01IGEUdYcSSLTEv9YCik/edit?usp=sharing"",""เบิกจ่ายกองทุน!O58"")"),175994)</f>
        <v>175994</v>
      </c>
      <c r="R733" s="72">
        <f ca="1">IFERROR(__xludf.DUMMYFUNCTION("IMPORTRANGE(""https://docs.google.com/spreadsheets/d/1ItG2mGa2ceCfYo0BwxsXqNm01IGEUdYcSSLTEv9YCik/edit?usp=sharing"",""เบิกจ่ายกองทุน!P58"")"),175994)</f>
        <v>175994</v>
      </c>
      <c r="S733" s="72">
        <f ca="1">IFERROR(__xludf.DUMMYFUNCTION("IMPORTRANGE(""https://docs.google.com/spreadsheets/d/1ItG2mGa2ceCfYo0BwxsXqNm01IGEUdYcSSLTEv9YCik/edit?usp=sharing"",""เบิกจ่ายกองทุน!Q58"")"),157144)</f>
        <v>157144</v>
      </c>
      <c r="T733" s="72">
        <f t="shared" ca="1" si="182"/>
        <v>89.289407593440686</v>
      </c>
      <c r="U733" s="72">
        <f t="shared" ca="1" si="183"/>
        <v>89.289407593440686</v>
      </c>
    </row>
    <row r="734" spans="1:21" ht="18.75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2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1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5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4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2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1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x14ac:dyDescent="0.3">
      <c r="A737" s="274"/>
      <c r="B737" s="275"/>
      <c r="C737" s="668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5"/>
      <c r="M737" s="85"/>
      <c r="N737" s="85"/>
      <c r="O737" s="85"/>
      <c r="P737" s="85"/>
      <c r="Q737" s="84"/>
      <c r="R737" s="85"/>
      <c r="S737" s="85"/>
      <c r="T737" s="85"/>
      <c r="U737" s="85"/>
    </row>
    <row r="738" spans="1:21" ht="19.5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5"/>
      <c r="M738" s="85"/>
      <c r="N738" s="85"/>
      <c r="O738" s="85"/>
      <c r="P738" s="85"/>
      <c r="Q738" s="84"/>
      <c r="R738" s="85"/>
      <c r="S738" s="85"/>
      <c r="T738" s="85"/>
      <c r="U738" s="85"/>
    </row>
    <row r="739" spans="1:21" ht="18.75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5"/>
      <c r="M739" s="85"/>
      <c r="N739" s="85"/>
      <c r="O739" s="85"/>
      <c r="P739" s="85"/>
      <c r="Q739" s="84"/>
      <c r="R739" s="85"/>
      <c r="S739" s="85"/>
      <c r="T739" s="85"/>
      <c r="U739" s="85"/>
    </row>
    <row r="740" spans="1:21" ht="18.75" x14ac:dyDescent="0.25">
      <c r="A740" s="220"/>
      <c r="B740" s="221"/>
      <c r="C740" s="221"/>
      <c r="D740" s="221"/>
      <c r="E740" s="221"/>
      <c r="F740" s="687" t="s">
        <v>275</v>
      </c>
      <c r="G740" s="225"/>
      <c r="H740" s="214" t="s">
        <v>46</v>
      </c>
      <c r="I740" s="237">
        <f ca="1">IFERROR(__xludf.DUMMYFUNCTION("IMPORTRANGE(""https://docs.google.com/spreadsheets/d/1eHaY18a8A9IcSdp1K8H6x8fbOy06t2VsZHhMHf-1x7Y/edit?usp=sharing"",""แผน!GB58"")"),160)</f>
        <v>160</v>
      </c>
      <c r="J740" s="794">
        <v>160</v>
      </c>
      <c r="K740" s="86">
        <f ca="1">IF(I740&gt;0,J740*100/I740,0)</f>
        <v>100</v>
      </c>
      <c r="L740" s="70"/>
      <c r="M740" s="70"/>
      <c r="N740" s="70"/>
      <c r="O740" s="70"/>
      <c r="P740" s="70"/>
      <c r="Q740" s="519"/>
      <c r="R740" s="70"/>
      <c r="S740" s="70"/>
      <c r="T740" s="70"/>
      <c r="U740" s="70"/>
    </row>
    <row r="741" spans="1:21" ht="18.75" x14ac:dyDescent="0.25">
      <c r="A741" s="220"/>
      <c r="B741" s="221"/>
      <c r="C741" s="221"/>
      <c r="D741" s="221"/>
      <c r="E741" s="221"/>
      <c r="F741" s="687" t="s">
        <v>310</v>
      </c>
      <c r="G741" s="225"/>
      <c r="H741" s="214" t="s">
        <v>35</v>
      </c>
      <c r="I741" s="69"/>
      <c r="J741" s="794">
        <v>16</v>
      </c>
      <c r="K741" s="70"/>
      <c r="L741" s="70"/>
      <c r="M741" s="70"/>
      <c r="N741" s="70"/>
      <c r="O741" s="70"/>
      <c r="P741" s="70"/>
      <c r="Q741" s="519"/>
      <c r="R741" s="70"/>
      <c r="S741" s="70"/>
      <c r="T741" s="70"/>
      <c r="U741" s="70"/>
    </row>
    <row r="742" spans="1:21" ht="18.75" x14ac:dyDescent="0.25">
      <c r="A742" s="220"/>
      <c r="B742" s="221"/>
      <c r="C742" s="221"/>
      <c r="D742" s="221"/>
      <c r="E742" s="221"/>
      <c r="F742" s="687" t="s">
        <v>309</v>
      </c>
      <c r="G742" s="225"/>
      <c r="H742" s="214" t="s">
        <v>35</v>
      </c>
      <c r="I742" s="237">
        <f ca="1">IFERROR(__xludf.DUMMYFUNCTION("IMPORTRANGE(""https://docs.google.com/spreadsheets/d/1eHaY18a8A9IcSdp1K8H6x8fbOy06t2VsZHhMHf-1x7Y/edit?usp=sharing"",""แผน!GC58"")"),16)</f>
        <v>16</v>
      </c>
      <c r="J742" s="794">
        <v>16</v>
      </c>
      <c r="K742" s="86">
        <f ca="1">IF(I742&gt;0,J742*100/I742,0)</f>
        <v>100</v>
      </c>
      <c r="L742" s="70"/>
      <c r="M742" s="70"/>
      <c r="N742" s="70"/>
      <c r="O742" s="70"/>
      <c r="P742" s="70"/>
      <c r="Q742" s="519"/>
      <c r="R742" s="70"/>
      <c r="S742" s="70"/>
      <c r="T742" s="70"/>
      <c r="U742" s="70"/>
    </row>
    <row r="743" spans="1:21" ht="18.75" x14ac:dyDescent="0.25">
      <c r="A743" s="220"/>
      <c r="B743" s="221"/>
      <c r="C743" s="221"/>
      <c r="D743" s="221"/>
      <c r="E743" s="687" t="s">
        <v>278</v>
      </c>
      <c r="F743" s="221"/>
      <c r="G743" s="225"/>
      <c r="H743" s="795"/>
      <c r="I743" s="69"/>
      <c r="J743" s="69"/>
      <c r="K743" s="70"/>
      <c r="L743" s="70"/>
      <c r="M743" s="70"/>
      <c r="N743" s="70"/>
      <c r="O743" s="70"/>
      <c r="P743" s="70"/>
      <c r="Q743" s="519"/>
      <c r="R743" s="70"/>
      <c r="S743" s="70"/>
      <c r="T743" s="70"/>
      <c r="U743" s="70"/>
    </row>
    <row r="744" spans="1:21" ht="18.75" x14ac:dyDescent="0.25">
      <c r="A744" s="220"/>
      <c r="B744" s="221"/>
      <c r="C744" s="221"/>
      <c r="D744" s="221"/>
      <c r="E744" s="221"/>
      <c r="F744" s="687" t="s">
        <v>275</v>
      </c>
      <c r="G744" s="225"/>
      <c r="H744" s="214" t="s">
        <v>46</v>
      </c>
      <c r="I744" s="237">
        <f ca="1">IFERROR(__xludf.DUMMYFUNCTION("IMPORTRANGE(""https://docs.google.com/spreadsheets/d/1eHaY18a8A9IcSdp1K8H6x8fbOy06t2VsZHhMHf-1x7Y/edit?usp=sharing"",""แผน!GD58"")"),40)</f>
        <v>40</v>
      </c>
      <c r="J744" s="794">
        <v>40</v>
      </c>
      <c r="K744" s="86">
        <f ca="1">IF(I744&gt;0,J744*100/I744,0)</f>
        <v>100</v>
      </c>
      <c r="L744" s="70"/>
      <c r="M744" s="70"/>
      <c r="N744" s="70"/>
      <c r="O744" s="70"/>
      <c r="P744" s="70"/>
      <c r="Q744" s="519"/>
      <c r="R744" s="70"/>
      <c r="S744" s="70"/>
      <c r="T744" s="70"/>
      <c r="U744" s="70"/>
    </row>
    <row r="745" spans="1:21" ht="18.75" x14ac:dyDescent="0.25">
      <c r="A745" s="220"/>
      <c r="B745" s="221"/>
      <c r="C745" s="221"/>
      <c r="D745" s="221"/>
      <c r="E745" s="221"/>
      <c r="F745" s="687" t="s">
        <v>308</v>
      </c>
      <c r="G745" s="225"/>
      <c r="H745" s="214" t="s">
        <v>35</v>
      </c>
      <c r="I745" s="69"/>
      <c r="J745" s="794">
        <v>4</v>
      </c>
      <c r="K745" s="70"/>
      <c r="L745" s="70"/>
      <c r="M745" s="70"/>
      <c r="N745" s="70"/>
      <c r="O745" s="70"/>
      <c r="P745" s="70"/>
      <c r="Q745" s="519"/>
      <c r="R745" s="70"/>
      <c r="S745" s="70"/>
      <c r="T745" s="70"/>
      <c r="U745" s="70"/>
    </row>
    <row r="746" spans="1:21" ht="18.75" x14ac:dyDescent="0.25">
      <c r="A746" s="220"/>
      <c r="B746" s="221"/>
      <c r="C746" s="221"/>
      <c r="D746" s="221"/>
      <c r="E746" s="221"/>
      <c r="F746" s="687" t="s">
        <v>307</v>
      </c>
      <c r="G746" s="225"/>
      <c r="H746" s="214" t="s">
        <v>35</v>
      </c>
      <c r="I746" s="237">
        <f ca="1">IFERROR(__xludf.DUMMYFUNCTION("IMPORTRANGE(""https://docs.google.com/spreadsheets/d/1eHaY18a8A9IcSdp1K8H6x8fbOy06t2VsZHhMHf-1x7Y/edit?usp=sharing"",""แผน!GE58"")"),4)</f>
        <v>4</v>
      </c>
      <c r="J746" s="794">
        <v>4</v>
      </c>
      <c r="K746" s="86">
        <f ca="1">IF(I746&gt;0,J746*100/I746,0)</f>
        <v>100</v>
      </c>
      <c r="L746" s="70"/>
      <c r="M746" s="70"/>
      <c r="N746" s="70"/>
      <c r="O746" s="70"/>
      <c r="P746" s="70"/>
      <c r="Q746" s="519"/>
      <c r="R746" s="70"/>
      <c r="S746" s="70"/>
      <c r="T746" s="70"/>
      <c r="U746" s="70"/>
    </row>
    <row r="747" spans="1:21" ht="18.75" x14ac:dyDescent="0.25">
      <c r="A747" s="220"/>
      <c r="B747" s="221"/>
      <c r="C747" s="221"/>
      <c r="D747" s="221"/>
      <c r="E747" s="687" t="s">
        <v>281</v>
      </c>
      <c r="F747" s="229"/>
      <c r="G747" s="225"/>
      <c r="H747" s="795"/>
      <c r="I747" s="69"/>
      <c r="J747" s="69"/>
      <c r="K747" s="70"/>
      <c r="L747" s="70"/>
      <c r="M747" s="70"/>
      <c r="N747" s="70"/>
      <c r="O747" s="70"/>
      <c r="P747" s="70"/>
      <c r="Q747" s="519"/>
      <c r="R747" s="70"/>
      <c r="S747" s="70"/>
      <c r="T747" s="70"/>
      <c r="U747" s="70"/>
    </row>
    <row r="748" spans="1:21" ht="18.75" x14ac:dyDescent="0.25">
      <c r="A748" s="220"/>
      <c r="B748" s="221"/>
      <c r="C748" s="221"/>
      <c r="D748" s="221"/>
      <c r="E748" s="221"/>
      <c r="F748" s="687" t="s">
        <v>306</v>
      </c>
      <c r="G748" s="225"/>
      <c r="H748" s="214" t="s">
        <v>35</v>
      </c>
      <c r="I748" s="69"/>
      <c r="J748" s="794">
        <v>1</v>
      </c>
      <c r="K748" s="70"/>
      <c r="L748" s="70"/>
      <c r="M748" s="70"/>
      <c r="N748" s="70"/>
      <c r="O748" s="70"/>
      <c r="P748" s="70"/>
      <c r="Q748" s="519"/>
      <c r="R748" s="70"/>
      <c r="S748" s="70"/>
      <c r="T748" s="70"/>
      <c r="U748" s="70"/>
    </row>
    <row r="749" spans="1:21" ht="18.75" x14ac:dyDescent="0.25">
      <c r="A749" s="220"/>
      <c r="B749" s="221"/>
      <c r="C749" s="221"/>
      <c r="D749" s="221"/>
      <c r="E749" s="221"/>
      <c r="F749" s="687" t="s">
        <v>305</v>
      </c>
      <c r="G749" s="225"/>
      <c r="H749" s="214" t="s">
        <v>35</v>
      </c>
      <c r="I749" s="237">
        <f ca="1">IFERROR(__xludf.DUMMYFUNCTION("IMPORTRANGE(""https://docs.google.com/spreadsheets/d/1eHaY18a8A9IcSdp1K8H6x8fbOy06t2VsZHhMHf-1x7Y/edit?usp=sharing"",""แผน!GF58"")"),1)</f>
        <v>1</v>
      </c>
      <c r="J749" s="794">
        <v>1</v>
      </c>
      <c r="K749" s="86">
        <f ca="1">IF(I749&gt;0,J749*100/I749,0)</f>
        <v>100</v>
      </c>
      <c r="L749" s="70"/>
      <c r="M749" s="70"/>
      <c r="N749" s="70"/>
      <c r="O749" s="70"/>
      <c r="P749" s="70"/>
      <c r="Q749" s="519"/>
      <c r="R749" s="70"/>
      <c r="S749" s="70"/>
      <c r="T749" s="70"/>
      <c r="U749" s="70"/>
    </row>
    <row r="750" spans="1:21" ht="19.5" x14ac:dyDescent="0.3">
      <c r="A750" s="220"/>
      <c r="B750" s="221"/>
      <c r="C750" s="221"/>
      <c r="D750" s="796" t="s">
        <v>50</v>
      </c>
      <c r="E750" s="221"/>
      <c r="F750" s="229"/>
      <c r="G750" s="225"/>
      <c r="H750" s="795"/>
      <c r="I750" s="69"/>
      <c r="J750" s="69"/>
      <c r="K750" s="70"/>
      <c r="L750" s="70"/>
      <c r="M750" s="70"/>
      <c r="N750" s="70"/>
      <c r="O750" s="70"/>
      <c r="P750" s="70"/>
      <c r="Q750" s="519"/>
      <c r="R750" s="70"/>
      <c r="S750" s="70"/>
      <c r="T750" s="70"/>
      <c r="U750" s="70"/>
    </row>
    <row r="751" spans="1:21" ht="18.75" x14ac:dyDescent="0.25">
      <c r="A751" s="220"/>
      <c r="B751" s="221"/>
      <c r="C751" s="221"/>
      <c r="D751" s="221"/>
      <c r="E751" s="687" t="s">
        <v>274</v>
      </c>
      <c r="F751" s="229"/>
      <c r="G751" s="225"/>
      <c r="H751" s="795"/>
      <c r="I751" s="69"/>
      <c r="J751" s="69"/>
      <c r="K751" s="70"/>
      <c r="L751" s="70"/>
      <c r="M751" s="70"/>
      <c r="N751" s="70"/>
      <c r="O751" s="70"/>
      <c r="P751" s="70"/>
      <c r="Q751" s="519"/>
      <c r="R751" s="70"/>
      <c r="S751" s="70"/>
      <c r="T751" s="70"/>
      <c r="U751" s="70"/>
    </row>
    <row r="752" spans="1:21" ht="18.75" x14ac:dyDescent="0.25">
      <c r="A752" s="220"/>
      <c r="B752" s="221"/>
      <c r="C752" s="221"/>
      <c r="D752" s="221"/>
      <c r="E752" s="221"/>
      <c r="F752" s="234" t="s">
        <v>304</v>
      </c>
      <c r="G752" s="225"/>
      <c r="H752" s="214" t="s">
        <v>46</v>
      </c>
      <c r="I752" s="237">
        <f ca="1">IFERROR(__xludf.DUMMYFUNCTION("IMPORTRANGE(""https://docs.google.com/spreadsheets/d/1eHaY18a8A9IcSdp1K8H6x8fbOy06t2VsZHhMHf-1x7Y/edit?usp=sharing"",""แผน!GB58"")"),160)</f>
        <v>160</v>
      </c>
      <c r="J752" s="794">
        <v>160</v>
      </c>
      <c r="K752" s="86">
        <f ca="1">IF(I752&gt;0,J752*100/I752,0)</f>
        <v>100</v>
      </c>
      <c r="L752" s="70"/>
      <c r="M752" s="70"/>
      <c r="N752" s="70"/>
      <c r="O752" s="70"/>
      <c r="P752" s="70"/>
      <c r="Q752" s="519"/>
      <c r="R752" s="70"/>
      <c r="S752" s="70"/>
      <c r="T752" s="70"/>
      <c r="U752" s="70"/>
    </row>
    <row r="753" spans="1:21" ht="18.75" x14ac:dyDescent="0.25">
      <c r="A753" s="220"/>
      <c r="B753" s="221"/>
      <c r="C753" s="221"/>
      <c r="D753" s="221"/>
      <c r="E753" s="221"/>
      <c r="F753" s="234" t="s">
        <v>303</v>
      </c>
      <c r="G753" s="225"/>
      <c r="H753" s="214" t="s">
        <v>46</v>
      </c>
      <c r="I753" s="69"/>
      <c r="J753" s="794"/>
      <c r="K753" s="70"/>
      <c r="L753" s="70"/>
      <c r="M753" s="70"/>
      <c r="N753" s="70"/>
      <c r="O753" s="70"/>
      <c r="P753" s="70"/>
      <c r="Q753" s="519"/>
      <c r="R753" s="70"/>
      <c r="S753" s="70"/>
      <c r="T753" s="70"/>
      <c r="U753" s="70"/>
    </row>
    <row r="754" spans="1:21" ht="18.75" x14ac:dyDescent="0.25">
      <c r="A754" s="220"/>
      <c r="B754" s="221"/>
      <c r="C754" s="221"/>
      <c r="D754" s="221"/>
      <c r="E754" s="687" t="s">
        <v>278</v>
      </c>
      <c r="F754" s="229"/>
      <c r="G754" s="225"/>
      <c r="H754" s="795"/>
      <c r="I754" s="69"/>
      <c r="J754" s="69"/>
      <c r="K754" s="70"/>
      <c r="L754" s="70"/>
      <c r="M754" s="70"/>
      <c r="N754" s="70"/>
      <c r="O754" s="70"/>
      <c r="P754" s="70"/>
      <c r="Q754" s="519"/>
      <c r="R754" s="70"/>
      <c r="S754" s="70"/>
      <c r="T754" s="70"/>
      <c r="U754" s="70"/>
    </row>
    <row r="755" spans="1:21" ht="18.75" x14ac:dyDescent="0.25">
      <c r="A755" s="220"/>
      <c r="B755" s="221"/>
      <c r="C755" s="221"/>
      <c r="D755" s="221"/>
      <c r="E755" s="229"/>
      <c r="F755" s="234" t="s">
        <v>302</v>
      </c>
      <c r="G755" s="225"/>
      <c r="H755" s="214" t="s">
        <v>46</v>
      </c>
      <c r="I755" s="237">
        <f ca="1">IFERROR(__xludf.DUMMYFUNCTION("IMPORTRANGE(""https://docs.google.com/spreadsheets/d/1eHaY18a8A9IcSdp1K8H6x8fbOy06t2VsZHhMHf-1x7Y/edit?usp=sharing"",""แผน!GD58"")"),40)</f>
        <v>40</v>
      </c>
      <c r="J755" s="794">
        <v>40</v>
      </c>
      <c r="K755" s="86">
        <f ca="1">IF(I755&gt;0,J755*100/I755,0)</f>
        <v>100</v>
      </c>
      <c r="L755" s="70"/>
      <c r="M755" s="70"/>
      <c r="N755" s="70"/>
      <c r="O755" s="70"/>
      <c r="P755" s="70"/>
      <c r="Q755" s="519"/>
      <c r="R755" s="70"/>
      <c r="S755" s="70"/>
      <c r="T755" s="70"/>
      <c r="U755" s="70"/>
    </row>
    <row r="756" spans="1:21" ht="18.75" x14ac:dyDescent="0.25">
      <c r="A756" s="220"/>
      <c r="B756" s="221"/>
      <c r="C756" s="221"/>
      <c r="D756" s="221"/>
      <c r="E756" s="229"/>
      <c r="F756" s="234" t="s">
        <v>301</v>
      </c>
      <c r="G756" s="225"/>
      <c r="H756" s="214" t="s">
        <v>46</v>
      </c>
      <c r="I756" s="69"/>
      <c r="J756" s="794"/>
      <c r="K756" s="70"/>
      <c r="L756" s="70"/>
      <c r="M756" s="70"/>
      <c r="N756" s="70"/>
      <c r="O756" s="70"/>
      <c r="P756" s="70"/>
      <c r="Q756" s="519"/>
      <c r="R756" s="70"/>
      <c r="S756" s="70"/>
      <c r="T756" s="70"/>
      <c r="U756" s="70"/>
    </row>
    <row r="757" spans="1:21" ht="18.75" x14ac:dyDescent="0.25">
      <c r="A757" s="793"/>
      <c r="B757" s="764"/>
      <c r="C757" s="764"/>
      <c r="D757" s="764"/>
      <c r="E757" s="766" t="s">
        <v>288</v>
      </c>
      <c r="F757" s="765"/>
      <c r="G757" s="767"/>
      <c r="H757" s="768" t="s">
        <v>35</v>
      </c>
      <c r="I757" s="769"/>
      <c r="J757" s="672">
        <v>1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2"/>
      <c r="M758" s="712"/>
      <c r="N758" s="712"/>
      <c r="O758" s="712"/>
      <c r="P758" s="712"/>
      <c r="Q758" s="713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2"/>
      <c r="M759" s="712"/>
      <c r="N759" s="712"/>
      <c r="O759" s="712"/>
      <c r="P759" s="712"/>
      <c r="Q759" s="713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262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389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5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4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2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1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2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1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5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4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2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1">
        <f ca="1">IFERROR(__xludf.DUMMYFUNCTION("IMPORTRANGE(""https://docs.google.com/spreadsheets/d/1ItG2mGa2ceCfYo0BwxsXqNm01IGEUdYcSSLTEv9YCik/edit?usp=sharing"",""เบิกจ่ายกองทุน!AA58"")"),0)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IFERROR(__xludf.DUMMYFUNCTION("IMPORTRANGE(""https://docs.google.com/spreadsheets/d/1ItG2mGa2ceCfYo0BwxsXqNm01IGEUdYcSSLTEv9YCik/edit?usp=sharing"",""เบิกจ่ายกองทุน!AB58"")"),0)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IFERROR(__xludf.DUMMYFUNCTION("IMPORTRANGE(""https://docs.google.com/spreadsheets/d/1ItG2mGa2ceCfYo0BwxsXqNm01IGEUdYcSSLTEv9YCik/edit?usp=sharing"",""เบิกจ่ายกองทุน!AC58"")"),0)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2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1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5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4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2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1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5"/>
      <c r="M769" s="85"/>
      <c r="N769" s="85"/>
      <c r="O769" s="85"/>
      <c r="P769" s="85"/>
      <c r="Q769" s="84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IFERROR(__xludf.DUMMYFUNCTION("IMPORTRANGE(""https://docs.google.com/spreadsheets/d/1eHaY18a8A9IcSdp1K8H6x8fbOy06t2VsZHhMHf-1x7Y/edit?usp=sharing"",""แผน!FI58"")"),0)</f>
        <v>0</v>
      </c>
      <c r="J770" s="570">
        <v>0</v>
      </c>
      <c r="K770" s="75">
        <f ca="1">IF(I770&gt;0,J770*100/I770,0)</f>
        <v>0</v>
      </c>
      <c r="L770" s="85"/>
      <c r="M770" s="85"/>
      <c r="N770" s="85"/>
      <c r="O770" s="85"/>
      <c r="P770" s="85"/>
      <c r="Q770" s="84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5"/>
      <c r="M771" s="85"/>
      <c r="N771" s="85"/>
      <c r="O771" s="85"/>
      <c r="P771" s="85"/>
      <c r="Q771" s="84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IFERROR(__xludf.DUMMYFUNCTION("IMPORTRANGE(""https://docs.google.com/spreadsheets/d/1eHaY18a8A9IcSdp1K8H6x8fbOy06t2VsZHhMHf-1x7Y/edit?usp=sharing"",""แผน!FQ58"")"),0)</f>
        <v>0</v>
      </c>
      <c r="J772" s="292">
        <v>0</v>
      </c>
      <c r="K772" s="72">
        <f ca="1">IF(I772&gt;0,J772*100/I772,0)</f>
        <v>0</v>
      </c>
      <c r="L772" s="85"/>
      <c r="M772" s="85"/>
      <c r="N772" s="85"/>
      <c r="O772" s="85"/>
      <c r="P772" s="85"/>
      <c r="Q772" s="84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5"/>
      <c r="M773" s="85"/>
      <c r="N773" s="85"/>
      <c r="O773" s="85"/>
      <c r="P773" s="85"/>
      <c r="Q773" s="84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IFERROR(__xludf.DUMMYFUNCTION("IMPORTRANGE(""https://docs.google.com/spreadsheets/d/1eHaY18a8A9IcSdp1K8H6x8fbOy06t2VsZHhMHf-1x7Y/edit?usp=sharing"",""แผน!FR58"")"),0)</f>
        <v>0</v>
      </c>
      <c r="J774" s="292">
        <v>0</v>
      </c>
      <c r="K774" s="72">
        <f ca="1">IF(I774&gt;0,J774*100/I774,0)</f>
        <v>0</v>
      </c>
      <c r="L774" s="85"/>
      <c r="M774" s="85"/>
      <c r="N774" s="85"/>
      <c r="O774" s="85"/>
      <c r="P774" s="85"/>
      <c r="Q774" s="84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IFERROR(__xludf.DUMMYFUNCTION("IMPORTRANGE(""https://docs.google.com/spreadsheets/d/1eHaY18a8A9IcSdp1K8H6x8fbOy06t2VsZHhMHf-1x7Y/edit?usp=sharing"",""แผน!FS58"")"),0)</f>
        <v>0</v>
      </c>
      <c r="J775" s="292">
        <v>0</v>
      </c>
      <c r="K775" s="85"/>
      <c r="L775" s="85"/>
      <c r="M775" s="85"/>
      <c r="N775" s="85"/>
      <c r="O775" s="85"/>
      <c r="P775" s="85"/>
      <c r="Q775" s="84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IFERROR(__xludf.DUMMYFUNCTION("IMPORTRANGE(""https://docs.google.com/spreadsheets/d/1eHaY18a8A9IcSdp1K8H6x8fbOy06t2VsZHhMHf-1x7Y/edit?usp=sharing"",""แผน!FT58"")"),0)</f>
        <v>0</v>
      </c>
      <c r="J776" s="739">
        <v>0</v>
      </c>
      <c r="K776" s="96"/>
      <c r="L776" s="96"/>
      <c r="M776" s="96"/>
      <c r="N776" s="96"/>
      <c r="O776" s="96"/>
      <c r="P776" s="96"/>
      <c r="Q776" s="95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IFERROR(__xludf.DUMMYFUNCTION("IMPORTRANGE(""https://docs.google.com/spreadsheets/d/10OvvATaaLtwErnr3qtWFcTmtbfpFEt5Bsqel9sXx0uE/edit?usp=sharing"",""งานกองทุน!D58"")"),3330000)</f>
        <v>3330000</v>
      </c>
      <c r="J778" s="291">
        <f ca="1">IFERROR(__xludf.DUMMYFUNCTION("IMPORTRANGE(""https://docs.google.com/spreadsheets/d/10OvvATaaLtwErnr3qtWFcTmtbfpFEt5Bsqel9sXx0uE/edit?usp=sharing"",""งานกองทุน!F58"")"),2270000)</f>
        <v>2270000</v>
      </c>
      <c r="K778" s="72">
        <f t="shared" ref="K778:K785" ca="1" si="192">IF(I778&gt;0,J778*100/I778,0)</f>
        <v>68.168168168168165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IFERROR(__xludf.DUMMYFUNCTION("IMPORTRANGE(""https://docs.google.com/spreadsheets/d/10OvvATaaLtwErnr3qtWFcTmtbfpFEt5Bsqel9sXx0uE/edit?usp=sharing"",""งานกองทุน!C58"")"),124)</f>
        <v>124</v>
      </c>
      <c r="J779" s="291">
        <f ca="1">IFERROR(__xludf.DUMMYFUNCTION("IMPORTRANGE(""https://docs.google.com/spreadsheets/d/10OvvATaaLtwErnr3qtWFcTmtbfpFEt5Bsqel9sXx0uE/edit?usp=sharing"",""งานกองทุน!E58"")"),86)</f>
        <v>86</v>
      </c>
      <c r="K779" s="72">
        <f t="shared" ca="1" si="192"/>
        <v>69.354838709677423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IFERROR(__xludf.DUMMYFUNCTION("IMPORTRANGE(""https://docs.google.com/spreadsheets/d/10OvvATaaLtwErnr3qtWFcTmtbfpFEt5Bsqel9sXx0uE/edit?usp=sharing"",""งานกองทุน!I58"")"),849467.39)</f>
        <v>849467.39</v>
      </c>
      <c r="J780" s="291">
        <f ca="1">IFERROR(__xludf.DUMMYFUNCTION("IMPORTRANGE(""https://docs.google.com/spreadsheets/d/10OvvATaaLtwErnr3qtWFcTmtbfpFEt5Bsqel9sXx0uE/edit?usp=sharing"",""งานกองทุน!K58"")"),106348.71)</f>
        <v>106348.71</v>
      </c>
      <c r="K780" s="72">
        <f t="shared" ca="1" si="192"/>
        <v>12.519457633329514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IFERROR(__xludf.DUMMYFUNCTION("IMPORTRANGE(""https://docs.google.com/spreadsheets/d/10OvvATaaLtwErnr3qtWFcTmtbfpFEt5Bsqel9sXx0uE/edit?usp=sharing"",""งานกองทุน!H58"")"),33)</f>
        <v>33</v>
      </c>
      <c r="J781" s="291">
        <f ca="1">IFERROR(__xludf.DUMMYFUNCTION("IMPORTRANGE(""https://docs.google.com/spreadsheets/d/10OvvATaaLtwErnr3qtWFcTmtbfpFEt5Bsqel9sXx0uE/edit?usp=sharing"",""งานกองทุน!J58"")"),14)</f>
        <v>14</v>
      </c>
      <c r="K781" s="72">
        <f t="shared" ca="1" si="192"/>
        <v>42.424242424242422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IFERROR(__xludf.DUMMYFUNCTION("IMPORTRANGE(""https://docs.google.com/spreadsheets/d/10OvvATaaLtwErnr3qtWFcTmtbfpFEt5Bsqel9sXx0uE/edit?usp=sharing"",""งานกองทุน!N58"")"),0)</f>
        <v>0</v>
      </c>
      <c r="J782" s="291">
        <f ca="1">IFERROR(__xludf.DUMMYFUNCTION("IMPORTRANGE(""https://docs.google.com/spreadsheets/d/10OvvATaaLtwErnr3qtWFcTmtbfpFEt5Bsqel9sXx0uE/edit?usp=sharing"",""งานกองทุน!P58"")"),0)</f>
        <v>0</v>
      </c>
      <c r="K782" s="72">
        <f t="shared" ca="1" si="192"/>
        <v>0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IFERROR(__xludf.DUMMYFUNCTION("IMPORTRANGE(""https://docs.google.com/spreadsheets/d/10OvvATaaLtwErnr3qtWFcTmtbfpFEt5Bsqel9sXx0uE/edit?usp=sharing"",""งานกองทุน!M58"")"),0)</f>
        <v>0</v>
      </c>
      <c r="J783" s="291">
        <f ca="1">IFERROR(__xludf.DUMMYFUNCTION("IMPORTRANGE(""https://docs.google.com/spreadsheets/d/10OvvATaaLtwErnr3qtWFcTmtbfpFEt5Bsqel9sXx0uE/edit?usp=sharing"",""งานกองทุน!O58"")"),0)</f>
        <v>0</v>
      </c>
      <c r="K783" s="72">
        <f t="shared" ca="1" si="192"/>
        <v>0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IFERROR(__xludf.DUMMYFUNCTION("IMPORTRANGE(""https://docs.google.com/spreadsheets/d/10OvvATaaLtwErnr3qtWFcTmtbfpFEt5Bsqel9sXx0uE/edit?usp=sharing"",""งานกองทุน!S58"")"),4088000)</f>
        <v>4088000</v>
      </c>
      <c r="J784" s="291">
        <f ca="1">IFERROR(__xludf.DUMMYFUNCTION("IMPORTRANGE(""https://docs.google.com/spreadsheets/d/10OvvATaaLtwErnr3qtWFcTmtbfpFEt5Bsqel9sXx0uE/edit?usp=sharing"",""งานกองทุน!U58"")"),2303000)</f>
        <v>2303000</v>
      </c>
      <c r="K784" s="72">
        <f t="shared" ca="1" si="192"/>
        <v>56.335616438356162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IFERROR(__xludf.DUMMYFUNCTION("IMPORTRANGE(""https://docs.google.com/spreadsheets/d/10OvvATaaLtwErnr3qtWFcTmtbfpFEt5Bsqel9sXx0uE/edit?usp=sharing"",""งานกองทุน!R58"")"),146)</f>
        <v>146</v>
      </c>
      <c r="J785" s="773">
        <f ca="1">IFERROR(__xludf.DUMMYFUNCTION("IMPORTRANGE(""https://docs.google.com/spreadsheets/d/10OvvATaaLtwErnr3qtWFcTmtbfpFEt5Bsqel9sXx0uE/edit?usp=sharing"",""งานกองทุน!T58"")"),75)</f>
        <v>75</v>
      </c>
      <c r="K785" s="181">
        <f t="shared" ca="1" si="192"/>
        <v>51.369863013698627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102A0-121C-437E-9581-67E8988F5BF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350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2336067</v>
      </c>
      <c r="M18" s="57">
        <f ca="1">M19+M20</f>
        <v>2467259</v>
      </c>
      <c r="N18" s="57">
        <f ca="1">N19+N20</f>
        <v>1627928.01</v>
      </c>
      <c r="O18" s="57">
        <f t="shared" ref="O18:O26" ca="1" si="0">IF(L18&gt;0,N18*100/L18,0)</f>
        <v>69.686700338646105</v>
      </c>
      <c r="P18" s="57">
        <f t="shared" ref="P18:P26" ca="1" si="1">IF(M18&gt;0,N18*100/M18,0)</f>
        <v>65.981237073205534</v>
      </c>
      <c r="Q18" s="57">
        <f ca="1">Q19+Q20</f>
        <v>639591.24</v>
      </c>
      <c r="R18" s="57">
        <f ca="1">R19+R20</f>
        <v>639591</v>
      </c>
      <c r="S18" s="57">
        <f ca="1">S19+S20</f>
        <v>218960</v>
      </c>
      <c r="T18" s="57">
        <f t="shared" ref="T18:T26" ca="1" si="2">IF(Q18&gt;0,S18*100/Q18,0)</f>
        <v>34.234365061034921</v>
      </c>
      <c r="U18" s="57">
        <f t="shared" ref="U18:U26" ca="1" si="3">IF(R18&gt;0,S18*100/R18,0)</f>
        <v>34.234377907131275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2336067</v>
      </c>
      <c r="M20" s="63">
        <f t="shared" ca="1" si="4"/>
        <v>2467259</v>
      </c>
      <c r="N20" s="63">
        <f t="shared" ca="1" si="4"/>
        <v>1627928.01</v>
      </c>
      <c r="O20" s="63">
        <f t="shared" ca="1" si="0"/>
        <v>69.686700338646105</v>
      </c>
      <c r="P20" s="63">
        <f t="shared" ca="1" si="1"/>
        <v>65.981237073205534</v>
      </c>
      <c r="Q20" s="63">
        <f t="shared" ca="1" si="5"/>
        <v>639591.24</v>
      </c>
      <c r="R20" s="63">
        <f t="shared" ca="1" si="5"/>
        <v>639591</v>
      </c>
      <c r="S20" s="63">
        <f t="shared" ca="1" si="5"/>
        <v>218960</v>
      </c>
      <c r="T20" s="63">
        <f t="shared" ca="1" si="2"/>
        <v>34.234365061034921</v>
      </c>
      <c r="U20" s="63">
        <f t="shared" ca="1" si="3"/>
        <v>34.234377907131275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2336067</v>
      </c>
      <c r="M21" s="72">
        <f ca="1">M22+M23</f>
        <v>2467259</v>
      </c>
      <c r="N21" s="72">
        <f ca="1">N22+N23</f>
        <v>1627928.01</v>
      </c>
      <c r="O21" s="72">
        <f t="shared" ca="1" si="0"/>
        <v>69.686700338646105</v>
      </c>
      <c r="P21" s="72">
        <f t="shared" ca="1" si="1"/>
        <v>65.981237073205534</v>
      </c>
      <c r="Q21" s="72">
        <f ca="1">Q22+Q23</f>
        <v>639591.24</v>
      </c>
      <c r="R21" s="72">
        <f ca="1">R22+R23</f>
        <v>639591</v>
      </c>
      <c r="S21" s="72">
        <f ca="1">S22+S23</f>
        <v>218960</v>
      </c>
      <c r="T21" s="72">
        <f t="shared" ca="1" si="2"/>
        <v>34.234365061034921</v>
      </c>
      <c r="U21" s="72">
        <f t="shared" ca="1" si="3"/>
        <v>34.234377907131275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2336067</v>
      </c>
      <c r="M23" s="72">
        <f ca="1">M49+M64+M77+M99+M122+M144+M162+M191+M178+M271+M287+M308+M325+M338+M361+M380+M418+M498+M518+M539+M560+M581+M604+M621+M647+M695+M719+M733+M765</f>
        <v>2467259</v>
      </c>
      <c r="N23" s="72">
        <f ca="1">N49+N64+N77+N99+N122+N144+N162+N191+N178+N271+N287+N308+N325+N338+N361+N380+N418+N498+N518+N539+N560+N581+N604+N621+N647+N695+N719+N733+N765</f>
        <v>1627928.01</v>
      </c>
      <c r="O23" s="72">
        <f t="shared" ca="1" si="0"/>
        <v>69.686700338646105</v>
      </c>
      <c r="P23" s="72">
        <f t="shared" ca="1" si="1"/>
        <v>65.981237073205534</v>
      </c>
      <c r="Q23" s="72">
        <f t="shared" ca="1" si="6"/>
        <v>639591.24</v>
      </c>
      <c r="R23" s="72">
        <f t="shared" ca="1" si="6"/>
        <v>639591</v>
      </c>
      <c r="S23" s="72">
        <f t="shared" ca="1" si="6"/>
        <v>218960</v>
      </c>
      <c r="T23" s="72">
        <f t="shared" ca="1" si="2"/>
        <v>34.234365061034921</v>
      </c>
      <c r="U23" s="72">
        <f t="shared" ca="1" si="3"/>
        <v>34.234377907131275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2288055</v>
      </c>
      <c r="M40" s="1050">
        <f ca="1">M44+M59+M72+M94+M125+M139+M157+M173+M186+M266+M282+M303+M320+M333+M356</f>
        <v>2419247</v>
      </c>
      <c r="N40" s="1050">
        <f ca="1">N44+N59+N72+N94+N125+N139+N157+N173+N186+N266+N282+N303+N320+N333+N356</f>
        <v>1604360.01</v>
      </c>
      <c r="O40" s="1050">
        <f ca="1">IF(L40&gt;0,N40*100/L40,0)</f>
        <v>70.118944256147685</v>
      </c>
      <c r="P40" s="1050">
        <f ca="1">IF(M40&gt;0,N40*100/M40,0)</f>
        <v>66.316503027594948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328100</v>
      </c>
      <c r="M44" s="1031">
        <f ca="1">M45+M46</f>
        <v>348192</v>
      </c>
      <c r="N44" s="1031">
        <f ca="1">N45+N46</f>
        <v>246976</v>
      </c>
      <c r="O44" s="1031">
        <f t="shared" ref="O44:O52" ca="1" si="8">IF(L44&gt;0,N44*100/L44,0)</f>
        <v>75.274611398963728</v>
      </c>
      <c r="P44" s="1031">
        <f t="shared" ref="P44:P52" ca="1" si="9">IF(M44&gt;0,N44*100/M44,0)</f>
        <v>70.930980608399963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328100</v>
      </c>
      <c r="M46" s="1018">
        <f t="shared" ca="1" si="12"/>
        <v>348192</v>
      </c>
      <c r="N46" s="1018">
        <f t="shared" ca="1" si="12"/>
        <v>246976</v>
      </c>
      <c r="O46" s="1018">
        <f t="shared" ca="1" si="8"/>
        <v>75.274611398963728</v>
      </c>
      <c r="P46" s="1018">
        <f t="shared" ca="1" si="9"/>
        <v>70.930980608399963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328100</v>
      </c>
      <c r="M47" s="72">
        <f ca="1">M48+M49</f>
        <v>348192</v>
      </c>
      <c r="N47" s="72">
        <f ca="1">N48+N49</f>
        <v>246976</v>
      </c>
      <c r="O47" s="72">
        <f t="shared" ca="1" si="8"/>
        <v>75.274611398963728</v>
      </c>
      <c r="P47" s="72">
        <f t="shared" ca="1" si="9"/>
        <v>70.930980608399963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IFERROR(__xludf.DUMMYFUNCTION("IMPORTRANGE(""https://docs.google.com/spreadsheets/d/1-uDff_7J0KD5mKrp0Vvzr7lt3OU09vwQwhkpOPPYv2Y/edit?usp=sharing"",""งบพรบ!P59"")"),328100)</f>
        <v>328100</v>
      </c>
      <c r="M49" s="72">
        <f ca="1">IFERROR(__xludf.DUMMYFUNCTION("IMPORTRANGE(""https://docs.google.com/spreadsheets/d/1-uDff_7J0KD5mKrp0Vvzr7lt3OU09vwQwhkpOPPYv2Y/edit?usp=sharing"",""งบพรบ!V59"")"),348192)</f>
        <v>348192</v>
      </c>
      <c r="N49" s="72">
        <f ca="1">IFERROR(__xludf.DUMMYFUNCTION("IMPORTRANGE(""https://docs.google.com/spreadsheets/d/1-uDff_7J0KD5mKrp0Vvzr7lt3OU09vwQwhkpOPPYv2Y/edit?usp=sharing"",""งบพรบ!Y59"")"),246976)</f>
        <v>246976</v>
      </c>
      <c r="O49" s="72">
        <f t="shared" ca="1" si="8"/>
        <v>75.274611398963728</v>
      </c>
      <c r="P49" s="72">
        <f t="shared" ca="1" si="9"/>
        <v>70.930980608399963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IFERROR(__xludf.DUMMYFUNCTION("IMPORTRANGE(""https://docs.google.com/spreadsheets/d/1-uDff_7J0KD5mKrp0Vvzr7lt3OU09vwQwhkpOPPYv2Y/edit?usp=sharing"",""งบพรบ!S59"")"),0)</f>
        <v>0</v>
      </c>
      <c r="M52" s="72">
        <f ca="1">IFERROR(__xludf.DUMMYFUNCTION("IMPORTRANGE(""https://docs.google.com/spreadsheets/d/1-uDff_7J0KD5mKrp0Vvzr7lt3OU09vwQwhkpOPPYv2Y/edit?usp=sharing"",""งบพรบ!W59"")"),0)</f>
        <v>0</v>
      </c>
      <c r="N52" s="72">
        <f ca="1">IFERROR(__xludf.DUMMYFUNCTION("IMPORTRANGE(""https://docs.google.com/spreadsheets/d/1-uDff_7J0KD5mKrp0Vvzr7lt3OU09vwQwhkpOPPYv2Y/edit?usp=sharing"",""งบพรบ!Z59"")"),0)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654700</v>
      </c>
      <c r="M59" s="1001">
        <f ca="1">M60+M61</f>
        <v>714240</v>
      </c>
      <c r="N59" s="1001">
        <f ca="1">N60+N61</f>
        <v>489352.01</v>
      </c>
      <c r="O59" s="1001">
        <f t="shared" ref="O59:O67" ca="1" si="14">IF(L59&gt;0,N59*100/L59,0)</f>
        <v>74.744464640293259</v>
      </c>
      <c r="P59" s="1001">
        <f t="shared" ref="P59:P67" ca="1" si="15">IF(M59&gt;0,N59*100/M59,0)</f>
        <v>68.513666274641579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654700</v>
      </c>
      <c r="M61" s="988">
        <f t="shared" ca="1" si="18"/>
        <v>714240</v>
      </c>
      <c r="N61" s="988">
        <f t="shared" ca="1" si="18"/>
        <v>489352.01</v>
      </c>
      <c r="O61" s="988">
        <f t="shared" ca="1" si="14"/>
        <v>74.744464640293259</v>
      </c>
      <c r="P61" s="988">
        <f t="shared" ca="1" si="15"/>
        <v>68.513666274641579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654700</v>
      </c>
      <c r="M62" s="72">
        <f ca="1">M63+M64</f>
        <v>714240</v>
      </c>
      <c r="N62" s="72">
        <f ca="1">N63+N64</f>
        <v>489352.01</v>
      </c>
      <c r="O62" s="72">
        <f t="shared" ca="1" si="14"/>
        <v>74.744464640293259</v>
      </c>
      <c r="P62" s="72">
        <f t="shared" ca="1" si="15"/>
        <v>68.513666274641579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IFERROR(__xludf.DUMMYFUNCTION("IMPORTRANGE(""https://docs.google.com/spreadsheets/d/1-uDff_7J0KD5mKrp0Vvzr7lt3OU09vwQwhkpOPPYv2Y/edit?usp=sharing"",""งบพรบ!AC59"")"),654700)</f>
        <v>654700</v>
      </c>
      <c r="M64" s="72">
        <f ca="1">IFERROR(__xludf.DUMMYFUNCTION("IMPORTRANGE(""https://docs.google.com/spreadsheets/d/1-uDff_7J0KD5mKrp0Vvzr7lt3OU09vwQwhkpOPPYv2Y/edit?usp=sharing"",""งบพรบ!AH59"")"),714240)</f>
        <v>714240</v>
      </c>
      <c r="N64" s="72">
        <f ca="1">IFERROR(__xludf.DUMMYFUNCTION("IMPORTRANGE(""https://docs.google.com/spreadsheets/d/1-uDff_7J0KD5mKrp0Vvzr7lt3OU09vwQwhkpOPPYv2Y/edit?usp=sharing"",""งบพรบ!AJ59"")"),489352.01)</f>
        <v>489352.01</v>
      </c>
      <c r="O64" s="72">
        <f t="shared" ca="1" si="14"/>
        <v>74.744464640293259</v>
      </c>
      <c r="P64" s="72">
        <f t="shared" ca="1" si="15"/>
        <v>68.513666274641579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IFERROR(__xludf.DUMMYFUNCTION("IMPORTRANGE(""https://docs.google.com/spreadsheets/d/1-uDff_7J0KD5mKrp0Vvzr7lt3OU09vwQwhkpOPPYv2Y/edit?usp=sharing"",""งบพรบ!AF59"")"),0)</f>
        <v>0</v>
      </c>
      <c r="M67" s="181">
        <f ca="1">IFERROR(__xludf.DUMMYFUNCTION("IMPORTRANGE(""https://docs.google.com/spreadsheets/d/1-uDff_7J0KD5mKrp0Vvzr7lt3OU09vwQwhkpOPPYv2Y/edit?usp=sharing"",""งบพรบ!AI59"")"),0)</f>
        <v>0</v>
      </c>
      <c r="N67" s="181">
        <f ca="1">IFERROR(__xludf.DUMMYFUNCTION("IMPORTRANGE(""https://docs.google.com/spreadsheets/d/1-uDff_7J0KD5mKrp0Vvzr7lt3OU09vwQwhkpOPPYv2Y/edit?usp=sharing"",""งบพรบ!AK59"")"),0)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IFERROR(__xludf.DUMMYFUNCTION("IMPORTRANGE(""https://docs.google.com/spreadsheets/d/1-uDff_7J0KD5mKrp0Vvzr7lt3OU09vwQwhkpOPPYv2Y/edit?usp=sharing"",""งบพรบ!AM59"")"),0)</f>
        <v>0</v>
      </c>
      <c r="M77" s="72">
        <f ca="1">IFERROR(__xludf.DUMMYFUNCTION("IMPORTRANGE(""https://docs.google.com/spreadsheets/d/1-uDff_7J0KD5mKrp0Vvzr7lt3OU09vwQwhkpOPPYv2Y/edit?usp=sharing"",""งบพรบ!AR59"")"),0)</f>
        <v>0</v>
      </c>
      <c r="N77" s="72">
        <f ca="1">IFERROR(__xludf.DUMMYFUNCTION("IMPORTRANGE(""https://docs.google.com/spreadsheets/d/1-uDff_7J0KD5mKrp0Vvzr7lt3OU09vwQwhkpOPPYv2Y/edit?usp=sharing"",""งบพรบ!AT59"")"),0)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IFERROR(__xludf.DUMMYFUNCTION("IMPORTRANGE(""https://docs.google.com/spreadsheets/d/1ItG2mGa2ceCfYo0BwxsXqNm01IGEUdYcSSLTEv9YCik/edit?usp=sharing"",""เบิกจ่ายกองทุน!BH59"")"),0)</f>
        <v>0</v>
      </c>
      <c r="R77" s="72">
        <f ca="1">IFERROR(__xludf.DUMMYFUNCTION("IMPORTRANGE(""https://docs.google.com/spreadsheets/d/1ItG2mGa2ceCfYo0BwxsXqNm01IGEUdYcSSLTEv9YCik/edit?usp=sharing"",""เบิกจ่ายกองทุน!BI59"")"),0)</f>
        <v>0</v>
      </c>
      <c r="S77" s="72">
        <f ca="1">IFERROR(__xludf.DUMMYFUNCTION("IMPORTRANGE(""https://docs.google.com/spreadsheets/d/1ItG2mGa2ceCfYo0BwxsXqNm01IGEUdYcSSLTEv9YCik/edit?usp=sharing"",""เบิกจ่ายกองทุน!BJ59"")"),0)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IFERROR(__xludf.DUMMYFUNCTION("IMPORTRANGE(""https://docs.google.com/spreadsheets/d/1-uDff_7J0KD5mKrp0Vvzr7lt3OU09vwQwhkpOPPYv2Y/edit?usp=sharing"",""งบพรบ!AP59"")"),0)</f>
        <v>0</v>
      </c>
      <c r="M80" s="72">
        <f ca="1">IFERROR(__xludf.DUMMYFUNCTION("IMPORTRANGE(""https://docs.google.com/spreadsheets/d/1-uDff_7J0KD5mKrp0Vvzr7lt3OU09vwQwhkpOPPYv2Y/edit?usp=sharing"",""งบพรบ!AS59"")"),0)</f>
        <v>0</v>
      </c>
      <c r="N80" s="72">
        <f ca="1">IFERROR(__xludf.DUMMYFUNCTION("IMPORTRANGE(""https://docs.google.com/spreadsheets/d/1-uDff_7J0KD5mKrp0Vvzr7lt3OU09vwQwhkpOPPYv2Y/edit?usp=sharing"",""งบพรบ!AU59"")"),0)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IFERROR(__xludf.DUMMYFUNCTION("IMPORTRANGE(""https://docs.google.com/spreadsheets/d/1ItG2mGa2ceCfYo0BwxsXqNm01IGEUdYcSSLTEv9YCik/edit?usp=sharing"",""เบิกจ่ายกองทุน!BK59"")"),0)</f>
        <v>0</v>
      </c>
      <c r="R80" s="72">
        <f ca="1">IFERROR(__xludf.DUMMYFUNCTION("IMPORTRANGE(""https://docs.google.com/spreadsheets/d/1ItG2mGa2ceCfYo0BwxsXqNm01IGEUdYcSSLTEv9YCik/edit?usp=sharing"",""เบิกจ่ายกองทุน!BL59"")"),0)</f>
        <v>0</v>
      </c>
      <c r="S80" s="72">
        <f ca="1">IFERROR(__xludf.DUMMYFUNCTION("IMPORTRANGE(""https://docs.google.com/spreadsheets/d/1ItG2mGa2ceCfYo0BwxsXqNm01IGEUdYcSSLTEv9YCik/edit?usp=sharing"",""เบิกจ่ายกองทุน!BM59"")"),0)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IFERROR(__xludf.DUMMYFUNCTION("IMPORTRANGE(""https://docs.google.com/spreadsheets/d/1eHaY18a8A9IcSdp1K8H6x8fbOy06t2VsZHhMHf-1x7Y/edit?usp=sharing"",""แผน!H59"")"),0)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IFERROR(__xludf.DUMMYFUNCTION("IMPORTRANGE(""https://docs.google.com/spreadsheets/d/1eHaY18a8A9IcSdp1K8H6x8fbOy06t2VsZHhMHf-1x7Y/edit?usp=sharing"",""แผน!I59"")"),0)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IFERROR(__xludf.DUMMYFUNCTION("IMPORTRANGE(""https://docs.google.com/spreadsheets/d/1eHaY18a8A9IcSdp1K8H6x8fbOy06t2VsZHhMHf-1x7Y/edit?usp=sharing"",""แผน!F59"")"),0)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IFERROR(__xludf.DUMMYFUNCTION("IMPORTRANGE(""https://docs.google.com/spreadsheets/d/1eHaY18a8A9IcSdp1K8H6x8fbOy06t2VsZHhMHf-1x7Y/edit?usp=sharing"",""แผน!G59"")"),0)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IFERROR(__xludf.DUMMYFUNCTION("IMPORTRANGE(""https://docs.google.com/spreadsheets/d/1eHaY18a8A9IcSdp1K8H6x8fbOy06t2VsZHhMHf-1x7Y/edit?usp=sharing"",""แผน!D59"")"),0)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IFERROR(__xludf.DUMMYFUNCTION("IMPORTRANGE(""https://docs.google.com/spreadsheets/d/1eHaY18a8A9IcSdp1K8H6x8fbOy06t2VsZHhMHf-1x7Y/edit?usp=sharing"",""แผน!E59"")"),0)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IFERROR(__xludf.DUMMYFUNCTION("IMPORTRANGE(""https://docs.google.com/spreadsheets/d/1eHaY18a8A9IcSdp1K8H6x8fbOy06t2VsZHhMHf-1x7Y/edit?usp=sharing"",""แผน!J59"")"),0)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IFERROR(__xludf.DUMMYFUNCTION("IMPORTRANGE(""https://docs.google.com/spreadsheets/d/1-uDff_7J0KD5mKrp0Vvzr7lt3OU09vwQwhkpOPPYv2Y/edit?usp=sharing"",""งบพรบ!AW59"")"),0)</f>
        <v>0</v>
      </c>
      <c r="M99" s="72">
        <f ca="1">IFERROR(__xludf.DUMMYFUNCTION("IMPORTRANGE(""https://docs.google.com/spreadsheets/d/1-uDff_7J0KD5mKrp0Vvzr7lt3OU09vwQwhkpOPPYv2Y/edit?usp=sharing"",""งบพรบ!BB59"")"),0)</f>
        <v>0</v>
      </c>
      <c r="N99" s="72">
        <f ca="1">IFERROR(__xludf.DUMMYFUNCTION("IMPORTRANGE(""https://docs.google.com/spreadsheets/d/1-uDff_7J0KD5mKrp0Vvzr7lt3OU09vwQwhkpOPPYv2Y/edit?usp=sharing"",""งบพรบ!BD59"")"),0)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IFERROR(__xludf.DUMMYFUNCTION("IMPORTRANGE(""https://docs.google.com/spreadsheets/d/1ItG2mGa2ceCfYo0BwxsXqNm01IGEUdYcSSLTEv9YCik/edit?usp=sharing"",""เบิกจ่ายกองทุน!AJ59"")"),0)</f>
        <v>0</v>
      </c>
      <c r="R99" s="72">
        <f ca="1">IFERROR(__xludf.DUMMYFUNCTION("IMPORTRANGE(""https://docs.google.com/spreadsheets/d/1ItG2mGa2ceCfYo0BwxsXqNm01IGEUdYcSSLTEv9YCik/edit?usp=sharing"",""เบิกจ่ายกองทุน!AK59"")"),0)</f>
        <v>0</v>
      </c>
      <c r="S99" s="72">
        <f ca="1">IFERROR(__xludf.DUMMYFUNCTION("IMPORTRANGE(""https://docs.google.com/spreadsheets/d/1ItG2mGa2ceCfYo0BwxsXqNm01IGEUdYcSSLTEv9YCik/edit?usp=sharing"",""เบิกจ่ายกองทุน!AL59"")"),0)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IFERROR(__xludf.DUMMYFUNCTION("IMPORTRANGE(""https://docs.google.com/spreadsheets/d/1-uDff_7J0KD5mKrp0Vvzr7lt3OU09vwQwhkpOPPYv2Y/edit?usp=sharing"",""งบพรบ!AZ59"")"),0)</f>
        <v>0</v>
      </c>
      <c r="M102" s="72">
        <f ca="1">IFERROR(__xludf.DUMMYFUNCTION("IMPORTRANGE(""https://docs.google.com/spreadsheets/d/1-uDff_7J0KD5mKrp0Vvzr7lt3OU09vwQwhkpOPPYv2Y/edit?usp=sharing"",""งบพรบ!BC59"")"),0)</f>
        <v>0</v>
      </c>
      <c r="N102" s="72">
        <f ca="1">IFERROR(__xludf.DUMMYFUNCTION("IMPORTRANGE(""https://docs.google.com/spreadsheets/d/1-uDff_7J0KD5mKrp0Vvzr7lt3OU09vwQwhkpOPPYv2Y/edit?usp=sharing"",""งบพรบ!BE59"")"),0)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IFERROR(__xludf.DUMMYFUNCTION("IMPORTRANGE(""https://docs.google.com/spreadsheets/d/1eHaY18a8A9IcSdp1K8H6x8fbOy06t2VsZHhMHf-1x7Y/edit?usp=sharing"",""แผน!N59"")"),0)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IFERROR(__xludf.DUMMYFUNCTION("IMPORTRANGE(""https://docs.google.com/spreadsheets/d/1eHaY18a8A9IcSdp1K8H6x8fbOy06t2VsZHhMHf-1x7Y/edit?usp=sharing"",""แผน!O59"")"),0)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8.75" hidden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IFERROR(__xludf.DUMMYFUNCTION("IMPORTRANGE(""https://docs.google.com/spreadsheets/d/1eHaY18a8A9IcSdp1K8H6x8fbOy06t2VsZHhMHf-1x7Y/edit?usp=sharing"",""แผน!R59"")"),0)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1203">
        <f ca="1">I127</f>
        <v>20</v>
      </c>
      <c r="J116" s="1202">
        <f>J127</f>
        <v>20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209360</v>
      </c>
      <c r="R117" s="262">
        <f ca="1">R118+R119</f>
        <v>209360</v>
      </c>
      <c r="S117" s="262">
        <f ca="1">S118+S119</f>
        <v>102180</v>
      </c>
      <c r="T117" s="262">
        <f t="shared" ref="T117:T125" ca="1" si="35">IF(Q117&gt;0,S117*100/Q117,0)</f>
        <v>48.805884600687811</v>
      </c>
      <c r="U117" s="262">
        <f t="shared" ref="U117:U125" ca="1" si="36">IF(R117&gt;0,S117*100/R117,0)</f>
        <v>48.805884600687811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209360</v>
      </c>
      <c r="R119" s="72">
        <f t="shared" ca="1" si="38"/>
        <v>209360</v>
      </c>
      <c r="S119" s="72">
        <f t="shared" ca="1" si="38"/>
        <v>102180</v>
      </c>
      <c r="T119" s="72">
        <f t="shared" ca="1" si="35"/>
        <v>48.805884600687811</v>
      </c>
      <c r="U119" s="72">
        <f t="shared" ca="1" si="36"/>
        <v>48.805884600687811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209360</v>
      </c>
      <c r="R120" s="72">
        <f ca="1">R121+R122</f>
        <v>209360</v>
      </c>
      <c r="S120" s="72">
        <f ca="1">S121+S122</f>
        <v>102180</v>
      </c>
      <c r="T120" s="72">
        <f t="shared" ca="1" si="35"/>
        <v>48.805884600687811</v>
      </c>
      <c r="U120" s="72">
        <f t="shared" ca="1" si="36"/>
        <v>48.805884600687811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IFERROR(__xludf.DUMMYFUNCTION("IMPORTRANGE(""https://docs.google.com/spreadsheets/d/1-uDff_7J0KD5mKrp0Vvzr7lt3OU09vwQwhkpOPPYv2Y/edit?usp=sharing"",""งบพรบ!BG59"")"),0)</f>
        <v>0</v>
      </c>
      <c r="M122" s="72">
        <f ca="1">IFERROR(__xludf.DUMMYFUNCTION("IMPORTRANGE(""https://docs.google.com/spreadsheets/d/1-uDff_7J0KD5mKrp0Vvzr7lt3OU09vwQwhkpOPPYv2Y/edit?usp=sharing"",""งบพรบ!BL59"")"),0)</f>
        <v>0</v>
      </c>
      <c r="N122" s="72">
        <f ca="1">IFERROR(__xludf.DUMMYFUNCTION("IMPORTRANGE(""https://docs.google.com/spreadsheets/d/1-uDff_7J0KD5mKrp0Vvzr7lt3OU09vwQwhkpOPPYv2Y/edit?usp=sharing"",""งบพรบ!BN59"")"),0)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IFERROR(__xludf.DUMMYFUNCTION("IMPORTRANGE(""https://docs.google.com/spreadsheets/d/1ItG2mGa2ceCfYo0BwxsXqNm01IGEUdYcSSLTEv9YCik/edit?usp=sharing"",""เบิกจ่ายกองทุน!U59"")"),209360)</f>
        <v>209360</v>
      </c>
      <c r="R122" s="72">
        <f ca="1">IFERROR(__xludf.DUMMYFUNCTION("IMPORTRANGE(""https://docs.google.com/spreadsheets/d/1ItG2mGa2ceCfYo0BwxsXqNm01IGEUdYcSSLTEv9YCik/edit?usp=sharing"",""เบิกจ่ายกองทุน!V59"")"),209360)</f>
        <v>209360</v>
      </c>
      <c r="S122" s="72">
        <f ca="1">IFERROR(__xludf.DUMMYFUNCTION("IMPORTRANGE(""https://docs.google.com/spreadsheets/d/1ItG2mGa2ceCfYo0BwxsXqNm01IGEUdYcSSLTEv9YCik/edit?usp=sharing"",""เบิกจ่ายกองทุน!W59"")"),102180)</f>
        <v>102180</v>
      </c>
      <c r="T122" s="72">
        <f t="shared" ca="1" si="35"/>
        <v>48.805884600687811</v>
      </c>
      <c r="U122" s="72">
        <f t="shared" ca="1" si="36"/>
        <v>48.805884600687811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IFERROR(__xludf.DUMMYFUNCTION("IMPORTRANGE(""https://docs.google.com/spreadsheets/d/1-uDff_7J0KD5mKrp0Vvzr7lt3OU09vwQwhkpOPPYv2Y/edit?usp=sharing"",""งบพรบ!BJ59"")"),0)</f>
        <v>0</v>
      </c>
      <c r="M125" s="72">
        <f ca="1">IFERROR(__xludf.DUMMYFUNCTION("IMPORTRANGE(""https://docs.google.com/spreadsheets/d/1-uDff_7J0KD5mKrp0Vvzr7lt3OU09vwQwhkpOPPYv2Y/edit?usp=sharing"",""งบพรบ!BM59"")"),0)</f>
        <v>0</v>
      </c>
      <c r="N125" s="72">
        <f ca="1">IFERROR(__xludf.DUMMYFUNCTION("IMPORTRANGE(""https://docs.google.com/spreadsheets/d/1-uDff_7J0KD5mKrp0Vvzr7lt3OU09vwQwhkpOPPYv2Y/edit?usp=sharing"",""งบพรบ!BO59"")"),0)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IFERROR(__xludf.DUMMYFUNCTION("IMPORTRANGE(""https://docs.google.com/spreadsheets/d/1ItG2mGa2ceCfYo0BwxsXqNm01IGEUdYcSSLTEv9YCik/edit?usp=sharing"",""เบิกจ่ายกองทุน!X59"")"),0)</f>
        <v>0</v>
      </c>
      <c r="R125" s="72">
        <f ca="1">IFERROR(__xludf.DUMMYFUNCTION("IMPORTRANGE(""https://docs.google.com/spreadsheets/d/1ItG2mGa2ceCfYo0BwxsXqNm01IGEUdYcSSLTEv9YCik/edit?usp=sharing"",""เบิกจ่ายกองทุน!Y59"")"),0)</f>
        <v>0</v>
      </c>
      <c r="S125" s="72">
        <f ca="1">IFERROR(__xludf.DUMMYFUNCTION("IMPORTRANGE(""https://docs.google.com/spreadsheets/d/1ItG2mGa2ceCfYo0BwxsXqNm01IGEUdYcSSLTEv9YCik/edit?usp=sharing"",""เบิกจ่ายกองทุน!Z59"")"),0)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IFERROR(__xludf.DUMMYFUNCTION("IMPORTRANGE(""https://docs.google.com/spreadsheets/d/1eHaY18a8A9IcSdp1K8H6x8fbOy06t2VsZHhMHf-1x7Y/edit?usp=sharing"",""แผน!FF59"")"),20)</f>
        <v>20</v>
      </c>
      <c r="J127" s="292">
        <v>20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IFERROR(__xludf.DUMMYFUNCTION("IMPORTRANGE(""https://docs.google.com/spreadsheets/d/1eHaY18a8A9IcSdp1K8H6x8fbOy06t2VsZHhMHf-1x7Y/edit?usp=sharing"",""แผน!FG59"")"),0)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IFERROR(__xludf.DUMMYFUNCTION("IMPORTRANGE(""https://docs.google.com/spreadsheets/d/1eHaY18a8A9IcSdp1K8H6x8fbOy06t2VsZHhMHf-1x7Y/edit?usp=sharing"",""แผน!FH59"")"),20)</f>
        <v>20</v>
      </c>
      <c r="J129" s="292">
        <v>20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IFERROR(__xludf.DUMMYFUNCTION("IMPORTRANGE(""https://docs.google.com/spreadsheets/d/1eHaY18a8A9IcSdp1K8H6x8fbOy06t2VsZHhMHf-1x7Y/edit?usp=sharing"",""แผน!FI59"")"),0)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IFERROR(__xludf.DUMMYFUNCTION("IMPORTRANGE(""https://docs.google.com/spreadsheets/d/1-uDff_7J0KD5mKrp0Vvzr7lt3OU09vwQwhkpOPPYv2Y/edit?usp=sharing"",""งบพรบ!BQ59"")"),0)</f>
        <v>0</v>
      </c>
      <c r="M144" s="72">
        <f ca="1">IFERROR(__xludf.DUMMYFUNCTION("IMPORTRANGE(""https://docs.google.com/spreadsheets/d/1-uDff_7J0KD5mKrp0Vvzr7lt3OU09vwQwhkpOPPYv2Y/edit?usp=sharing"",""งบพรบ!BV59"")"),0)</f>
        <v>0</v>
      </c>
      <c r="N144" s="72">
        <f ca="1">IFERROR(__xludf.DUMMYFUNCTION("IMPORTRANGE(""https://docs.google.com/spreadsheets/d/1-uDff_7J0KD5mKrp0Vvzr7lt3OU09vwQwhkpOPPYv2Y/edit?usp=sharing"",""งบพรบ!BX59"")"),0)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IFERROR(__xludf.DUMMYFUNCTION("IMPORTRANGE(""https://docs.google.com/spreadsheets/d/1ItG2mGa2ceCfYo0BwxsXqNm01IGEUdYcSSLTEv9YCik/edit?usp=sharing"",""เบิกจ่ายกองทุน!CF59"")"),0)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IFERROR(__xludf.DUMMYFUNCTION("IMPORTRANGE(""https://docs.google.com/spreadsheets/d/1ItG2mGa2ceCfYo0BwxsXqNm01IGEUdYcSSLTEv9YCik/edit?usp=sharing"",""เบิกจ่ายกองทุน!CG59"")"),0)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IFERROR(__xludf.DUMMYFUNCTION("IMPORTRANGE(""https://docs.google.com/spreadsheets/d/1ItG2mGa2ceCfYo0BwxsXqNm01IGEUdYcSSLTEv9YCik/edit?usp=sharing"",""เบิกจ่ายกองทุน!CH59"")"),0)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IFERROR(__xludf.DUMMYFUNCTION("IMPORTRANGE(""https://docs.google.com/spreadsheets/d/1-uDff_7J0KD5mKrp0Vvzr7lt3OU09vwQwhkpOPPYv2Y/edit?usp=sharing"",""งบพรบ!BT59"")"),0)</f>
        <v>0</v>
      </c>
      <c r="M147" s="72">
        <f ca="1">IFERROR(__xludf.DUMMYFUNCTION("IMPORTRANGE(""https://docs.google.com/spreadsheets/d/1-uDff_7J0KD5mKrp0Vvzr7lt3OU09vwQwhkpOPPYv2Y/edit?usp=sharing"",""งบพรบ!BW59"")"),0)</f>
        <v>0</v>
      </c>
      <c r="N147" s="72">
        <f ca="1">IFERROR(__xludf.DUMMYFUNCTION("IMPORTRANGE(""https://docs.google.com/spreadsheets/d/1-uDff_7J0KD5mKrp0Vvzr7lt3OU09vwQwhkpOPPYv2Y/edit?usp=sharing"",""งบพรบ!BY59"")"),0)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IFERROR(__xludf.DUMMYFUNCTION("IMPORTRANGE(""https://docs.google.com/spreadsheets/d/1ItG2mGa2ceCfYo0BwxsXqNm01IGEUdYcSSLTEv9YCik/edit?usp=sharing"",""เบิกจ่ายกองทุน!CI59"")"),0)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IFERROR(__xludf.DUMMYFUNCTION("IMPORTRANGE(""https://docs.google.com/spreadsheets/d/1ItG2mGa2ceCfYo0BwxsXqNm01IGEUdYcSSLTEv9YCik/edit?usp=sharing"",""เบิกจ่ายกองทุน!CJ59"")"),0)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IFERROR(__xludf.DUMMYFUNCTION("IMPORTRANGE(""https://docs.google.com/spreadsheets/d/1ItG2mGa2ceCfYo0BwxsXqNm01IGEUdYcSSLTEv9YCik/edit?usp=sharing"",""เบิกจ่ายกองทุน!CK59"")"),0)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IFERROR(__xludf.DUMMYFUNCTION("IMPORTRANGE(""https://docs.google.com/spreadsheets/d/1eHaY18a8A9IcSdp1K8H6x8fbOy06t2VsZHhMHf-1x7Y/edit?usp=sharing"",""แผน!U59"")"),0)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IFERROR(__xludf.DUMMYFUNCTION("IMPORTRANGE(""https://docs.google.com/spreadsheets/d/1eHaY18a8A9IcSdp1K8H6x8fbOy06t2VsZHhMHf-1x7Y/edit?usp=sharing"",""แผน!V59"")"),0)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IFERROR(__xludf.DUMMYFUNCTION("IMPORTRANGE(""https://docs.google.com/spreadsheets/d/1eHaY18a8A9IcSdp1K8H6x8fbOy06t2VsZHhMHf-1x7Y/edit?usp=sharing"",""แผน!W59"")"),0)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IFERROR(__xludf.DUMMYFUNCTION("IMPORTRANGE(""https://docs.google.com/spreadsheets/d/1eHaY18a8A9IcSdp1K8H6x8fbOy06t2VsZHhMHf-1x7Y/edit?usp=sharing"",""แผน!X59"")"),0)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IFERROR(__xludf.DUMMYFUNCTION("IMPORTRANGE(""https://docs.google.com/spreadsheets/d/1eHaY18a8A9IcSdp1K8H6x8fbOy06t2VsZHhMHf-1x7Y/edit?usp=sharing"",""แผน!Y59"")"),0)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36560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36560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36560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IFERROR(__xludf.DUMMYFUNCTION("IMPORTRANGE(""https://docs.google.com/spreadsheets/d/1-uDff_7J0KD5mKrp0Vvzr7lt3OU09vwQwhkpOPPYv2Y/edit?usp=sharing"",""งบพรบ!CA59"")"),0)</f>
        <v>0</v>
      </c>
      <c r="M162" s="72">
        <f ca="1">IFERROR(__xludf.DUMMYFUNCTION("IMPORTRANGE(""https://docs.google.com/spreadsheets/d/1-uDff_7J0KD5mKrp0Vvzr7lt3OU09vwQwhkpOPPYv2Y/edit?usp=sharing"",""งบพรบ!CF59"")"),36560)</f>
        <v>36560</v>
      </c>
      <c r="N162" s="72">
        <f ca="1">IFERROR(__xludf.DUMMYFUNCTION("IMPORTRANGE(""https://docs.google.com/spreadsheets/d/1-uDff_7J0KD5mKrp0Vvzr7lt3OU09vwQwhkpOPPYv2Y/edit?usp=sharing"",""งบพรบ!CH59"")"),0)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IFERROR(__xludf.DUMMYFUNCTION("IMPORTRANGE(""https://docs.google.com/spreadsheets/d/1ItG2mGa2ceCfYo0BwxsXqNm01IGEUdYcSSLTEv9YCik/edit?usp=sharing"",""เบิกจ่ายกองทุน!AM59"")"),0)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IFERROR(__xludf.DUMMYFUNCTION("IMPORTRANGE(""https://docs.google.com/spreadsheets/d/1ItG2mGa2ceCfYo0BwxsXqNm01IGEUdYcSSLTEv9YCik/edit?usp=sharing"",""เบิกจ่ายกองทุน!AN59"")"),0)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IFERROR(__xludf.DUMMYFUNCTION("IMPORTRANGE(""https://docs.google.com/spreadsheets/d/1ItG2mGa2ceCfYo0BwxsXqNm01IGEUdYcSSLTEv9YCik/edit?usp=sharing"",""เบิกจ่ายกองทุน!AO59"")"),0)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IFERROR(__xludf.DUMMYFUNCTION("IMPORTRANGE(""https://docs.google.com/spreadsheets/d/1-uDff_7J0KD5mKrp0Vvzr7lt3OU09vwQwhkpOPPYv2Y/edit?usp=sharing"",""งบพรบ!CD59"")"),0)</f>
        <v>0</v>
      </c>
      <c r="M165" s="72">
        <f ca="1">IFERROR(__xludf.DUMMYFUNCTION("IMPORTRANGE(""https://docs.google.com/spreadsheets/d/1-uDff_7J0KD5mKrp0Vvzr7lt3OU09vwQwhkpOPPYv2Y/edit?usp=sharing"",""งบพรบ!CG59"")"),0)</f>
        <v>0</v>
      </c>
      <c r="N165" s="72">
        <f ca="1">IFERROR(__xludf.DUMMYFUNCTION("IMPORTRANGE(""https://docs.google.com/spreadsheets/d/1-uDff_7J0KD5mKrp0Vvzr7lt3OU09vwQwhkpOPPYv2Y/edit?usp=sharing"",""งบพรบ!CI59"")"),0)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IFERROR(__xludf.DUMMYFUNCTION("IMPORTRANGE(""https://docs.google.com/spreadsheets/d/1eHaY18a8A9IcSdp1K8H6x8fbOy06t2VsZHhMHf-1x7Y/edit?usp=sharing"",""แผน!Z59"")"),0)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IFERROR(__xludf.DUMMYFUNCTION("IMPORTRANGE(""https://docs.google.com/spreadsheets/d/1eHaY18a8A9IcSdp1K8H6x8fbOy06t2VsZHhMHf-1x7Y/edit?usp=sharing"",""แผน!Z59"")"),0)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IFERROR(__xludf.DUMMYFUNCTION("IMPORTRANGE(""https://docs.google.com/spreadsheets/d/1eHaY18a8A9IcSdp1K8H6x8fbOy06t2VsZHhMHf-1x7Y/edit?usp=sharing"",""แผน!Z59"")"),0)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0</v>
      </c>
      <c r="J172" s="963">
        <f>J183+J184</f>
        <v>0</v>
      </c>
      <c r="K172" s="962">
        <f ca="1">IF(I172&gt;0,J172*100/I172,0)</f>
        <v>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0</v>
      </c>
      <c r="M173" s="262">
        <f ca="1">M174+M175</f>
        <v>10040</v>
      </c>
      <c r="N173" s="262">
        <f ca="1">N174+N175</f>
        <v>10040</v>
      </c>
      <c r="O173" s="262">
        <f t="shared" ref="O173:O181" ca="1" si="51">IF(L173&gt;0,N173*100/L173,0)</f>
        <v>0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0</v>
      </c>
      <c r="M175" s="72">
        <f t="shared" ca="1" si="55"/>
        <v>10040</v>
      </c>
      <c r="N175" s="72">
        <f t="shared" ca="1" si="55"/>
        <v>10040</v>
      </c>
      <c r="O175" s="72">
        <f t="shared" ca="1" si="51"/>
        <v>0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0</v>
      </c>
      <c r="M176" s="72">
        <f ca="1">M177+M178</f>
        <v>10040</v>
      </c>
      <c r="N176" s="72">
        <f ca="1">N177+N178</f>
        <v>10040</v>
      </c>
      <c r="O176" s="72">
        <f t="shared" ca="1" si="51"/>
        <v>0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IFERROR(__xludf.DUMMYFUNCTION("IMPORTRANGE(""https://docs.google.com/spreadsheets/d/1-uDff_7J0KD5mKrp0Vvzr7lt3OU09vwQwhkpOPPYv2Y/edit?usp=sharing"",""งบพรบ!CK59"")"),0)</f>
        <v>0</v>
      </c>
      <c r="M178" s="72">
        <f ca="1">IFERROR(__xludf.DUMMYFUNCTION("IMPORTRANGE(""https://docs.google.com/spreadsheets/d/1-uDff_7J0KD5mKrp0Vvzr7lt3OU09vwQwhkpOPPYv2Y/edit?usp=sharing"",""งบพรบ!CP59"")"),10040)</f>
        <v>10040</v>
      </c>
      <c r="N178" s="72">
        <f ca="1">IFERROR(__xludf.DUMMYFUNCTION("IMPORTRANGE(""https://docs.google.com/spreadsheets/d/1-uDff_7J0KD5mKrp0Vvzr7lt3OU09vwQwhkpOPPYv2Y/edit?usp=sharing"",""งบพรบ!CR59"")"),10040)</f>
        <v>10040</v>
      </c>
      <c r="O178" s="72">
        <f t="shared" ca="1" si="51"/>
        <v>0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IFERROR(__xludf.DUMMYFUNCTION("IMPORTRANGE(""https://docs.google.com/spreadsheets/d/1ItG2mGa2ceCfYo0BwxsXqNm01IGEUdYcSSLTEv9YCik/edit?usp=sharing"",""เบิกจ่ายกองทุน!DG59"")"),0)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IFERROR(__xludf.DUMMYFUNCTION("IMPORTRANGE(""https://docs.google.com/spreadsheets/d/1ItG2mGa2ceCfYo0BwxsXqNm01IGEUdYcSSLTEv9YCik/edit?usp=sharing"",""เบิกจ่ายกองทุน!DH59"")"),0)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IFERROR(__xludf.DUMMYFUNCTION("IMPORTRANGE(""https://docs.google.com/spreadsheets/d/1ItG2mGa2ceCfYo0BwxsXqNm01IGEUdYcSSLTEv9YCik/edit?usp=sharing"",""เบิกจ่ายกองทุน!DI59"")"),0)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IFERROR(__xludf.DUMMYFUNCTION("IMPORTRANGE(""https://docs.google.com/spreadsheets/d/1-uDff_7J0KD5mKrp0Vvzr7lt3OU09vwQwhkpOPPYv2Y/edit?usp=sharing"",""งบพรบ!CN59"")"),0)</f>
        <v>0</v>
      </c>
      <c r="M181" s="72">
        <f ca="1">IFERROR(__xludf.DUMMYFUNCTION("IMPORTRANGE(""https://docs.google.com/spreadsheets/d/1-uDff_7J0KD5mKrp0Vvzr7lt3OU09vwQwhkpOPPYv2Y/edit?usp=sharing"",""งบพรบ!CQ59"")"),0)</f>
        <v>0</v>
      </c>
      <c r="N181" s="72">
        <f ca="1">IFERROR(__xludf.DUMMYFUNCTION("IMPORTRANGE(""https://docs.google.com/spreadsheets/d/1-uDff_7J0KD5mKrp0Vvzr7lt3OU09vwQwhkpOPPYv2Y/edit?usp=sharing"",""งบพรบ!CS59"")"),0)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IFERROR(__xludf.DUMMYFUNCTION("IMPORTRANGE(""https://docs.google.com/spreadsheets/d/1eHaY18a8A9IcSdp1K8H6x8fbOy06t2VsZHhMHf-1x7Y/edit?usp=sharing"",""แผน!AA59"")"),0)</f>
        <v>0</v>
      </c>
      <c r="J183" s="292">
        <v>0</v>
      </c>
      <c r="K183" s="72">
        <f ca="1">IF(I183&gt;0,J183*100/I183,0)</f>
        <v>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20</v>
      </c>
      <c r="J185" s="963">
        <f>J230+J231</f>
        <v>20</v>
      </c>
      <c r="K185" s="962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284300</v>
      </c>
      <c r="M186" s="262">
        <f ca="1">M187+M188</f>
        <v>289260</v>
      </c>
      <c r="N186" s="262">
        <f ca="1">N187+N188</f>
        <v>196618</v>
      </c>
      <c r="O186" s="262">
        <f t="shared" ref="O186:O194" ca="1" si="57">IF(L186&gt;0,N186*100/L186,0)</f>
        <v>69.158635244460072</v>
      </c>
      <c r="P186" s="262">
        <f t="shared" ref="P186:P194" ca="1" si="58">IF(M186&gt;0,N186*100/M186,0)</f>
        <v>67.972758072322478</v>
      </c>
      <c r="Q186" s="262">
        <f ca="1">Q187+Q188</f>
        <v>14000</v>
      </c>
      <c r="R186" s="262">
        <f ca="1">R187+R188</f>
        <v>14000</v>
      </c>
      <c r="S186" s="262">
        <f ca="1">S187+S188</f>
        <v>14000</v>
      </c>
      <c r="T186" s="262">
        <f t="shared" ref="T186:T194" ca="1" si="59">IF(Q186&gt;0,S186*100/Q186,0)</f>
        <v>100</v>
      </c>
      <c r="U186" s="262">
        <f t="shared" ref="U186:U194" ca="1" si="60">IF(R186&gt;0,S186*100/R186,0)</f>
        <v>100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284300</v>
      </c>
      <c r="M188" s="72">
        <f t="shared" ca="1" si="61"/>
        <v>289260</v>
      </c>
      <c r="N188" s="72">
        <f t="shared" ca="1" si="61"/>
        <v>196618</v>
      </c>
      <c r="O188" s="72">
        <f t="shared" ca="1" si="57"/>
        <v>69.158635244460072</v>
      </c>
      <c r="P188" s="72">
        <f t="shared" ca="1" si="58"/>
        <v>67.972758072322478</v>
      </c>
      <c r="Q188" s="72">
        <f t="shared" ca="1" si="62"/>
        <v>14000</v>
      </c>
      <c r="R188" s="72">
        <f t="shared" ca="1" si="62"/>
        <v>14000</v>
      </c>
      <c r="S188" s="72">
        <f t="shared" ca="1" si="62"/>
        <v>14000</v>
      </c>
      <c r="T188" s="72">
        <f t="shared" ca="1" si="59"/>
        <v>100</v>
      </c>
      <c r="U188" s="72">
        <f t="shared" ca="1" si="60"/>
        <v>100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284300</v>
      </c>
      <c r="M189" s="72">
        <f ca="1">M190+M191</f>
        <v>289260</v>
      </c>
      <c r="N189" s="72">
        <f ca="1">N190+N191</f>
        <v>196618</v>
      </c>
      <c r="O189" s="72">
        <f t="shared" ca="1" si="57"/>
        <v>69.158635244460072</v>
      </c>
      <c r="P189" s="72">
        <f t="shared" ca="1" si="58"/>
        <v>67.972758072322478</v>
      </c>
      <c r="Q189" s="72">
        <f ca="1">Q190+Q191</f>
        <v>14000</v>
      </c>
      <c r="R189" s="72">
        <f ca="1">R190+R191</f>
        <v>14000</v>
      </c>
      <c r="S189" s="72">
        <f ca="1">S190+S191</f>
        <v>14000</v>
      </c>
      <c r="T189" s="72">
        <f t="shared" ca="1" si="59"/>
        <v>100</v>
      </c>
      <c r="U189" s="72">
        <f t="shared" ca="1" si="60"/>
        <v>100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IFERROR(__xludf.DUMMYFUNCTION("IMPORTRANGE(""https://docs.google.com/spreadsheets/d/1-uDff_7J0KD5mKrp0Vvzr7lt3OU09vwQwhkpOPPYv2Y/edit?usp=sharing"",""งบพรบ!CU59"")"),284300)</f>
        <v>284300</v>
      </c>
      <c r="M191" s="72">
        <f ca="1">IFERROR(__xludf.DUMMYFUNCTION("IMPORTRANGE(""https://docs.google.com/spreadsheets/d/1-uDff_7J0KD5mKrp0Vvzr7lt3OU09vwQwhkpOPPYv2Y/edit?usp=sharing"",""งบพรบ!CZ59"")"),289260)</f>
        <v>289260</v>
      </c>
      <c r="N191" s="72">
        <f ca="1">IFERROR(__xludf.DUMMYFUNCTION("IMPORTRANGE(""https://docs.google.com/spreadsheets/d/1-uDff_7J0KD5mKrp0Vvzr7lt3OU09vwQwhkpOPPYv2Y/edit?usp=sharing"",""งบพรบ!DB59"")"),196618)</f>
        <v>196618</v>
      </c>
      <c r="O191" s="72">
        <f t="shared" ca="1" si="57"/>
        <v>69.158635244460072</v>
      </c>
      <c r="P191" s="72">
        <f t="shared" ca="1" si="58"/>
        <v>67.972758072322478</v>
      </c>
      <c r="Q191" s="72">
        <f ca="1">IFERROR(__xludf.DUMMYFUNCTION("IMPORTRANGE(""https://docs.google.com/spreadsheets/d/1ItG2mGa2ceCfYo0BwxsXqNm01IGEUdYcSSLTEv9YCik/edit?usp=sharing"",""เบิกจ่ายกองทุน!BQ59"")"),14000)</f>
        <v>14000</v>
      </c>
      <c r="R191" s="72">
        <f ca="1">IFERROR(__xludf.DUMMYFUNCTION("IMPORTRANGE(""https://docs.google.com/spreadsheets/d/1ItG2mGa2ceCfYo0BwxsXqNm01IGEUdYcSSLTEv9YCik/edit?usp=sharing"",""เบิกจ่ายกองทุน!BR59"")"),14000)</f>
        <v>14000</v>
      </c>
      <c r="S191" s="72">
        <f ca="1">IFERROR(__xludf.DUMMYFUNCTION("IMPORTRANGE(""https://docs.google.com/spreadsheets/d/1ItG2mGa2ceCfYo0BwxsXqNm01IGEUdYcSSLTEv9YCik/edit?usp=sharing"",""เบิกจ่ายกองทุน!BS59"")"),14000)</f>
        <v>14000</v>
      </c>
      <c r="T191" s="72">
        <f t="shared" ca="1" si="59"/>
        <v>100</v>
      </c>
      <c r="U191" s="72">
        <f t="shared" ca="1" si="60"/>
        <v>100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IFERROR(__xludf.DUMMYFUNCTION("IMPORTRANGE(""https://docs.google.com/spreadsheets/d/1-uDff_7J0KD5mKrp0Vvzr7lt3OU09vwQwhkpOPPYv2Y/edit?usp=sharing"",""งบพรบ!CX59"")"),0)</f>
        <v>0</v>
      </c>
      <c r="M194" s="72">
        <f ca="1">IFERROR(__xludf.DUMMYFUNCTION("IMPORTRANGE(""https://docs.google.com/spreadsheets/d/1-uDff_7J0KD5mKrp0Vvzr7lt3OU09vwQwhkpOPPYv2Y/edit?usp=sharing"",""งบพรบ!DA59"")"),0)</f>
        <v>0</v>
      </c>
      <c r="N194" s="72">
        <f ca="1">IFERROR(__xludf.DUMMYFUNCTION("IMPORTRANGE(""https://docs.google.com/spreadsheets/d/1-uDff_7J0KD5mKrp0Vvzr7lt3OU09vwQwhkpOPPYv2Y/edit?usp=sharing"",""งบพรบ!DC59"")"),0)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IFERROR(__xludf.DUMMYFUNCTION("IMPORTRANGE(""https://docs.google.com/spreadsheets/d/1ItG2mGa2ceCfYo0BwxsXqNm01IGEUdYcSSLTEv9YCik/edit?usp=sharing"",""เบิกจ่ายกองทุน!BT59"")"),0)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IFERROR(__xludf.DUMMYFUNCTION("IMPORTRANGE(""https://docs.google.com/spreadsheets/d/1ItG2mGa2ceCfYo0BwxsXqNm01IGEUdYcSSLTEv9YCik/edit?usp=sharing"",""เบิกจ่ายกองทุน!BU59"")"),0)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IFERROR(__xludf.DUMMYFUNCTION("IMPORTRANGE(""https://docs.google.com/spreadsheets/d/1ItG2mGa2ceCfYo0BwxsXqNm01IGEUdYcSSLTEv9YCik/edit?usp=sharing"",""เบิกจ่ายกองทุน!BV59"")"),0)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3</v>
      </c>
      <c r="K195" s="539">
        <f ca="1">IF(I195&gt;0,J195*100/I195,0)</f>
        <v>75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IFERROR(__xludf.DUMMYFUNCTION("IMPORTRANGE(""https://docs.google.com/spreadsheets/d/1eHaY18a8A9IcSdp1K8H6x8fbOy06t2VsZHhMHf-1x7Y/edit?usp=sharing"",""แผน!AB59"")"),6000)</f>
        <v>6000</v>
      </c>
      <c r="M196" s="85"/>
      <c r="N196" s="961">
        <v>3860</v>
      </c>
      <c r="O196" s="262">
        <f ca="1">IF(L196&gt;0,N196*100/L196,0)</f>
        <v>64.333333333333329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IFERROR(__xludf.DUMMYFUNCTION("IMPORTRANGE(""https://docs.google.com/spreadsheets/d/1eHaY18a8A9IcSdp1K8H6x8fbOy06t2VsZHhMHf-1x7Y/edit?usp=sharing"",""แผน!AE59"")"),4)</f>
        <v>4</v>
      </c>
      <c r="J198" s="292">
        <v>3</v>
      </c>
      <c r="K198" s="72">
        <f ca="1">IF(I198&gt;0,J198*100/I198,0)</f>
        <v>75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1</v>
      </c>
      <c r="J202" s="538">
        <f>J209</f>
        <v>1</v>
      </c>
      <c r="K202" s="539">
        <f ca="1">IF(I202&gt;0,J202*100/I202,0)</f>
        <v>100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x14ac:dyDescent="0.3">
      <c r="A203" s="255"/>
      <c r="B203" s="267"/>
      <c r="C203" s="668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5000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14000</v>
      </c>
      <c r="R203" s="384"/>
      <c r="S203" s="385">
        <f>S204+S205+S206+S207</f>
        <v>14000</v>
      </c>
      <c r="T203" s="385">
        <f ca="1">IF(Q203&gt;0,S203*100/Q203,0)</f>
        <v>100</v>
      </c>
      <c r="U203" s="385">
        <f>IF(R203&gt;0,S203*100/R203,0)</f>
        <v>0</v>
      </c>
    </row>
    <row r="204" spans="1:21" ht="18.75" x14ac:dyDescent="0.25">
      <c r="A204" s="255"/>
      <c r="B204" s="267"/>
      <c r="C204" s="267"/>
      <c r="D204" s="386" t="s">
        <v>320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IFERROR(__xludf.DUMMYFUNCTION("IMPORTRANGE(""https://docs.google.com/spreadsheets/d/1eHaY18a8A9IcSdp1K8H6x8fbOy06t2VsZHhMHf-1x7Y/edit?usp=sharing"",""แผน!AG59"")"),1000)</f>
        <v>1000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x14ac:dyDescent="0.25">
      <c r="A205" s="529"/>
      <c r="B205" s="267"/>
      <c r="C205" s="267"/>
      <c r="D205" s="265" t="s">
        <v>317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IFERROR(__xludf.DUMMYFUNCTION("IMPORTRANGE(""https://docs.google.com/spreadsheets/d/1eHaY18a8A9IcSdp1K8H6x8fbOy06t2VsZHhMHf-1x7Y/edit?usp=sharing"",""แผน!AH59"")"),0)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x14ac:dyDescent="0.25">
      <c r="A206" s="529"/>
      <c r="B206" s="267"/>
      <c r="C206" s="267"/>
      <c r="D206" s="265" t="s">
        <v>88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IFERROR(__xludf.DUMMYFUNCTION("IMPORTRANGE(""https://docs.google.com/spreadsheets/d/1eHaY18a8A9IcSdp1K8H6x8fbOy06t2VsZHhMHf-1x7Y/edit?usp=sharing"",""แผน!AI59"")"),0)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IFERROR(__xludf.DUMMYFUNCTION("IMPORTRANGE(""https://docs.google.com/spreadsheets/d/1eHaY18a8A9IcSdp1K8H6x8fbOy06t2VsZHhMHf-1x7Y/edit?usp=sharing"",""แผน!LV59"")"),14000)</f>
        <v>14000</v>
      </c>
      <c r="R206" s="85"/>
      <c r="S206" s="387">
        <v>14000</v>
      </c>
      <c r="T206" s="227"/>
      <c r="U206" s="85"/>
    </row>
    <row r="207" spans="1:21" ht="18.75" x14ac:dyDescent="0.25">
      <c r="A207" s="529"/>
      <c r="B207" s="267"/>
      <c r="C207" s="267"/>
      <c r="D207" s="265" t="s">
        <v>89</v>
      </c>
      <c r="E207" s="256"/>
      <c r="F207" s="256"/>
      <c r="G207" s="259"/>
      <c r="H207" s="290" t="s">
        <v>14</v>
      </c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IFERROR(__xludf.DUMMYFUNCTION("IMPORTRANGE(""https://docs.google.com/spreadsheets/d/1eHaY18a8A9IcSdp1K8H6x8fbOy06t2VsZHhMHf-1x7Y/edit?usp=sharing"",""แผน!AJ59"")"),4000)</f>
        <v>4000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x14ac:dyDescent="0.3">
      <c r="A208" s="274"/>
      <c r="B208" s="275"/>
      <c r="C208" s="668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IFERROR(__xludf.DUMMYFUNCTION("IMPORTRANGE(""https://docs.google.com/spreadsheets/d/1eHaY18a8A9IcSdp1K8H6x8fbOy06t2VsZHhMHf-1x7Y/edit?usp=sharing"",""แผน!AK59"")"),1)</f>
        <v>1</v>
      </c>
      <c r="J209" s="292">
        <v>1</v>
      </c>
      <c r="K209" s="746">
        <f ca="1">IF(I209&gt;0,J209*100/I209,0)</f>
        <v>100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IFERROR(__xludf.DUMMYFUNCTION("IMPORTRANGE(""https://docs.google.com/spreadsheets/d/1eHaY18a8A9IcSdp1K8H6x8fbOy06t2VsZHhMHf-1x7Y/edit?usp=sharing"",""แผน!JX59"")"),1)</f>
        <v>1</v>
      </c>
      <c r="J211" s="292">
        <v>1</v>
      </c>
      <c r="K211" s="746">
        <f ca="1">IF(I211&gt;0,J211*100/I211,0)</f>
        <v>100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IFERROR(__xludf.DUMMYFUNCTION("IMPORTRANGE(""https://docs.google.com/spreadsheets/d/1eHaY18a8A9IcSdp1K8H6x8fbOy06t2VsZHhMHf-1x7Y/edit?usp=sharing"",""แผน!JY59"")"),0)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IFERROR(__xludf.DUMMYFUNCTION("IMPORTRANGE(""https://docs.google.com/spreadsheets/d/1eHaY18a8A9IcSdp1K8H6x8fbOy06t2VsZHhMHf-1x7Y/edit?usp=sharing"",""แผน!AM59"")"),0)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IFERROR(__xludf.DUMMYFUNCTION("IMPORTRANGE(""https://docs.google.com/spreadsheets/d/1eHaY18a8A9IcSdp1K8H6x8fbOy06t2VsZHhMHf-1x7Y/edit?usp=sharing"",""แผน!AN59"")"),0)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IFERROR(__xludf.DUMMYFUNCTION("IMPORTRANGE(""https://docs.google.com/spreadsheets/d/1eHaY18a8A9IcSdp1K8H6x8fbOy06t2VsZHhMHf-1x7Y/edit?usp=sharing"",""แผน!AO59"")"),0)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IFERROR(__xludf.DUMMYFUNCTION("IMPORTRANGE(""https://docs.google.com/spreadsheets/d/1eHaY18a8A9IcSdp1K8H6x8fbOy06t2VsZHhMHf-1x7Y/edit?usp=sharing"",""แผน!LY59"")"),0)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IFERROR(__xludf.DUMMYFUNCTION("IMPORTRANGE(""https://docs.google.com/spreadsheets/d/1eHaY18a8A9IcSdp1K8H6x8fbOy06t2VsZHhMHf-1x7Y/edit?usp=sharing"",""แผน!AP59"")"),0)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IFERROR(__xludf.DUMMYFUNCTION("IMPORTRANGE(""https://docs.google.com/spreadsheets/d/1eHaY18a8A9IcSdp1K8H6x8fbOy06t2VsZHhMHf-1x7Y/edit?usp=sharing"",""แผน!AP59"")"),0)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30000</v>
      </c>
      <c r="J221" s="538">
        <f>J229</f>
        <v>30000</v>
      </c>
      <c r="K221" s="539">
        <f ca="1">IF(I221&gt;0,J221*100/I221,0)</f>
        <v>100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6500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IFERROR(__xludf.DUMMYFUNCTION("IMPORTRANGE(""https://docs.google.com/spreadsheets/d/1eHaY18a8A9IcSdp1K8H6x8fbOy06t2VsZHhMHf-1x7Y/edit?usp=sharing"",""แผน!AR59"")"),2500)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IFERROR(__xludf.DUMMYFUNCTION("IMPORTRANGE(""https://docs.google.com/spreadsheets/d/1eHaY18a8A9IcSdp1K8H6x8fbOy06t2VsZHhMHf-1x7Y/edit?usp=sharing"",""แผน!AS59"")"),4000)</f>
        <v>4000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IFERROR(__xludf.DUMMYFUNCTION("IMPORTRANGE(""https://docs.google.com/spreadsheets/d/1eHaY18a8A9IcSdp1K8H6x8fbOy06t2VsZHhMHf-1x7Y/edit?usp=sharing"",""แผน!AT59"")"),0)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IFERROR(__xludf.DUMMYFUNCTION("IMPORTRANGE(""https://docs.google.com/spreadsheets/d/1eHaY18a8A9IcSdp1K8H6x8fbOy06t2VsZHhMHf-1x7Y/edit?usp=sharing"",""แผน!AV59"")"),30000)</f>
        <v>30000</v>
      </c>
      <c r="J228" s="292">
        <v>30000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IFERROR(__xludf.DUMMYFUNCTION("IMPORTRANGE(""https://docs.google.com/spreadsheets/d/1eHaY18a8A9IcSdp1K8H6x8fbOy06t2VsZHhMHf-1x7Y/edit?usp=sharing"",""แผน!AV59"")"),30000)</f>
        <v>30000</v>
      </c>
      <c r="J229" s="292">
        <v>30000</v>
      </c>
      <c r="K229" s="746">
        <f ca="1">IF(I229&gt;0,J229*100/I229,0)</f>
        <v>100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IFERROR(__xludf.DUMMYFUNCTION("IMPORTRANGE(""https://docs.google.com/spreadsheets/d/1eHaY18a8A9IcSdp1K8H6x8fbOy06t2VsZHhMHf-1x7Y/edit?usp=sharing"",""แผน!AU59"")"),0)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20</v>
      </c>
      <c r="J231" s="951">
        <f>J242+J253</f>
        <v>20</v>
      </c>
      <c r="K231" s="950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7">
        <f ca="1">L243+L254</f>
        <v>47600</v>
      </c>
      <c r="M232" s="85"/>
      <c r="N232" s="956">
        <f>N243+N254</f>
        <v>13220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936"/>
      <c r="B233" s="1082"/>
      <c r="C233" s="1082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74">
        <f ca="1">L244+L255</f>
        <v>14000</v>
      </c>
      <c r="M233" s="85"/>
      <c r="N233" s="75">
        <f>N244+N255</f>
        <v>620</v>
      </c>
      <c r="O233" s="85"/>
      <c r="P233" s="85"/>
      <c r="Q233" s="1302">
        <v>0</v>
      </c>
      <c r="R233" s="671"/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/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74">
        <f ca="1">L246+L257</f>
        <v>12600</v>
      </c>
      <c r="M235" s="85"/>
      <c r="N235" s="75">
        <f>N246+N257</f>
        <v>12600</v>
      </c>
      <c r="O235" s="85"/>
      <c r="P235" s="85"/>
      <c r="Q235" s="71">
        <v>0</v>
      </c>
      <c r="R235" s="72"/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74">
        <f ca="1">L247+L258</f>
        <v>19000</v>
      </c>
      <c r="M236" s="85"/>
      <c r="N236" s="75">
        <f>N247+N258</f>
        <v>0</v>
      </c>
      <c r="O236" s="85"/>
      <c r="P236" s="85"/>
      <c r="Q236" s="71">
        <v>0</v>
      </c>
      <c r="R236" s="72"/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20</v>
      </c>
      <c r="J238" s="570">
        <f>J249+J260</f>
        <v>20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 ca="1">I251+I262</f>
        <v>20</v>
      </c>
      <c r="J240" s="570">
        <f>J251+J262</f>
        <v>0</v>
      </c>
      <c r="K240" s="75">
        <f ca="1">IF(I240&gt;0,J240*100/I240,0)</f>
        <v>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 ca="1">I252+I263</f>
        <v>1</v>
      </c>
      <c r="J241" s="570">
        <f>J252+J263</f>
        <v>0</v>
      </c>
      <c r="K241" s="75">
        <f ca="1">IF(I241&gt;0,J241*100/I241,0)</f>
        <v>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305" t="s">
        <v>344</v>
      </c>
      <c r="D242" s="371"/>
      <c r="E242" s="371"/>
      <c r="F242" s="371"/>
      <c r="G242" s="372"/>
      <c r="H242" s="373" t="s">
        <v>35</v>
      </c>
      <c r="I242" s="374">
        <f ca="1">I249</f>
        <v>20</v>
      </c>
      <c r="J242" s="374">
        <f>J249</f>
        <v>20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47600</v>
      </c>
      <c r="M243" s="85"/>
      <c r="N243" s="262">
        <f>N244+N245+N246+N247</f>
        <v>13220</v>
      </c>
      <c r="O243" s="262">
        <f ca="1">IF(L243&gt;0,N243*100/L243,0)</f>
        <v>27.77310924369748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IFERROR(__xludf.DUMMYFUNCTION("IMPORTRANGE(""https://docs.google.com/spreadsheets/d/1eHaY18a8A9IcSdp1K8H6x8fbOy06t2VsZHhMHf-1x7Y/edit?usp=sharing"",""แผน!AX59"")"),14000)</f>
        <v>14000</v>
      </c>
      <c r="M244" s="85"/>
      <c r="N244" s="387">
        <v>620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317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IFERROR(__xludf.DUMMYFUNCTION("IMPORTRANGE(""https://docs.google.com/spreadsheets/d/1eHaY18a8A9IcSdp1K8H6x8fbOy06t2VsZHhMHf-1x7Y/edit?usp=sharing"",""แผน!AY59"")"),2000)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IFERROR(__xludf.DUMMYFUNCTION("IMPORTRANGE(""https://docs.google.com/spreadsheets/d/1eHaY18a8A9IcSdp1K8H6x8fbOy06t2VsZHhMHf-1x7Y/edit?usp=sharing"",""แผน!AZ59"")"),12600)</f>
        <v>12600</v>
      </c>
      <c r="M246" s="85"/>
      <c r="N246" s="387">
        <v>12600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IFERROR(__xludf.DUMMYFUNCTION("IMPORTRANGE(""https://docs.google.com/spreadsheets/d/1eHaY18a8A9IcSdp1K8H6x8fbOy06t2VsZHhMHf-1x7Y/edit?usp=sharing"",""แผน!BA59"")"),19000)</f>
        <v>19000</v>
      </c>
      <c r="M247" s="85"/>
      <c r="N247" s="387">
        <v>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IFERROR(__xludf.DUMMYFUNCTION("IMPORTRANGE(""https://docs.google.com/spreadsheets/d/1eHaY18a8A9IcSdp1K8H6x8fbOy06t2VsZHhMHf-1x7Y/edit?usp=sharing"",""แผน!BG59"")"),20)</f>
        <v>20</v>
      </c>
      <c r="J249" s="794">
        <v>20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1324" t="s">
        <v>343</v>
      </c>
      <c r="F251" s="765"/>
      <c r="G251" s="767"/>
      <c r="H251" s="768" t="s">
        <v>35</v>
      </c>
      <c r="I251" s="237">
        <f ca="1">IFERROR(__xludf.DUMMYFUNCTION("IMPORTRANGE(""https://docs.google.com/spreadsheets/d/1eHaY18a8A9IcSdp1K8H6x8fbOy06t2VsZHhMHf-1x7Y/edit?usp=sharing"",""แผน!KB59"")"),20)</f>
        <v>20</v>
      </c>
      <c r="J251" s="794">
        <v>0</v>
      </c>
      <c r="K251" s="86">
        <f ca="1">IF(I251&gt;0,J251*100/I251,0)</f>
        <v>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745" t="s">
        <v>342</v>
      </c>
      <c r="F252" s="288"/>
      <c r="G252" s="280"/>
      <c r="H252" s="273" t="s">
        <v>35</v>
      </c>
      <c r="I252" s="237">
        <f ca="1">IFERROR(__xludf.DUMMYFUNCTION("IMPORTRANGE(""https://docs.google.com/spreadsheets/d/1eHaY18a8A9IcSdp1K8H6x8fbOy06t2VsZHhMHf-1x7Y/edit?usp=sharing"",""แผน!KC59"")"),1)</f>
        <v>1</v>
      </c>
      <c r="J252" s="794">
        <v>0</v>
      </c>
      <c r="K252" s="86">
        <f ca="1">IF(I252&gt;0,J252*100/I252,0)</f>
        <v>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304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48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IFERROR(__xludf.DUMMYFUNCTION("IMPORTRANGE(""https://docs.google.com/spreadsheets/d/1eHaY18a8A9IcSdp1K8H6x8fbOy06t2VsZHhMHf-1x7Y/edit?usp=sharing"",""แผน!BB59"")"),0)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IFERROR(__xludf.DUMMYFUNCTION("IMPORTRANGE(""https://docs.google.com/spreadsheets/d/1eHaY18a8A9IcSdp1K8H6x8fbOy06t2VsZHhMHf-1x7Y/edit?usp=sharing"",""แผน!BC59"")"),0)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IFERROR(__xludf.DUMMYFUNCTION("IMPORTRANGE(""https://docs.google.com/spreadsheets/d/1eHaY18a8A9IcSdp1K8H6x8fbOy06t2VsZHhMHf-1x7Y/edit?usp=sharing"",""แผน!BD59"")"),0)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IFERROR(__xludf.DUMMYFUNCTION("IMPORTRANGE(""https://docs.google.com/spreadsheets/d/1eHaY18a8A9IcSdp1K8H6x8fbOy06t2VsZHhMHf-1x7Y/edit?usp=sharing"",""แผน!BE59"")"),0)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IFERROR(__xludf.DUMMYFUNCTION("IMPORTRANGE(""https://docs.google.com/spreadsheets/d/1eHaY18a8A9IcSdp1K8H6x8fbOy06t2VsZHhMHf-1x7Y/edit?usp=sharing"",""แผน!BH59"")"),0)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756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756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41080</v>
      </c>
      <c r="T266" s="211">
        <f t="shared" ref="T266:T274" ca="1" si="65">IF(Q266&gt;0,S266*100/Q266,0)</f>
        <v>81.089617054875646</v>
      </c>
      <c r="U266" s="211">
        <f t="shared" ref="U266:U274" ca="1" si="66">IF(R266&gt;0,S266*100/R266,0)</f>
        <v>81.089617054875646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41080</v>
      </c>
      <c r="T268" s="86">
        <f t="shared" ca="1" si="65"/>
        <v>81.089617054875646</v>
      </c>
      <c r="U268" s="86">
        <f t="shared" ca="1" si="66"/>
        <v>81.089617054875646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41080</v>
      </c>
      <c r="T269" s="86">
        <f t="shared" ca="1" si="65"/>
        <v>81.089617054875646</v>
      </c>
      <c r="U269" s="86">
        <f t="shared" ca="1" si="66"/>
        <v>81.089617054875646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IFERROR(__xludf.DUMMYFUNCTION("IMPORTRANGE(""https://docs.google.com/spreadsheets/d/1-uDff_7J0KD5mKrp0Vvzr7lt3OU09vwQwhkpOPPYv2Y/edit?usp=sharing"",""งบพรบ!DE59"")"),5000)</f>
        <v>5000</v>
      </c>
      <c r="M271" s="86">
        <f ca="1">IFERROR(__xludf.DUMMYFUNCTION("IMPORTRANGE(""https://docs.google.com/spreadsheets/d/1-uDff_7J0KD5mKrp0Vvzr7lt3OU09vwQwhkpOPPYv2Y/edit?usp=sharing"",""งบพรบ!DJ59"")"),5000)</f>
        <v>5000</v>
      </c>
      <c r="N271" s="86">
        <f ca="1">IFERROR(__xludf.DUMMYFUNCTION("IMPORTRANGE(""https://docs.google.com/spreadsheets/d/1-uDff_7J0KD5mKrp0Vvzr7lt3OU09vwQwhkpOPPYv2Y/edit?usp=sharing"",""งบพรบ!DL59"")"),5000)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IFERROR(__xludf.DUMMYFUNCTION("IMPORTRANGE(""https://docs.google.com/spreadsheets/d/1ItG2mGa2ceCfYo0BwxsXqNm01IGEUdYcSSLTEv9YCik/edit?usp=sharing"",""เบิกจ่ายกองทุน!AP59"")"),50660)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IFERROR(__xludf.DUMMYFUNCTION("IMPORTRANGE(""https://docs.google.com/spreadsheets/d/1ItG2mGa2ceCfYo0BwxsXqNm01IGEUdYcSSLTEv9YCik/edit?usp=sharing"",""เบิกจ่ายกองทุน!AQ59"")"),50660)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IFERROR(__xludf.DUMMYFUNCTION("IMPORTRANGE(""https://docs.google.com/spreadsheets/d/1ItG2mGa2ceCfYo0BwxsXqNm01IGEUdYcSSLTEv9YCik/edit?usp=sharing"",""เบิกจ่ายกองทุน!AR59"")"),41080)</f>
        <v>41080</v>
      </c>
      <c r="T271" s="86">
        <f t="shared" ca="1" si="65"/>
        <v>81.089617054875646</v>
      </c>
      <c r="U271" s="86">
        <f t="shared" ca="1" si="66"/>
        <v>81.089617054875646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IFERROR(__xludf.DUMMYFUNCTION("IMPORTRANGE(""https://docs.google.com/spreadsheets/d/1-uDff_7J0KD5mKrp0Vvzr7lt3OU09vwQwhkpOPPYv2Y/edit?usp=sharing"",""งบพรบ!DH59"")"),0)</f>
        <v>0</v>
      </c>
      <c r="M274" s="86">
        <f ca="1">IFERROR(__xludf.DUMMYFUNCTION("IMPORTRANGE(""https://docs.google.com/spreadsheets/d/1-uDff_7J0KD5mKrp0Vvzr7lt3OU09vwQwhkpOPPYv2Y/edit?usp=sharing"",""งบพรบ!DK59"")"),0)</f>
        <v>0</v>
      </c>
      <c r="N274" s="86">
        <f ca="1">IFERROR(__xludf.DUMMYFUNCTION("IMPORTRANGE(""https://docs.google.com/spreadsheets/d/1-uDff_7J0KD5mKrp0Vvzr7lt3OU09vwQwhkpOPPYv2Y/edit?usp=sharing"",""งบพรบ!DM59"")"),0)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668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IFERROR(__xludf.DUMMYFUNCTION("IMPORTRANGE(""https://docs.google.com/spreadsheets/d/1eHaY18a8A9IcSdp1K8H6x8fbOy06t2VsZHhMHf-1x7Y/edit?usp=sharing"",""แผน!EC59"")"),22)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1297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IFERROR(__xludf.DUMMYFUNCTION("IMPORTRANGE(""https://docs.google.com/spreadsheets/d/1-uDff_7J0KD5mKrp0Vvzr7lt3OU09vwQwhkpOPPYv2Y/edit?usp=sharing"",""งบพรบ!DO59"")"),0)</f>
        <v>0</v>
      </c>
      <c r="M287" s="72">
        <f ca="1">IFERROR(__xludf.DUMMYFUNCTION("IMPORTRANGE(""https://docs.google.com/spreadsheets/d/1-uDff_7J0KD5mKrp0Vvzr7lt3OU09vwQwhkpOPPYv2Y/edit?usp=sharing"",""งบพรบ!DT59"")"),0)</f>
        <v>0</v>
      </c>
      <c r="N287" s="72">
        <f ca="1">IFERROR(__xludf.DUMMYFUNCTION("IMPORTRANGE(""https://docs.google.com/spreadsheets/d/1-uDff_7J0KD5mKrp0Vvzr7lt3OU09vwQwhkpOPPYv2Y/edit?usp=sharing"",""งบพรบ!DV59"")"),0)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IFERROR(__xludf.DUMMYFUNCTION("IMPORTRANGE(""https://docs.google.com/spreadsheets/d/1-uDff_7J0KD5mKrp0Vvzr7lt3OU09vwQwhkpOPPYv2Y/edit?usp=sharing"",""งบพรบ!DR59"")"),0)</f>
        <v>0</v>
      </c>
      <c r="M290" s="72">
        <f ca="1">IFERROR(__xludf.DUMMYFUNCTION("IMPORTRANGE(""https://docs.google.com/spreadsheets/d/1-uDff_7J0KD5mKrp0Vvzr7lt3OU09vwQwhkpOPPYv2Y/edit?usp=sharing"",""งบพรบ!DU59"")"),0)</f>
        <v>0</v>
      </c>
      <c r="N290" s="72">
        <f ca="1">IFERROR(__xludf.DUMMYFUNCTION("IMPORTRANGE(""https://docs.google.com/spreadsheets/d/1-uDff_7J0KD5mKrp0Vvzr7lt3OU09vwQwhkpOPPYv2Y/edit?usp=sharing"",""งบพรบ!DW59"")"),0)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IFERROR(__xludf.DUMMYFUNCTION("IMPORTRANGE(""https://docs.google.com/spreadsheets/d/1eHaY18a8A9IcSdp1K8H6x8fbOy06t2VsZHhMHf-1x7Y/edit?usp=sharing"",""แผน!EE59"")"),0)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IFERROR(__xludf.DUMMYFUNCTION("IMPORTRANGE(""https://docs.google.com/spreadsheets/d/1eHaY18a8A9IcSdp1K8H6x8fbOy06t2VsZHhMHf-1x7Y/edit?usp=sharing"",""แผน!ED59"")"),0)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IFERROR(__xludf.DUMMYFUNCTION("IMPORTRANGE(""https://docs.google.com/spreadsheets/d/1eHaY18a8A9IcSdp1K8H6x8fbOy06t2VsZHhMHf-1x7Y/edit?usp=sharing"",""แผน!ED59"")"),0)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IFERROR(__xludf.DUMMYFUNCTION("IMPORTRANGE(""https://docs.google.com/spreadsheets/d/1eHaY18a8A9IcSdp1K8H6x8fbOy06t2VsZHhMHf-1x7Y/edit?usp=sharing"",""แผน!ED59"")"),0)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15</v>
      </c>
      <c r="J302" s="595">
        <f>J314</f>
        <v>15</v>
      </c>
      <c r="K302" s="589">
        <f ca="1">IF(I302&gt;0,J302*100/I302,0)</f>
        <v>100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x14ac:dyDescent="0.3">
      <c r="A303" s="255"/>
      <c r="B303" s="256"/>
      <c r="C303" s="668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242775</v>
      </c>
      <c r="M303" s="262">
        <f ca="1">M304+M305</f>
        <v>242775</v>
      </c>
      <c r="N303" s="262">
        <f ca="1">N304+N305</f>
        <v>167100</v>
      </c>
      <c r="O303" s="262">
        <f t="shared" ref="O303:O311" ca="1" si="75">IF(L303&gt;0,N303*100/L303,0)</f>
        <v>68.829162805066417</v>
      </c>
      <c r="P303" s="262">
        <f t="shared" ref="P303:P311" ca="1" si="76">IF(M303&gt;0,N303*100/M303,0)</f>
        <v>68.829162805066417</v>
      </c>
      <c r="Q303" s="262">
        <f ca="1">Q304+Q305</f>
        <v>123161.24</v>
      </c>
      <c r="R303" s="262">
        <f ca="1">R304+R305</f>
        <v>123161</v>
      </c>
      <c r="S303" s="262">
        <f ca="1">S304+S305</f>
        <v>7935</v>
      </c>
      <c r="T303" s="262">
        <f t="shared" ref="T303:T311" ca="1" si="77">IF(Q303&gt;0,S303*100/Q303,0)</f>
        <v>6.4427737167959656</v>
      </c>
      <c r="U303" s="262">
        <f t="shared" ref="U303:U311" ca="1" si="78">IF(R303&gt;0,S303*100/R303,0)</f>
        <v>6.4427862716281936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242775</v>
      </c>
      <c r="M305" s="72">
        <f t="shared" ca="1" si="79"/>
        <v>242775</v>
      </c>
      <c r="N305" s="72">
        <f t="shared" ca="1" si="79"/>
        <v>167100</v>
      </c>
      <c r="O305" s="72">
        <f t="shared" ca="1" si="75"/>
        <v>68.829162805066417</v>
      </c>
      <c r="P305" s="72">
        <f t="shared" ca="1" si="76"/>
        <v>68.829162805066417</v>
      </c>
      <c r="Q305" s="72">
        <f t="shared" ca="1" si="80"/>
        <v>123161.24</v>
      </c>
      <c r="R305" s="72">
        <f t="shared" ca="1" si="80"/>
        <v>123161</v>
      </c>
      <c r="S305" s="72">
        <f t="shared" ca="1" si="80"/>
        <v>7935</v>
      </c>
      <c r="T305" s="72">
        <f t="shared" ca="1" si="77"/>
        <v>6.4427737167959656</v>
      </c>
      <c r="U305" s="72">
        <f t="shared" ca="1" si="78"/>
        <v>6.4427862716281936</v>
      </c>
    </row>
    <row r="306" spans="1:21" ht="18.75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242775</v>
      </c>
      <c r="M306" s="72">
        <f ca="1">M307+M308</f>
        <v>242775</v>
      </c>
      <c r="N306" s="72">
        <f ca="1">N307+N308</f>
        <v>167100</v>
      </c>
      <c r="O306" s="72">
        <f t="shared" ca="1" si="75"/>
        <v>68.829162805066417</v>
      </c>
      <c r="P306" s="72">
        <f t="shared" ca="1" si="76"/>
        <v>68.829162805066417</v>
      </c>
      <c r="Q306" s="72">
        <f ca="1">Q307+Q308</f>
        <v>123161.24</v>
      </c>
      <c r="R306" s="72">
        <f ca="1">R307+R308</f>
        <v>123161</v>
      </c>
      <c r="S306" s="72">
        <f ca="1">S307+S308</f>
        <v>7935</v>
      </c>
      <c r="T306" s="72">
        <f t="shared" ca="1" si="77"/>
        <v>6.4427737167959656</v>
      </c>
      <c r="U306" s="72">
        <f t="shared" ca="1" si="78"/>
        <v>6.4427862716281936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IFERROR(__xludf.DUMMYFUNCTION("IMPORTRANGE(""https://docs.google.com/spreadsheets/d/1-uDff_7J0KD5mKrp0Vvzr7lt3OU09vwQwhkpOPPYv2Y/edit?usp=sharing"",""งบพรบ!DY59"")"),242775)</f>
        <v>242775</v>
      </c>
      <c r="M308" s="72">
        <f ca="1">IFERROR(__xludf.DUMMYFUNCTION("IMPORTRANGE(""https://docs.google.com/spreadsheets/d/1-uDff_7J0KD5mKrp0Vvzr7lt3OU09vwQwhkpOPPYv2Y/edit?usp=sharing"",""งบพรบ!ED59"")"),242775)</f>
        <v>242775</v>
      </c>
      <c r="N308" s="72">
        <f ca="1">IFERROR(__xludf.DUMMYFUNCTION("IMPORTRANGE(""https://docs.google.com/spreadsheets/d/1-uDff_7J0KD5mKrp0Vvzr7lt3OU09vwQwhkpOPPYv2Y/edit?usp=sharing"",""งบพรบ!EF59"")"),167100)</f>
        <v>167100</v>
      </c>
      <c r="O308" s="72">
        <f t="shared" ca="1" si="75"/>
        <v>68.829162805066417</v>
      </c>
      <c r="P308" s="72">
        <f t="shared" ca="1" si="76"/>
        <v>68.829162805066417</v>
      </c>
      <c r="Q308" s="72">
        <f ca="1">IFERROR(__xludf.DUMMYFUNCTION("IMPORTRANGE(""https://docs.google.com/spreadsheets/d/1ItG2mGa2ceCfYo0BwxsXqNm01IGEUdYcSSLTEv9YCik/edit?usp=sharing"",""เบิกจ่ายกองทุน!BB59"")"),123161.24)</f>
        <v>123161.24</v>
      </c>
      <c r="R308" s="72">
        <f ca="1">IFERROR(__xludf.DUMMYFUNCTION("IMPORTRANGE(""https://docs.google.com/spreadsheets/d/1ItG2mGa2ceCfYo0BwxsXqNm01IGEUdYcSSLTEv9YCik/edit?usp=sharing"",""เบิกจ่ายกองทุน!BC59"")"),123161)</f>
        <v>123161</v>
      </c>
      <c r="S308" s="72">
        <f ca="1">IFERROR(__xludf.DUMMYFUNCTION("IMPORTRANGE(""https://docs.google.com/spreadsheets/d/1ItG2mGa2ceCfYo0BwxsXqNm01IGEUdYcSSLTEv9YCik/edit?usp=sharing"",""เบิกจ่ายกองทุน!BD59"")"),7935)</f>
        <v>7935</v>
      </c>
      <c r="T308" s="72">
        <f t="shared" ca="1" si="77"/>
        <v>6.4427737167959656</v>
      </c>
      <c r="U308" s="72">
        <f t="shared" ca="1" si="78"/>
        <v>6.4427862716281936</v>
      </c>
    </row>
    <row r="309" spans="1:21" ht="18.75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IFERROR(__xludf.DUMMYFUNCTION("IMPORTRANGE(""https://docs.google.com/spreadsheets/d/1-uDff_7J0KD5mKrp0Vvzr7lt3OU09vwQwhkpOPPYv2Y/edit?usp=sharing"",""งบพรบ!EB59"")"),0)</f>
        <v>0</v>
      </c>
      <c r="M311" s="72">
        <f ca="1">IFERROR(__xludf.DUMMYFUNCTION("IMPORTRANGE(""https://docs.google.com/spreadsheets/d/1-uDff_7J0KD5mKrp0Vvzr7lt3OU09vwQwhkpOPPYv2Y/edit?usp=sharing"",""งบพรบ!EE59"")"),0)</f>
        <v>0</v>
      </c>
      <c r="N311" s="72">
        <f ca="1">IFERROR(__xludf.DUMMYFUNCTION("IMPORTRANGE(""https://docs.google.com/spreadsheets/d/1-uDff_7J0KD5mKrp0Vvzr7lt3OU09vwQwhkpOPPYv2Y/edit?usp=sharing"",""งบพรบ!EG59"")"),0)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x14ac:dyDescent="0.3">
      <c r="A312" s="274"/>
      <c r="B312" s="275"/>
      <c r="C312" s="668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30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IFERROR(__xludf.DUMMYFUNCTION("IMPORTRANGE(""https://docs.google.com/spreadsheets/d/1eHaY18a8A9IcSdp1K8H6x8fbOy06t2VsZHhMHf-1x7Y/edit?usp=sharing"",""แผน!EF59"")"),15)</f>
        <v>15</v>
      </c>
      <c r="J314" s="292">
        <v>15</v>
      </c>
      <c r="K314" s="72">
        <f ca="1">IF(I314&gt;0,J314*100/I314,0)</f>
        <v>100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1329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1329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1328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IFERROR(__xludf.DUMMYFUNCTION("IMPORTRANGE(""https://docs.google.com/spreadsheets/d/1-uDff_7J0KD5mKrp0Vvzr7lt3OU09vwQwhkpOPPYv2Y/edit?usp=sharing"",""งบพรบ!EI59"")"),0)</f>
        <v>0</v>
      </c>
      <c r="M325" s="72">
        <f ca="1">IFERROR(__xludf.DUMMYFUNCTION("IMPORTRANGE(""https://docs.google.com/spreadsheets/d/1-uDff_7J0KD5mKrp0Vvzr7lt3OU09vwQwhkpOPPYv2Y/edit?usp=sharing"",""งบพรบ!EN59"")"),0)</f>
        <v>0</v>
      </c>
      <c r="N325" s="72">
        <f ca="1">IFERROR(__xludf.DUMMYFUNCTION("IMPORTRANGE(""https://docs.google.com/spreadsheets/d/1-uDff_7J0KD5mKrp0Vvzr7lt3OU09vwQwhkpOPPYv2Y/edit?usp=sharing"",""งบพรบ!EP59"")"),0)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IFERROR(__xludf.DUMMYFUNCTION("IMPORTRANGE(""https://docs.google.com/spreadsheets/d/1-uDff_7J0KD5mKrp0Vvzr7lt3OU09vwQwhkpOPPYv2Y/edit?usp=sharing"",""งบพรบ!EL59"")"),0)</f>
        <v>0</v>
      </c>
      <c r="M328" s="72">
        <f ca="1">IFERROR(__xludf.DUMMYFUNCTION("IMPORTRANGE(""https://docs.google.com/spreadsheets/d/1-uDff_7J0KD5mKrp0Vvzr7lt3OU09vwQwhkpOPPYv2Y/edit?usp=sharing"",""งบพรบ!EO59"")"),0)</f>
        <v>0</v>
      </c>
      <c r="N328" s="72">
        <f ca="1">IFERROR(__xludf.DUMMYFUNCTION("IMPORTRANGE(""https://docs.google.com/spreadsheets/d/1-uDff_7J0KD5mKrp0Vvzr7lt3OU09vwQwhkpOPPYv2Y/edit?usp=sharing"",""งบพรบ!EQ59"")"),0)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IFERROR(__xludf.DUMMYFUNCTION("IMPORTRANGE(""https://docs.google.com/spreadsheets/d/1eHaY18a8A9IcSdp1K8H6x8fbOy06t2VsZHhMHf-1x7Y/edit?usp=sharing"",""แผน!EJ59"")"),0)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400</v>
      </c>
      <c r="J332" s="515">
        <f ca="1">J344+J347+J348+J349+J353+J354</f>
        <v>477</v>
      </c>
      <c r="K332" s="516">
        <f ca="1">IF(I332&gt;0,J332*100/I332,0)</f>
        <v>119.25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580000</v>
      </c>
      <c r="M333" s="262">
        <f ca="1">M334+M335</f>
        <v>580000</v>
      </c>
      <c r="N333" s="262">
        <f ca="1">N334+N335</f>
        <v>387010</v>
      </c>
      <c r="O333" s="262">
        <f t="shared" ref="O333:O341" ca="1" si="87">IF(L333&gt;0,N333*100/L333,0)</f>
        <v>66.725862068965512</v>
      </c>
      <c r="P333" s="262">
        <f t="shared" ref="P333:P341" ca="1" si="88">IF(M333&gt;0,N333*100/M333,0)</f>
        <v>66.725862068965512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580000</v>
      </c>
      <c r="M335" s="72">
        <f t="shared" ca="1" si="91"/>
        <v>580000</v>
      </c>
      <c r="N335" s="72">
        <f t="shared" ca="1" si="91"/>
        <v>387010</v>
      </c>
      <c r="O335" s="72">
        <f t="shared" ca="1" si="87"/>
        <v>66.725862068965512</v>
      </c>
      <c r="P335" s="72">
        <f t="shared" ca="1" si="88"/>
        <v>66.725862068965512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580000</v>
      </c>
      <c r="M336" s="72">
        <f ca="1">M337+M338</f>
        <v>580000</v>
      </c>
      <c r="N336" s="72">
        <f ca="1">N337+N338</f>
        <v>387010</v>
      </c>
      <c r="O336" s="72">
        <f t="shared" ca="1" si="87"/>
        <v>66.725862068965512</v>
      </c>
      <c r="P336" s="72">
        <f t="shared" ca="1" si="88"/>
        <v>66.725862068965512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IFERROR(__xludf.DUMMYFUNCTION("IMPORTRANGE(""https://docs.google.com/spreadsheets/d/1-uDff_7J0KD5mKrp0Vvzr7lt3OU09vwQwhkpOPPYv2Y/edit?usp=sharing"",""งบพรบ!ES59"")"),580000)</f>
        <v>580000</v>
      </c>
      <c r="M338" s="72">
        <f ca="1">IFERROR(__xludf.DUMMYFUNCTION("IMPORTRANGE(""https://docs.google.com/spreadsheets/d/1-uDff_7J0KD5mKrp0Vvzr7lt3OU09vwQwhkpOPPYv2Y/edit?usp=sharing"",""งบพรบ!EX59"")"),580000)</f>
        <v>580000</v>
      </c>
      <c r="N338" s="72">
        <f ca="1">IFERROR(__xludf.DUMMYFUNCTION("IMPORTRANGE(""https://docs.google.com/spreadsheets/d/1-uDff_7J0KD5mKrp0Vvzr7lt3OU09vwQwhkpOPPYv2Y/edit?usp=sharing"",""งบพรบ!EZ59"")"),387010)</f>
        <v>387010</v>
      </c>
      <c r="O338" s="72">
        <f t="shared" ca="1" si="87"/>
        <v>66.725862068965512</v>
      </c>
      <c r="P338" s="72">
        <f t="shared" ca="1" si="88"/>
        <v>66.725862068965512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IFERROR(__xludf.DUMMYFUNCTION("IMPORTRANGE(""https://docs.google.com/spreadsheets/d/1-uDff_7J0KD5mKrp0Vvzr7lt3OU09vwQwhkpOPPYv2Y/edit?usp=sharing"",""งบพรบ!EV59"")"),0)</f>
        <v>0</v>
      </c>
      <c r="M341" s="72">
        <f ca="1">IFERROR(__xludf.DUMMYFUNCTION("IMPORTRANGE(""https://docs.google.com/spreadsheets/d/1-uDff_7J0KD5mKrp0Vvzr7lt3OU09vwQwhkpOPPYv2Y/edit?usp=sharing"",""งบพรบ!EY59"")"),0)</f>
        <v>0</v>
      </c>
      <c r="N341" s="72">
        <f ca="1">IFERROR(__xludf.DUMMYFUNCTION("IMPORTRANGE(""https://docs.google.com/spreadsheets/d/1-uDff_7J0KD5mKrp0Vvzr7lt3OU09vwQwhkpOPPYv2Y/edit?usp=sharing"",""งบพรบ!FA59"")"),0)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356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IFERROR(__xludf.DUMMYFUNCTION("IMPORTRANGE(""https://docs.google.com/spreadsheets/d/1eHaY18a8A9IcSdp1K8H6x8fbOy06t2VsZHhMHf-1x7Y/edit?usp=sharing"",""แผน!EK59"")"),400)</f>
        <v>400</v>
      </c>
      <c r="J344" s="291">
        <f ca="1">IFERROR(__xludf.DUMMYFUNCTION("IMPORTRANGE(""https://docs.google.com/spreadsheets/d/1awYsYK3VOup2i3Pq_Yjnu8DRu_mYwSBnCR2QPthd0rU/edit?usp=sharing"",""ศูนย์ยกเว้นโฉนด!D59"")"),269)</f>
        <v>269</v>
      </c>
      <c r="K344" s="72">
        <f ca="1">IF(I344&gt;0,J344*100/I344,0)</f>
        <v>67.25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IFERROR(__xludf.DUMMYFUNCTION("IMPORTRANGE(""https://docs.google.com/spreadsheets/d/1eHaY18a8A9IcSdp1K8H6x8fbOy06t2VsZHhMHf-1x7Y/edit?usp=sharing"",""แผน!EL59"")"),1)</f>
        <v>1</v>
      </c>
      <c r="J346" s="291">
        <f ca="1">IFERROR(__xludf.DUMMYFUNCTION("IMPORTRANGE(""https://docs.google.com/spreadsheets/d/1awYsYK3VOup2i3Pq_Yjnu8DRu_mYwSBnCR2QPthd0rU/edit?usp=sharing"",""ศูนย์รวม!E59"")"),1)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IFERROR(__xludf.DUMMYFUNCTION("IMPORTRANGE(""https://docs.google.com/spreadsheets/d/1awYsYK3VOup2i3Pq_Yjnu8DRu_mYwSBnCR2QPthd0rU/edit?usp=sharing"",""ศูนย์ยกเว้นโฉนด!F59"")"),47)</f>
        <v>47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IFERROR(__xludf.DUMMYFUNCTION("IMPORTRANGE(""https://docs.google.com/spreadsheets/d/1awYsYK3VOup2i3Pq_Yjnu8DRu_mYwSBnCR2QPthd0rU/edit?usp=sharing"",""ศูนย์ยกเว้นโฉนด!G59"")"),40)</f>
        <v>40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IFERROR(__xludf.DUMMYFUNCTION("IMPORTRANGE(""https://docs.google.com/spreadsheets/d/1awYsYK3VOup2i3Pq_Yjnu8DRu_mYwSBnCR2QPthd0rU/edit?usp=sharing"",""ศูนย์ยกเว้นโฉนด!H59"")"),0)</f>
        <v>0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>
        <f ca="1">J352+J353+J354</f>
        <v>121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>
        <f ca="1">IFERROR(__xludf.DUMMYFUNCTION("IMPORTRANGE(""https://docs.google.com/spreadsheets/d/1awYsYK3VOup2i3Pq_Yjnu8DRu_mYwSBnCR2QPthd0rU/edit?usp=sharing"",""โฉนดM3!G59"")"),0)</f>
        <v>0</v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>
        <f ca="1">IFERROR(__xludf.DUMMYFUNCTION("IMPORTRANGE(""https://docs.google.com/spreadsheets/d/1awYsYK3VOup2i3Pq_Yjnu8DRu_mYwSBnCR2QPthd0rU/edit?usp=sharing"",""โฉนดM3!H59"")"),38)</f>
        <v>38</v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>
        <f ca="1">IFERROR(__xludf.DUMMYFUNCTION("IMPORTRANGE(""https://docs.google.com/spreadsheets/d/1awYsYK3VOup2i3Pq_Yjnu8DRu_mYwSBnCR2QPthd0rU/edit?usp=sharing"",""โฉนดM3!I59"")"),83)</f>
        <v>83</v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193180</v>
      </c>
      <c r="M356" s="262">
        <f ca="1">M357+M358</f>
        <v>193180</v>
      </c>
      <c r="N356" s="262">
        <f ca="1">N357+N358</f>
        <v>102264</v>
      </c>
      <c r="O356" s="262">
        <f t="shared" ref="O356:O364" ca="1" si="93">IF(L356&gt;0,N356*100/L356,0)</f>
        <v>52.937157055595819</v>
      </c>
      <c r="P356" s="262">
        <f t="shared" ref="P356:P364" ca="1" si="94">IF(M356&gt;0,N356*100/M356,0)</f>
        <v>52.937157055595819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193180</v>
      </c>
      <c r="M358" s="72">
        <f t="shared" ca="1" si="97"/>
        <v>193180</v>
      </c>
      <c r="N358" s="72">
        <f t="shared" ca="1" si="97"/>
        <v>102264</v>
      </c>
      <c r="O358" s="72">
        <f t="shared" ca="1" si="93"/>
        <v>52.937157055595819</v>
      </c>
      <c r="P358" s="72">
        <f t="shared" ca="1" si="94"/>
        <v>52.937157055595819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193180</v>
      </c>
      <c r="M359" s="72">
        <f ca="1">M360+M361</f>
        <v>193180</v>
      </c>
      <c r="N359" s="72">
        <f ca="1">N360+N361</f>
        <v>102264</v>
      </c>
      <c r="O359" s="72">
        <f t="shared" ca="1" si="93"/>
        <v>52.937157055595819</v>
      </c>
      <c r="P359" s="72">
        <f t="shared" ca="1" si="94"/>
        <v>52.937157055595819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IFERROR(__xludf.DUMMYFUNCTION("IMPORTRANGE(""https://docs.google.com/spreadsheets/d/1-uDff_7J0KD5mKrp0Vvzr7lt3OU09vwQwhkpOPPYv2Y/edit?usp=sharing"",""งบพรบ!FC59"")"),193180)</f>
        <v>193180</v>
      </c>
      <c r="M361" s="72">
        <f ca="1">IFERROR(__xludf.DUMMYFUNCTION("IMPORTRANGE(""https://docs.google.com/spreadsheets/d/1-uDff_7J0KD5mKrp0Vvzr7lt3OU09vwQwhkpOPPYv2Y/edit?usp=sharing"",""งบพรบ!FH59"")"),193180)</f>
        <v>193180</v>
      </c>
      <c r="N361" s="72">
        <f ca="1">IFERROR(__xludf.DUMMYFUNCTION("IMPORTRANGE(""https://docs.google.com/spreadsheets/d/1-uDff_7J0KD5mKrp0Vvzr7lt3OU09vwQwhkpOPPYv2Y/edit?usp=sharing"",""งบพรบ!FJ59"")"),102264)</f>
        <v>102264</v>
      </c>
      <c r="O361" s="72">
        <f t="shared" ca="1" si="93"/>
        <v>52.937157055595819</v>
      </c>
      <c r="P361" s="72">
        <f t="shared" ca="1" si="94"/>
        <v>52.937157055595819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IFERROR(__xludf.DUMMYFUNCTION("IMPORTRANGE(""https://docs.google.com/spreadsheets/d/1-uDff_7J0KD5mKrp0Vvzr7lt3OU09vwQwhkpOPPYv2Y/edit?usp=sharing"",""งบพรบ!FF59"")"),0)</f>
        <v>0</v>
      </c>
      <c r="M364" s="72">
        <f ca="1">IFERROR(__xludf.DUMMYFUNCTION("IMPORTRANGE(""https://docs.google.com/spreadsheets/d/1-uDff_7J0KD5mKrp0Vvzr7lt3OU09vwQwhkpOPPYv2Y/edit?usp=sharing"",""งบพรบ!FI59"")"),0)</f>
        <v>0</v>
      </c>
      <c r="N364" s="72">
        <f ca="1">IFERROR(__xludf.DUMMYFUNCTION("IMPORTRANGE(""https://docs.google.com/spreadsheets/d/1-uDff_7J0KD5mKrp0Vvzr7lt3OU09vwQwhkpOPPYv2Y/edit?usp=sharing"",""งบพรบ!FK59"")"),0)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IFERROR(__xludf.DUMMYFUNCTION("IMPORTRANGE(""https://docs.google.com/spreadsheets/d/1tdoBKaGub7dwA3U6UFTqxio9LNnvDCQjHKmttSEBsFQ/edit?usp=sharing"",""จัดที่ดิน!AB59"")"),0)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IFERROR(__xludf.DUMMYFUNCTION("IMPORTRANGE(""https://docs.google.com/spreadsheets/d/1eHaY18a8A9IcSdp1K8H6x8fbOy06t2VsZHhMHf-1x7Y/edit?usp=sharing"",""แผน!EW59"")"),0)</f>
        <v>0</v>
      </c>
      <c r="J368" s="879">
        <f ca="1">IFERROR(__xludf.DUMMYFUNCTION("IMPORTRANGE(""https://docs.google.com/spreadsheets/d/1tdoBKaGub7dwA3U6UFTqxio9LNnvDCQjHKmttSEBsFQ/edit?usp=sharing"",""จัดที่ดิน!AC59"")"),0)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IFERROR(__xludf.DUMMYFUNCTION("IMPORTRANGE(""https://docs.google.com/spreadsheets/d/1eHaY18a8A9IcSdp1K8H6x8fbOy06t2VsZHhMHf-1x7Y/edit?usp=sharing"",""แผน!EX59"")"),0)</f>
        <v>0</v>
      </c>
      <c r="J369" s="291">
        <f ca="1">IFERROR(__xludf.DUMMYFUNCTION("IMPORTRANGE(""https://docs.google.com/spreadsheets/d/1tdoBKaGub7dwA3U6UFTqxio9LNnvDCQjHKmttSEBsFQ/edit?usp=sharing"",""จัดที่ดิน!AD59"")"),1)</f>
        <v>1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IFERROR(__xludf.DUMMYFUNCTION("IMPORTRANGE(""https://docs.google.com/spreadsheets/d/1tdoBKaGub7dwA3U6UFTqxio9LNnvDCQjHKmttSEBsFQ/edit?usp=sharing"",""จัดที่ดิน!AE59"")"),8.13)</f>
        <v>8.1300000000000008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IFERROR(__xludf.DUMMYFUNCTION("IMPORTRANGE(""https://docs.google.com/spreadsheets/d/1eHaY18a8A9IcSdp1K8H6x8fbOy06t2VsZHhMHf-1x7Y/edit?usp=sharing"",""แผน!EY59"")"),0)</f>
        <v>0</v>
      </c>
      <c r="J371" s="291">
        <f ca="1">IFERROR(__xludf.DUMMYFUNCTION("IMPORTRANGE(""https://docs.google.com/spreadsheets/d/1tdoBKaGub7dwA3U6UFTqxio9LNnvDCQjHKmttSEBsFQ/edit?usp=sharing"",""จัดที่ดิน!AF59"")"),0)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IFERROR(__xludf.DUMMYFUNCTION("IMPORTRANGE(""https://docs.google.com/spreadsheets/d/1tdoBKaGub7dwA3U6UFTqxio9LNnvDCQjHKmttSEBsFQ/edit?usp=sharing"",""จัดที่ดิน!AG59"")"),0)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IFERROR(__xludf.DUMMYFUNCTION("IMPORTRANGE(""https://docs.google.com/spreadsheets/d/1-uDff_7J0KD5mKrp0Vvzr7lt3OU09vwQwhkpOPPYv2Y/edit?usp=sharing"",""งบพรบ!IE59"")"),0)</f>
        <v>0</v>
      </c>
      <c r="M380" s="72">
        <f ca="1">IFERROR(__xludf.DUMMYFUNCTION("IMPORTRANGE(""https://docs.google.com/spreadsheets/d/1-uDff_7J0KD5mKrp0Vvzr7lt3OU09vwQwhkpOPPYv2Y/edit?usp=sharing"",""งบพรบ!IJ59"")"),0)</f>
        <v>0</v>
      </c>
      <c r="N380" s="72">
        <f ca="1">IFERROR(__xludf.DUMMYFUNCTION("IMPORTRANGE(""https://docs.google.com/spreadsheets/d/1-uDff_7J0KD5mKrp0Vvzr7lt3OU09vwQwhkpOPPYv2Y/edit?usp=sharing"",""งบพรบ!IL59"")"),0)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IFERROR(__xludf.DUMMYFUNCTION("IMPORTRANGE(""https://docs.google.com/spreadsheets/d/1ItG2mGa2ceCfYo0BwxsXqNm01IGEUdYcSSLTEv9YCik/edit?usp=sharing"",""เบิกจ่ายกองทุน!BW59"")"),0)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IFERROR(__xludf.DUMMYFUNCTION("IMPORTRANGE(""https://docs.google.com/spreadsheets/d/1ItG2mGa2ceCfYo0BwxsXqNm01IGEUdYcSSLTEv9YCik/edit?usp=sharing"",""เบิกจ่ายกองทุน!BX59"")"),0)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IFERROR(__xludf.DUMMYFUNCTION("IMPORTRANGE(""https://docs.google.com/spreadsheets/d/1ItG2mGa2ceCfYo0BwxsXqNm01IGEUdYcSSLTEv9YCik/edit?usp=sharing"",""เบิกจ่ายกองทุน!BY59"")"),0)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IFERROR(__xludf.DUMMYFUNCTION("IMPORTRANGE(""https://docs.google.com/spreadsheets/d/1-uDff_7J0KD5mKrp0Vvzr7lt3OU09vwQwhkpOPPYv2Y/edit?usp=sharing"",""งบพรบ!IH59"")"),0)</f>
        <v>0</v>
      </c>
      <c r="M383" s="72">
        <f ca="1">IFERROR(__xludf.DUMMYFUNCTION("IMPORTRANGE(""https://docs.google.com/spreadsheets/d/1-uDff_7J0KD5mKrp0Vvzr7lt3OU09vwQwhkpOPPYv2Y/edit?usp=sharing"",""งบพรบ!IK59"")"),0)</f>
        <v>0</v>
      </c>
      <c r="N383" s="72">
        <f ca="1">IFERROR(__xludf.DUMMYFUNCTION("IMPORTRANGE(""https://docs.google.com/spreadsheets/d/1-uDff_7J0KD5mKrp0Vvzr7lt3OU09vwQwhkpOPPYv2Y/edit?usp=sharing"",""งบพรบ!IM59"")"),0)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IFERROR(__xludf.DUMMYFUNCTION("IMPORTRANGE(""https://docs.google.com/spreadsheets/d/1eHaY18a8A9IcSdp1K8H6x8fbOy06t2VsZHhMHf-1x7Y/edit?usp=sharing"",""แผน!JQ59"")"),0)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IFERROR(__xludf.DUMMYFUNCTION("IMPORTRANGE(""https://docs.google.com/spreadsheets/d/1eHaY18a8A9IcSdp1K8H6x8fbOy06t2VsZHhMHf-1x7Y/edit?usp=sharing"",""แผน!JQ59"")"),0)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IFERROR(__xludf.DUMMYFUNCTION("IMPORTRANGE(""https://docs.google.com/spreadsheets/d/1ItG2mGa2ceCfYo0BwxsXqNm01IGEUdYcSSLTEv9YCik/edit?usp=sharing"",""เบิกจ่ายกองทุน!CL59"")"),0)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IFERROR(__xludf.DUMMYFUNCTION("IMPORTRANGE(""https://docs.google.com/spreadsheets/d/1ItG2mGa2ceCfYo0BwxsXqNm01IGEUdYcSSLTEv9YCik/edit?usp=sharing"",""เบิกจ่ายกองทุน!CM59"")"),0)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IFERROR(__xludf.DUMMYFUNCTION("IMPORTRANGE(""https://docs.google.com/spreadsheets/d/1ItG2mGa2ceCfYo0BwxsXqNm01IGEUdYcSSLTEv9YCik/edit?usp=sharing"",""เบิกจ่ายกองทุน!CN59"")"),0)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456" t="s">
        <v>19</v>
      </c>
      <c r="E413" s="1408"/>
      <c r="F413" s="1408"/>
      <c r="G413" s="1409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425"/>
      <c r="E414" s="598" t="s">
        <v>159</v>
      </c>
      <c r="F414" s="425"/>
      <c r="G414" s="599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IFERROR(__xludf.DUMMYFUNCTION("IMPORTRANGE(""https://docs.google.com/spreadsheets/d/1-uDff_7J0KD5mKrp0Vvzr7lt3OU09vwQwhkpOPPYv2Y/edit?usp=sharing"",""งบพรบ!IO59"")"),0)</f>
        <v>0</v>
      </c>
      <c r="M418" s="72">
        <f ca="1">IFERROR(__xludf.DUMMYFUNCTION("IMPORTRANGE(""https://docs.google.com/spreadsheets/d/1-uDff_7J0KD5mKrp0Vvzr7lt3OU09vwQwhkpOPPYv2Y/edit?usp=sharing"",""งบพรบ!IT59"")"),0)</f>
        <v>0</v>
      </c>
      <c r="N418" s="72">
        <f ca="1">IFERROR(__xludf.DUMMYFUNCTION("IMPORTRANGE(""https://docs.google.com/spreadsheets/d/1-uDff_7J0KD5mKrp0Vvzr7lt3OU09vwQwhkpOPPYv2Y/edit?usp=sharing"",""งบพรบ!IV59"")"),0)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IFERROR(__xludf.DUMMYFUNCTION("IMPORTRANGE(""https://docs.google.com/spreadsheets/d/1ItG2mGa2ceCfYo0BwxsXqNm01IGEUdYcSSLTEv9YCik/edit?usp=sharing"",""เบิกจ่ายกองทุน!BZ59"")"),0)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IFERROR(__xludf.DUMMYFUNCTION("IMPORTRANGE(""https://docs.google.com/spreadsheets/d/1ItG2mGa2ceCfYo0BwxsXqNm01IGEUdYcSSLTEv9YCik/edit?usp=sharing"",""เบิกจ่ายกองทุน!CA59"")"),0)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IFERROR(__xludf.DUMMYFUNCTION("IMPORTRANGE(""https://docs.google.com/spreadsheets/d/1ItG2mGa2ceCfYo0BwxsXqNm01IGEUdYcSSLTEv9YCik/edit?usp=sharing"",""เบิกจ่ายกองทุน!CB59"")"),0)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IFERROR(__xludf.DUMMYFUNCTION("IMPORTRANGE(""https://docs.google.com/spreadsheets/d/1-uDff_7J0KD5mKrp0Vvzr7lt3OU09vwQwhkpOPPYv2Y/edit?usp=sharing"",""งบพรบ!IR59"")"),0)</f>
        <v>0</v>
      </c>
      <c r="M421" s="72">
        <f ca="1">IFERROR(__xludf.DUMMYFUNCTION("IMPORTRANGE(""https://docs.google.com/spreadsheets/d/1-uDff_7J0KD5mKrp0Vvzr7lt3OU09vwQwhkpOPPYv2Y/edit?usp=sharing"",""งบพรบ!IU59"")"),0)</f>
        <v>0</v>
      </c>
      <c r="N421" s="72">
        <f ca="1">IFERROR(__xludf.DUMMYFUNCTION("IMPORTRANGE(""https://docs.google.com/spreadsheets/d/1-uDff_7J0KD5mKrp0Vvzr7lt3OU09vwQwhkpOPPYv2Y/edit?usp=sharing"",""งบพรบ!IW59"")"),0)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IFERROR(__xludf.DUMMYFUNCTION("IMPORTRANGE(""https://docs.google.com/spreadsheets/d/1eHaY18a8A9IcSdp1K8H6x8fbOy06t2VsZHhMHf-1x7Y/edit?usp=sharing"",""แผน!HJ59"")"),0)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IFERROR(__xludf.DUMMYFUNCTION("IMPORTRANGE(""https://docs.google.com/spreadsheets/d/1eHaY18a8A9IcSdp1K8H6x8fbOy06t2VsZHhMHf-1x7Y/edit?usp=sharing"",""แผน!HK59"")"),0)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IFERROR(__xludf.DUMMYFUNCTION("IMPORTRANGE(""https://docs.google.com/spreadsheets/d/1eHaY18a8A9IcSdp1K8H6x8fbOy06t2VsZHhMHf-1x7Y/edit?usp=sharing"",""แผน!HJ59"")"),0)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IFERROR(__xludf.DUMMYFUNCTION("IMPORTRANGE(""https://docs.google.com/spreadsheets/d/1eHaY18a8A9IcSdp1K8H6x8fbOy06t2VsZHhMHf-1x7Y/edit?usp=sharing"",""แผน!HK59"")"),0)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IFERROR(__xludf.DUMMYFUNCTION("IMPORTRANGE(""https://docs.google.com/spreadsheets/d/1eHaY18a8A9IcSdp1K8H6x8fbOy06t2VsZHhMHf-1x7Y/edit?usp=sharing"",""แผน!HJ59"")"),0)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IFERROR(__xludf.DUMMYFUNCTION("IMPORTRANGE(""https://docs.google.com/spreadsheets/d/1eHaY18a8A9IcSdp1K8H6x8fbOy06t2VsZHhMHf-1x7Y/edit?usp=sharing"",""แผน!HK59"")"),0)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0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IFERROR(__xludf.DUMMYFUNCTION("IMPORTRANGE(""https://docs.google.com/spreadsheets/d/1eHaY18a8A9IcSdp1K8H6x8fbOy06t2VsZHhMHf-1x7Y/edit?usp=sharing"",""แผน!HL59"")"),0)</f>
        <v>0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IFERROR(__xludf.DUMMYFUNCTION("IMPORTRANGE(""https://docs.google.com/spreadsheets/d/1eHaY18a8A9IcSdp1K8H6x8fbOy06t2VsZHhMHf-1x7Y/edit?usp=sharing"",""แผน!HM59"")"),0)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581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IFERROR(__xludf.DUMMYFUNCTION("IMPORTRANGE(""https://docs.google.com/spreadsheets/d/1-uDff_7J0KD5mKrp0Vvzr7lt3OU09vwQwhkpOPPYv2Y/edit?usp=sharing"",""งบพรบ!HU59"")"),0)</f>
        <v>0</v>
      </c>
      <c r="M498" s="72">
        <f ca="1">IFERROR(__xludf.DUMMYFUNCTION("IMPORTRANGE(""https://docs.google.com/spreadsheets/d/1-uDff_7J0KD5mKrp0Vvzr7lt3OU09vwQwhkpOPPYv2Y/edit?usp=sharing"",""งบพรบ!HZ59"")"),0)</f>
        <v>0</v>
      </c>
      <c r="N498" s="72">
        <f ca="1">IFERROR(__xludf.DUMMYFUNCTION("IMPORTRANGE(""https://docs.google.com/spreadsheets/d/1-uDff_7J0KD5mKrp0Vvzr7lt3OU09vwQwhkpOPPYv2Y/edit?usp=sharing"",""งบพรบ!IB59"")"),0)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IFERROR(__xludf.DUMMYFUNCTION("IMPORTRANGE(""https://docs.google.com/spreadsheets/d/1ItG2mGa2ceCfYo0BwxsXqNm01IGEUdYcSSLTEv9YCik/edit?usp=sharing"",""เบิกจ่ายกองทุน!AD59"")"),0)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IFERROR(__xludf.DUMMYFUNCTION("IMPORTRANGE(""https://docs.google.com/spreadsheets/d/1ItG2mGa2ceCfYo0BwxsXqNm01IGEUdYcSSLTEv9YCik/edit?usp=sharing"",""เบิกจ่ายกองทุน!AE59"")"),0)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IFERROR(__xludf.DUMMYFUNCTION("IMPORTRANGE(""https://docs.google.com/spreadsheets/d/1ItG2mGa2ceCfYo0BwxsXqNm01IGEUdYcSSLTEv9YCik/edit?usp=sharing"",""เบิกจ่ายกองทุน!AF59"")"),0)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IFERROR(__xludf.DUMMYFUNCTION("IMPORTRANGE(""https://docs.google.com/spreadsheets/d/1-uDff_7J0KD5mKrp0Vvzr7lt3OU09vwQwhkpOPPYv2Y/edit?usp=sharing"",""งบพรบ!HX59"")"),0)</f>
        <v>0</v>
      </c>
      <c r="M501" s="72">
        <f ca="1">IFERROR(__xludf.DUMMYFUNCTION("IMPORTRANGE(""https://docs.google.com/spreadsheets/d/1-uDff_7J0KD5mKrp0Vvzr7lt3OU09vwQwhkpOPPYv2Y/edit?usp=sharing"",""งบพรบ!IA59"")"),0)</f>
        <v>0</v>
      </c>
      <c r="N501" s="72">
        <f ca="1">IFERROR(__xludf.DUMMYFUNCTION("IMPORTRANGE(""https://docs.google.com/spreadsheets/d/1-uDff_7J0KD5mKrp0Vvzr7lt3OU09vwQwhkpOPPYv2Y/edit?usp=sharing"",""งบพรบ!IC59"")"),0)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IFERROR(__xludf.DUMMYFUNCTION("IMPORTRANGE(""https://docs.google.com/spreadsheets/d/1eHaY18a8A9IcSdp1K8H6x8fbOy06t2VsZHhMHf-1x7Y/edit?usp=sharing"",""แผน!GX59"")"),0)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IFERROR(__xludf.DUMMYFUNCTION("IMPORTRANGE(""https://docs.google.com/spreadsheets/d/1eHaY18a8A9IcSdp1K8H6x8fbOy06t2VsZHhMHf-1x7Y/edit?usp=sharing"",""แผน!GY59"")"),0)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IFERROR(__xludf.DUMMYFUNCTION("IMPORTRANGE(""https://docs.google.com/spreadsheets/d/1eHaY18a8A9IcSdp1K8H6x8fbOy06t2VsZHhMHf-1x7Y/edit?usp=sharing"",""แผน!GZ59"")"),0)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IFERROR(__xludf.DUMMYFUNCTION("IMPORTRANGE(""https://docs.google.com/spreadsheets/d/1eHaY18a8A9IcSdp1K8H6x8fbOy06t2VsZHhMHf-1x7Y/edit?usp=sharing"",""แผน!HA59"")"),0)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IFERROR(__xludf.DUMMYFUNCTION("IMPORTRANGE(""https://docs.google.com/spreadsheets/d/1eHaY18a8A9IcSdp1K8H6x8fbOy06t2VsZHhMHf-1x7Y/edit?usp=sharing"",""แผน!HB59"")"),0)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60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IFERROR(__xludf.DUMMYFUNCTION("IMPORTRANGE(""https://docs.google.com/spreadsheets/d/1eHaY18a8A9IcSdp1K8H6x8fbOy06t2VsZHhMHf-1x7Y/edit?usp=sharing"",""แผน!HC59"")"),0)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50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IFERROR(__xludf.DUMMYFUNCTION("IMPORTRANGE(""https://docs.google.com/spreadsheets/d/1-uDff_7J0KD5mKrp0Vvzr7lt3OU09vwQwhkpOPPYv2Y/edit?usp=sharing"",""งบพรบ!FM59"")"),0)</f>
        <v>0</v>
      </c>
      <c r="M518" s="72">
        <f ca="1">IFERROR(__xludf.DUMMYFUNCTION("IMPORTRANGE(""https://docs.google.com/spreadsheets/d/1-uDff_7J0KD5mKrp0Vvzr7lt3OU09vwQwhkpOPPYv2Y/edit?usp=sharing"",""งบพรบ!FR59"")"),0)</f>
        <v>0</v>
      </c>
      <c r="N518" s="72">
        <f ca="1">IFERROR(__xludf.DUMMYFUNCTION("IMPORTRANGE(""https://docs.google.com/spreadsheets/d/1-uDff_7J0KD5mKrp0Vvzr7lt3OU09vwQwhkpOPPYv2Y/edit?usp=sharing"",""งบพรบ!FT59"")"),0)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IFERROR(__xludf.DUMMYFUNCTION("IMPORTRANGE(""https://docs.google.com/spreadsheets/d/1-uDff_7J0KD5mKrp0Vvzr7lt3OU09vwQwhkpOPPYv2Y/edit?usp=sharing"",""งบพรบ!FP59"")"),0)</f>
        <v>0</v>
      </c>
      <c r="M521" s="72">
        <f ca="1">IFERROR(__xludf.DUMMYFUNCTION("IMPORTRANGE(""https://docs.google.com/spreadsheets/d/1-uDff_7J0KD5mKrp0Vvzr7lt3OU09vwQwhkpOPPYv2Y/edit?usp=sharing"",""งบพรบ!FS59"")"),0)</f>
        <v>0</v>
      </c>
      <c r="N521" s="72">
        <f ca="1">IFERROR(__xludf.DUMMYFUNCTION("IMPORTRANGE(""https://docs.google.com/spreadsheets/d/1-uDff_7J0KD5mKrp0Vvzr7lt3OU09vwQwhkpOPPYv2Y/edit?usp=sharing"",""งบพรบ!FU59"")"),0)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IFERROR(__xludf.DUMMYFUNCTION("IMPORTRANGE(""https://docs.google.com/spreadsheets/d/1-uDff_7J0KD5mKrp0Vvzr7lt3OU09vwQwhkpOPPYv2Y/edit?usp=sharing"",""งบพรบ!FW59"")"),0)</f>
        <v>0</v>
      </c>
      <c r="M539" s="72">
        <f ca="1">IFERROR(__xludf.DUMMYFUNCTION("IMPORTRANGE(""https://docs.google.com/spreadsheets/d/1-uDff_7J0KD5mKrp0Vvzr7lt3OU09vwQwhkpOPPYv2Y/edit?usp=sharing"",""งบพรบ!GB59"")"),0)</f>
        <v>0</v>
      </c>
      <c r="N539" s="72">
        <f ca="1">IFERROR(__xludf.DUMMYFUNCTION("IMPORTRANGE(""https://docs.google.com/spreadsheets/d/1-uDff_7J0KD5mKrp0Vvzr7lt3OU09vwQwhkpOPPYv2Y/edit?usp=sharing"",""งบพรบ!GD59"")"),0)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IFERROR(__xludf.DUMMYFUNCTION("IMPORTRANGE(""https://docs.google.com/spreadsheets/d/1-uDff_7J0KD5mKrp0Vvzr7lt3OU09vwQwhkpOPPYv2Y/edit?usp=sharing"",""งบพรบ!FZ59"")"),0)</f>
        <v>0</v>
      </c>
      <c r="M542" s="72">
        <f ca="1">IFERROR(__xludf.DUMMYFUNCTION("IMPORTRANGE(""https://docs.google.com/spreadsheets/d/1-uDff_7J0KD5mKrp0Vvzr7lt3OU09vwQwhkpOPPYv2Y/edit?usp=sharing"",""งบพรบ!GC59"")"),0)</f>
        <v>0</v>
      </c>
      <c r="N542" s="72">
        <f ca="1">IFERROR(__xludf.DUMMYFUNCTION("IMPORTRANGE(""https://docs.google.com/spreadsheets/d/1-uDff_7J0KD5mKrp0Vvzr7lt3OU09vwQwhkpOPPYv2Y/edit?usp=sharing"",""งบพรบ!GE59"")"),0)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IFERROR(__xludf.DUMMYFUNCTION("IMPORTRANGE(""https://docs.google.com/spreadsheets/d/1-uDff_7J0KD5mKrp0Vvzr7lt3OU09vwQwhkpOPPYv2Y/edit?usp=sharing"",""งบพรบ!GG59"")"),0)</f>
        <v>0</v>
      </c>
      <c r="M560" s="72">
        <f ca="1">IFERROR(__xludf.DUMMYFUNCTION("IMPORTRANGE(""https://docs.google.com/spreadsheets/d/1-uDff_7J0KD5mKrp0Vvzr7lt3OU09vwQwhkpOPPYv2Y/edit?usp=sharing"",""งบพรบ!GL59"")"),0)</f>
        <v>0</v>
      </c>
      <c r="N560" s="72">
        <f ca="1">IFERROR(__xludf.DUMMYFUNCTION("IMPORTRANGE(""https://docs.google.com/spreadsheets/d/1-uDff_7J0KD5mKrp0Vvzr7lt3OU09vwQwhkpOPPYv2Y/edit?usp=sharing"",""งบพรบ!GN59"")"),0)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IFERROR(__xludf.DUMMYFUNCTION("IMPORTRANGE(""https://docs.google.com/spreadsheets/d/1-uDff_7J0KD5mKrp0Vvzr7lt3OU09vwQwhkpOPPYv2Y/edit?usp=sharing"",""งบพรบ!GJ59"")"),0)</f>
        <v>0</v>
      </c>
      <c r="M563" s="72">
        <f ca="1">IFERROR(__xludf.DUMMYFUNCTION("IMPORTRANGE(""https://docs.google.com/spreadsheets/d/1-uDff_7J0KD5mKrp0Vvzr7lt3OU09vwQwhkpOPPYv2Y/edit?usp=sharing"",""งบพรบ!GM59"")"),0)</f>
        <v>0</v>
      </c>
      <c r="N563" s="72">
        <f ca="1">IFERROR(__xludf.DUMMYFUNCTION("IMPORTRANGE(""https://docs.google.com/spreadsheets/d/1-uDff_7J0KD5mKrp0Vvzr7lt3OU09vwQwhkpOPPYv2Y/edit?usp=sharing"",""งบพรบ!GO59"")"),0)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IFERROR(__xludf.DUMMYFUNCTION("IMPORTRANGE(""https://docs.google.com/spreadsheets/d/1-uDff_7J0KD5mKrp0Vvzr7lt3OU09vwQwhkpOPPYv2Y/edit?usp=sharing"",""งบพรบ!GQ59"")"),0)</f>
        <v>0</v>
      </c>
      <c r="M581" s="72">
        <f ca="1">IFERROR(__xludf.DUMMYFUNCTION("IMPORTRANGE(""https://docs.google.com/spreadsheets/d/1-uDff_7J0KD5mKrp0Vvzr7lt3OU09vwQwhkpOPPYv2Y/edit?usp=sharing"",""งบพรบ!GV59"")"),0)</f>
        <v>0</v>
      </c>
      <c r="N581" s="72">
        <f ca="1">IFERROR(__xludf.DUMMYFUNCTION("IMPORTRANGE(""https://docs.google.com/spreadsheets/d/1-uDff_7J0KD5mKrp0Vvzr7lt3OU09vwQwhkpOPPYv2Y/edit?usp=sharing"",""งบพรบ!GX59"")"),0)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IFERROR(__xludf.DUMMYFUNCTION("IMPORTRANGE(""https://docs.google.com/spreadsheets/d/1-uDff_7J0KD5mKrp0Vvzr7lt3OU09vwQwhkpOPPYv2Y/edit?usp=sharing"",""งบพรบ!GT59"")"),0)</f>
        <v>0</v>
      </c>
      <c r="M584" s="72">
        <f ca="1">IFERROR(__xludf.DUMMYFUNCTION("IMPORTRANGE(""https://docs.google.com/spreadsheets/d/1-uDff_7J0KD5mKrp0Vvzr7lt3OU09vwQwhkpOPPYv2Y/edit?usp=sharing"",""งบพรบ!GW59"")"),0)</f>
        <v>0</v>
      </c>
      <c r="N584" s="72">
        <f ca="1">IFERROR(__xludf.DUMMYFUNCTION("IMPORTRANGE(""https://docs.google.com/spreadsheets/d/1-uDff_7J0KD5mKrp0Vvzr7lt3OU09vwQwhkpOPPYv2Y/edit?usp=sharing"",""งบพรบ!GY59"")"),0)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48012</v>
      </c>
      <c r="M599" s="211">
        <f ca="1">M600+M601</f>
        <v>48012</v>
      </c>
      <c r="N599" s="211">
        <f ca="1">N600+N601</f>
        <v>23568</v>
      </c>
      <c r="O599" s="211">
        <f t="shared" ref="O599:O607" ca="1" si="149">IF(L599&gt;0,N599*100/L599,0)</f>
        <v>49.087728067983001</v>
      </c>
      <c r="P599" s="211">
        <f t="shared" ref="P599:P607" ca="1" si="150">IF(M599&gt;0,N599*100/M599,0)</f>
        <v>49.087728067983001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48012</v>
      </c>
      <c r="M601" s="86">
        <f t="shared" ca="1" si="153"/>
        <v>48012</v>
      </c>
      <c r="N601" s="86">
        <f t="shared" ca="1" si="153"/>
        <v>23568</v>
      </c>
      <c r="O601" s="86">
        <f t="shared" ca="1" si="149"/>
        <v>49.087728067983001</v>
      </c>
      <c r="P601" s="86">
        <f t="shared" ca="1" si="150"/>
        <v>49.087728067983001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48012</v>
      </c>
      <c r="M602" s="86">
        <f ca="1">M603+M604</f>
        <v>48012</v>
      </c>
      <c r="N602" s="86">
        <f ca="1">N603+N604</f>
        <v>23568</v>
      </c>
      <c r="O602" s="86">
        <f t="shared" ca="1" si="149"/>
        <v>49.087728067983001</v>
      </c>
      <c r="P602" s="86">
        <f t="shared" ca="1" si="150"/>
        <v>49.087728067983001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IFERROR(__xludf.DUMMYFUNCTION("IMPORTRANGE(""https://docs.google.com/spreadsheets/d/1-uDff_7J0KD5mKrp0Vvzr7lt3OU09vwQwhkpOPPYv2Y/edit?usp=sharing"",""งบพรบ!HK59"")"),48012)</f>
        <v>48012</v>
      </c>
      <c r="M604" s="86">
        <f ca="1">IFERROR(__xludf.DUMMYFUNCTION("IMPORTRANGE(""https://docs.google.com/spreadsheets/d/1-uDff_7J0KD5mKrp0Vvzr7lt3OU09vwQwhkpOPPYv2Y/edit?usp=sharing"",""งบพรบ!HP59"")"),48012)</f>
        <v>48012</v>
      </c>
      <c r="N604" s="86">
        <f ca="1">IFERROR(__xludf.DUMMYFUNCTION("IMPORTRANGE(""https://docs.google.com/spreadsheets/d/1-uDff_7J0KD5mKrp0Vvzr7lt3OU09vwQwhkpOPPYv2Y/edit?usp=sharing"",""งบพรบ!HR59"")"),23568)</f>
        <v>23568</v>
      </c>
      <c r="O604" s="86">
        <f t="shared" ca="1" si="149"/>
        <v>49.087728067983001</v>
      </c>
      <c r="P604" s="86">
        <f t="shared" ca="1" si="150"/>
        <v>49.087728067983001</v>
      </c>
      <c r="Q604" s="86">
        <f ca="1">IFERROR(__xludf.DUMMYFUNCTION("IMPORTRANGE(""https://docs.google.com/spreadsheets/d/1ItG2mGa2ceCfYo0BwxsXqNm01IGEUdYcSSLTEv9YCik/edit?usp=sharing"",""เบิกจ่ายกองทุน!AV59"")"),0)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IFERROR(__xludf.DUMMYFUNCTION("IMPORTRANGE(""https://docs.google.com/spreadsheets/d/1ItG2mGa2ceCfYo0BwxsXqNm01IGEUdYcSSLTEv9YCik/edit?usp=sharing"",""เบิกจ่ายกองทุน!AW59"")"),0)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IFERROR(__xludf.DUMMYFUNCTION("IMPORTRANGE(""https://docs.google.com/spreadsheets/d/1ItG2mGa2ceCfYo0BwxsXqNm01IGEUdYcSSLTEv9YCik/edit?usp=sharing"",""เบิกจ่ายกองทุน!AX59"")"),0)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IFERROR(__xludf.DUMMYFUNCTION("IMPORTRANGE(""https://docs.google.com/spreadsheets/d/1-uDff_7J0KD5mKrp0Vvzr7lt3OU09vwQwhkpOPPYv2Y/edit?usp=sharing"",""งบพรบ!HN59"")"),0)</f>
        <v>0</v>
      </c>
      <c r="M607" s="86">
        <f ca="1">IFERROR(__xludf.DUMMYFUNCTION("IMPORTRANGE(""https://docs.google.com/spreadsheets/d/1-uDff_7J0KD5mKrp0Vvzr7lt3OU09vwQwhkpOPPYv2Y/edit?usp=sharing"",""งบพรบ!HQ59"")"),0)</f>
        <v>0</v>
      </c>
      <c r="N607" s="86">
        <f ca="1">IFERROR(__xludf.DUMMYFUNCTION("IMPORTRANGE(""https://docs.google.com/spreadsheets/d/1-uDff_7J0KD5mKrp0Vvzr7lt3OU09vwQwhkpOPPYv2Y/edit?usp=sharing"",""งบพรบ!HS59"")"),0)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IFERROR(__xludf.DUMMYFUNCTION("IMPORTRANGE(""https://docs.google.com/spreadsheets/d/1ItG2mGa2ceCfYo0BwxsXqNm01IGEUdYcSSLTEv9YCik/edit?usp=sharing"",""เบิกจ่ายกองทุน!AY59"")"),0)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IFERROR(__xludf.DUMMYFUNCTION("IMPORTRANGE(""https://docs.google.com/spreadsheets/d/1ItG2mGa2ceCfYo0BwxsXqNm01IGEUdYcSSLTEv9YCik/edit?usp=sharing"",""เบิกจ่ายกองทุน!AZ59"")"),0)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IFERROR(__xludf.DUMMYFUNCTION("IMPORTRANGE(""https://docs.google.com/spreadsheets/d/1ItG2mGa2ceCfYo0BwxsXqNm01IGEUdYcSSLTEv9YCik/edit?usp=sharing"",""เบิกจ่ายกองทุน!BA59"")"),0)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6600</v>
      </c>
      <c r="R616" s="262">
        <f ca="1">R617+R618</f>
        <v>6600</v>
      </c>
      <c r="S616" s="262">
        <f ca="1">S617+S618</f>
        <v>0</v>
      </c>
      <c r="T616" s="262">
        <f t="shared" ref="T616:T624" ca="1" si="157">IF(Q616&gt;0,S616*100/Q616,0)</f>
        <v>0</v>
      </c>
      <c r="U616" s="262">
        <f t="shared" ref="U616:U624" ca="1" si="158">IF(R616&gt;0,S616*100/R616,0)</f>
        <v>0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6600</v>
      </c>
      <c r="R618" s="72">
        <f t="shared" ca="1" si="160"/>
        <v>6600</v>
      </c>
      <c r="S618" s="72">
        <f t="shared" ca="1" si="160"/>
        <v>0</v>
      </c>
      <c r="T618" s="72">
        <f t="shared" ca="1" si="157"/>
        <v>0</v>
      </c>
      <c r="U618" s="72">
        <f t="shared" ca="1" si="158"/>
        <v>0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6600</v>
      </c>
      <c r="R619" s="72">
        <f ca="1">R620+R621</f>
        <v>6600</v>
      </c>
      <c r="S619" s="72">
        <f ca="1">S620+S621</f>
        <v>0</v>
      </c>
      <c r="T619" s="72">
        <f t="shared" ca="1" si="157"/>
        <v>0</v>
      </c>
      <c r="U619" s="72">
        <f t="shared" ca="1" si="158"/>
        <v>0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IFERROR(__xludf.DUMMYFUNCTION("IMPORTRANGE(""https://docs.google.com/spreadsheets/d/1ItG2mGa2ceCfYo0BwxsXqNm01IGEUdYcSSLTEv9YCik/edit?usp=sharing"",""เบิกจ่ายกองทุน!F59"")"),6600)</f>
        <v>6600</v>
      </c>
      <c r="R621" s="72">
        <f ca="1">IFERROR(__xludf.DUMMYFUNCTION("IMPORTRANGE(""https://docs.google.com/spreadsheets/d/1ItG2mGa2ceCfYo0BwxsXqNm01IGEUdYcSSLTEv9YCik/edit?usp=sharing"",""เบิกจ่ายกองทุน!G59"")"),6600)</f>
        <v>6600</v>
      </c>
      <c r="S621" s="72">
        <f ca="1">IFERROR(__xludf.DUMMYFUNCTION("IMPORTRANGE(""https://docs.google.com/spreadsheets/d/1ItG2mGa2ceCfYo0BwxsXqNm01IGEUdYcSSLTEv9YCik/edit?usp=sharing"",""เบิกจ่ายกองทุน!H59"")"),0)</f>
        <v>0</v>
      </c>
      <c r="T621" s="72">
        <f t="shared" ca="1" si="157"/>
        <v>0</v>
      </c>
      <c r="U621" s="72">
        <f t="shared" ca="1" si="158"/>
        <v>0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IFERROR(__xludf.DUMMYFUNCTION("IMPORTRANGE(""https://docs.google.com/spreadsheets/d/1eHaY18a8A9IcSdp1K8H6x8fbOy06t2VsZHhMHf-1x7Y/edit?usp=sharing"",""แผน!ID59"")"),50)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IFERROR(__xludf.DUMMYFUNCTION("IMPORTRANGE(""https://docs.google.com/spreadsheets/d/1eHaY18a8A9IcSdp1K8H6x8fbOy06t2VsZHhMHf-1x7Y/edit?usp=sharing"",""แผน!IC59"")"),0)</f>
        <v>0</v>
      </c>
      <c r="J627" s="292">
        <v>0</v>
      </c>
      <c r="K627" s="72">
        <f ca="1">IF(I627&gt;0,(J627*100)/I627,0)</f>
        <v>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IFERROR(__xludf.DUMMYFUNCTION("IMPORTRANGE(""https://docs.google.com/spreadsheets/d/1eHaY18a8A9IcSdp1K8H6x8fbOy06t2VsZHhMHf-1x7Y/edit?usp=sharing"",""แผน!IC59"")"),0)</f>
        <v>0</v>
      </c>
      <c r="J628" s="292">
        <v>0</v>
      </c>
      <c r="K628" s="72">
        <f ca="1">IF(I628&gt;0,(J628*100)/I628,0)</f>
        <v>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IFERROR(__xludf.DUMMYFUNCTION("IMPORTRANGE(""https://docs.google.com/spreadsheets/d/1eHaY18a8A9IcSdp1K8H6x8fbOy06t2VsZHhMHf-1x7Y/edit?usp=sharing"",""แผน!IE59"")"),0)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81800</v>
      </c>
      <c r="R642" s="262">
        <f ca="1">R643+R644</f>
        <v>81800</v>
      </c>
      <c r="S642" s="262">
        <f ca="1">S643+S644</f>
        <v>6920</v>
      </c>
      <c r="T642" s="262">
        <f t="shared" ref="T642:T650" ca="1" si="163">IF(Q642&gt;0,S642*100/Q642,0)</f>
        <v>8.4596577017114907</v>
      </c>
      <c r="U642" s="262">
        <f t="shared" ref="U642:U650" ca="1" si="164">IF(R642&gt;0,S642*100/R642,0)</f>
        <v>8.4596577017114907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18.75" hidden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81800</v>
      </c>
      <c r="R644" s="72">
        <f t="shared" ca="1" si="166"/>
        <v>81800</v>
      </c>
      <c r="S644" s="72">
        <f t="shared" ca="1" si="166"/>
        <v>6920</v>
      </c>
      <c r="T644" s="72">
        <f t="shared" ca="1" si="163"/>
        <v>8.4596577017114907</v>
      </c>
      <c r="U644" s="72">
        <f t="shared" ca="1" si="164"/>
        <v>8.4596577017114907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81800</v>
      </c>
      <c r="R645" s="72">
        <f ca="1">R646+R647</f>
        <v>81800</v>
      </c>
      <c r="S645" s="72">
        <f ca="1">S646+S647</f>
        <v>6920</v>
      </c>
      <c r="T645" s="72">
        <f t="shared" ca="1" si="163"/>
        <v>8.4596577017114907</v>
      </c>
      <c r="U645" s="72">
        <f t="shared" ca="1" si="164"/>
        <v>8.4596577017114907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IFERROR(__xludf.DUMMYFUNCTION("IMPORTRANGE(""https://docs.google.com/spreadsheets/d/1ItG2mGa2ceCfYo0BwxsXqNm01IGEUdYcSSLTEv9YCik/edit?usp=sharing"",""เบิกจ่ายกองทุน!I59"")"),81800)</f>
        <v>81800</v>
      </c>
      <c r="R647" s="72">
        <f ca="1">IFERROR(__xludf.DUMMYFUNCTION("IMPORTRANGE(""https://docs.google.com/spreadsheets/d/1ItG2mGa2ceCfYo0BwxsXqNm01IGEUdYcSSLTEv9YCik/edit?usp=sharing"",""เบิกจ่ายกองทุน!J59"")"),81800)</f>
        <v>81800</v>
      </c>
      <c r="S647" s="72">
        <f ca="1">IFERROR(__xludf.DUMMYFUNCTION("IMPORTRANGE(""https://docs.google.com/spreadsheets/d/1ItG2mGa2ceCfYo0BwxsXqNm01IGEUdYcSSLTEv9YCik/edit?usp=sharing"",""เบิกจ่ายกองทุน!K59"")"),6920)</f>
        <v>6920</v>
      </c>
      <c r="T647" s="72">
        <f t="shared" ca="1" si="163"/>
        <v>8.4596577017114907</v>
      </c>
      <c r="U647" s="72">
        <f t="shared" ca="1" si="164"/>
        <v>8.4596577017114907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IFERROR(__xludf.DUMMYFUNCTION("IMPORTRANGE(""https://docs.google.com/spreadsheets/d/1eHaY18a8A9IcSdp1K8H6x8fbOy06t2VsZHhMHf-1x7Y/edit?usp=sharing"",""แผน!IF59"")"),0)</f>
        <v>0</v>
      </c>
      <c r="J652" s="291">
        <f ca="1">IFERROR(__xludf.DUMMYFUNCTION("IMPORTRANGE(""https://docs.google.com/spreadsheets/d/1tdoBKaGub7dwA3U6UFTqxio9LNnvDCQjHKmttSEBsFQ/edit?usp=sharing"",""จัดที่ดิน!AU59"")"),0)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IFERROR(__xludf.DUMMYFUNCTION("IMPORTRANGE(""https://docs.google.com/spreadsheets/d/1eHaY18a8A9IcSdp1K8H6x8fbOy06t2VsZHhMHf-1x7Y/edit?usp=sharing"",""แผน!IG59"")"),5)</f>
        <v>5</v>
      </c>
      <c r="J653" s="291">
        <f ca="1">IFERROR(__xludf.DUMMYFUNCTION("IMPORTRANGE(""https://docs.google.com/spreadsheets/d/1tdoBKaGub7dwA3U6UFTqxio9LNnvDCQjHKmttSEBsFQ/edit?usp=sharing"",""จัดที่ดิน!AW59"")"),0)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IFERROR(__xludf.DUMMYFUNCTION("IMPORTRANGE(""https://docs.google.com/spreadsheets/d/1eHaY18a8A9IcSdp1K8H6x8fbOy06t2VsZHhMHf-1x7Y/edit?usp=sharing"",""แผน!IH59"")"),225)</f>
        <v>225</v>
      </c>
      <c r="J654" s="601">
        <f>J657+J660</f>
        <v>0</v>
      </c>
      <c r="K654" s="262">
        <f ca="1">IF(I654&gt;0,J654*100/I654,0)</f>
        <v>0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0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0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IFERROR(__xludf.DUMMYFUNCTION("IMPORTRANGE(""https://docs.google.com/spreadsheets/d/1eHaY18a8A9IcSdp1K8H6x8fbOy06t2VsZHhMHf-1x7Y/edit?usp=sharing"",""แผน!II59"")"),225)</f>
        <v>225</v>
      </c>
      <c r="J657" s="292">
        <v>0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IFERROR(__xludf.DUMMYFUNCTION("IMPORTRANGE(""https://docs.google.com/spreadsheets/d/1eHaY18a8A9IcSdp1K8H6x8fbOy06t2VsZHhMHf-1x7Y/edit?usp=sharing"",""แผน!IJ59"")"),0)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IFERROR(__xludf.DUMMYFUNCTION("IMPORTRANGE(""https://docs.google.com/spreadsheets/d/1eHaY18a8A9IcSdp1K8H6x8fbOy06t2VsZHhMHf-1x7Y/edit?usp=sharing"",""แผน!IK59"")"),100)</f>
        <v>100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IFERROR(__xludf.DUMMYFUNCTION("IMPORTRANGE(""https://docs.google.com/spreadsheets/d/1tdoBKaGub7dwA3U6UFTqxio9LNnvDCQjHKmttSEBsFQ/edit?usp=sharing"",""จัดที่ดิน!AY59"")"),0)</f>
        <v>0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IFERROR(__xludf.DUMMYFUNCTION("IMPORTRANGE(""https://docs.google.com/spreadsheets/d/1tdoBKaGub7dwA3U6UFTqxio9LNnvDCQjHKmttSEBsFQ/edit?usp=sharing"",""จัดที่ดิน!AZ59"")"),0)</f>
        <v>0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IFERROR(__xludf.DUMMYFUNCTION("IMPORTRANGE(""https://docs.google.com/spreadsheets/d/1eHaY18a8A9IcSdp1K8H6x8fbOy06t2VsZHhMHf-1x7Y/edit?usp=sharing"",""แผน!IL59"")"),230)</f>
        <v>230</v>
      </c>
      <c r="J673" s="291">
        <f ca="1">IFERROR(__xludf.DUMMYFUNCTION("IMPORTRANGE(""https://docs.google.com/spreadsheets/d/1tdoBKaGub7dwA3U6UFTqxio9LNnvDCQjHKmttSEBsFQ/edit?usp=sharing"",""จัดที่ดิน!BA59"")"),0)</f>
        <v>0</v>
      </c>
      <c r="K673" s="72">
        <f ca="1">IF(I673&gt;0,J673*100/I673,0)</f>
        <v>0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IFERROR(__xludf.DUMMYFUNCTION("IMPORTRANGE(""https://docs.google.com/spreadsheets/d/1eHaY18a8A9IcSdp1K8H6x8fbOy06t2VsZHhMHf-1x7Y/edit?usp=sharing"",""แผน!IM59"")"),45)</f>
        <v>45</v>
      </c>
      <c r="J674" s="601">
        <f ca="1">J676+J679</f>
        <v>26</v>
      </c>
      <c r="K674" s="262">
        <f ca="1">IF(I674&gt;0,J674*100/I674,0)</f>
        <v>57.777777777777779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IFERROR(__xludf.DUMMYFUNCTION("IMPORTRANGE(""https://docs.google.com/spreadsheets/d/1eHaY18a8A9IcSdp1K8H6x8fbOy06t2VsZHhMHf-1x7Y/edit?usp=sharing"",""แผน!IN59"")"),675)</f>
        <v>675</v>
      </c>
      <c r="J675" s="601">
        <f ca="1">J678+J681</f>
        <v>478.97</v>
      </c>
      <c r="K675" s="262">
        <f ca="1">IF(I675&gt;0,J675*100/I675,0)</f>
        <v>70.958518518518517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IFERROR(__xludf.DUMMYFUNCTION("IMPORTRANGE(""https://docs.google.com/spreadsheets/d/1eHaY18a8A9IcSdp1K8H6x8fbOy06t2VsZHhMHf-1x7Y/edit?usp=sharing"",""แผน!IO59"")"),20)</f>
        <v>20</v>
      </c>
      <c r="J676" s="291">
        <f ca="1">IFERROR(__xludf.DUMMYFUNCTION("IMPORTRANGE(""https://docs.google.com/spreadsheets/d/1tdoBKaGub7dwA3U6UFTqxio9LNnvDCQjHKmttSEBsFQ/edit?usp=sharing"",""จัดที่ดิน!BF59"")"),26)</f>
        <v>26</v>
      </c>
      <c r="K676" s="72">
        <f ca="1">IF(I676&gt;0,J676*100/I676,0)</f>
        <v>130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IFERROR(__xludf.DUMMYFUNCTION("IMPORTRANGE(""https://docs.google.com/spreadsheets/d/1tdoBKaGub7dwA3U6UFTqxio9LNnvDCQjHKmttSEBsFQ/edit?usp=sharing"",""จัดที่ดิน!BG59"")"),35)</f>
        <v>35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IFERROR(__xludf.DUMMYFUNCTION("IMPORTRANGE(""https://docs.google.com/spreadsheets/d/1eHaY18a8A9IcSdp1K8H6x8fbOy06t2VsZHhMHf-1x7Y/edit?usp=sharing"",""แผน!IP59"")"),300)</f>
        <v>300</v>
      </c>
      <c r="J678" s="291">
        <f ca="1">IFERROR(__xludf.DUMMYFUNCTION("IMPORTRANGE(""https://docs.google.com/spreadsheets/d/1tdoBKaGub7dwA3U6UFTqxio9LNnvDCQjHKmttSEBsFQ/edit?usp=sharing"",""จัดที่ดิน!BH59"")"),478.97)</f>
        <v>478.97</v>
      </c>
      <c r="K678" s="72">
        <f ca="1">IF(I678&gt;0,J678*100/I678,0)</f>
        <v>159.65666666666667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IFERROR(__xludf.DUMMYFUNCTION("IMPORTRANGE(""https://docs.google.com/spreadsheets/d/1eHaY18a8A9IcSdp1K8H6x8fbOy06t2VsZHhMHf-1x7Y/edit?usp=sharing"",""แผน!IQ59"")"),25)</f>
        <v>25</v>
      </c>
      <c r="J679" s="291">
        <f ca="1">IFERROR(__xludf.DUMMYFUNCTION("IMPORTRANGE(""https://docs.google.com/spreadsheets/d/1tdoBKaGub7dwA3U6UFTqxio9LNnvDCQjHKmttSEBsFQ/edit?usp=sharing"",""จัดที่ดิน!BK59"")"),0)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IFERROR(__xludf.DUMMYFUNCTION("IMPORTRANGE(""https://docs.google.com/spreadsheets/d/1tdoBKaGub7dwA3U6UFTqxio9LNnvDCQjHKmttSEBsFQ/edit?usp=sharing"",""จัดที่ดิน!BL59"")"),0)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IFERROR(__xludf.DUMMYFUNCTION("IMPORTRANGE(""https://docs.google.com/spreadsheets/d/1eHaY18a8A9IcSdp1K8H6x8fbOy06t2VsZHhMHf-1x7Y/edit?usp=sharing"",""แผน!IR59"")"),375)</f>
        <v>375</v>
      </c>
      <c r="J681" s="291">
        <f ca="1">IFERROR(__xludf.DUMMYFUNCTION("IMPORTRANGE(""https://docs.google.com/spreadsheets/d/1tdoBKaGub7dwA3U6UFTqxio9LNnvDCQjHKmttSEBsFQ/edit?usp=sharing"",""จัดที่ดิน!BM59"")"),0)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IFERROR(__xludf.DUMMYFUNCTION("IMPORTRANGE(""https://docs.google.com/spreadsheets/d/1eHaY18a8A9IcSdp1K8H6x8fbOy06t2VsZHhMHf-1x7Y/edit?usp=sharing"",""แผน!IS59"")"),150)</f>
        <v>150</v>
      </c>
      <c r="J682" s="601">
        <f>J685+J688</f>
        <v>127</v>
      </c>
      <c r="K682" s="262">
        <f ca="1">IF(I682&gt;0,J682*100/I682,0)</f>
        <v>84.666666666666671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4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4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38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13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11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89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x14ac:dyDescent="0.3">
      <c r="A690" s="255"/>
      <c r="B690" s="267"/>
      <c r="C690" s="668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58650</v>
      </c>
      <c r="R690" s="262">
        <f ca="1">R691+R692</f>
        <v>58650</v>
      </c>
      <c r="S690" s="262">
        <f ca="1">S691+S692</f>
        <v>24925</v>
      </c>
      <c r="T690" s="262">
        <f t="shared" ref="T690:T698" ca="1" si="169">IF(Q690&gt;0,S690*100/Q690,0)</f>
        <v>42.49786871270247</v>
      </c>
      <c r="U690" s="262">
        <f t="shared" ref="U690:U698" ca="1" si="170">IF(R690&gt;0,S690*100/R690,0)</f>
        <v>42.49786871270247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58650</v>
      </c>
      <c r="R692" s="72">
        <f t="shared" ca="1" si="172"/>
        <v>58650</v>
      </c>
      <c r="S692" s="72">
        <f t="shared" ca="1" si="172"/>
        <v>24925</v>
      </c>
      <c r="T692" s="72">
        <f t="shared" ca="1" si="169"/>
        <v>42.49786871270247</v>
      </c>
      <c r="U692" s="72">
        <f t="shared" ca="1" si="170"/>
        <v>42.49786871270247</v>
      </c>
    </row>
    <row r="693" spans="1:21" ht="18.75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58650</v>
      </c>
      <c r="R693" s="72">
        <f ca="1">R694+R695</f>
        <v>58650</v>
      </c>
      <c r="S693" s="72">
        <f ca="1">S694+S695</f>
        <v>24925</v>
      </c>
      <c r="T693" s="72">
        <f t="shared" ca="1" si="169"/>
        <v>42.49786871270247</v>
      </c>
      <c r="U693" s="72">
        <f t="shared" ca="1" si="170"/>
        <v>42.49786871270247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IFERROR(__xludf.DUMMYFUNCTION("IMPORTRANGE(""https://docs.google.com/spreadsheets/d/1ItG2mGa2ceCfYo0BwxsXqNm01IGEUdYcSSLTEv9YCik/edit?usp=sharing"",""เบิกจ่ายกองทุน!L59"")"),58650)</f>
        <v>58650</v>
      </c>
      <c r="R695" s="72">
        <f ca="1">IFERROR(__xludf.DUMMYFUNCTION("IMPORTRANGE(""https://docs.google.com/spreadsheets/d/1ItG2mGa2ceCfYo0BwxsXqNm01IGEUdYcSSLTEv9YCik/edit?usp=sharing"",""เบิกจ่ายกองทุน!M59"")"),58650)</f>
        <v>58650</v>
      </c>
      <c r="S695" s="72">
        <f ca="1">IFERROR(__xludf.DUMMYFUNCTION("IMPORTRANGE(""https://docs.google.com/spreadsheets/d/1ItG2mGa2ceCfYo0BwxsXqNm01IGEUdYcSSLTEv9YCik/edit?usp=sharing"",""เบิกจ่ายกองทุน!N59"")"),24925)</f>
        <v>24925</v>
      </c>
      <c r="T695" s="72">
        <f t="shared" ca="1" si="169"/>
        <v>42.49786871270247</v>
      </c>
      <c r="U695" s="72">
        <f t="shared" ca="1" si="170"/>
        <v>42.49786871270247</v>
      </c>
    </row>
    <row r="696" spans="1:21" ht="18.75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x14ac:dyDescent="0.3">
      <c r="A699" s="274"/>
      <c r="B699" s="275"/>
      <c r="C699" s="668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IFERROR(__xludf.DUMMYFUNCTION("IMPORTRANGE(""https://docs.google.com/spreadsheets/d/1eHaY18a8A9IcSdp1K8H6x8fbOy06t2VsZHhMHf-1x7Y/edit?usp=sharing"",""แผน!LC59"")"),0)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2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IFERROR(__xludf.DUMMYFUNCTION("IMPORTRANGE(""https://docs.google.com/spreadsheets/d/1eHaY18a8A9IcSdp1K8H6x8fbOy06t2VsZHhMHf-1x7Y/edit?usp=sharing"",""แผน!LJ59"")"),0)</f>
        <v>0</v>
      </c>
      <c r="J703" s="291">
        <f ca="1">IFERROR(__xludf.DUMMYFUNCTION("IMPORTRANGE(""https://docs.google.com/spreadsheets/d/1tdoBKaGub7dwA3U6UFTqxio9LNnvDCQjHKmttSEBsFQ/edit?usp=sharing"",""จัดที่ดิน!AP59"")"),0)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IFERROR(__xludf.DUMMYFUNCTION("IMPORTRANGE(""https://docs.google.com/spreadsheets/d/1tdoBKaGub7dwA3U6UFTqxio9LNnvDCQjHKmttSEBsFQ/edit?usp=sharing"",""จัดที่ดิน!AQ59"")"),0)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IFERROR(__xludf.DUMMYFUNCTION("IMPORTRANGE(""https://docs.google.com/spreadsheets/d/1eHaY18a8A9IcSdp1K8H6x8fbOy06t2VsZHhMHf-1x7Y/edit?usp=sharing"",""แผน!LK59"")"),2)</f>
        <v>2</v>
      </c>
      <c r="J705" s="291">
        <f ca="1">IFERROR(__xludf.DUMMYFUNCTION("IMPORTRANGE(""https://docs.google.com/spreadsheets/d/1tdoBKaGub7dwA3U6UFTqxio9LNnvDCQjHKmttSEBsFQ/edit?usp=sharing"",""จัดที่ดิน!AR59"")"),0)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IFERROR(__xludf.DUMMYFUNCTION("IMPORTRANGE(""https://docs.google.com/spreadsheets/d/1tdoBKaGub7dwA3U6UFTqxio9LNnvDCQjHKmttSEBsFQ/edit?usp=sharing"",""จัดที่ดิน!AS59"")"),0)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IFERROR(__xludf.DUMMYFUNCTION("IMPORTRANGE(""https://docs.google.com/spreadsheets/d/1eHaY18a8A9IcSdp1K8H6x8fbOy06t2VsZHhMHf-1x7Y/edit?usp=sharing"",""แผน!LJ59"")"),0)</f>
        <v>0</v>
      </c>
      <c r="J707" s="291">
        <f ca="1">IFERROR(__xludf.DUMMYFUNCTION("IMPORTRANGE(""https://docs.google.com/spreadsheets/d/1tdoBKaGub7dwA3U6UFTqxio9LNnvDCQjHKmttSEBsFQ/edit?usp=sharing"",""จัดที่ดิน!BN59"")"),0)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IFERROR(__xludf.DUMMYFUNCTION("IMPORTRANGE(""https://docs.google.com/spreadsheets/d/1tdoBKaGub7dwA3U6UFTqxio9LNnvDCQjHKmttSEBsFQ/edit?usp=sharing"",""จัดที่ดิน!BO59"")"),0)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IFERROR(__xludf.DUMMYFUNCTION("IMPORTRANGE(""https://docs.google.com/spreadsheets/d/1eHaY18a8A9IcSdp1K8H6x8fbOy06t2VsZHhMHf-1x7Y/edit?usp=sharing"",""แผน!LK59"")"),2)</f>
        <v>2</v>
      </c>
      <c r="J709" s="291">
        <f ca="1">IFERROR(__xludf.DUMMYFUNCTION("IMPORTRANGE(""https://docs.google.com/spreadsheets/d/1tdoBKaGub7dwA3U6UFTqxio9LNnvDCQjHKmttSEBsFQ/edit?usp=sharing"",""จัดที่ดิน!BP59"")"),0)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IFERROR(__xludf.DUMMYFUNCTION("IMPORTRANGE(""https://docs.google.com/spreadsheets/d/1tdoBKaGub7dwA3U6UFTqxio9LNnvDCQjHKmttSEBsFQ/edit?usp=sharing"",""จัดที่ดิน!BQ59"")"),0)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IFERROR(__xludf.DUMMYFUNCTION("IMPORTRANGE(""https://docs.google.com/spreadsheets/d/1eHaY18a8A9IcSdp1K8H6x8fbOy06t2VsZHhMHf-1x7Y/edit?usp=sharing"",""แผน!FZ59"")"),0)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IFERROR(__xludf.DUMMYFUNCTION("IMPORTRANGE(""https://docs.google.com/spreadsheets/d/1eHaY18a8A9IcSdp1K8H6x8fbOy06t2VsZHhMHf-1x7Y/edit?usp=sharing"",""แผน!GA59"")"),0)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IFERROR(__xludf.DUMMYFUNCTION("IMPORTRANGE(""https://docs.google.com/spreadsheets/d/1ItG2mGa2ceCfYo0BwxsXqNm01IGEUdYcSSLTEv9YCik/edit?usp=sharing"",""เบิกจ่ายกองทุน!O59"")"),0)</f>
        <v>0</v>
      </c>
      <c r="R733" s="72">
        <f ca="1">IFERROR(__xludf.DUMMYFUNCTION("IMPORTRANGE(""https://docs.google.com/spreadsheets/d/1ItG2mGa2ceCfYo0BwxsXqNm01IGEUdYcSSLTEv9YCik/edit?usp=sharing"",""เบิกจ่ายกองทุน!P59"")"),0)</f>
        <v>0</v>
      </c>
      <c r="S733" s="72">
        <f ca="1">IFERROR(__xludf.DUMMYFUNCTION("IMPORTRANGE(""https://docs.google.com/spreadsheets/d/1ItG2mGa2ceCfYo0BwxsXqNm01IGEUdYcSSLTEv9YCik/edit?usp=sharing"",""เบิกจ่ายกองทุน!Q59"")"),0)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IFERROR(__xludf.DUMMYFUNCTION("IMPORTRANGE(""https://docs.google.com/spreadsheets/d/1eHaY18a8A9IcSdp1K8H6x8fbOy06t2VsZHhMHf-1x7Y/edit?usp=sharing"",""แผน!GB59"")"),0)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IFERROR(__xludf.DUMMYFUNCTION("IMPORTRANGE(""https://docs.google.com/spreadsheets/d/1eHaY18a8A9IcSdp1K8H6x8fbOy06t2VsZHhMHf-1x7Y/edit?usp=sharing"",""แผน!GC59"")"),0)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IFERROR(__xludf.DUMMYFUNCTION("IMPORTRANGE(""https://docs.google.com/spreadsheets/d/1eHaY18a8A9IcSdp1K8H6x8fbOy06t2VsZHhMHf-1x7Y/edit?usp=sharing"",""แผน!GD59"")"),0)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IFERROR(__xludf.DUMMYFUNCTION("IMPORTRANGE(""https://docs.google.com/spreadsheets/d/1eHaY18a8A9IcSdp1K8H6x8fbOy06t2VsZHhMHf-1x7Y/edit?usp=sharing"",""แผน!GE59"")"),0)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IFERROR(__xludf.DUMMYFUNCTION("IMPORTRANGE(""https://docs.google.com/spreadsheets/d/1eHaY18a8A9IcSdp1K8H6x8fbOy06t2VsZHhMHf-1x7Y/edit?usp=sharing"",""แผน!GF59"")"),0)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IFERROR(__xludf.DUMMYFUNCTION("IMPORTRANGE(""https://docs.google.com/spreadsheets/d/1eHaY18a8A9IcSdp1K8H6x8fbOy06t2VsZHhMHf-1x7Y/edit?usp=sharing"",""แผน!GC59"")"),0)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IFERROR(__xludf.DUMMYFUNCTION("IMPORTRANGE(""https://docs.google.com/spreadsheets/d/1eHaY18a8A9IcSdp1K8H6x8fbOy06t2VsZHhMHf-1x7Y/edit?usp=sharing"",""แผน!GE59"")"),0)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10</v>
      </c>
      <c r="J758" s="743">
        <f>J772</f>
        <v>10</v>
      </c>
      <c r="K758" s="744">
        <f ca="1">IF(I758&gt;0,J758*100/I758,0)</f>
        <v>100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20</v>
      </c>
      <c r="J759" s="743">
        <f>J774</f>
        <v>20</v>
      </c>
      <c r="K759" s="744">
        <f ca="1">IF(I759&gt;0,J759*100/I759,0)</f>
        <v>100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x14ac:dyDescent="0.3">
      <c r="A760" s="255"/>
      <c r="B760" s="267"/>
      <c r="C760" s="668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95360</v>
      </c>
      <c r="R760" s="262">
        <f ca="1">R761+R762</f>
        <v>95360</v>
      </c>
      <c r="S760" s="262">
        <f ca="1">S761+S762</f>
        <v>21920</v>
      </c>
      <c r="T760" s="262">
        <f t="shared" ref="T760:T768" ca="1" si="188">IF(Q760&gt;0,S760*100/Q760,0)</f>
        <v>22.986577181208055</v>
      </c>
      <c r="U760" s="262">
        <f t="shared" ref="U760:U768" ca="1" si="189">IF(R760&gt;0,S760*100/R760,0)</f>
        <v>22.986577181208055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95360</v>
      </c>
      <c r="R762" s="72">
        <f t="shared" ca="1" si="191"/>
        <v>95360</v>
      </c>
      <c r="S762" s="72">
        <f t="shared" ca="1" si="191"/>
        <v>21920</v>
      </c>
      <c r="T762" s="72">
        <f t="shared" ca="1" si="188"/>
        <v>22.986577181208055</v>
      </c>
      <c r="U762" s="72">
        <f t="shared" ca="1" si="189"/>
        <v>22.986577181208055</v>
      </c>
    </row>
    <row r="763" spans="1:21" ht="18.75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95360</v>
      </c>
      <c r="R763" s="72">
        <f ca="1">R764+R765</f>
        <v>95360</v>
      </c>
      <c r="S763" s="72">
        <f ca="1">S764+S765</f>
        <v>21920</v>
      </c>
      <c r="T763" s="72">
        <f t="shared" ca="1" si="188"/>
        <v>22.986577181208055</v>
      </c>
      <c r="U763" s="72">
        <f t="shared" ca="1" si="189"/>
        <v>22.986577181208055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IFERROR(__xludf.DUMMYFUNCTION("IMPORTRANGE(""https://docs.google.com/spreadsheets/d/1ItG2mGa2ceCfYo0BwxsXqNm01IGEUdYcSSLTEv9YCik/edit?usp=sharing"",""เบิกจ่ายกองทุน!AA59"")"),95360)</f>
        <v>95360</v>
      </c>
      <c r="R765" s="72">
        <f ca="1">IFERROR(__xludf.DUMMYFUNCTION("IMPORTRANGE(""https://docs.google.com/spreadsheets/d/1ItG2mGa2ceCfYo0BwxsXqNm01IGEUdYcSSLTEv9YCik/edit?usp=sharing"",""เบิกจ่ายกองทุน!AB59"")"),95360)</f>
        <v>95360</v>
      </c>
      <c r="S765" s="72">
        <f ca="1">IFERROR(__xludf.DUMMYFUNCTION("IMPORTRANGE(""https://docs.google.com/spreadsheets/d/1ItG2mGa2ceCfYo0BwxsXqNm01IGEUdYcSSLTEv9YCik/edit?usp=sharing"",""เบิกจ่ายกองทุน!AC59"")"),21920)</f>
        <v>21920</v>
      </c>
      <c r="T765" s="72">
        <f t="shared" ca="1" si="188"/>
        <v>22.986577181208055</v>
      </c>
      <c r="U765" s="72">
        <f t="shared" ca="1" si="189"/>
        <v>22.986577181208055</v>
      </c>
    </row>
    <row r="766" spans="1:21" ht="18.75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x14ac:dyDescent="0.3">
      <c r="A769" s="274"/>
      <c r="B769" s="275"/>
      <c r="C769" s="668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IFERROR(__xludf.DUMMYFUNCTION("IMPORTRANGE(""https://docs.google.com/spreadsheets/d/1eHaY18a8A9IcSdp1K8H6x8fbOy06t2VsZHhMHf-1x7Y/edit?usp=sharing"",""แผน!FI59"")"),0)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IFERROR(__xludf.DUMMYFUNCTION("IMPORTRANGE(""https://docs.google.com/spreadsheets/d/1eHaY18a8A9IcSdp1K8H6x8fbOy06t2VsZHhMHf-1x7Y/edit?usp=sharing"",""แผน!FQ59"")"),10)</f>
        <v>10</v>
      </c>
      <c r="J772" s="292">
        <v>10</v>
      </c>
      <c r="K772" s="72">
        <f ca="1">IF(I772&gt;0,J772*100/I772,0)</f>
        <v>100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IFERROR(__xludf.DUMMYFUNCTION("IMPORTRANGE(""https://docs.google.com/spreadsheets/d/1eHaY18a8A9IcSdp1K8H6x8fbOy06t2VsZHhMHf-1x7Y/edit?usp=sharing"",""แผน!FR59"")"),20)</f>
        <v>20</v>
      </c>
      <c r="J774" s="292">
        <v>20</v>
      </c>
      <c r="K774" s="72">
        <f ca="1">IF(I774&gt;0,J774*100/I774,0)</f>
        <v>100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IFERROR(__xludf.DUMMYFUNCTION("IMPORTRANGE(""https://docs.google.com/spreadsheets/d/1eHaY18a8A9IcSdp1K8H6x8fbOy06t2VsZHhMHf-1x7Y/edit?usp=sharing"",""แผน!FS59"")"),20)</f>
        <v>20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IFERROR(__xludf.DUMMYFUNCTION("IMPORTRANGE(""https://docs.google.com/spreadsheets/d/1eHaY18a8A9IcSdp1K8H6x8fbOy06t2VsZHhMHf-1x7Y/edit?usp=sharing"",""แผน!FT59"")"),10)</f>
        <v>10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IFERROR(__xludf.DUMMYFUNCTION("IMPORTRANGE(""https://docs.google.com/spreadsheets/d/10OvvATaaLtwErnr3qtWFcTmtbfpFEt5Bsqel9sXx0uE/edit?usp=sharing"",""งานกองทุน!D59"")"),1284643.29)</f>
        <v>1284643.29</v>
      </c>
      <c r="J778" s="291">
        <f ca="1">IFERROR(__xludf.DUMMYFUNCTION("IMPORTRANGE(""https://docs.google.com/spreadsheets/d/10OvvATaaLtwErnr3qtWFcTmtbfpFEt5Bsqel9sXx0uE/edit?usp=sharing"",""งานกองทุน!F59"")"),974397.81)</f>
        <v>974397.81</v>
      </c>
      <c r="K778" s="72">
        <f t="shared" ref="K778:K785" ca="1" si="192">IF(I778&gt;0,J778*100/I778,0)</f>
        <v>75.84967886299394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IFERROR(__xludf.DUMMYFUNCTION("IMPORTRANGE(""https://docs.google.com/spreadsheets/d/10OvvATaaLtwErnr3qtWFcTmtbfpFEt5Bsqel9sXx0uE/edit?usp=sharing"",""งานกองทุน!C59"")"),37)</f>
        <v>37</v>
      </c>
      <c r="J779" s="291">
        <f ca="1">IFERROR(__xludf.DUMMYFUNCTION("IMPORTRANGE(""https://docs.google.com/spreadsheets/d/10OvvATaaLtwErnr3qtWFcTmtbfpFEt5Bsqel9sXx0uE/edit?usp=sharing"",""งานกองทุน!E59"")"),25)</f>
        <v>25</v>
      </c>
      <c r="K779" s="72">
        <f t="shared" ca="1" si="192"/>
        <v>67.567567567567565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IFERROR(__xludf.DUMMYFUNCTION("IMPORTRANGE(""https://docs.google.com/spreadsheets/d/10OvvATaaLtwErnr3qtWFcTmtbfpFEt5Bsqel9sXx0uE/edit?usp=sharing"",""งานกองทุน!I59"")"),2998352.41)</f>
        <v>2998352.41</v>
      </c>
      <c r="J780" s="291">
        <f ca="1">IFERROR(__xludf.DUMMYFUNCTION("IMPORTRANGE(""https://docs.google.com/spreadsheets/d/10OvvATaaLtwErnr3qtWFcTmtbfpFEt5Bsqel9sXx0uE/edit?usp=sharing"",""งานกองทุน!K59"")"),232359.98)</f>
        <v>232359.98</v>
      </c>
      <c r="K780" s="72">
        <f t="shared" ca="1" si="192"/>
        <v>7.7495887149569587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IFERROR(__xludf.DUMMYFUNCTION("IMPORTRANGE(""https://docs.google.com/spreadsheets/d/10OvvATaaLtwErnr3qtWFcTmtbfpFEt5Bsqel9sXx0uE/edit?usp=sharing"",""งานกองทุน!H59"")"),131)</f>
        <v>131</v>
      </c>
      <c r="J781" s="291">
        <f ca="1">IFERROR(__xludf.DUMMYFUNCTION("IMPORTRANGE(""https://docs.google.com/spreadsheets/d/10OvvATaaLtwErnr3qtWFcTmtbfpFEt5Bsqel9sXx0uE/edit?usp=sharing"",""งานกองทุน!J59"")"),27)</f>
        <v>27</v>
      </c>
      <c r="K781" s="72">
        <f t="shared" ca="1" si="192"/>
        <v>20.610687022900763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IFERROR(__xludf.DUMMYFUNCTION("IMPORTRANGE(""https://docs.google.com/spreadsheets/d/10OvvATaaLtwErnr3qtWFcTmtbfpFEt5Bsqel9sXx0uE/edit?usp=sharing"",""งานกองทุน!N59"")"),5097910.18)</f>
        <v>5097910.18</v>
      </c>
      <c r="J782" s="291">
        <f ca="1">IFERROR(__xludf.DUMMYFUNCTION("IMPORTRANGE(""https://docs.google.com/spreadsheets/d/10OvvATaaLtwErnr3qtWFcTmtbfpFEt5Bsqel9sXx0uE/edit?usp=sharing"",""งานกองทุน!P59"")"),2252267.55)</f>
        <v>2252267.5499999998</v>
      </c>
      <c r="K782" s="72">
        <f t="shared" ca="1" si="192"/>
        <v>44.180212488561338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IFERROR(__xludf.DUMMYFUNCTION("IMPORTRANGE(""https://docs.google.com/spreadsheets/d/10OvvATaaLtwErnr3qtWFcTmtbfpFEt5Bsqel9sXx0uE/edit?usp=sharing"",""งานกองทุน!M59"")"),1795)</f>
        <v>1795</v>
      </c>
      <c r="J783" s="291">
        <f ca="1">IFERROR(__xludf.DUMMYFUNCTION("IMPORTRANGE(""https://docs.google.com/spreadsheets/d/10OvvATaaLtwErnr3qtWFcTmtbfpFEt5Bsqel9sXx0uE/edit?usp=sharing"",""งานกองทุน!O59"")"),134)</f>
        <v>134</v>
      </c>
      <c r="K783" s="72">
        <f t="shared" ca="1" si="192"/>
        <v>7.4651810584958218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IFERROR(__xludf.DUMMYFUNCTION("IMPORTRANGE(""https://docs.google.com/spreadsheets/d/10OvvATaaLtwErnr3qtWFcTmtbfpFEt5Bsqel9sXx0uE/edit?usp=sharing"",""งานกองทุน!S59"")"),2940000)</f>
        <v>2940000</v>
      </c>
      <c r="J784" s="291">
        <f ca="1">IFERROR(__xludf.DUMMYFUNCTION("IMPORTRANGE(""https://docs.google.com/spreadsheets/d/10OvvATaaLtwErnr3qtWFcTmtbfpFEt5Bsqel9sXx0uE/edit?usp=sharing"",""งานกองทุน!U59"")"),1330000)</f>
        <v>1330000</v>
      </c>
      <c r="K784" s="72">
        <f t="shared" ca="1" si="192"/>
        <v>45.238095238095241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IFERROR(__xludf.DUMMYFUNCTION("IMPORTRANGE(""https://docs.google.com/spreadsheets/d/10OvvATaaLtwErnr3qtWFcTmtbfpFEt5Bsqel9sXx0uE/edit?usp=sharing"",""งานกองทุน!R59"")"),105)</f>
        <v>105</v>
      </c>
      <c r="J785" s="773">
        <f ca="1">IFERROR(__xludf.DUMMYFUNCTION("IMPORTRANGE(""https://docs.google.com/spreadsheets/d/10OvvATaaLtwErnr3qtWFcTmtbfpFEt5Bsqel9sXx0uE/edit?usp=sharing"",""งานกองทุน!T59"")"),35)</f>
        <v>35</v>
      </c>
      <c r="K785" s="181">
        <f t="shared" ca="1" si="192"/>
        <v>33.333333333333336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E0CF-02BA-4F56-9252-4D13FD3C547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1448" t="s">
        <v>0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</row>
    <row r="2" spans="1:21" ht="19.5" x14ac:dyDescent="0.3">
      <c r="A2" s="1448" t="s">
        <v>351</v>
      </c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</row>
    <row r="3" spans="1:21" ht="19.5" x14ac:dyDescent="0.3">
      <c r="A3" s="1469" t="s">
        <v>368</v>
      </c>
      <c r="B3" s="1469"/>
      <c r="C3" s="1469"/>
      <c r="D3" s="1469"/>
      <c r="E3" s="1469"/>
      <c r="F3" s="1469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</row>
    <row r="4" spans="1:21" ht="19.5" x14ac:dyDescent="0.3">
      <c r="A4" s="1460" t="s">
        <v>2</v>
      </c>
      <c r="B4" s="1405"/>
      <c r="C4" s="1405"/>
      <c r="D4" s="1405"/>
      <c r="E4" s="1405"/>
      <c r="F4" s="1405"/>
      <c r="G4" s="1406"/>
      <c r="H4" s="1458" t="s">
        <v>3</v>
      </c>
      <c r="I4" s="1459" t="s">
        <v>4</v>
      </c>
      <c r="J4" s="1405"/>
      <c r="K4" s="1406"/>
      <c r="L4" s="1431" t="s">
        <v>5</v>
      </c>
      <c r="M4" s="1414"/>
      <c r="N4" s="1414"/>
      <c r="O4" s="1414"/>
      <c r="P4" s="1415"/>
      <c r="Q4" s="1432" t="s">
        <v>6</v>
      </c>
      <c r="R4" s="1414"/>
      <c r="S4" s="1414"/>
      <c r="T4" s="1414"/>
      <c r="U4" s="1415"/>
    </row>
    <row r="5" spans="1:21" ht="19.5" x14ac:dyDescent="0.3">
      <c r="A5" s="1407"/>
      <c r="B5" s="1408"/>
      <c r="C5" s="1408"/>
      <c r="D5" s="1408"/>
      <c r="E5" s="1408"/>
      <c r="F5" s="1408"/>
      <c r="G5" s="1409"/>
      <c r="H5" s="1429"/>
      <c r="I5" s="1410"/>
      <c r="J5" s="1411"/>
      <c r="K5" s="1412"/>
      <c r="L5" s="1426" t="s">
        <v>7</v>
      </c>
      <c r="M5" s="1412"/>
      <c r="N5" s="1433" t="s">
        <v>8</v>
      </c>
      <c r="O5" s="1411"/>
      <c r="P5" s="1412"/>
      <c r="Q5" s="1457" t="s">
        <v>7</v>
      </c>
      <c r="R5" s="1412"/>
      <c r="S5" s="1433" t="s">
        <v>8</v>
      </c>
      <c r="T5" s="1411"/>
      <c r="U5" s="1412"/>
    </row>
    <row r="6" spans="1:21" ht="19.5" x14ac:dyDescent="0.3">
      <c r="A6" s="1410"/>
      <c r="B6" s="1411"/>
      <c r="C6" s="1411"/>
      <c r="D6" s="1411"/>
      <c r="E6" s="1411"/>
      <c r="F6" s="1411"/>
      <c r="G6" s="1412"/>
      <c r="H6" s="1430"/>
      <c r="I6" s="1071" t="s">
        <v>9</v>
      </c>
      <c r="J6" s="1072" t="s">
        <v>10</v>
      </c>
      <c r="K6" s="1071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067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451"/>
      <c r="B7" s="1411"/>
      <c r="C7" s="1411"/>
      <c r="D7" s="1411"/>
      <c r="E7" s="1411"/>
      <c r="F7" s="1411"/>
      <c r="G7" s="1412"/>
      <c r="H7" s="904"/>
      <c r="I7" s="903"/>
      <c r="J7" s="903"/>
      <c r="K7" s="17"/>
      <c r="L7" s="16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036"/>
      <c r="B8" s="283"/>
      <c r="C8" s="283"/>
      <c r="D8" s="283"/>
      <c r="E8" s="283"/>
      <c r="F8" s="283"/>
      <c r="G8" s="284"/>
      <c r="H8" s="284"/>
      <c r="I8" s="285"/>
      <c r="J8" s="285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</row>
    <row r="9" spans="1:21" ht="12.75" hidden="1" x14ac:dyDescent="0.2">
      <c r="A9" s="1036"/>
      <c r="B9" s="283"/>
      <c r="C9" s="283"/>
      <c r="D9" s="283"/>
      <c r="E9" s="283"/>
      <c r="F9" s="283"/>
      <c r="G9" s="284"/>
      <c r="H9" s="284"/>
      <c r="I9" s="285"/>
      <c r="J9" s="285"/>
      <c r="K9" s="28"/>
      <c r="L9" s="27"/>
      <c r="M9" s="28"/>
      <c r="N9" s="28"/>
      <c r="O9" s="28"/>
      <c r="P9" s="28"/>
      <c r="Q9" s="28"/>
      <c r="R9" s="28"/>
      <c r="S9" s="28"/>
      <c r="T9" s="28"/>
      <c r="U9" s="28"/>
    </row>
    <row r="10" spans="1:21" ht="12.75" hidden="1" x14ac:dyDescent="0.2">
      <c r="A10" s="1036"/>
      <c r="B10" s="283"/>
      <c r="C10" s="283"/>
      <c r="D10" s="283"/>
      <c r="E10" s="283"/>
      <c r="F10" s="283"/>
      <c r="G10" s="284"/>
      <c r="H10" s="284"/>
      <c r="I10" s="285"/>
      <c r="J10" s="285"/>
      <c r="K10" s="28"/>
      <c r="L10" s="27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2.75" hidden="1" x14ac:dyDescent="0.2">
      <c r="A11" s="1036"/>
      <c r="B11" s="283"/>
      <c r="C11" s="283"/>
      <c r="D11" s="283"/>
      <c r="E11" s="283"/>
      <c r="F11" s="283"/>
      <c r="G11" s="284"/>
      <c r="H11" s="284"/>
      <c r="I11" s="285"/>
      <c r="J11" s="285"/>
      <c r="K11" s="28"/>
      <c r="L11" s="27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2.75" hidden="1" x14ac:dyDescent="0.2">
      <c r="A12" s="1036"/>
      <c r="B12" s="283"/>
      <c r="C12" s="283"/>
      <c r="D12" s="283"/>
      <c r="E12" s="283"/>
      <c r="F12" s="283"/>
      <c r="G12" s="284"/>
      <c r="H12" s="284"/>
      <c r="I12" s="285"/>
      <c r="J12" s="285"/>
      <c r="K12" s="28"/>
      <c r="L12" s="27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2.75" hidden="1" x14ac:dyDescent="0.2">
      <c r="A13" s="1036"/>
      <c r="B13" s="283"/>
      <c r="C13" s="283"/>
      <c r="D13" s="283"/>
      <c r="E13" s="283"/>
      <c r="F13" s="283"/>
      <c r="G13" s="284"/>
      <c r="H13" s="284"/>
      <c r="I13" s="285"/>
      <c r="J13" s="285"/>
      <c r="K13" s="28"/>
      <c r="L13" s="27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2.75" hidden="1" x14ac:dyDescent="0.2">
      <c r="A14" s="1036"/>
      <c r="B14" s="283"/>
      <c r="C14" s="283"/>
      <c r="D14" s="283"/>
      <c r="E14" s="283"/>
      <c r="F14" s="283"/>
      <c r="G14" s="284"/>
      <c r="H14" s="284"/>
      <c r="I14" s="285"/>
      <c r="J14" s="285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2.75" hidden="1" x14ac:dyDescent="0.2">
      <c r="A15" s="1036"/>
      <c r="B15" s="283"/>
      <c r="C15" s="283"/>
      <c r="D15" s="283"/>
      <c r="E15" s="283"/>
      <c r="F15" s="283"/>
      <c r="G15" s="284"/>
      <c r="H15" s="284"/>
      <c r="I15" s="285"/>
      <c r="J15" s="285"/>
      <c r="K15" s="28"/>
      <c r="L15" s="27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2.75" hidden="1" x14ac:dyDescent="0.2">
      <c r="A16" s="1056"/>
      <c r="B16" s="905"/>
      <c r="C16" s="905"/>
      <c r="D16" s="905"/>
      <c r="E16" s="905"/>
      <c r="F16" s="905"/>
      <c r="G16" s="904"/>
      <c r="H16" s="904"/>
      <c r="I16" s="903"/>
      <c r="J16" s="903"/>
      <c r="K16" s="17"/>
      <c r="L16" s="16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1452" t="s">
        <v>17</v>
      </c>
      <c r="B17" s="1411"/>
      <c r="C17" s="1411"/>
      <c r="D17" s="1411"/>
      <c r="E17" s="1411"/>
      <c r="F17" s="1411"/>
      <c r="G17" s="1412"/>
      <c r="H17" s="1066"/>
      <c r="I17" s="1065"/>
      <c r="J17" s="1065"/>
      <c r="K17" s="45"/>
      <c r="L17" s="44"/>
      <c r="M17" s="45"/>
      <c r="N17" s="45"/>
      <c r="O17" s="45"/>
      <c r="P17" s="45"/>
      <c r="Q17" s="45"/>
      <c r="R17" s="45"/>
      <c r="S17" s="45"/>
      <c r="T17" s="45"/>
      <c r="U17" s="45"/>
    </row>
    <row r="18" spans="1:21" ht="19.5" x14ac:dyDescent="0.3">
      <c r="A18" s="1059"/>
      <c r="B18" s="250"/>
      <c r="C18" s="1064" t="s">
        <v>18</v>
      </c>
      <c r="D18" s="1063" t="s">
        <v>19</v>
      </c>
      <c r="E18" s="250"/>
      <c r="F18" s="250"/>
      <c r="G18" s="252"/>
      <c r="H18" s="1062" t="s">
        <v>14</v>
      </c>
      <c r="I18" s="814"/>
      <c r="J18" s="814"/>
      <c r="K18" s="206"/>
      <c r="L18" s="56">
        <f ca="1">L19+L20</f>
        <v>1889142</v>
      </c>
      <c r="M18" s="57">
        <f ca="1">M19+M20</f>
        <v>1916934.16</v>
      </c>
      <c r="N18" s="57">
        <f ca="1">N19+N20</f>
        <v>1246123.26</v>
      </c>
      <c r="O18" s="57">
        <f t="shared" ref="O18:O26" ca="1" si="0">IF(L18&gt;0,N18*100/L18,0)</f>
        <v>65.962392451176243</v>
      </c>
      <c r="P18" s="57">
        <f t="shared" ref="P18:P26" ca="1" si="1">IF(M18&gt;0,N18*100/M18,0)</f>
        <v>65.00605425071042</v>
      </c>
      <c r="Q18" s="57">
        <f ca="1">Q19+Q20</f>
        <v>240955</v>
      </c>
      <c r="R18" s="57">
        <f ca="1">R19+R20</f>
        <v>240955</v>
      </c>
      <c r="S18" s="57">
        <f ca="1">S19+S20</f>
        <v>113193.36</v>
      </c>
      <c r="T18" s="57">
        <f t="shared" ref="T18:T26" ca="1" si="2">IF(Q18&gt;0,S18*100/Q18,0)</f>
        <v>46.976970803677034</v>
      </c>
      <c r="U18" s="57">
        <f t="shared" ref="U18:U26" ca="1" si="3">IF(R18&gt;0,S18*100/R18,0)</f>
        <v>46.976970803677034</v>
      </c>
    </row>
    <row r="19" spans="1:21" ht="18.75" hidden="1" x14ac:dyDescent="0.25">
      <c r="A19" s="1059"/>
      <c r="B19" s="250"/>
      <c r="C19" s="250"/>
      <c r="D19" s="250"/>
      <c r="E19" s="1061" t="s">
        <v>20</v>
      </c>
      <c r="F19" s="250"/>
      <c r="G19" s="252"/>
      <c r="H19" s="1060" t="s">
        <v>14</v>
      </c>
      <c r="I19" s="814"/>
      <c r="J19" s="814"/>
      <c r="K19" s="206"/>
      <c r="L19" s="60">
        <f t="shared" ref="L19:N20" si="4">L22+L25</f>
        <v>0</v>
      </c>
      <c r="M19" s="61">
        <f t="shared" si="4"/>
        <v>0</v>
      </c>
      <c r="N19" s="61">
        <f t="shared" si="4"/>
        <v>0</v>
      </c>
      <c r="O19" s="61">
        <f t="shared" si="0"/>
        <v>0</v>
      </c>
      <c r="P19" s="61">
        <f t="shared" si="1"/>
        <v>0</v>
      </c>
      <c r="Q19" s="61">
        <f t="shared" ref="Q19:S20" si="5">Q22+Q25</f>
        <v>0</v>
      </c>
      <c r="R19" s="61">
        <f t="shared" si="5"/>
        <v>0</v>
      </c>
      <c r="S19" s="61">
        <f t="shared" si="5"/>
        <v>0</v>
      </c>
      <c r="T19" s="61">
        <f t="shared" si="2"/>
        <v>0</v>
      </c>
      <c r="U19" s="61">
        <f t="shared" si="3"/>
        <v>0</v>
      </c>
    </row>
    <row r="20" spans="1:21" ht="18.75" hidden="1" x14ac:dyDescent="0.25">
      <c r="A20" s="1059"/>
      <c r="B20" s="250"/>
      <c r="C20" s="250"/>
      <c r="D20" s="250"/>
      <c r="E20" s="1058" t="s">
        <v>21</v>
      </c>
      <c r="F20" s="250"/>
      <c r="G20" s="252"/>
      <c r="H20" s="1057" t="s">
        <v>14</v>
      </c>
      <c r="I20" s="814"/>
      <c r="J20" s="814"/>
      <c r="K20" s="206"/>
      <c r="L20" s="62">
        <f t="shared" ca="1" si="4"/>
        <v>1889142</v>
      </c>
      <c r="M20" s="63">
        <f t="shared" ca="1" si="4"/>
        <v>1916934.16</v>
      </c>
      <c r="N20" s="63">
        <f t="shared" ca="1" si="4"/>
        <v>1246123.26</v>
      </c>
      <c r="O20" s="63">
        <f t="shared" ca="1" si="0"/>
        <v>65.962392451176243</v>
      </c>
      <c r="P20" s="63">
        <f t="shared" ca="1" si="1"/>
        <v>65.00605425071042</v>
      </c>
      <c r="Q20" s="63">
        <f t="shared" ca="1" si="5"/>
        <v>240955</v>
      </c>
      <c r="R20" s="63">
        <f t="shared" ca="1" si="5"/>
        <v>240955</v>
      </c>
      <c r="S20" s="63">
        <f t="shared" ca="1" si="5"/>
        <v>113193.36</v>
      </c>
      <c r="T20" s="63">
        <f t="shared" ca="1" si="2"/>
        <v>46.976970803677034</v>
      </c>
      <c r="U20" s="63">
        <f t="shared" ca="1" si="3"/>
        <v>46.976970803677034</v>
      </c>
    </row>
    <row r="21" spans="1:21" ht="18.75" x14ac:dyDescent="0.25">
      <c r="A21" s="789"/>
      <c r="B21" s="256"/>
      <c r="C21" s="256"/>
      <c r="D21" s="268" t="s">
        <v>22</v>
      </c>
      <c r="E21" s="256"/>
      <c r="F21" s="256"/>
      <c r="G21" s="259"/>
      <c r="H21" s="290" t="s">
        <v>14</v>
      </c>
      <c r="I21" s="261"/>
      <c r="J21" s="261"/>
      <c r="K21" s="85"/>
      <c r="L21" s="71">
        <f ca="1">L22+L23</f>
        <v>1889142</v>
      </c>
      <c r="M21" s="72">
        <f ca="1">M22+M23</f>
        <v>1916934.16</v>
      </c>
      <c r="N21" s="72">
        <f ca="1">N22+N23</f>
        <v>1246123.26</v>
      </c>
      <c r="O21" s="72">
        <f t="shared" ca="1" si="0"/>
        <v>65.962392451176243</v>
      </c>
      <c r="P21" s="72">
        <f t="shared" ca="1" si="1"/>
        <v>65.00605425071042</v>
      </c>
      <c r="Q21" s="72">
        <f ca="1">Q22+Q23</f>
        <v>240955</v>
      </c>
      <c r="R21" s="72">
        <f ca="1">R22+R23</f>
        <v>240955</v>
      </c>
      <c r="S21" s="72">
        <f ca="1">S22+S23</f>
        <v>113193.36</v>
      </c>
      <c r="T21" s="72">
        <f t="shared" ca="1" si="2"/>
        <v>46.976970803677034</v>
      </c>
      <c r="U21" s="72">
        <f t="shared" ca="1" si="3"/>
        <v>46.976970803677034</v>
      </c>
    </row>
    <row r="22" spans="1:21" ht="18.75" hidden="1" x14ac:dyDescent="0.25">
      <c r="A22" s="789"/>
      <c r="B22" s="256"/>
      <c r="C22" s="256"/>
      <c r="D22" s="256"/>
      <c r="E22" s="263" t="s">
        <v>20</v>
      </c>
      <c r="F22" s="256"/>
      <c r="G22" s="259"/>
      <c r="H22" s="987" t="s">
        <v>14</v>
      </c>
      <c r="I22" s="261"/>
      <c r="J22" s="261"/>
      <c r="K22" s="85"/>
      <c r="L22" s="74">
        <f>L48+L63+L76+L98+L129+L143+L161+L190+L177+L270+L286+L307+L324+L337+L360+L517</f>
        <v>0</v>
      </c>
      <c r="M22" s="75">
        <f>M48+M63+M76+M98+M129+M143+M161+M190+M177+M270+M286+M307+M324+M337+M360+M517</f>
        <v>0</v>
      </c>
      <c r="N22" s="75">
        <f>N48+N63+N76+N98+N129+N143+N161+N190+N177+N270+N286+N307+N324+N337+N360+N517</f>
        <v>0</v>
      </c>
      <c r="O22" s="75">
        <f t="shared" si="0"/>
        <v>0</v>
      </c>
      <c r="P22" s="75">
        <f t="shared" si="1"/>
        <v>0</v>
      </c>
      <c r="Q22" s="75">
        <f t="shared" ref="Q22:S23" si="6">Q76+Q98+Q121+Q143+Q161+Q177+Q190+Q270+Q286+Q307+Q337+Q379+Q396+Q417+Q497+Q603+Q620+Q646+Q694+Q718+Q732+Q764</f>
        <v>0</v>
      </c>
      <c r="R22" s="75">
        <f t="shared" si="6"/>
        <v>0</v>
      </c>
      <c r="S22" s="75">
        <f t="shared" si="6"/>
        <v>0</v>
      </c>
      <c r="T22" s="75">
        <f t="shared" si="2"/>
        <v>0</v>
      </c>
      <c r="U22" s="75">
        <f t="shared" si="3"/>
        <v>0</v>
      </c>
    </row>
    <row r="23" spans="1:21" ht="18.75" hidden="1" x14ac:dyDescent="0.25">
      <c r="A23" s="789"/>
      <c r="B23" s="256"/>
      <c r="C23" s="256"/>
      <c r="D23" s="256"/>
      <c r="E23" s="265" t="s">
        <v>21</v>
      </c>
      <c r="F23" s="256"/>
      <c r="G23" s="259"/>
      <c r="H23" s="290" t="s">
        <v>14</v>
      </c>
      <c r="I23" s="261"/>
      <c r="J23" s="261"/>
      <c r="K23" s="85"/>
      <c r="L23" s="71">
        <f ca="1">L49+L64+L77+L99+L122+L144+L162+L191+L178+L271+L287+L308+L325+L338+L361+L380+L418+L498+L518+L539+L560+L581+L604+L621+L647+L695+L719+L733+L765</f>
        <v>1889142</v>
      </c>
      <c r="M23" s="72">
        <f ca="1">M49+M64+M77+M99+M122+M144+M162+M191+M178+M271+M287+M308+M325+M338+M361+M380+M418+M498+M518+M539+M560+M581+M604+M621+M647+M695+M719+M733+M765</f>
        <v>1916934.16</v>
      </c>
      <c r="N23" s="72">
        <f ca="1">N49+N64+N77+N99+N122+N144+N162+N191+N178+N271+N287+N308+N325+N338+N361+N380+N418+N498+N518+N539+N560+N581+N604+N621+N647+N695+N719+N733+N765</f>
        <v>1246123.26</v>
      </c>
      <c r="O23" s="72">
        <f t="shared" ca="1" si="0"/>
        <v>65.962392451176243</v>
      </c>
      <c r="P23" s="72">
        <f t="shared" ca="1" si="1"/>
        <v>65.00605425071042</v>
      </c>
      <c r="Q23" s="72">
        <f t="shared" ca="1" si="6"/>
        <v>240955</v>
      </c>
      <c r="R23" s="72">
        <f t="shared" ca="1" si="6"/>
        <v>240955</v>
      </c>
      <c r="S23" s="72">
        <f t="shared" ca="1" si="6"/>
        <v>113193.36</v>
      </c>
      <c r="T23" s="72">
        <f t="shared" ca="1" si="2"/>
        <v>46.976970803677034</v>
      </c>
      <c r="U23" s="72">
        <f t="shared" ca="1" si="3"/>
        <v>46.976970803677034</v>
      </c>
    </row>
    <row r="24" spans="1:21" ht="18.75" x14ac:dyDescent="0.25">
      <c r="A24" s="789"/>
      <c r="B24" s="256"/>
      <c r="C24" s="256"/>
      <c r="D24" s="268" t="s">
        <v>23</v>
      </c>
      <c r="E24" s="256"/>
      <c r="F24" s="256"/>
      <c r="G24" s="259"/>
      <c r="H24" s="290" t="s">
        <v>14</v>
      </c>
      <c r="I24" s="261"/>
      <c r="J24" s="261"/>
      <c r="K24" s="85"/>
      <c r="L24" s="71">
        <f ca="1">L25+L26</f>
        <v>0</v>
      </c>
      <c r="M24" s="72">
        <f ca="1">M25+M26</f>
        <v>0</v>
      </c>
      <c r="N24" s="72">
        <f ca="1">N25+N26</f>
        <v>0</v>
      </c>
      <c r="O24" s="72">
        <f t="shared" ca="1" si="0"/>
        <v>0</v>
      </c>
      <c r="P24" s="72">
        <f t="shared" ca="1" si="1"/>
        <v>0</v>
      </c>
      <c r="Q24" s="72">
        <f ca="1">Q25+Q26</f>
        <v>0</v>
      </c>
      <c r="R24" s="72">
        <f ca="1">R25+R26</f>
        <v>0</v>
      </c>
      <c r="S24" s="72">
        <f ca="1">S25+S26</f>
        <v>0</v>
      </c>
      <c r="T24" s="72">
        <f t="shared" ca="1" si="2"/>
        <v>0</v>
      </c>
      <c r="U24" s="72">
        <f t="shared" ca="1" si="3"/>
        <v>0</v>
      </c>
    </row>
    <row r="25" spans="1:21" ht="18.75" hidden="1" x14ac:dyDescent="0.25">
      <c r="A25" s="789"/>
      <c r="B25" s="256"/>
      <c r="C25" s="256"/>
      <c r="D25" s="256"/>
      <c r="E25" s="263" t="s">
        <v>20</v>
      </c>
      <c r="F25" s="256"/>
      <c r="G25" s="259"/>
      <c r="H25" s="987" t="s">
        <v>14</v>
      </c>
      <c r="I25" s="261"/>
      <c r="J25" s="261"/>
      <c r="K25" s="85"/>
      <c r="L25" s="74">
        <f>L51+L66+L79+L101+L132+L146+L164+L193+L180+L273+L289+L310+L327+L340+L363+L520</f>
        <v>0</v>
      </c>
      <c r="M25" s="75">
        <f>M51+M66+M79+M101+M132+M146+M164+M193+M180+M273+M289+M310+M327+M340+M363+M520</f>
        <v>0</v>
      </c>
      <c r="N25" s="75">
        <f>N51+N66+N79+N101+N132+N146+N164+N193+N180+N273+N289+N310+N327+N340+N363+N520</f>
        <v>0</v>
      </c>
      <c r="O25" s="75">
        <f t="shared" si="0"/>
        <v>0</v>
      </c>
      <c r="P25" s="75">
        <f t="shared" si="1"/>
        <v>0</v>
      </c>
      <c r="Q25" s="75">
        <f t="shared" ref="Q25:S26" si="7">Q79+Q101+Q124+Q146+Q164+Q180+Q193+Q273+Q289+Q310+Q340+Q382+Q399+Q420+Q500+Q606+Q623+Q649+Q697+Q721+Q735+Q767</f>
        <v>0</v>
      </c>
      <c r="R25" s="75">
        <f t="shared" si="7"/>
        <v>0</v>
      </c>
      <c r="S25" s="75">
        <f t="shared" si="7"/>
        <v>0</v>
      </c>
      <c r="T25" s="75">
        <f t="shared" si="2"/>
        <v>0</v>
      </c>
      <c r="U25" s="75">
        <f t="shared" si="3"/>
        <v>0</v>
      </c>
    </row>
    <row r="26" spans="1:21" ht="18.75" hidden="1" x14ac:dyDescent="0.25">
      <c r="A26" s="789"/>
      <c r="B26" s="256"/>
      <c r="C26" s="256"/>
      <c r="D26" s="256"/>
      <c r="E26" s="265" t="s">
        <v>21</v>
      </c>
      <c r="F26" s="256"/>
      <c r="G26" s="259"/>
      <c r="H26" s="290" t="s">
        <v>14</v>
      </c>
      <c r="I26" s="261"/>
      <c r="J26" s="261"/>
      <c r="K26" s="85"/>
      <c r="L26" s="71">
        <f ca="1">L52+L67+L80+L102+L125+L147+L165+L194+L181+L274+L290+L311+L328+L341+L364+L383+L421+L501+L521+L542+L563+L584+L607+L624+L650+L698+L722+L736+L768</f>
        <v>0</v>
      </c>
      <c r="M26" s="72">
        <f ca="1">M52+M67+M80+M102+M125+M147+M165+M194+M181+M274+M290+M311+M328+M341+M364+M383+M421+M501+M521+M542+M563+M584+M607+M624+M650+M698+M722+M736+M768</f>
        <v>0</v>
      </c>
      <c r="N26" s="72">
        <f ca="1">N52+N67+N80+N102+N125+N147+N165+N194+N181+N274+N290+N311+N328+N341+N364+N383+N421+N501+N521+N542+N563+N584+N607+N624+N650+N698+N722+N736+N768</f>
        <v>0</v>
      </c>
      <c r="O26" s="72">
        <f t="shared" ca="1" si="0"/>
        <v>0</v>
      </c>
      <c r="P26" s="72">
        <f t="shared" ca="1" si="1"/>
        <v>0</v>
      </c>
      <c r="Q26" s="75">
        <f t="shared" ca="1" si="7"/>
        <v>0</v>
      </c>
      <c r="R26" s="75">
        <f t="shared" ca="1" si="7"/>
        <v>0</v>
      </c>
      <c r="S26" s="75">
        <f t="shared" ca="1" si="7"/>
        <v>0</v>
      </c>
      <c r="T26" s="72">
        <f t="shared" ca="1" si="2"/>
        <v>0</v>
      </c>
      <c r="U26" s="72">
        <f t="shared" ca="1" si="3"/>
        <v>0</v>
      </c>
    </row>
    <row r="27" spans="1:21" ht="18.75" hidden="1" x14ac:dyDescent="0.25">
      <c r="A27" s="789"/>
      <c r="B27" s="256"/>
      <c r="C27" s="256"/>
      <c r="D27" s="268" t="s">
        <v>24</v>
      </c>
      <c r="E27" s="256"/>
      <c r="F27" s="256"/>
      <c r="G27" s="259"/>
      <c r="H27" s="290" t="s">
        <v>14</v>
      </c>
      <c r="I27" s="261"/>
      <c r="J27" s="261"/>
      <c r="K27" s="85"/>
      <c r="L27" s="84"/>
      <c r="M27" s="85"/>
      <c r="N27" s="85"/>
      <c r="O27" s="85"/>
      <c r="P27" s="85"/>
      <c r="Q27" s="85"/>
      <c r="R27" s="85"/>
      <c r="S27" s="85"/>
      <c r="T27" s="85"/>
      <c r="U27" s="85"/>
    </row>
    <row r="28" spans="1:21" ht="18.75" hidden="1" x14ac:dyDescent="0.25">
      <c r="A28" s="789"/>
      <c r="B28" s="256"/>
      <c r="C28" s="256"/>
      <c r="D28" s="256"/>
      <c r="E28" s="263" t="s">
        <v>20</v>
      </c>
      <c r="F28" s="256"/>
      <c r="G28" s="259"/>
      <c r="H28" s="987" t="s">
        <v>14</v>
      </c>
      <c r="I28" s="261"/>
      <c r="J28" s="261"/>
      <c r="K28" s="85"/>
      <c r="L28" s="84"/>
      <c r="M28" s="85"/>
      <c r="N28" s="85"/>
      <c r="O28" s="85"/>
      <c r="P28" s="85"/>
      <c r="Q28" s="85"/>
      <c r="R28" s="85"/>
      <c r="S28" s="85"/>
      <c r="T28" s="85"/>
      <c r="U28" s="85"/>
    </row>
    <row r="29" spans="1:21" ht="18.75" hidden="1" x14ac:dyDescent="0.25">
      <c r="A29" s="788"/>
      <c r="B29" s="615"/>
      <c r="C29" s="615"/>
      <c r="D29" s="615"/>
      <c r="E29" s="986" t="s">
        <v>21</v>
      </c>
      <c r="F29" s="615"/>
      <c r="G29" s="616"/>
      <c r="H29" s="787" t="s">
        <v>14</v>
      </c>
      <c r="I29" s="610"/>
      <c r="J29" s="610"/>
      <c r="K29" s="96"/>
      <c r="L29" s="95"/>
      <c r="M29" s="96"/>
      <c r="N29" s="96"/>
      <c r="O29" s="96"/>
      <c r="P29" s="96"/>
      <c r="Q29" s="96"/>
      <c r="R29" s="96"/>
      <c r="S29" s="96"/>
      <c r="T29" s="96"/>
      <c r="U29" s="96"/>
    </row>
    <row r="30" spans="1:21" ht="12.75" hidden="1" x14ac:dyDescent="0.2">
      <c r="A30" s="1453"/>
      <c r="B30" s="1411"/>
      <c r="C30" s="1411"/>
      <c r="D30" s="1411"/>
      <c r="E30" s="1411"/>
      <c r="F30" s="1411"/>
      <c r="G30" s="1412"/>
      <c r="H30" s="904"/>
      <c r="I30" s="903"/>
      <c r="J30" s="903"/>
      <c r="K30" s="17"/>
      <c r="L30" s="16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036"/>
      <c r="B31" s="283"/>
      <c r="C31" s="283"/>
      <c r="D31" s="283"/>
      <c r="E31" s="283"/>
      <c r="F31" s="283"/>
      <c r="G31" s="284"/>
      <c r="H31" s="284"/>
      <c r="I31" s="285"/>
      <c r="J31" s="285"/>
      <c r="K31" s="28"/>
      <c r="L31" s="27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2.75" hidden="1" x14ac:dyDescent="0.2">
      <c r="A32" s="1036"/>
      <c r="B32" s="283"/>
      <c r="C32" s="283"/>
      <c r="D32" s="283"/>
      <c r="E32" s="283"/>
      <c r="F32" s="283"/>
      <c r="G32" s="284"/>
      <c r="H32" s="284"/>
      <c r="I32" s="285"/>
      <c r="J32" s="285"/>
      <c r="K32" s="28"/>
      <c r="L32" s="27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2.75" hidden="1" x14ac:dyDescent="0.2">
      <c r="A33" s="1036"/>
      <c r="B33" s="283"/>
      <c r="C33" s="283"/>
      <c r="D33" s="283"/>
      <c r="E33" s="283"/>
      <c r="F33" s="283"/>
      <c r="G33" s="284"/>
      <c r="H33" s="284"/>
      <c r="I33" s="285"/>
      <c r="J33" s="285"/>
      <c r="K33" s="28"/>
      <c r="L33" s="27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2.75" hidden="1" x14ac:dyDescent="0.2">
      <c r="A34" s="1036"/>
      <c r="B34" s="283"/>
      <c r="C34" s="283"/>
      <c r="D34" s="283"/>
      <c r="E34" s="283"/>
      <c r="F34" s="283"/>
      <c r="G34" s="284"/>
      <c r="H34" s="284"/>
      <c r="I34" s="285"/>
      <c r="J34" s="285"/>
      <c r="K34" s="28"/>
      <c r="L34" s="27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2.75" hidden="1" x14ac:dyDescent="0.2">
      <c r="A35" s="1036"/>
      <c r="B35" s="283"/>
      <c r="C35" s="283"/>
      <c r="D35" s="283"/>
      <c r="E35" s="283"/>
      <c r="F35" s="283"/>
      <c r="G35" s="284"/>
      <c r="H35" s="284"/>
      <c r="I35" s="285"/>
      <c r="J35" s="285"/>
      <c r="K35" s="28"/>
      <c r="L35" s="27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2.75" hidden="1" x14ac:dyDescent="0.2">
      <c r="A36" s="1036"/>
      <c r="B36" s="283"/>
      <c r="C36" s="283"/>
      <c r="D36" s="283"/>
      <c r="E36" s="283"/>
      <c r="F36" s="283"/>
      <c r="G36" s="284"/>
      <c r="H36" s="284"/>
      <c r="I36" s="285"/>
      <c r="J36" s="285"/>
      <c r="K36" s="28"/>
      <c r="L36" s="27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2.75" hidden="1" x14ac:dyDescent="0.2">
      <c r="A37" s="1036"/>
      <c r="B37" s="283"/>
      <c r="C37" s="283"/>
      <c r="D37" s="283"/>
      <c r="E37" s="283"/>
      <c r="F37" s="283"/>
      <c r="G37" s="284"/>
      <c r="H37" s="284"/>
      <c r="I37" s="285"/>
      <c r="J37" s="285"/>
      <c r="K37" s="28"/>
      <c r="L37" s="27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2.75" hidden="1" x14ac:dyDescent="0.2">
      <c r="A38" s="1036"/>
      <c r="B38" s="283"/>
      <c r="C38" s="283"/>
      <c r="D38" s="283"/>
      <c r="E38" s="283"/>
      <c r="F38" s="283"/>
      <c r="G38" s="284"/>
      <c r="H38" s="284"/>
      <c r="I38" s="285"/>
      <c r="J38" s="285"/>
      <c r="K38" s="28"/>
      <c r="L38" s="27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2.75" hidden="1" x14ac:dyDescent="0.2">
      <c r="A39" s="1056"/>
      <c r="B39" s="905"/>
      <c r="C39" s="905"/>
      <c r="D39" s="905"/>
      <c r="E39" s="905"/>
      <c r="F39" s="905"/>
      <c r="G39" s="904"/>
      <c r="H39" s="904"/>
      <c r="I39" s="903"/>
      <c r="J39" s="903"/>
      <c r="K39" s="17"/>
      <c r="L39" s="16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1055" t="s">
        <v>25</v>
      </c>
      <c r="B40" s="1054"/>
      <c r="C40" s="1054"/>
      <c r="D40" s="1054"/>
      <c r="E40" s="1054"/>
      <c r="F40" s="1054"/>
      <c r="G40" s="1053"/>
      <c r="H40" s="1053"/>
      <c r="I40" s="1052"/>
      <c r="J40" s="1052"/>
      <c r="K40" s="1049"/>
      <c r="L40" s="1051">
        <f ca="1">L44+L59+L72+L94+L125+L139+L157+L173+L186+L266+L282+L303+L320+L333+L356</f>
        <v>1839500</v>
      </c>
      <c r="M40" s="1050">
        <f ca="1">M44+M59+M72+M94+M125+M139+M157+M173+M186+M266+M282+M303+M320+M333+M356</f>
        <v>1867292.16</v>
      </c>
      <c r="N40" s="1050">
        <f ca="1">N44+N59+N72+N94+N125+N139+N157+N173+N186+N266+N282+N303+N320+N333+N356</f>
        <v>1246123.26</v>
      </c>
      <c r="O40" s="1050">
        <f ca="1">IF(L40&gt;0,N40*100/L40,0)</f>
        <v>67.742498505028536</v>
      </c>
      <c r="P40" s="1050">
        <f ca="1">IF(M40&gt;0,N40*100/M40,0)</f>
        <v>66.73424152329757</v>
      </c>
      <c r="Q40" s="1049"/>
      <c r="R40" s="1049"/>
      <c r="S40" s="1049"/>
      <c r="T40" s="1049"/>
      <c r="U40" s="1049"/>
    </row>
    <row r="41" spans="1:21" ht="19.5" x14ac:dyDescent="0.3">
      <c r="A41" s="1048" t="s">
        <v>26</v>
      </c>
      <c r="B41" s="1047"/>
      <c r="C41" s="1047"/>
      <c r="D41" s="1047"/>
      <c r="E41" s="1047"/>
      <c r="F41" s="1047"/>
      <c r="G41" s="1047"/>
      <c r="H41" s="1047"/>
      <c r="I41" s="1046"/>
      <c r="J41" s="1046"/>
      <c r="K41" s="1045"/>
      <c r="L41" s="1045"/>
      <c r="M41" s="1045"/>
      <c r="N41" s="1045"/>
      <c r="O41" s="1045"/>
      <c r="P41" s="1044"/>
      <c r="Q41" s="1045"/>
      <c r="R41" s="1045"/>
      <c r="S41" s="1045"/>
      <c r="T41" s="1045"/>
      <c r="U41" s="1044"/>
    </row>
    <row r="42" spans="1:21" ht="19.5" x14ac:dyDescent="0.3">
      <c r="A42" s="1043"/>
      <c r="B42" s="1042" t="s">
        <v>27</v>
      </c>
      <c r="C42" s="1041"/>
      <c r="D42" s="1041"/>
      <c r="E42" s="1041"/>
      <c r="F42" s="1041"/>
      <c r="G42" s="1040"/>
      <c r="H42" s="1040"/>
      <c r="I42" s="1039"/>
      <c r="J42" s="1039"/>
      <c r="K42" s="1037"/>
      <c r="L42" s="1038"/>
      <c r="M42" s="1037"/>
      <c r="N42" s="1037"/>
      <c r="O42" s="1037"/>
      <c r="P42" s="1037"/>
      <c r="Q42" s="1037"/>
      <c r="R42" s="1037"/>
      <c r="S42" s="1037"/>
      <c r="T42" s="1037"/>
      <c r="U42" s="1037"/>
    </row>
    <row r="43" spans="1:21" ht="12.75" hidden="1" x14ac:dyDescent="0.2">
      <c r="A43" s="1036"/>
      <c r="B43" s="283"/>
      <c r="C43" s="283"/>
      <c r="D43" s="283"/>
      <c r="E43" s="283"/>
      <c r="F43" s="283"/>
      <c r="G43" s="284"/>
      <c r="H43" s="284"/>
      <c r="I43" s="285"/>
      <c r="J43" s="285"/>
      <c r="K43" s="28"/>
      <c r="L43" s="27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9.5" x14ac:dyDescent="0.3">
      <c r="A44" s="1026"/>
      <c r="B44" s="1024"/>
      <c r="C44" s="1035" t="s">
        <v>18</v>
      </c>
      <c r="D44" s="1034" t="s">
        <v>19</v>
      </c>
      <c r="E44" s="1024"/>
      <c r="F44" s="1024"/>
      <c r="G44" s="1023"/>
      <c r="H44" s="1033" t="s">
        <v>14</v>
      </c>
      <c r="I44" s="1021"/>
      <c r="J44" s="1021"/>
      <c r="K44" s="1020"/>
      <c r="L44" s="1032">
        <f ca="1">L45+L46</f>
        <v>318000</v>
      </c>
      <c r="M44" s="1031">
        <f ca="1">M45+M46</f>
        <v>332572.15999999997</v>
      </c>
      <c r="N44" s="1031">
        <f ca="1">N45+N46</f>
        <v>255790.93</v>
      </c>
      <c r="O44" s="1031">
        <f t="shared" ref="O44:O52" ca="1" si="8">IF(L44&gt;0,N44*100/L44,0)</f>
        <v>80.437399371069176</v>
      </c>
      <c r="P44" s="1031">
        <f t="shared" ref="P44:P52" ca="1" si="9">IF(M44&gt;0,N44*100/M44,0)</f>
        <v>76.912911170917013</v>
      </c>
      <c r="Q44" s="1031">
        <f>Q45+Q46</f>
        <v>0</v>
      </c>
      <c r="R44" s="1031">
        <f>R45+R46</f>
        <v>0</v>
      </c>
      <c r="S44" s="1031">
        <f>S45+S46</f>
        <v>0</v>
      </c>
      <c r="T44" s="1031">
        <f t="shared" ref="T44:T52" si="10">IF(Q44&gt;0,S44*100/Q44,0)</f>
        <v>0</v>
      </c>
      <c r="U44" s="1031">
        <f t="shared" ref="U44:U52" si="11">IF(R44&gt;0,S44*100/R44,0)</f>
        <v>0</v>
      </c>
    </row>
    <row r="45" spans="1:21" ht="18.75" hidden="1" x14ac:dyDescent="0.25">
      <c r="A45" s="1026"/>
      <c r="B45" s="1024"/>
      <c r="C45" s="1024"/>
      <c r="D45" s="1024"/>
      <c r="E45" s="1030" t="s">
        <v>20</v>
      </c>
      <c r="F45" s="1024"/>
      <c r="G45" s="1023"/>
      <c r="H45" s="1029" t="s">
        <v>14</v>
      </c>
      <c r="I45" s="1021"/>
      <c r="J45" s="1021"/>
      <c r="K45" s="1020"/>
      <c r="L45" s="1028">
        <f t="shared" ref="L45:N46" si="12">L48+L51</f>
        <v>0</v>
      </c>
      <c r="M45" s="1027">
        <f t="shared" si="12"/>
        <v>0</v>
      </c>
      <c r="N45" s="1027">
        <f t="shared" si="12"/>
        <v>0</v>
      </c>
      <c r="O45" s="1027">
        <f t="shared" si="8"/>
        <v>0</v>
      </c>
      <c r="P45" s="1027">
        <f t="shared" si="9"/>
        <v>0</v>
      </c>
      <c r="Q45" s="1027">
        <f t="shared" ref="Q45:S46" si="13">Q48+Q51</f>
        <v>0</v>
      </c>
      <c r="R45" s="1027">
        <f t="shared" si="13"/>
        <v>0</v>
      </c>
      <c r="S45" s="1027">
        <f t="shared" si="13"/>
        <v>0</v>
      </c>
      <c r="T45" s="1027">
        <f t="shared" si="10"/>
        <v>0</v>
      </c>
      <c r="U45" s="1027">
        <f t="shared" si="11"/>
        <v>0</v>
      </c>
    </row>
    <row r="46" spans="1:21" ht="18.75" hidden="1" x14ac:dyDescent="0.25">
      <c r="A46" s="1026"/>
      <c r="B46" s="1024"/>
      <c r="C46" s="1024"/>
      <c r="D46" s="1024"/>
      <c r="E46" s="1025" t="s">
        <v>21</v>
      </c>
      <c r="F46" s="1024"/>
      <c r="G46" s="1023"/>
      <c r="H46" s="1022" t="s">
        <v>14</v>
      </c>
      <c r="I46" s="1021"/>
      <c r="J46" s="1021"/>
      <c r="K46" s="1020"/>
      <c r="L46" s="1019">
        <f t="shared" ca="1" si="12"/>
        <v>318000</v>
      </c>
      <c r="M46" s="1018">
        <f t="shared" ca="1" si="12"/>
        <v>332572.15999999997</v>
      </c>
      <c r="N46" s="1018">
        <f t="shared" ca="1" si="12"/>
        <v>255790.93</v>
      </c>
      <c r="O46" s="1018">
        <f t="shared" ca="1" si="8"/>
        <v>80.437399371069176</v>
      </c>
      <c r="P46" s="1018">
        <f t="shared" ca="1" si="9"/>
        <v>76.912911170917013</v>
      </c>
      <c r="Q46" s="1018">
        <f t="shared" si="13"/>
        <v>0</v>
      </c>
      <c r="R46" s="1018">
        <f t="shared" si="13"/>
        <v>0</v>
      </c>
      <c r="S46" s="1018">
        <f t="shared" si="13"/>
        <v>0</v>
      </c>
      <c r="T46" s="1018">
        <f t="shared" si="10"/>
        <v>0</v>
      </c>
      <c r="U46" s="1018">
        <f t="shared" si="11"/>
        <v>0</v>
      </c>
    </row>
    <row r="47" spans="1:21" ht="18.75" x14ac:dyDescent="0.25">
      <c r="A47" s="789"/>
      <c r="B47" s="256"/>
      <c r="C47" s="256"/>
      <c r="D47" s="268" t="s">
        <v>22</v>
      </c>
      <c r="E47" s="256"/>
      <c r="F47" s="256"/>
      <c r="G47" s="259"/>
      <c r="H47" s="290" t="s">
        <v>14</v>
      </c>
      <c r="I47" s="261"/>
      <c r="J47" s="261"/>
      <c r="K47" s="85"/>
      <c r="L47" s="71">
        <f ca="1">L48+L49</f>
        <v>318000</v>
      </c>
      <c r="M47" s="72">
        <f ca="1">M48+M49</f>
        <v>332572.15999999997</v>
      </c>
      <c r="N47" s="72">
        <f ca="1">N48+N49</f>
        <v>255790.93</v>
      </c>
      <c r="O47" s="72">
        <f t="shared" ca="1" si="8"/>
        <v>80.437399371069176</v>
      </c>
      <c r="P47" s="72">
        <f t="shared" ca="1" si="9"/>
        <v>76.912911170917013</v>
      </c>
      <c r="Q47" s="72">
        <f>Q48+Q49</f>
        <v>0</v>
      </c>
      <c r="R47" s="72">
        <f>R48+R49</f>
        <v>0</v>
      </c>
      <c r="S47" s="72">
        <f>S48+S49</f>
        <v>0</v>
      </c>
      <c r="T47" s="72">
        <f t="shared" si="10"/>
        <v>0</v>
      </c>
      <c r="U47" s="72">
        <f t="shared" si="11"/>
        <v>0</v>
      </c>
    </row>
    <row r="48" spans="1:21" ht="18.75" hidden="1" x14ac:dyDescent="0.25">
      <c r="A48" s="789"/>
      <c r="B48" s="256"/>
      <c r="C48" s="256"/>
      <c r="D48" s="256"/>
      <c r="E48" s="263" t="s">
        <v>20</v>
      </c>
      <c r="F48" s="256"/>
      <c r="G48" s="259"/>
      <c r="H48" s="987" t="s">
        <v>14</v>
      </c>
      <c r="I48" s="261"/>
      <c r="J48" s="261"/>
      <c r="K48" s="85"/>
      <c r="L48" s="74">
        <v>0</v>
      </c>
      <c r="M48" s="75">
        <v>0</v>
      </c>
      <c r="N48" s="75">
        <v>0</v>
      </c>
      <c r="O48" s="75">
        <f t="shared" si="8"/>
        <v>0</v>
      </c>
      <c r="P48" s="75">
        <f t="shared" si="9"/>
        <v>0</v>
      </c>
      <c r="Q48" s="75">
        <v>0</v>
      </c>
      <c r="R48" s="75">
        <v>0</v>
      </c>
      <c r="S48" s="75">
        <v>0</v>
      </c>
      <c r="T48" s="75">
        <f t="shared" si="10"/>
        <v>0</v>
      </c>
      <c r="U48" s="75">
        <f t="shared" si="11"/>
        <v>0</v>
      </c>
    </row>
    <row r="49" spans="1:21" ht="18.75" hidden="1" x14ac:dyDescent="0.25">
      <c r="A49" s="789"/>
      <c r="B49" s="256"/>
      <c r="C49" s="256"/>
      <c r="D49" s="256"/>
      <c r="E49" s="265" t="s">
        <v>21</v>
      </c>
      <c r="F49" s="256"/>
      <c r="G49" s="259"/>
      <c r="H49" s="290" t="s">
        <v>14</v>
      </c>
      <c r="I49" s="261"/>
      <c r="J49" s="261"/>
      <c r="K49" s="85"/>
      <c r="L49" s="71">
        <f ca="1">IFERROR(__xludf.DUMMYFUNCTION("IMPORTRANGE(""https://docs.google.com/spreadsheets/d/1-uDff_7J0KD5mKrp0Vvzr7lt3OU09vwQwhkpOPPYv2Y/edit?usp=sharing"",""งบพรบ!P60"")"),318000)</f>
        <v>318000</v>
      </c>
      <c r="M49" s="72">
        <f ca="1">IFERROR(__xludf.DUMMYFUNCTION("IMPORTRANGE(""https://docs.google.com/spreadsheets/d/1-uDff_7J0KD5mKrp0Vvzr7lt3OU09vwQwhkpOPPYv2Y/edit?usp=sharing"",""งบพรบ!V60"")"),332572.16)</f>
        <v>332572.15999999997</v>
      </c>
      <c r="N49" s="72">
        <f ca="1">IFERROR(__xludf.DUMMYFUNCTION("IMPORTRANGE(""https://docs.google.com/spreadsheets/d/1-uDff_7J0KD5mKrp0Vvzr7lt3OU09vwQwhkpOPPYv2Y/edit?usp=sharing"",""งบพรบ!Y60"")"),255790.93)</f>
        <v>255790.93</v>
      </c>
      <c r="O49" s="72">
        <f t="shared" ca="1" si="8"/>
        <v>80.437399371069176</v>
      </c>
      <c r="P49" s="72">
        <f t="shared" ca="1" si="9"/>
        <v>76.912911170917013</v>
      </c>
      <c r="Q49" s="72">
        <v>0</v>
      </c>
      <c r="R49" s="72">
        <v>0</v>
      </c>
      <c r="S49" s="72">
        <v>0</v>
      </c>
      <c r="T49" s="72">
        <f t="shared" si="10"/>
        <v>0</v>
      </c>
      <c r="U49" s="72">
        <f t="shared" si="11"/>
        <v>0</v>
      </c>
    </row>
    <row r="50" spans="1:21" ht="18.75" x14ac:dyDescent="0.25">
      <c r="A50" s="789"/>
      <c r="B50" s="256"/>
      <c r="C50" s="256"/>
      <c r="D50" s="268" t="s">
        <v>23</v>
      </c>
      <c r="E50" s="256"/>
      <c r="F50" s="256"/>
      <c r="G50" s="259"/>
      <c r="H50" s="290" t="s">
        <v>14</v>
      </c>
      <c r="I50" s="261"/>
      <c r="J50" s="261"/>
      <c r="K50" s="85"/>
      <c r="L50" s="71">
        <f ca="1">L51+L52</f>
        <v>0</v>
      </c>
      <c r="M50" s="72">
        <f ca="1">M51+M52</f>
        <v>0</v>
      </c>
      <c r="N50" s="72">
        <f ca="1">N51+N52</f>
        <v>0</v>
      </c>
      <c r="O50" s="72">
        <f t="shared" ca="1" si="8"/>
        <v>0</v>
      </c>
      <c r="P50" s="72">
        <f t="shared" ca="1" si="9"/>
        <v>0</v>
      </c>
      <c r="Q50" s="72">
        <f>Q51+Q52</f>
        <v>0</v>
      </c>
      <c r="R50" s="72">
        <f>R51+R52</f>
        <v>0</v>
      </c>
      <c r="S50" s="72">
        <f>S51+S52</f>
        <v>0</v>
      </c>
      <c r="T50" s="72">
        <f t="shared" si="10"/>
        <v>0</v>
      </c>
      <c r="U50" s="72">
        <f t="shared" si="11"/>
        <v>0</v>
      </c>
    </row>
    <row r="51" spans="1:21" ht="18.75" hidden="1" x14ac:dyDescent="0.25">
      <c r="A51" s="789"/>
      <c r="B51" s="256"/>
      <c r="C51" s="256"/>
      <c r="D51" s="256"/>
      <c r="E51" s="263" t="s">
        <v>20</v>
      </c>
      <c r="F51" s="256"/>
      <c r="G51" s="259"/>
      <c r="H51" s="987" t="s">
        <v>14</v>
      </c>
      <c r="I51" s="261"/>
      <c r="J51" s="261"/>
      <c r="K51" s="85"/>
      <c r="L51" s="74">
        <v>0</v>
      </c>
      <c r="M51" s="75">
        <v>0</v>
      </c>
      <c r="N51" s="75">
        <v>0</v>
      </c>
      <c r="O51" s="75">
        <f t="shared" si="8"/>
        <v>0</v>
      </c>
      <c r="P51" s="75">
        <f t="shared" si="9"/>
        <v>0</v>
      </c>
      <c r="Q51" s="75">
        <v>0</v>
      </c>
      <c r="R51" s="75">
        <v>0</v>
      </c>
      <c r="S51" s="75">
        <v>0</v>
      </c>
      <c r="T51" s="75">
        <f t="shared" si="10"/>
        <v>0</v>
      </c>
      <c r="U51" s="75">
        <f t="shared" si="11"/>
        <v>0</v>
      </c>
    </row>
    <row r="52" spans="1:21" ht="18.75" hidden="1" x14ac:dyDescent="0.25">
      <c r="A52" s="789"/>
      <c r="B52" s="256"/>
      <c r="C52" s="256"/>
      <c r="D52" s="256"/>
      <c r="E52" s="265" t="s">
        <v>21</v>
      </c>
      <c r="F52" s="256"/>
      <c r="G52" s="259"/>
      <c r="H52" s="290" t="s">
        <v>14</v>
      </c>
      <c r="I52" s="261"/>
      <c r="J52" s="261"/>
      <c r="K52" s="85"/>
      <c r="L52" s="71">
        <f ca="1">IFERROR(__xludf.DUMMYFUNCTION("IMPORTRANGE(""https://docs.google.com/spreadsheets/d/1-uDff_7J0KD5mKrp0Vvzr7lt3OU09vwQwhkpOPPYv2Y/edit?usp=sharing"",""งบพรบ!S60"")"),0)</f>
        <v>0</v>
      </c>
      <c r="M52" s="72">
        <f ca="1">IFERROR(__xludf.DUMMYFUNCTION("IMPORTRANGE(""https://docs.google.com/spreadsheets/d/1-uDff_7J0KD5mKrp0Vvzr7lt3OU09vwQwhkpOPPYv2Y/edit?usp=sharing"",""งบพรบ!W60"")"),0)</f>
        <v>0</v>
      </c>
      <c r="N52" s="72">
        <f ca="1">IFERROR(__xludf.DUMMYFUNCTION("IMPORTRANGE(""https://docs.google.com/spreadsheets/d/1-uDff_7J0KD5mKrp0Vvzr7lt3OU09vwQwhkpOPPYv2Y/edit?usp=sharing"",""งบพรบ!Z60"")"),0)</f>
        <v>0</v>
      </c>
      <c r="O52" s="72">
        <f t="shared" ca="1" si="8"/>
        <v>0</v>
      </c>
      <c r="P52" s="72">
        <f t="shared" ca="1" si="9"/>
        <v>0</v>
      </c>
      <c r="Q52" s="72">
        <v>0</v>
      </c>
      <c r="R52" s="72">
        <v>0</v>
      </c>
      <c r="S52" s="72">
        <v>0</v>
      </c>
      <c r="T52" s="72">
        <f t="shared" si="10"/>
        <v>0</v>
      </c>
      <c r="U52" s="72">
        <f t="shared" si="11"/>
        <v>0</v>
      </c>
    </row>
    <row r="53" spans="1:21" ht="18.75" hidden="1" x14ac:dyDescent="0.25">
      <c r="A53" s="789"/>
      <c r="B53" s="256"/>
      <c r="C53" s="256"/>
      <c r="D53" s="268" t="s">
        <v>24</v>
      </c>
      <c r="E53" s="256"/>
      <c r="F53" s="256"/>
      <c r="G53" s="259"/>
      <c r="H53" s="290" t="s">
        <v>14</v>
      </c>
      <c r="I53" s="261"/>
      <c r="J53" s="261"/>
      <c r="K53" s="85"/>
      <c r="L53" s="84"/>
      <c r="M53" s="85"/>
      <c r="N53" s="85"/>
      <c r="O53" s="85"/>
      <c r="P53" s="85"/>
      <c r="Q53" s="85"/>
      <c r="R53" s="85"/>
      <c r="S53" s="85"/>
      <c r="T53" s="85"/>
      <c r="U53" s="85"/>
    </row>
    <row r="54" spans="1:21" ht="18.75" hidden="1" x14ac:dyDescent="0.25">
      <c r="A54" s="789"/>
      <c r="B54" s="256"/>
      <c r="C54" s="256"/>
      <c r="D54" s="256"/>
      <c r="E54" s="263" t="s">
        <v>20</v>
      </c>
      <c r="F54" s="256"/>
      <c r="G54" s="259"/>
      <c r="H54" s="987" t="s">
        <v>14</v>
      </c>
      <c r="I54" s="261"/>
      <c r="J54" s="261"/>
      <c r="K54" s="85"/>
      <c r="L54" s="84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hidden="1" x14ac:dyDescent="0.25">
      <c r="A55" s="788"/>
      <c r="B55" s="615"/>
      <c r="C55" s="615"/>
      <c r="D55" s="615"/>
      <c r="E55" s="986" t="s">
        <v>21</v>
      </c>
      <c r="F55" s="615"/>
      <c r="G55" s="616"/>
      <c r="H55" s="787" t="s">
        <v>14</v>
      </c>
      <c r="I55" s="610"/>
      <c r="J55" s="610"/>
      <c r="K55" s="96"/>
      <c r="L55" s="95"/>
      <c r="M55" s="96"/>
      <c r="N55" s="96"/>
      <c r="O55" s="96"/>
      <c r="P55" s="96"/>
      <c r="Q55" s="96"/>
      <c r="R55" s="96"/>
      <c r="S55" s="96"/>
      <c r="T55" s="96"/>
      <c r="U55" s="96"/>
    </row>
    <row r="56" spans="1:21" ht="19.5" x14ac:dyDescent="0.3">
      <c r="A56" s="1454" t="s">
        <v>28</v>
      </c>
      <c r="B56" s="1411"/>
      <c r="C56" s="1411"/>
      <c r="D56" s="1411"/>
      <c r="E56" s="1411"/>
      <c r="F56" s="1411"/>
      <c r="G56" s="1412"/>
      <c r="H56" s="1017"/>
      <c r="I56" s="1016"/>
      <c r="J56" s="1016"/>
      <c r="K56" s="1015"/>
      <c r="L56" s="1015"/>
      <c r="M56" s="1015"/>
      <c r="N56" s="1015"/>
      <c r="O56" s="1015"/>
      <c r="P56" s="1014"/>
      <c r="Q56" s="1015"/>
      <c r="R56" s="1015"/>
      <c r="S56" s="1015"/>
      <c r="T56" s="1015"/>
      <c r="U56" s="1014"/>
    </row>
    <row r="57" spans="1:21" ht="19.5" x14ac:dyDescent="0.3">
      <c r="A57" s="1013"/>
      <c r="B57" s="1455" t="s">
        <v>29</v>
      </c>
      <c r="C57" s="1401"/>
      <c r="D57" s="1401"/>
      <c r="E57" s="1401"/>
      <c r="F57" s="1401"/>
      <c r="G57" s="1402"/>
      <c r="H57" s="1012"/>
      <c r="I57" s="1011"/>
      <c r="J57" s="1011"/>
      <c r="K57" s="145"/>
      <c r="L57" s="144"/>
      <c r="M57" s="145"/>
      <c r="N57" s="145"/>
      <c r="O57" s="145"/>
      <c r="P57" s="145"/>
      <c r="Q57" s="145"/>
      <c r="R57" s="145"/>
      <c r="S57" s="145"/>
      <c r="T57" s="145"/>
      <c r="U57" s="145"/>
    </row>
    <row r="58" spans="1:21" ht="19.5" x14ac:dyDescent="0.3">
      <c r="A58" s="1010"/>
      <c r="B58" s="1009" t="s">
        <v>30</v>
      </c>
      <c r="C58" s="1008"/>
      <c r="D58" s="1008"/>
      <c r="E58" s="1008"/>
      <c r="F58" s="1008"/>
      <c r="G58" s="1007"/>
      <c r="H58" s="1007"/>
      <c r="I58" s="1006"/>
      <c r="J58" s="1006"/>
      <c r="K58" s="153"/>
      <c r="L58" s="152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.5" x14ac:dyDescent="0.3">
      <c r="A59" s="996"/>
      <c r="B59" s="994"/>
      <c r="C59" s="1005" t="s">
        <v>18</v>
      </c>
      <c r="D59" s="1004" t="s">
        <v>19</v>
      </c>
      <c r="E59" s="994"/>
      <c r="F59" s="994"/>
      <c r="G59" s="993"/>
      <c r="H59" s="1003" t="s">
        <v>14</v>
      </c>
      <c r="I59" s="991"/>
      <c r="J59" s="991"/>
      <c r="K59" s="990"/>
      <c r="L59" s="1002">
        <f ca="1">L60+L61</f>
        <v>574800</v>
      </c>
      <c r="M59" s="1001">
        <f ca="1">M60+M61</f>
        <v>574800</v>
      </c>
      <c r="N59" s="1001">
        <f ca="1">N60+N61</f>
        <v>443089.81</v>
      </c>
      <c r="O59" s="1001">
        <f t="shared" ref="O59:O67" ca="1" si="14">IF(L59&gt;0,N59*100/L59,0)</f>
        <v>77.085909881697987</v>
      </c>
      <c r="P59" s="1001">
        <f t="shared" ref="P59:P67" ca="1" si="15">IF(M59&gt;0,N59*100/M59,0)</f>
        <v>77.085909881697987</v>
      </c>
      <c r="Q59" s="1001">
        <f>Q60+Q61</f>
        <v>0</v>
      </c>
      <c r="R59" s="1001">
        <f>R60+R61</f>
        <v>0</v>
      </c>
      <c r="S59" s="1001">
        <f>S60+S61</f>
        <v>0</v>
      </c>
      <c r="T59" s="1001">
        <f t="shared" ref="T59:T67" si="16">IF(Q59&gt;0,S59*100/Q59,0)</f>
        <v>0</v>
      </c>
      <c r="U59" s="1001">
        <f t="shared" ref="U59:U67" si="17">IF(R59&gt;0,S59*100/R59,0)</f>
        <v>0</v>
      </c>
    </row>
    <row r="60" spans="1:21" ht="18.75" hidden="1" x14ac:dyDescent="0.25">
      <c r="A60" s="996"/>
      <c r="B60" s="994"/>
      <c r="C60" s="994"/>
      <c r="D60" s="994"/>
      <c r="E60" s="1000" t="s">
        <v>20</v>
      </c>
      <c r="F60" s="994"/>
      <c r="G60" s="993"/>
      <c r="H60" s="999" t="s">
        <v>14</v>
      </c>
      <c r="I60" s="991"/>
      <c r="J60" s="991"/>
      <c r="K60" s="990"/>
      <c r="L60" s="998">
        <f t="shared" ref="L60:N61" si="18">L63+L66</f>
        <v>0</v>
      </c>
      <c r="M60" s="997">
        <f t="shared" si="18"/>
        <v>0</v>
      </c>
      <c r="N60" s="997">
        <f t="shared" si="18"/>
        <v>0</v>
      </c>
      <c r="O60" s="997">
        <f t="shared" si="14"/>
        <v>0</v>
      </c>
      <c r="P60" s="997">
        <f t="shared" si="15"/>
        <v>0</v>
      </c>
      <c r="Q60" s="997">
        <f t="shared" ref="Q60:S61" si="19">Q63+Q66</f>
        <v>0</v>
      </c>
      <c r="R60" s="997">
        <f t="shared" si="19"/>
        <v>0</v>
      </c>
      <c r="S60" s="997">
        <f t="shared" si="19"/>
        <v>0</v>
      </c>
      <c r="T60" s="997">
        <f t="shared" si="16"/>
        <v>0</v>
      </c>
      <c r="U60" s="997">
        <f t="shared" si="17"/>
        <v>0</v>
      </c>
    </row>
    <row r="61" spans="1:21" ht="18.75" hidden="1" x14ac:dyDescent="0.25">
      <c r="A61" s="996"/>
      <c r="B61" s="994"/>
      <c r="C61" s="994"/>
      <c r="D61" s="994"/>
      <c r="E61" s="995" t="s">
        <v>21</v>
      </c>
      <c r="F61" s="994"/>
      <c r="G61" s="993"/>
      <c r="H61" s="992" t="s">
        <v>14</v>
      </c>
      <c r="I61" s="991"/>
      <c r="J61" s="991"/>
      <c r="K61" s="990"/>
      <c r="L61" s="989">
        <f t="shared" ca="1" si="18"/>
        <v>574800</v>
      </c>
      <c r="M61" s="988">
        <f t="shared" ca="1" si="18"/>
        <v>574800</v>
      </c>
      <c r="N61" s="988">
        <f t="shared" ca="1" si="18"/>
        <v>443089.81</v>
      </c>
      <c r="O61" s="988">
        <f t="shared" ca="1" si="14"/>
        <v>77.085909881697987</v>
      </c>
      <c r="P61" s="988">
        <f t="shared" ca="1" si="15"/>
        <v>77.085909881697987</v>
      </c>
      <c r="Q61" s="988">
        <f t="shared" si="19"/>
        <v>0</v>
      </c>
      <c r="R61" s="988">
        <f t="shared" si="19"/>
        <v>0</v>
      </c>
      <c r="S61" s="988">
        <f t="shared" si="19"/>
        <v>0</v>
      </c>
      <c r="T61" s="988">
        <f t="shared" si="16"/>
        <v>0</v>
      </c>
      <c r="U61" s="988">
        <f t="shared" si="17"/>
        <v>0</v>
      </c>
    </row>
    <row r="62" spans="1:21" ht="18.75" x14ac:dyDescent="0.25">
      <c r="A62" s="529"/>
      <c r="B62" s="267"/>
      <c r="C62" s="267"/>
      <c r="D62" s="852" t="s">
        <v>22</v>
      </c>
      <c r="E62" s="256"/>
      <c r="F62" s="256"/>
      <c r="G62" s="259"/>
      <c r="H62" s="290" t="s">
        <v>14</v>
      </c>
      <c r="I62" s="261"/>
      <c r="J62" s="261"/>
      <c r="K62" s="85"/>
      <c r="L62" s="71">
        <f ca="1">L63+L64</f>
        <v>574800</v>
      </c>
      <c r="M62" s="72">
        <f ca="1">M63+M64</f>
        <v>574800</v>
      </c>
      <c r="N62" s="72">
        <f ca="1">N63+N64</f>
        <v>443089.81</v>
      </c>
      <c r="O62" s="72">
        <f t="shared" ca="1" si="14"/>
        <v>77.085909881697987</v>
      </c>
      <c r="P62" s="72">
        <f t="shared" ca="1" si="15"/>
        <v>77.085909881697987</v>
      </c>
      <c r="Q62" s="72">
        <f>Q63+Q64</f>
        <v>0</v>
      </c>
      <c r="R62" s="72">
        <f>R63+R64</f>
        <v>0</v>
      </c>
      <c r="S62" s="72">
        <f>S63+S64</f>
        <v>0</v>
      </c>
      <c r="T62" s="72">
        <f t="shared" si="16"/>
        <v>0</v>
      </c>
      <c r="U62" s="72">
        <f t="shared" si="17"/>
        <v>0</v>
      </c>
    </row>
    <row r="63" spans="1:21" ht="18.75" hidden="1" x14ac:dyDescent="0.25">
      <c r="A63" s="529"/>
      <c r="B63" s="256"/>
      <c r="C63" s="267"/>
      <c r="D63" s="256"/>
      <c r="E63" s="263" t="s">
        <v>20</v>
      </c>
      <c r="F63" s="256"/>
      <c r="G63" s="259"/>
      <c r="H63" s="987" t="s">
        <v>14</v>
      </c>
      <c r="I63" s="261"/>
      <c r="J63" s="261"/>
      <c r="K63" s="85"/>
      <c r="L63" s="74">
        <v>0</v>
      </c>
      <c r="M63" s="75">
        <v>0</v>
      </c>
      <c r="N63" s="75">
        <v>0</v>
      </c>
      <c r="O63" s="75">
        <f t="shared" si="14"/>
        <v>0</v>
      </c>
      <c r="P63" s="75">
        <f t="shared" si="15"/>
        <v>0</v>
      </c>
      <c r="Q63" s="75">
        <v>0</v>
      </c>
      <c r="R63" s="75">
        <v>0</v>
      </c>
      <c r="S63" s="75">
        <v>0</v>
      </c>
      <c r="T63" s="75">
        <f t="shared" si="16"/>
        <v>0</v>
      </c>
      <c r="U63" s="75">
        <f t="shared" si="17"/>
        <v>0</v>
      </c>
    </row>
    <row r="64" spans="1:21" ht="18.75" hidden="1" x14ac:dyDescent="0.25">
      <c r="A64" s="255"/>
      <c r="B64" s="256"/>
      <c r="C64" s="256"/>
      <c r="D64" s="267"/>
      <c r="E64" s="265" t="s">
        <v>21</v>
      </c>
      <c r="F64" s="256"/>
      <c r="G64" s="259"/>
      <c r="H64" s="290" t="s">
        <v>14</v>
      </c>
      <c r="I64" s="261"/>
      <c r="J64" s="261"/>
      <c r="K64" s="85"/>
      <c r="L64" s="71">
        <f ca="1">IFERROR(__xludf.DUMMYFUNCTION("IMPORTRANGE(""https://docs.google.com/spreadsheets/d/1-uDff_7J0KD5mKrp0Vvzr7lt3OU09vwQwhkpOPPYv2Y/edit?usp=sharing"",""งบพรบ!AC60"")"),574800)</f>
        <v>574800</v>
      </c>
      <c r="M64" s="72">
        <f ca="1">IFERROR(__xludf.DUMMYFUNCTION("IMPORTRANGE(""https://docs.google.com/spreadsheets/d/1-uDff_7J0KD5mKrp0Vvzr7lt3OU09vwQwhkpOPPYv2Y/edit?usp=sharing"",""งบพรบ!AH60"")"),574800)</f>
        <v>574800</v>
      </c>
      <c r="N64" s="72">
        <f ca="1">IFERROR(__xludf.DUMMYFUNCTION("IMPORTRANGE(""https://docs.google.com/spreadsheets/d/1-uDff_7J0KD5mKrp0Vvzr7lt3OU09vwQwhkpOPPYv2Y/edit?usp=sharing"",""งบพรบ!AJ60"")"),443089.81)</f>
        <v>443089.81</v>
      </c>
      <c r="O64" s="72">
        <f t="shared" ca="1" si="14"/>
        <v>77.085909881697987</v>
      </c>
      <c r="P64" s="72">
        <f t="shared" ca="1" si="15"/>
        <v>77.085909881697987</v>
      </c>
      <c r="Q64" s="72">
        <v>0</v>
      </c>
      <c r="R64" s="72">
        <v>0</v>
      </c>
      <c r="S64" s="72">
        <v>0</v>
      </c>
      <c r="T64" s="72">
        <f t="shared" si="16"/>
        <v>0</v>
      </c>
      <c r="U64" s="72">
        <f t="shared" si="17"/>
        <v>0</v>
      </c>
    </row>
    <row r="65" spans="1:21" ht="18.75" x14ac:dyDescent="0.25">
      <c r="A65" s="255"/>
      <c r="B65" s="256"/>
      <c r="C65" s="256"/>
      <c r="D65" s="852" t="s">
        <v>23</v>
      </c>
      <c r="E65" s="256"/>
      <c r="F65" s="256"/>
      <c r="G65" s="259"/>
      <c r="H65" s="290" t="s">
        <v>14</v>
      </c>
      <c r="I65" s="261"/>
      <c r="J65" s="261"/>
      <c r="K65" s="85"/>
      <c r="L65" s="71">
        <f ca="1">L66+L67</f>
        <v>0</v>
      </c>
      <c r="M65" s="72">
        <f ca="1">M66+M67</f>
        <v>0</v>
      </c>
      <c r="N65" s="72">
        <f ca="1">N66+N67</f>
        <v>0</v>
      </c>
      <c r="O65" s="72">
        <f t="shared" ca="1" si="14"/>
        <v>0</v>
      </c>
      <c r="P65" s="72">
        <f t="shared" ca="1" si="15"/>
        <v>0</v>
      </c>
      <c r="Q65" s="72">
        <f>Q66+Q67</f>
        <v>0</v>
      </c>
      <c r="R65" s="72">
        <f>R66+R67</f>
        <v>0</v>
      </c>
      <c r="S65" s="72">
        <f>S66+S67</f>
        <v>0</v>
      </c>
      <c r="T65" s="72">
        <f t="shared" si="16"/>
        <v>0</v>
      </c>
      <c r="U65" s="72">
        <f t="shared" si="17"/>
        <v>0</v>
      </c>
    </row>
    <row r="66" spans="1:21" ht="18.75" hidden="1" x14ac:dyDescent="0.25">
      <c r="A66" s="255"/>
      <c r="B66" s="256"/>
      <c r="C66" s="256"/>
      <c r="D66" s="256"/>
      <c r="E66" s="263" t="s">
        <v>20</v>
      </c>
      <c r="F66" s="256"/>
      <c r="G66" s="259"/>
      <c r="H66" s="264" t="s">
        <v>14</v>
      </c>
      <c r="I66" s="261"/>
      <c r="J66" s="261"/>
      <c r="K66" s="85"/>
      <c r="L66" s="74">
        <v>0</v>
      </c>
      <c r="M66" s="75">
        <v>0</v>
      </c>
      <c r="N66" s="75">
        <v>0</v>
      </c>
      <c r="O66" s="75">
        <f t="shared" si="14"/>
        <v>0</v>
      </c>
      <c r="P66" s="75">
        <f t="shared" si="15"/>
        <v>0</v>
      </c>
      <c r="Q66" s="75">
        <v>0</v>
      </c>
      <c r="R66" s="75">
        <v>0</v>
      </c>
      <c r="S66" s="75">
        <v>0</v>
      </c>
      <c r="T66" s="75">
        <f t="shared" si="16"/>
        <v>0</v>
      </c>
      <c r="U66" s="75">
        <f t="shared" si="17"/>
        <v>0</v>
      </c>
    </row>
    <row r="67" spans="1:21" ht="18.75" hidden="1" x14ac:dyDescent="0.25">
      <c r="A67" s="976"/>
      <c r="B67" s="615"/>
      <c r="C67" s="615"/>
      <c r="D67" s="615"/>
      <c r="E67" s="986" t="s">
        <v>21</v>
      </c>
      <c r="F67" s="615"/>
      <c r="G67" s="616"/>
      <c r="H67" s="609" t="s">
        <v>14</v>
      </c>
      <c r="I67" s="610"/>
      <c r="J67" s="610"/>
      <c r="K67" s="96"/>
      <c r="L67" s="180">
        <f ca="1">IFERROR(__xludf.DUMMYFUNCTION("IMPORTRANGE(""https://docs.google.com/spreadsheets/d/1-uDff_7J0KD5mKrp0Vvzr7lt3OU09vwQwhkpOPPYv2Y/edit?usp=sharing"",""งบพรบ!AF60"")"),0)</f>
        <v>0</v>
      </c>
      <c r="M67" s="181">
        <f ca="1">IFERROR(__xludf.DUMMYFUNCTION("IMPORTRANGE(""https://docs.google.com/spreadsheets/d/1-uDff_7J0KD5mKrp0Vvzr7lt3OU09vwQwhkpOPPYv2Y/edit?usp=sharing"",""งบพรบ!AI60"")"),0)</f>
        <v>0</v>
      </c>
      <c r="N67" s="181">
        <f ca="1">IFERROR(__xludf.DUMMYFUNCTION("IMPORTRANGE(""https://docs.google.com/spreadsheets/d/1-uDff_7J0KD5mKrp0Vvzr7lt3OU09vwQwhkpOPPYv2Y/edit?usp=sharing"",""งบพรบ!AK60"")"),0)</f>
        <v>0</v>
      </c>
      <c r="O67" s="181">
        <f t="shared" ca="1" si="14"/>
        <v>0</v>
      </c>
      <c r="P67" s="181">
        <f t="shared" ca="1" si="15"/>
        <v>0</v>
      </c>
      <c r="Q67" s="181">
        <v>0</v>
      </c>
      <c r="R67" s="181">
        <v>0</v>
      </c>
      <c r="S67" s="181">
        <v>0</v>
      </c>
      <c r="T67" s="181">
        <f t="shared" si="16"/>
        <v>0</v>
      </c>
      <c r="U67" s="181">
        <f t="shared" si="17"/>
        <v>0</v>
      </c>
    </row>
    <row r="68" spans="1:21" ht="19.5" x14ac:dyDescent="0.3">
      <c r="A68" s="985" t="s">
        <v>31</v>
      </c>
      <c r="B68" s="984"/>
      <c r="C68" s="984"/>
      <c r="D68" s="984"/>
      <c r="E68" s="983"/>
      <c r="F68" s="983"/>
      <c r="G68" s="983"/>
      <c r="H68" s="984"/>
      <c r="I68" s="982"/>
      <c r="J68" s="982"/>
      <c r="K68" s="190"/>
      <c r="L68" s="190"/>
      <c r="M68" s="190"/>
      <c r="N68" s="190"/>
      <c r="O68" s="190"/>
      <c r="P68" s="191"/>
      <c r="Q68" s="190"/>
      <c r="R68" s="190"/>
      <c r="S68" s="190"/>
      <c r="T68" s="190"/>
      <c r="U68" s="191"/>
    </row>
    <row r="69" spans="1:21" ht="19.5" hidden="1" x14ac:dyDescent="0.3">
      <c r="A69" s="977" t="s">
        <v>32</v>
      </c>
      <c r="B69" s="824"/>
      <c r="C69" s="823"/>
      <c r="D69" s="824"/>
      <c r="E69" s="824"/>
      <c r="F69" s="824"/>
      <c r="G69" s="981"/>
      <c r="H69" s="1315"/>
      <c r="I69" s="980"/>
      <c r="J69" s="980"/>
      <c r="K69" s="199"/>
      <c r="L69" s="198"/>
      <c r="M69" s="199"/>
      <c r="N69" s="199"/>
      <c r="O69" s="199"/>
      <c r="P69" s="199"/>
      <c r="Q69" s="199"/>
      <c r="R69" s="199"/>
      <c r="S69" s="199"/>
      <c r="T69" s="199"/>
      <c r="U69" s="199"/>
    </row>
    <row r="70" spans="1:21" ht="19.5" hidden="1" x14ac:dyDescent="0.3">
      <c r="A70" s="248"/>
      <c r="B70" s="249" t="s">
        <v>33</v>
      </c>
      <c r="C70" s="250"/>
      <c r="D70" s="251"/>
      <c r="E70" s="250"/>
      <c r="F70" s="250"/>
      <c r="G70" s="252"/>
      <c r="H70" s="253" t="s">
        <v>34</v>
      </c>
      <c r="I70" s="254">
        <f ca="1">I82</f>
        <v>0</v>
      </c>
      <c r="J70" s="254">
        <f>J82</f>
        <v>0</v>
      </c>
      <c r="K70" s="57">
        <f ca="1">IF(I70&gt;0,J70*100/I70,0)</f>
        <v>0</v>
      </c>
      <c r="L70" s="205"/>
      <c r="M70" s="206"/>
      <c r="N70" s="206"/>
      <c r="O70" s="206"/>
      <c r="P70" s="206"/>
      <c r="Q70" s="206"/>
      <c r="R70" s="206"/>
      <c r="S70" s="206"/>
      <c r="T70" s="206"/>
      <c r="U70" s="206"/>
    </row>
    <row r="71" spans="1:21" ht="19.5" hidden="1" x14ac:dyDescent="0.3">
      <c r="A71" s="248"/>
      <c r="B71" s="250"/>
      <c r="C71" s="250"/>
      <c r="D71" s="251"/>
      <c r="E71" s="250"/>
      <c r="F71" s="250"/>
      <c r="G71" s="252"/>
      <c r="H71" s="253" t="s">
        <v>35</v>
      </c>
      <c r="I71" s="254">
        <f ca="1">I83</f>
        <v>0</v>
      </c>
      <c r="J71" s="254">
        <f>J83</f>
        <v>0</v>
      </c>
      <c r="K71" s="57">
        <f ca="1">IF(I71&gt;0,J71*100/I71,0)</f>
        <v>0</v>
      </c>
      <c r="L71" s="205"/>
      <c r="M71" s="206"/>
      <c r="N71" s="206"/>
      <c r="O71" s="206"/>
      <c r="P71" s="206"/>
      <c r="Q71" s="206"/>
      <c r="R71" s="206"/>
      <c r="S71" s="206"/>
      <c r="T71" s="206"/>
      <c r="U71" s="206"/>
    </row>
    <row r="72" spans="1:21" ht="19.5" hidden="1" x14ac:dyDescent="0.3">
      <c r="A72" s="255"/>
      <c r="B72" s="256"/>
      <c r="C72" s="257" t="s">
        <v>18</v>
      </c>
      <c r="D72" s="258" t="s">
        <v>19</v>
      </c>
      <c r="E72" s="256"/>
      <c r="F72" s="256"/>
      <c r="G72" s="259"/>
      <c r="H72" s="260" t="s">
        <v>14</v>
      </c>
      <c r="I72" s="261"/>
      <c r="J72" s="261"/>
      <c r="K72" s="85"/>
      <c r="L72" s="389">
        <f ca="1">L73+L74</f>
        <v>0</v>
      </c>
      <c r="M72" s="262">
        <f ca="1">M73+M74</f>
        <v>0</v>
      </c>
      <c r="N72" s="262">
        <f ca="1">N73+N74</f>
        <v>0</v>
      </c>
      <c r="O72" s="262">
        <f t="shared" ref="O72:O80" ca="1" si="20">IF(L72&gt;0,N72*100/L72,0)</f>
        <v>0</v>
      </c>
      <c r="P72" s="262">
        <f t="shared" ref="P72:P80" ca="1" si="21">IF(M72&gt;0,N72*100/M72,0)</f>
        <v>0</v>
      </c>
      <c r="Q72" s="262">
        <f ca="1">Q73+Q74</f>
        <v>0</v>
      </c>
      <c r="R72" s="262">
        <f ca="1">R73+R74</f>
        <v>0</v>
      </c>
      <c r="S72" s="262">
        <f ca="1">S73+S74</f>
        <v>0</v>
      </c>
      <c r="T72" s="262">
        <f t="shared" ref="T72:T80" ca="1" si="22">IF(Q72&gt;0,S72*100/Q72,0)</f>
        <v>0</v>
      </c>
      <c r="U72" s="262">
        <f t="shared" ref="U72:U80" ca="1" si="23">IF(R72&gt;0,S72*100/R72,0)</f>
        <v>0</v>
      </c>
    </row>
    <row r="73" spans="1:21" ht="18.75" hidden="1" x14ac:dyDescent="0.25">
      <c r="A73" s="255"/>
      <c r="B73" s="256"/>
      <c r="C73" s="256"/>
      <c r="D73" s="256"/>
      <c r="E73" s="263" t="s">
        <v>20</v>
      </c>
      <c r="F73" s="256"/>
      <c r="G73" s="259"/>
      <c r="H73" s="264" t="s">
        <v>14</v>
      </c>
      <c r="I73" s="261"/>
      <c r="J73" s="261"/>
      <c r="K73" s="85"/>
      <c r="L73" s="74">
        <f t="shared" ref="L73:N74" si="24">L76+L79</f>
        <v>0</v>
      </c>
      <c r="M73" s="75">
        <f t="shared" si="24"/>
        <v>0</v>
      </c>
      <c r="N73" s="75">
        <f t="shared" si="24"/>
        <v>0</v>
      </c>
      <c r="O73" s="75">
        <f t="shared" si="20"/>
        <v>0</v>
      </c>
      <c r="P73" s="75">
        <f t="shared" si="21"/>
        <v>0</v>
      </c>
      <c r="Q73" s="75">
        <f t="shared" ref="Q73:S74" si="25">Q76+Q79</f>
        <v>0</v>
      </c>
      <c r="R73" s="75">
        <f t="shared" si="25"/>
        <v>0</v>
      </c>
      <c r="S73" s="75">
        <f t="shared" si="25"/>
        <v>0</v>
      </c>
      <c r="T73" s="75">
        <f t="shared" si="22"/>
        <v>0</v>
      </c>
      <c r="U73" s="75">
        <f t="shared" si="23"/>
        <v>0</v>
      </c>
    </row>
    <row r="74" spans="1:21" ht="18.75" hidden="1" x14ac:dyDescent="0.25">
      <c r="A74" s="255"/>
      <c r="B74" s="256"/>
      <c r="C74" s="256"/>
      <c r="D74" s="256"/>
      <c r="E74" s="265" t="s">
        <v>21</v>
      </c>
      <c r="F74" s="256"/>
      <c r="G74" s="259"/>
      <c r="H74" s="266" t="s">
        <v>14</v>
      </c>
      <c r="I74" s="261"/>
      <c r="J74" s="261"/>
      <c r="K74" s="85"/>
      <c r="L74" s="71">
        <f t="shared" ca="1" si="24"/>
        <v>0</v>
      </c>
      <c r="M74" s="72">
        <f t="shared" ca="1" si="24"/>
        <v>0</v>
      </c>
      <c r="N74" s="72">
        <f t="shared" ca="1" si="24"/>
        <v>0</v>
      </c>
      <c r="O74" s="72">
        <f t="shared" ca="1" si="20"/>
        <v>0</v>
      </c>
      <c r="P74" s="72">
        <f t="shared" ca="1" si="21"/>
        <v>0</v>
      </c>
      <c r="Q74" s="72">
        <f t="shared" ca="1" si="25"/>
        <v>0</v>
      </c>
      <c r="R74" s="72">
        <f t="shared" ca="1" si="25"/>
        <v>0</v>
      </c>
      <c r="S74" s="72">
        <f t="shared" ca="1" si="25"/>
        <v>0</v>
      </c>
      <c r="T74" s="72">
        <f t="shared" ca="1" si="22"/>
        <v>0</v>
      </c>
      <c r="U74" s="72">
        <f t="shared" ca="1" si="23"/>
        <v>0</v>
      </c>
    </row>
    <row r="75" spans="1:21" ht="18.75" hidden="1" x14ac:dyDescent="0.25">
      <c r="A75" s="255"/>
      <c r="B75" s="267"/>
      <c r="C75" s="256"/>
      <c r="D75" s="268" t="s">
        <v>22</v>
      </c>
      <c r="E75" s="256"/>
      <c r="F75" s="256"/>
      <c r="G75" s="259"/>
      <c r="H75" s="269" t="s">
        <v>14</v>
      </c>
      <c r="I75" s="270"/>
      <c r="J75" s="270"/>
      <c r="K75" s="227"/>
      <c r="L75" s="71">
        <f ca="1">L76+L77</f>
        <v>0</v>
      </c>
      <c r="M75" s="72">
        <f ca="1">M76+M77</f>
        <v>0</v>
      </c>
      <c r="N75" s="72">
        <f ca="1">N76+N77</f>
        <v>0</v>
      </c>
      <c r="O75" s="72">
        <f t="shared" ca="1" si="20"/>
        <v>0</v>
      </c>
      <c r="P75" s="72">
        <f t="shared" ca="1" si="21"/>
        <v>0</v>
      </c>
      <c r="Q75" s="72">
        <f ca="1">Q76+Q77</f>
        <v>0</v>
      </c>
      <c r="R75" s="72">
        <f ca="1">R76+R77</f>
        <v>0</v>
      </c>
      <c r="S75" s="72">
        <f ca="1">S76+S77</f>
        <v>0</v>
      </c>
      <c r="T75" s="72">
        <f t="shared" ca="1" si="22"/>
        <v>0</v>
      </c>
      <c r="U75" s="72">
        <f t="shared" ca="1" si="23"/>
        <v>0</v>
      </c>
    </row>
    <row r="76" spans="1:21" ht="18.75" hidden="1" x14ac:dyDescent="0.25">
      <c r="A76" s="255"/>
      <c r="B76" s="267"/>
      <c r="C76" s="267"/>
      <c r="D76" s="256"/>
      <c r="E76" s="263" t="s">
        <v>36</v>
      </c>
      <c r="F76" s="256"/>
      <c r="G76" s="259"/>
      <c r="H76" s="271" t="s">
        <v>14</v>
      </c>
      <c r="I76" s="270"/>
      <c r="J76" s="270"/>
      <c r="K76" s="227"/>
      <c r="L76" s="74">
        <v>0</v>
      </c>
      <c r="M76" s="75">
        <v>0</v>
      </c>
      <c r="N76" s="75">
        <v>0</v>
      </c>
      <c r="O76" s="75">
        <f t="shared" si="20"/>
        <v>0</v>
      </c>
      <c r="P76" s="75">
        <f t="shared" si="21"/>
        <v>0</v>
      </c>
      <c r="Q76" s="75">
        <v>0</v>
      </c>
      <c r="R76" s="75">
        <v>0</v>
      </c>
      <c r="S76" s="75">
        <v>0</v>
      </c>
      <c r="T76" s="75">
        <f t="shared" si="22"/>
        <v>0</v>
      </c>
      <c r="U76" s="75">
        <f t="shared" si="23"/>
        <v>0</v>
      </c>
    </row>
    <row r="77" spans="1:21" ht="18.75" hidden="1" x14ac:dyDescent="0.25">
      <c r="A77" s="255"/>
      <c r="B77" s="267"/>
      <c r="C77" s="267"/>
      <c r="D77" s="267"/>
      <c r="E77" s="265" t="s">
        <v>37</v>
      </c>
      <c r="F77" s="256"/>
      <c r="G77" s="259"/>
      <c r="H77" s="269" t="s">
        <v>14</v>
      </c>
      <c r="I77" s="270"/>
      <c r="J77" s="270"/>
      <c r="K77" s="227"/>
      <c r="L77" s="71">
        <f ca="1">IFERROR(__xludf.DUMMYFUNCTION("IMPORTRANGE(""https://docs.google.com/spreadsheets/d/1-uDff_7J0KD5mKrp0Vvzr7lt3OU09vwQwhkpOPPYv2Y/edit?usp=sharing"",""งบพรบ!AM60"")"),0)</f>
        <v>0</v>
      </c>
      <c r="M77" s="72">
        <f ca="1">IFERROR(__xludf.DUMMYFUNCTION("IMPORTRANGE(""https://docs.google.com/spreadsheets/d/1-uDff_7J0KD5mKrp0Vvzr7lt3OU09vwQwhkpOPPYv2Y/edit?usp=sharing"",""งบพรบ!AR60"")"),0)</f>
        <v>0</v>
      </c>
      <c r="N77" s="72">
        <f ca="1">IFERROR(__xludf.DUMMYFUNCTION("IMPORTRANGE(""https://docs.google.com/spreadsheets/d/1-uDff_7J0KD5mKrp0Vvzr7lt3OU09vwQwhkpOPPYv2Y/edit?usp=sharing"",""งบพรบ!AT60"")"),0)</f>
        <v>0</v>
      </c>
      <c r="O77" s="72">
        <f t="shared" ca="1" si="20"/>
        <v>0</v>
      </c>
      <c r="P77" s="72">
        <f t="shared" ca="1" si="21"/>
        <v>0</v>
      </c>
      <c r="Q77" s="72">
        <f ca="1">IFERROR(__xludf.DUMMYFUNCTION("IMPORTRANGE(""https://docs.google.com/spreadsheets/d/1ItG2mGa2ceCfYo0BwxsXqNm01IGEUdYcSSLTEv9YCik/edit?usp=sharing"",""เบิกจ่ายกองทุน!BH60"")"),0)</f>
        <v>0</v>
      </c>
      <c r="R77" s="72">
        <f ca="1">IFERROR(__xludf.DUMMYFUNCTION("IMPORTRANGE(""https://docs.google.com/spreadsheets/d/1ItG2mGa2ceCfYo0BwxsXqNm01IGEUdYcSSLTEv9YCik/edit?usp=sharing"",""เบิกจ่ายกองทุน!BI60"")"),0)</f>
        <v>0</v>
      </c>
      <c r="S77" s="72">
        <f ca="1">IFERROR(__xludf.DUMMYFUNCTION("IMPORTRANGE(""https://docs.google.com/spreadsheets/d/1ItG2mGa2ceCfYo0BwxsXqNm01IGEUdYcSSLTEv9YCik/edit?usp=sharing"",""เบิกจ่ายกองทุน!BJ60"")"),0)</f>
        <v>0</v>
      </c>
      <c r="T77" s="72">
        <f t="shared" ca="1" si="22"/>
        <v>0</v>
      </c>
      <c r="U77" s="72">
        <f t="shared" ca="1" si="23"/>
        <v>0</v>
      </c>
    </row>
    <row r="78" spans="1:21" ht="18.75" hidden="1" x14ac:dyDescent="0.25">
      <c r="A78" s="255"/>
      <c r="B78" s="267"/>
      <c r="C78" s="267"/>
      <c r="D78" s="852" t="s">
        <v>23</v>
      </c>
      <c r="E78" s="256"/>
      <c r="F78" s="256"/>
      <c r="G78" s="259"/>
      <c r="H78" s="273" t="s">
        <v>14</v>
      </c>
      <c r="I78" s="270"/>
      <c r="J78" s="270"/>
      <c r="K78" s="227"/>
      <c r="L78" s="71">
        <f ca="1">L79+L80</f>
        <v>0</v>
      </c>
      <c r="M78" s="72">
        <f ca="1">M79+M80</f>
        <v>0</v>
      </c>
      <c r="N78" s="72">
        <f ca="1">N79+N80</f>
        <v>0</v>
      </c>
      <c r="O78" s="72">
        <f t="shared" ca="1" si="20"/>
        <v>0</v>
      </c>
      <c r="P78" s="72">
        <f t="shared" ca="1" si="21"/>
        <v>0</v>
      </c>
      <c r="Q78" s="72">
        <f ca="1">Q79+Q80</f>
        <v>0</v>
      </c>
      <c r="R78" s="72">
        <f ca="1">R79+R80</f>
        <v>0</v>
      </c>
      <c r="S78" s="72">
        <f ca="1">S79+S80</f>
        <v>0</v>
      </c>
      <c r="T78" s="72">
        <f t="shared" ca="1" si="22"/>
        <v>0</v>
      </c>
      <c r="U78" s="72">
        <f t="shared" ca="1" si="23"/>
        <v>0</v>
      </c>
    </row>
    <row r="79" spans="1:21" ht="18.75" hidden="1" x14ac:dyDescent="0.25">
      <c r="A79" s="255"/>
      <c r="B79" s="267"/>
      <c r="C79" s="267"/>
      <c r="D79" s="267"/>
      <c r="E79" s="263" t="s">
        <v>20</v>
      </c>
      <c r="F79" s="256"/>
      <c r="G79" s="259"/>
      <c r="H79" s="271" t="s">
        <v>14</v>
      </c>
      <c r="I79" s="270"/>
      <c r="J79" s="270"/>
      <c r="K79" s="227"/>
      <c r="L79" s="74">
        <v>0</v>
      </c>
      <c r="M79" s="72">
        <v>0</v>
      </c>
      <c r="N79" s="72">
        <v>0</v>
      </c>
      <c r="O79" s="75">
        <f t="shared" si="20"/>
        <v>0</v>
      </c>
      <c r="P79" s="75">
        <f t="shared" si="21"/>
        <v>0</v>
      </c>
      <c r="Q79" s="75">
        <v>0</v>
      </c>
      <c r="R79" s="72">
        <v>0</v>
      </c>
      <c r="S79" s="72">
        <v>0</v>
      </c>
      <c r="T79" s="75">
        <f t="shared" si="22"/>
        <v>0</v>
      </c>
      <c r="U79" s="75">
        <f t="shared" si="23"/>
        <v>0</v>
      </c>
    </row>
    <row r="80" spans="1:21" ht="18.75" hidden="1" x14ac:dyDescent="0.25">
      <c r="A80" s="255"/>
      <c r="B80" s="267"/>
      <c r="C80" s="267"/>
      <c r="D80" s="267"/>
      <c r="E80" s="265" t="s">
        <v>21</v>
      </c>
      <c r="F80" s="256"/>
      <c r="G80" s="259"/>
      <c r="H80" s="273" t="s">
        <v>14</v>
      </c>
      <c r="I80" s="270"/>
      <c r="J80" s="270"/>
      <c r="K80" s="227"/>
      <c r="L80" s="71">
        <f ca="1">IFERROR(__xludf.DUMMYFUNCTION("IMPORTRANGE(""https://docs.google.com/spreadsheets/d/1-uDff_7J0KD5mKrp0Vvzr7lt3OU09vwQwhkpOPPYv2Y/edit?usp=sharing"",""งบพรบ!AP60"")"),0)</f>
        <v>0</v>
      </c>
      <c r="M80" s="72">
        <f ca="1">IFERROR(__xludf.DUMMYFUNCTION("IMPORTRANGE(""https://docs.google.com/spreadsheets/d/1-uDff_7J0KD5mKrp0Vvzr7lt3OU09vwQwhkpOPPYv2Y/edit?usp=sharing"",""งบพรบ!AS60"")"),0)</f>
        <v>0</v>
      </c>
      <c r="N80" s="72">
        <f ca="1">IFERROR(__xludf.DUMMYFUNCTION("IMPORTRANGE(""https://docs.google.com/spreadsheets/d/1-uDff_7J0KD5mKrp0Vvzr7lt3OU09vwQwhkpOPPYv2Y/edit?usp=sharing"",""งบพรบ!AU60"")"),0)</f>
        <v>0</v>
      </c>
      <c r="O80" s="72">
        <f t="shared" ca="1" si="20"/>
        <v>0</v>
      </c>
      <c r="P80" s="72">
        <f t="shared" ca="1" si="21"/>
        <v>0</v>
      </c>
      <c r="Q80" s="72">
        <f ca="1">IFERROR(__xludf.DUMMYFUNCTION("IMPORTRANGE(""https://docs.google.com/spreadsheets/d/1ItG2mGa2ceCfYo0BwxsXqNm01IGEUdYcSSLTEv9YCik/edit?usp=sharing"",""เบิกจ่ายกองทุน!BK60"")"),0)</f>
        <v>0</v>
      </c>
      <c r="R80" s="72">
        <f ca="1">IFERROR(__xludf.DUMMYFUNCTION("IMPORTRANGE(""https://docs.google.com/spreadsheets/d/1ItG2mGa2ceCfYo0BwxsXqNm01IGEUdYcSSLTEv9YCik/edit?usp=sharing"",""เบิกจ่ายกองทุน!BL60"")"),0)</f>
        <v>0</v>
      </c>
      <c r="S80" s="72">
        <f ca="1">IFERROR(__xludf.DUMMYFUNCTION("IMPORTRANGE(""https://docs.google.com/spreadsheets/d/1ItG2mGa2ceCfYo0BwxsXqNm01IGEUdYcSSLTEv9YCik/edit?usp=sharing"",""เบิกจ่ายกองทุน!BM60"")"),0)</f>
        <v>0</v>
      </c>
      <c r="T80" s="72">
        <f t="shared" ca="1" si="22"/>
        <v>0</v>
      </c>
      <c r="U80" s="72">
        <f t="shared" ca="1" si="23"/>
        <v>0</v>
      </c>
    </row>
    <row r="81" spans="1:21" ht="19.5" hidden="1" x14ac:dyDescent="0.3">
      <c r="A81" s="274"/>
      <c r="B81" s="275"/>
      <c r="C81" s="276" t="s">
        <v>18</v>
      </c>
      <c r="D81" s="797" t="s">
        <v>38</v>
      </c>
      <c r="E81" s="278"/>
      <c r="F81" s="278"/>
      <c r="G81" s="279"/>
      <c r="H81" s="280"/>
      <c r="I81" s="270"/>
      <c r="J81" s="270"/>
      <c r="K81" s="227"/>
      <c r="L81" s="226"/>
      <c r="M81" s="227"/>
      <c r="N81" s="227"/>
      <c r="O81" s="227"/>
      <c r="P81" s="227"/>
      <c r="Q81" s="227"/>
      <c r="R81" s="227"/>
      <c r="S81" s="227"/>
      <c r="T81" s="227"/>
      <c r="U81" s="227"/>
    </row>
    <row r="82" spans="1:21" ht="19.5" hidden="1" x14ac:dyDescent="0.3">
      <c r="A82" s="274"/>
      <c r="B82" s="275"/>
      <c r="C82" s="275"/>
      <c r="D82" s="954" t="s">
        <v>39</v>
      </c>
      <c r="E82" s="288"/>
      <c r="F82" s="288"/>
      <c r="G82" s="280"/>
      <c r="H82" s="909" t="s">
        <v>34</v>
      </c>
      <c r="I82" s="601">
        <f ca="1">I84+I86+I88</f>
        <v>0</v>
      </c>
      <c r="J82" s="601">
        <f>J84+J86+J88</f>
        <v>0</v>
      </c>
      <c r="K82" s="908">
        <f t="shared" ref="K82:K90" ca="1" si="26">IF(I82&gt;0,J82*100/I82,0)</f>
        <v>0</v>
      </c>
      <c r="L82" s="226"/>
      <c r="M82" s="227"/>
      <c r="N82" s="227"/>
      <c r="O82" s="227"/>
      <c r="P82" s="227"/>
      <c r="Q82" s="227"/>
      <c r="R82" s="227"/>
      <c r="S82" s="227"/>
      <c r="T82" s="227"/>
      <c r="U82" s="227"/>
    </row>
    <row r="83" spans="1:21" ht="19.5" hidden="1" x14ac:dyDescent="0.3">
      <c r="A83" s="274"/>
      <c r="B83" s="275"/>
      <c r="C83" s="275"/>
      <c r="D83" s="275"/>
      <c r="E83" s="288"/>
      <c r="F83" s="288"/>
      <c r="G83" s="280"/>
      <c r="H83" s="909" t="s">
        <v>35</v>
      </c>
      <c r="I83" s="601">
        <f ca="1">I85+I87+I89</f>
        <v>0</v>
      </c>
      <c r="J83" s="601">
        <f>J85+J87+J89</f>
        <v>0</v>
      </c>
      <c r="K83" s="908">
        <f t="shared" ca="1" si="26"/>
        <v>0</v>
      </c>
      <c r="L83" s="226"/>
      <c r="M83" s="227"/>
      <c r="N83" s="227"/>
      <c r="O83" s="227"/>
      <c r="P83" s="227"/>
      <c r="Q83" s="227"/>
      <c r="R83" s="227"/>
      <c r="S83" s="227"/>
      <c r="T83" s="227"/>
      <c r="U83" s="227"/>
    </row>
    <row r="84" spans="1:21" ht="18.75" hidden="1" x14ac:dyDescent="0.25">
      <c r="A84" s="274"/>
      <c r="B84" s="275"/>
      <c r="C84" s="275"/>
      <c r="D84" s="275"/>
      <c r="E84" s="289" t="s">
        <v>40</v>
      </c>
      <c r="F84" s="288"/>
      <c r="G84" s="280"/>
      <c r="H84" s="293" t="s">
        <v>34</v>
      </c>
      <c r="I84" s="294">
        <f ca="1">IFERROR(__xludf.DUMMYFUNCTION("IMPORTRANGE(""https://docs.google.com/spreadsheets/d/1eHaY18a8A9IcSdp1K8H6x8fbOy06t2VsZHhMHf-1x7Y/edit?usp=sharing"",""แผน!H60"")"),0)</f>
        <v>0</v>
      </c>
      <c r="J84" s="292">
        <v>0</v>
      </c>
      <c r="K84" s="746">
        <f t="shared" ca="1" si="26"/>
        <v>0</v>
      </c>
      <c r="L84" s="226"/>
      <c r="M84" s="227"/>
      <c r="N84" s="227"/>
      <c r="O84" s="227"/>
      <c r="P84" s="227"/>
      <c r="Q84" s="227"/>
      <c r="R84" s="227"/>
      <c r="S84" s="227"/>
      <c r="T84" s="227"/>
      <c r="U84" s="227"/>
    </row>
    <row r="85" spans="1:21" ht="18.75" hidden="1" x14ac:dyDescent="0.25">
      <c r="A85" s="274"/>
      <c r="B85" s="275"/>
      <c r="C85" s="275"/>
      <c r="D85" s="275"/>
      <c r="E85" s="288"/>
      <c r="F85" s="288"/>
      <c r="G85" s="280"/>
      <c r="H85" s="293" t="s">
        <v>35</v>
      </c>
      <c r="I85" s="294">
        <f ca="1">IFERROR(__xludf.DUMMYFUNCTION("IMPORTRANGE(""https://docs.google.com/spreadsheets/d/1eHaY18a8A9IcSdp1K8H6x8fbOy06t2VsZHhMHf-1x7Y/edit?usp=sharing"",""แผน!I60"")"),0)</f>
        <v>0</v>
      </c>
      <c r="J85" s="292">
        <v>0</v>
      </c>
      <c r="K85" s="746">
        <f t="shared" ca="1" si="26"/>
        <v>0</v>
      </c>
      <c r="L85" s="226"/>
      <c r="M85" s="227"/>
      <c r="N85" s="227"/>
      <c r="O85" s="227"/>
      <c r="P85" s="227"/>
      <c r="Q85" s="227"/>
      <c r="R85" s="227"/>
      <c r="S85" s="227"/>
      <c r="T85" s="227"/>
      <c r="U85" s="227"/>
    </row>
    <row r="86" spans="1:21" ht="18.75" hidden="1" x14ac:dyDescent="0.25">
      <c r="A86" s="274"/>
      <c r="B86" s="275"/>
      <c r="C86" s="275"/>
      <c r="D86" s="275"/>
      <c r="E86" s="289" t="s">
        <v>41</v>
      </c>
      <c r="F86" s="288"/>
      <c r="G86" s="280"/>
      <c r="H86" s="293" t="s">
        <v>34</v>
      </c>
      <c r="I86" s="294">
        <f ca="1">IFERROR(__xludf.DUMMYFUNCTION("IMPORTRANGE(""https://docs.google.com/spreadsheets/d/1eHaY18a8A9IcSdp1K8H6x8fbOy06t2VsZHhMHf-1x7Y/edit?usp=sharing"",""แผน!F60"")"),0)</f>
        <v>0</v>
      </c>
      <c r="J86" s="292">
        <v>0</v>
      </c>
      <c r="K86" s="746">
        <f t="shared" ca="1" si="26"/>
        <v>0</v>
      </c>
      <c r="L86" s="226"/>
      <c r="M86" s="227"/>
      <c r="N86" s="227"/>
      <c r="O86" s="227"/>
      <c r="P86" s="227"/>
      <c r="Q86" s="227"/>
      <c r="R86" s="227"/>
      <c r="S86" s="227"/>
      <c r="T86" s="227"/>
      <c r="U86" s="227"/>
    </row>
    <row r="87" spans="1:21" ht="18.75" hidden="1" x14ac:dyDescent="0.25">
      <c r="A87" s="274"/>
      <c r="B87" s="275"/>
      <c r="C87" s="275"/>
      <c r="D87" s="275"/>
      <c r="E87" s="288"/>
      <c r="F87" s="288"/>
      <c r="G87" s="280"/>
      <c r="H87" s="293" t="s">
        <v>35</v>
      </c>
      <c r="I87" s="294">
        <f ca="1">IFERROR(__xludf.DUMMYFUNCTION("IMPORTRANGE(""https://docs.google.com/spreadsheets/d/1eHaY18a8A9IcSdp1K8H6x8fbOy06t2VsZHhMHf-1x7Y/edit?usp=sharing"",""แผน!G60"")"),0)</f>
        <v>0</v>
      </c>
      <c r="J87" s="292">
        <v>0</v>
      </c>
      <c r="K87" s="746">
        <f t="shared" ca="1" si="26"/>
        <v>0</v>
      </c>
      <c r="L87" s="226"/>
      <c r="M87" s="227"/>
      <c r="N87" s="227"/>
      <c r="O87" s="227"/>
      <c r="P87" s="227"/>
      <c r="Q87" s="227"/>
      <c r="R87" s="227"/>
      <c r="S87" s="227"/>
      <c r="T87" s="227"/>
      <c r="U87" s="227"/>
    </row>
    <row r="88" spans="1:21" ht="18.75" hidden="1" x14ac:dyDescent="0.25">
      <c r="A88" s="274"/>
      <c r="B88" s="275"/>
      <c r="C88" s="275"/>
      <c r="D88" s="275"/>
      <c r="E88" s="289" t="s">
        <v>42</v>
      </c>
      <c r="F88" s="288"/>
      <c r="G88" s="280"/>
      <c r="H88" s="273" t="s">
        <v>34</v>
      </c>
      <c r="I88" s="294">
        <f ca="1">IFERROR(__xludf.DUMMYFUNCTION("IMPORTRANGE(""https://docs.google.com/spreadsheets/d/1eHaY18a8A9IcSdp1K8H6x8fbOy06t2VsZHhMHf-1x7Y/edit?usp=sharing"",""แผน!D60"")"),0)</f>
        <v>0</v>
      </c>
      <c r="J88" s="292">
        <v>0</v>
      </c>
      <c r="K88" s="746">
        <f t="shared" ca="1" si="26"/>
        <v>0</v>
      </c>
      <c r="L88" s="226"/>
      <c r="M88" s="227"/>
      <c r="N88" s="227"/>
      <c r="O88" s="227"/>
      <c r="P88" s="227"/>
      <c r="Q88" s="227"/>
      <c r="R88" s="227"/>
      <c r="S88" s="227"/>
      <c r="T88" s="227"/>
      <c r="U88" s="227"/>
    </row>
    <row r="89" spans="1:21" ht="18.75" hidden="1" x14ac:dyDescent="0.25">
      <c r="A89" s="274"/>
      <c r="B89" s="275"/>
      <c r="C89" s="275"/>
      <c r="D89" s="275"/>
      <c r="E89" s="288"/>
      <c r="F89" s="288"/>
      <c r="G89" s="280"/>
      <c r="H89" s="273" t="s">
        <v>35</v>
      </c>
      <c r="I89" s="294">
        <f ca="1">IFERROR(__xludf.DUMMYFUNCTION("IMPORTRANGE(""https://docs.google.com/spreadsheets/d/1eHaY18a8A9IcSdp1K8H6x8fbOy06t2VsZHhMHf-1x7Y/edit?usp=sharing"",""แผน!E60"")"),0)</f>
        <v>0</v>
      </c>
      <c r="J89" s="292">
        <v>0</v>
      </c>
      <c r="K89" s="746">
        <f t="shared" ca="1" si="26"/>
        <v>0</v>
      </c>
      <c r="L89" s="226"/>
      <c r="M89" s="227"/>
      <c r="N89" s="227"/>
      <c r="O89" s="227"/>
      <c r="P89" s="227"/>
      <c r="Q89" s="227"/>
      <c r="R89" s="227"/>
      <c r="S89" s="227"/>
      <c r="T89" s="227"/>
      <c r="U89" s="227"/>
    </row>
    <row r="90" spans="1:21" ht="18.75" hidden="1" x14ac:dyDescent="0.25">
      <c r="A90" s="274"/>
      <c r="B90" s="275"/>
      <c r="C90" s="275"/>
      <c r="D90" s="745" t="s">
        <v>43</v>
      </c>
      <c r="E90" s="288"/>
      <c r="F90" s="288"/>
      <c r="G90" s="280"/>
      <c r="H90" s="269" t="s">
        <v>34</v>
      </c>
      <c r="I90" s="294">
        <f ca="1">IFERROR(__xludf.DUMMYFUNCTION("IMPORTRANGE(""https://docs.google.com/spreadsheets/d/1eHaY18a8A9IcSdp1K8H6x8fbOy06t2VsZHhMHf-1x7Y/edit?usp=sharing"",""แผน!J60"")"),0)</f>
        <v>0</v>
      </c>
      <c r="J90" s="292">
        <v>0</v>
      </c>
      <c r="K90" s="746">
        <f t="shared" ca="1" si="26"/>
        <v>0</v>
      </c>
      <c r="L90" s="226"/>
      <c r="M90" s="227"/>
      <c r="N90" s="227"/>
      <c r="O90" s="227"/>
      <c r="P90" s="227"/>
      <c r="Q90" s="227"/>
      <c r="R90" s="227"/>
      <c r="S90" s="227"/>
      <c r="T90" s="227"/>
      <c r="U90" s="227"/>
    </row>
    <row r="91" spans="1:21" ht="19.5" hidden="1" x14ac:dyDescent="0.3">
      <c r="A91" s="977" t="s">
        <v>44</v>
      </c>
      <c r="B91" s="824"/>
      <c r="C91" s="823"/>
      <c r="D91" s="824"/>
      <c r="E91" s="824"/>
      <c r="F91" s="824"/>
      <c r="G91" s="981"/>
      <c r="H91" s="1315"/>
      <c r="I91" s="980"/>
      <c r="J91" s="980"/>
      <c r="K91" s="199"/>
      <c r="L91" s="198"/>
      <c r="M91" s="199"/>
      <c r="N91" s="199"/>
      <c r="O91" s="199"/>
      <c r="P91" s="199"/>
      <c r="Q91" s="199"/>
      <c r="R91" s="199"/>
      <c r="S91" s="199"/>
      <c r="T91" s="199"/>
      <c r="U91" s="199"/>
    </row>
    <row r="92" spans="1:21" ht="19.5" hidden="1" x14ac:dyDescent="0.3">
      <c r="A92" s="248"/>
      <c r="B92" s="249" t="s">
        <v>45</v>
      </c>
      <c r="C92" s="250"/>
      <c r="D92" s="251"/>
      <c r="E92" s="250"/>
      <c r="F92" s="250"/>
      <c r="G92" s="252"/>
      <c r="H92" s="253" t="s">
        <v>46</v>
      </c>
      <c r="I92" s="254">
        <f ca="1">I108</f>
        <v>0</v>
      </c>
      <c r="J92" s="254">
        <f>J108</f>
        <v>0</v>
      </c>
      <c r="K92" s="57">
        <f ca="1">IF(I92&gt;0,J92*100/I92,0)</f>
        <v>0</v>
      </c>
      <c r="L92" s="205"/>
      <c r="M92" s="206"/>
      <c r="N92" s="206"/>
      <c r="O92" s="206"/>
      <c r="P92" s="206"/>
      <c r="Q92" s="206"/>
      <c r="R92" s="206"/>
      <c r="S92" s="206"/>
      <c r="T92" s="206"/>
      <c r="U92" s="206"/>
    </row>
    <row r="93" spans="1:21" ht="19.5" hidden="1" x14ac:dyDescent="0.3">
      <c r="A93" s="248"/>
      <c r="B93" s="250"/>
      <c r="C93" s="250"/>
      <c r="D93" s="251"/>
      <c r="E93" s="250"/>
      <c r="F93" s="250"/>
      <c r="G93" s="252"/>
      <c r="H93" s="253" t="s">
        <v>35</v>
      </c>
      <c r="I93" s="254">
        <f ca="1">I109</f>
        <v>0</v>
      </c>
      <c r="J93" s="254">
        <f>J109</f>
        <v>0</v>
      </c>
      <c r="K93" s="57">
        <f ca="1">IF(I93&gt;0,J93*100/I93,0)</f>
        <v>0</v>
      </c>
      <c r="L93" s="205"/>
      <c r="M93" s="206"/>
      <c r="N93" s="206"/>
      <c r="O93" s="206"/>
      <c r="P93" s="206"/>
      <c r="Q93" s="206"/>
      <c r="R93" s="206"/>
      <c r="S93" s="206"/>
      <c r="T93" s="206"/>
      <c r="U93" s="206"/>
    </row>
    <row r="94" spans="1:21" ht="19.5" hidden="1" x14ac:dyDescent="0.3">
      <c r="A94" s="255"/>
      <c r="B94" s="256"/>
      <c r="C94" s="257" t="s">
        <v>18</v>
      </c>
      <c r="D94" s="258" t="s">
        <v>19</v>
      </c>
      <c r="E94" s="256"/>
      <c r="F94" s="256"/>
      <c r="G94" s="259"/>
      <c r="H94" s="260" t="s">
        <v>14</v>
      </c>
      <c r="I94" s="261"/>
      <c r="J94" s="261"/>
      <c r="K94" s="85"/>
      <c r="L94" s="389">
        <f ca="1">L95+L96</f>
        <v>0</v>
      </c>
      <c r="M94" s="262">
        <f ca="1">M95+M96</f>
        <v>0</v>
      </c>
      <c r="N94" s="262">
        <f ca="1">N95+N96</f>
        <v>0</v>
      </c>
      <c r="O94" s="262">
        <f t="shared" ref="O94:O102" ca="1" si="27">IF(L94&gt;0,N94*100/L94,0)</f>
        <v>0</v>
      </c>
      <c r="P94" s="262">
        <f t="shared" ref="P94:P102" ca="1" si="28">IF(M94&gt;0,N94*100/M94,0)</f>
        <v>0</v>
      </c>
      <c r="Q94" s="262">
        <f ca="1">Q95+Q96</f>
        <v>0</v>
      </c>
      <c r="R94" s="262">
        <f ca="1">R95+R96</f>
        <v>0</v>
      </c>
      <c r="S94" s="262">
        <f ca="1">S95+S96</f>
        <v>0</v>
      </c>
      <c r="T94" s="262">
        <f t="shared" ref="T94:T102" ca="1" si="29">IF(Q94&gt;0,S94*100/Q94,0)</f>
        <v>0</v>
      </c>
      <c r="U94" s="262">
        <f t="shared" ref="U94:U102" ca="1" si="30">IF(R94&gt;0,S94*100/R94,0)</f>
        <v>0</v>
      </c>
    </row>
    <row r="95" spans="1:21" ht="18.75" hidden="1" x14ac:dyDescent="0.25">
      <c r="A95" s="255"/>
      <c r="B95" s="256"/>
      <c r="C95" s="256"/>
      <c r="D95" s="256"/>
      <c r="E95" s="263" t="s">
        <v>20</v>
      </c>
      <c r="F95" s="256"/>
      <c r="G95" s="259"/>
      <c r="H95" s="264" t="s">
        <v>14</v>
      </c>
      <c r="I95" s="261"/>
      <c r="J95" s="261"/>
      <c r="K95" s="85"/>
      <c r="L95" s="74">
        <f t="shared" ref="L95:N96" si="31">L98+L101</f>
        <v>0</v>
      </c>
      <c r="M95" s="75">
        <f t="shared" si="31"/>
        <v>0</v>
      </c>
      <c r="N95" s="75">
        <f t="shared" si="31"/>
        <v>0</v>
      </c>
      <c r="O95" s="75">
        <f t="shared" si="27"/>
        <v>0</v>
      </c>
      <c r="P95" s="75">
        <f t="shared" si="28"/>
        <v>0</v>
      </c>
      <c r="Q95" s="75">
        <f t="shared" ref="Q95:S96" si="32">Q98+Q101</f>
        <v>0</v>
      </c>
      <c r="R95" s="75">
        <f t="shared" si="32"/>
        <v>0</v>
      </c>
      <c r="S95" s="75">
        <f t="shared" si="32"/>
        <v>0</v>
      </c>
      <c r="T95" s="75">
        <f t="shared" si="29"/>
        <v>0</v>
      </c>
      <c r="U95" s="75">
        <f t="shared" si="30"/>
        <v>0</v>
      </c>
    </row>
    <row r="96" spans="1:21" ht="18.75" hidden="1" x14ac:dyDescent="0.25">
      <c r="A96" s="255"/>
      <c r="B96" s="256"/>
      <c r="C96" s="256"/>
      <c r="D96" s="256"/>
      <c r="E96" s="265" t="s">
        <v>21</v>
      </c>
      <c r="F96" s="256"/>
      <c r="G96" s="259"/>
      <c r="H96" s="266" t="s">
        <v>14</v>
      </c>
      <c r="I96" s="261"/>
      <c r="J96" s="261"/>
      <c r="K96" s="85"/>
      <c r="L96" s="71">
        <f t="shared" ca="1" si="31"/>
        <v>0</v>
      </c>
      <c r="M96" s="72">
        <f t="shared" ca="1" si="31"/>
        <v>0</v>
      </c>
      <c r="N96" s="72">
        <f t="shared" ca="1" si="31"/>
        <v>0</v>
      </c>
      <c r="O96" s="72">
        <f t="shared" ca="1" si="27"/>
        <v>0</v>
      </c>
      <c r="P96" s="72">
        <f t="shared" ca="1" si="28"/>
        <v>0</v>
      </c>
      <c r="Q96" s="72">
        <f t="shared" ca="1" si="32"/>
        <v>0</v>
      </c>
      <c r="R96" s="72">
        <f t="shared" ca="1" si="32"/>
        <v>0</v>
      </c>
      <c r="S96" s="72">
        <f t="shared" ca="1" si="32"/>
        <v>0</v>
      </c>
      <c r="T96" s="72">
        <f t="shared" ca="1" si="29"/>
        <v>0</v>
      </c>
      <c r="U96" s="72">
        <f t="shared" ca="1" si="30"/>
        <v>0</v>
      </c>
    </row>
    <row r="97" spans="1:21" ht="18.75" hidden="1" x14ac:dyDescent="0.25">
      <c r="A97" s="255"/>
      <c r="B97" s="267"/>
      <c r="C97" s="256"/>
      <c r="D97" s="268" t="s">
        <v>22</v>
      </c>
      <c r="E97" s="256"/>
      <c r="F97" s="256"/>
      <c r="G97" s="259"/>
      <c r="H97" s="269" t="s">
        <v>14</v>
      </c>
      <c r="I97" s="270"/>
      <c r="J97" s="270"/>
      <c r="K97" s="227"/>
      <c r="L97" s="71">
        <f ca="1">L98+L99</f>
        <v>0</v>
      </c>
      <c r="M97" s="72">
        <f ca="1">M98+M99</f>
        <v>0</v>
      </c>
      <c r="N97" s="72">
        <f ca="1">N98+N99</f>
        <v>0</v>
      </c>
      <c r="O97" s="72">
        <f t="shared" ca="1" si="27"/>
        <v>0</v>
      </c>
      <c r="P97" s="72">
        <f t="shared" ca="1" si="28"/>
        <v>0</v>
      </c>
      <c r="Q97" s="72">
        <f ca="1">Q98+Q99</f>
        <v>0</v>
      </c>
      <c r="R97" s="72">
        <f ca="1">R98+R99</f>
        <v>0</v>
      </c>
      <c r="S97" s="72">
        <f ca="1">S98+S99</f>
        <v>0</v>
      </c>
      <c r="T97" s="72">
        <f t="shared" ca="1" si="29"/>
        <v>0</v>
      </c>
      <c r="U97" s="72">
        <f t="shared" ca="1" si="30"/>
        <v>0</v>
      </c>
    </row>
    <row r="98" spans="1:21" ht="18.75" hidden="1" x14ac:dyDescent="0.25">
      <c r="A98" s="255"/>
      <c r="B98" s="267"/>
      <c r="C98" s="267"/>
      <c r="D98" s="256"/>
      <c r="E98" s="263" t="s">
        <v>36</v>
      </c>
      <c r="F98" s="256"/>
      <c r="G98" s="259"/>
      <c r="H98" s="271" t="s">
        <v>14</v>
      </c>
      <c r="I98" s="270"/>
      <c r="J98" s="270"/>
      <c r="K98" s="227"/>
      <c r="L98" s="74">
        <v>0</v>
      </c>
      <c r="M98" s="75">
        <v>0</v>
      </c>
      <c r="N98" s="75">
        <v>0</v>
      </c>
      <c r="O98" s="75">
        <f t="shared" si="27"/>
        <v>0</v>
      </c>
      <c r="P98" s="75">
        <f t="shared" si="28"/>
        <v>0</v>
      </c>
      <c r="Q98" s="75">
        <v>0</v>
      </c>
      <c r="R98" s="75">
        <v>0</v>
      </c>
      <c r="S98" s="75">
        <v>0</v>
      </c>
      <c r="T98" s="75">
        <f t="shared" si="29"/>
        <v>0</v>
      </c>
      <c r="U98" s="75">
        <f t="shared" si="30"/>
        <v>0</v>
      </c>
    </row>
    <row r="99" spans="1:21" ht="18.75" hidden="1" x14ac:dyDescent="0.25">
      <c r="A99" s="255"/>
      <c r="B99" s="267"/>
      <c r="C99" s="267"/>
      <c r="D99" s="256"/>
      <c r="E99" s="265" t="s">
        <v>37</v>
      </c>
      <c r="F99" s="256"/>
      <c r="G99" s="259"/>
      <c r="H99" s="269" t="s">
        <v>14</v>
      </c>
      <c r="I99" s="270"/>
      <c r="J99" s="270"/>
      <c r="K99" s="227"/>
      <c r="L99" s="71">
        <f ca="1">IFERROR(__xludf.DUMMYFUNCTION("IMPORTRANGE(""https://docs.google.com/spreadsheets/d/1-uDff_7J0KD5mKrp0Vvzr7lt3OU09vwQwhkpOPPYv2Y/edit?usp=sharing"",""งบพรบ!AW60"")"),0)</f>
        <v>0</v>
      </c>
      <c r="M99" s="72">
        <f ca="1">IFERROR(__xludf.DUMMYFUNCTION("IMPORTRANGE(""https://docs.google.com/spreadsheets/d/1-uDff_7J0KD5mKrp0Vvzr7lt3OU09vwQwhkpOPPYv2Y/edit?usp=sharing"",""งบพรบ!BB60"")"),0)</f>
        <v>0</v>
      </c>
      <c r="N99" s="72">
        <f ca="1">IFERROR(__xludf.DUMMYFUNCTION("IMPORTRANGE(""https://docs.google.com/spreadsheets/d/1-uDff_7J0KD5mKrp0Vvzr7lt3OU09vwQwhkpOPPYv2Y/edit?usp=sharing"",""งบพรบ!BD60"")"),0)</f>
        <v>0</v>
      </c>
      <c r="O99" s="72">
        <f t="shared" ca="1" si="27"/>
        <v>0</v>
      </c>
      <c r="P99" s="72">
        <f t="shared" ca="1" si="28"/>
        <v>0</v>
      </c>
      <c r="Q99" s="72">
        <f ca="1">IFERROR(__xludf.DUMMYFUNCTION("IMPORTRANGE(""https://docs.google.com/spreadsheets/d/1ItG2mGa2ceCfYo0BwxsXqNm01IGEUdYcSSLTEv9YCik/edit?usp=sharing"",""เบิกจ่ายกองทุน!AJ60"")"),0)</f>
        <v>0</v>
      </c>
      <c r="R99" s="72">
        <f ca="1">IFERROR(__xludf.DUMMYFUNCTION("IMPORTRANGE(""https://docs.google.com/spreadsheets/d/1ItG2mGa2ceCfYo0BwxsXqNm01IGEUdYcSSLTEv9YCik/edit?usp=sharing"",""เบิกจ่ายกองทุน!AK60"")"),0)</f>
        <v>0</v>
      </c>
      <c r="S99" s="72">
        <f ca="1">IFERROR(__xludf.DUMMYFUNCTION("IMPORTRANGE(""https://docs.google.com/spreadsheets/d/1ItG2mGa2ceCfYo0BwxsXqNm01IGEUdYcSSLTEv9YCik/edit?usp=sharing"",""เบิกจ่ายกองทุน!AL60"")"),0)</f>
        <v>0</v>
      </c>
      <c r="T99" s="72">
        <f t="shared" ca="1" si="29"/>
        <v>0</v>
      </c>
      <c r="U99" s="72">
        <f t="shared" ca="1" si="30"/>
        <v>0</v>
      </c>
    </row>
    <row r="100" spans="1:21" ht="18.75" hidden="1" x14ac:dyDescent="0.25">
      <c r="A100" s="255"/>
      <c r="B100" s="267"/>
      <c r="C100" s="267"/>
      <c r="D100" s="852" t="s">
        <v>23</v>
      </c>
      <c r="E100" s="256"/>
      <c r="F100" s="256"/>
      <c r="G100" s="259"/>
      <c r="H100" s="273" t="s">
        <v>14</v>
      </c>
      <c r="I100" s="270"/>
      <c r="J100" s="270"/>
      <c r="K100" s="227"/>
      <c r="L100" s="71">
        <f ca="1">L101+L102</f>
        <v>0</v>
      </c>
      <c r="M100" s="72">
        <f ca="1">M101+M102</f>
        <v>0</v>
      </c>
      <c r="N100" s="72">
        <f ca="1">N101+N102</f>
        <v>0</v>
      </c>
      <c r="O100" s="72">
        <f t="shared" ca="1" si="27"/>
        <v>0</v>
      </c>
      <c r="P100" s="72">
        <f t="shared" ca="1" si="28"/>
        <v>0</v>
      </c>
      <c r="Q100" s="72">
        <f>Q101+Q102</f>
        <v>0</v>
      </c>
      <c r="R100" s="72">
        <f>R101+R102</f>
        <v>0</v>
      </c>
      <c r="S100" s="72">
        <f>S101+S102</f>
        <v>0</v>
      </c>
      <c r="T100" s="72">
        <f t="shared" si="29"/>
        <v>0</v>
      </c>
      <c r="U100" s="72">
        <f t="shared" si="30"/>
        <v>0</v>
      </c>
    </row>
    <row r="101" spans="1:21" ht="18.75" hidden="1" x14ac:dyDescent="0.25">
      <c r="A101" s="255"/>
      <c r="B101" s="267"/>
      <c r="C101" s="267"/>
      <c r="D101" s="256"/>
      <c r="E101" s="263" t="s">
        <v>20</v>
      </c>
      <c r="F101" s="256"/>
      <c r="G101" s="259"/>
      <c r="H101" s="271" t="s">
        <v>14</v>
      </c>
      <c r="I101" s="270"/>
      <c r="J101" s="270"/>
      <c r="K101" s="227"/>
      <c r="L101" s="74">
        <v>0</v>
      </c>
      <c r="M101" s="75">
        <v>0</v>
      </c>
      <c r="N101" s="75">
        <v>0</v>
      </c>
      <c r="O101" s="75">
        <f t="shared" si="27"/>
        <v>0</v>
      </c>
      <c r="P101" s="75">
        <f t="shared" si="28"/>
        <v>0</v>
      </c>
      <c r="Q101" s="75">
        <v>0</v>
      </c>
      <c r="R101" s="75">
        <v>0</v>
      </c>
      <c r="S101" s="75">
        <v>0</v>
      </c>
      <c r="T101" s="75">
        <f t="shared" si="29"/>
        <v>0</v>
      </c>
      <c r="U101" s="75">
        <f t="shared" si="30"/>
        <v>0</v>
      </c>
    </row>
    <row r="102" spans="1:21" ht="18.75" hidden="1" x14ac:dyDescent="0.25">
      <c r="A102" s="255"/>
      <c r="B102" s="267"/>
      <c r="C102" s="267"/>
      <c r="D102" s="256"/>
      <c r="E102" s="265" t="s">
        <v>21</v>
      </c>
      <c r="F102" s="256"/>
      <c r="G102" s="259"/>
      <c r="H102" s="273" t="s">
        <v>14</v>
      </c>
      <c r="I102" s="270"/>
      <c r="J102" s="270"/>
      <c r="K102" s="227"/>
      <c r="L102" s="71">
        <f ca="1">IFERROR(__xludf.DUMMYFUNCTION("IMPORTRANGE(""https://docs.google.com/spreadsheets/d/1-uDff_7J0KD5mKrp0Vvzr7lt3OU09vwQwhkpOPPYv2Y/edit?usp=sharing"",""งบพรบ!AZ60"")"),0)</f>
        <v>0</v>
      </c>
      <c r="M102" s="72">
        <f ca="1">IFERROR(__xludf.DUMMYFUNCTION("IMPORTRANGE(""https://docs.google.com/spreadsheets/d/1-uDff_7J0KD5mKrp0Vvzr7lt3OU09vwQwhkpOPPYv2Y/edit?usp=sharing"",""งบพรบ!BC60"")"),0)</f>
        <v>0</v>
      </c>
      <c r="N102" s="72">
        <f ca="1">IFERROR(__xludf.DUMMYFUNCTION("IMPORTRANGE(""https://docs.google.com/spreadsheets/d/1-uDff_7J0KD5mKrp0Vvzr7lt3OU09vwQwhkpOPPYv2Y/edit?usp=sharing"",""งบพรบ!BE60"")"),0)</f>
        <v>0</v>
      </c>
      <c r="O102" s="72">
        <f t="shared" ca="1" si="27"/>
        <v>0</v>
      </c>
      <c r="P102" s="72">
        <f t="shared" ca="1" si="28"/>
        <v>0</v>
      </c>
      <c r="Q102" s="72">
        <v>0</v>
      </c>
      <c r="R102" s="72">
        <v>0</v>
      </c>
      <c r="S102" s="72">
        <v>0</v>
      </c>
      <c r="T102" s="72">
        <f t="shared" si="29"/>
        <v>0</v>
      </c>
      <c r="U102" s="72">
        <f t="shared" si="30"/>
        <v>0</v>
      </c>
    </row>
    <row r="103" spans="1:21" ht="19.5" hidden="1" x14ac:dyDescent="0.3">
      <c r="A103" s="274"/>
      <c r="B103" s="275"/>
      <c r="C103" s="276" t="s">
        <v>18</v>
      </c>
      <c r="D103" s="800" t="s">
        <v>38</v>
      </c>
      <c r="E103" s="278"/>
      <c r="F103" s="278"/>
      <c r="G103" s="279"/>
      <c r="H103" s="280"/>
      <c r="I103" s="270"/>
      <c r="J103" s="261"/>
      <c r="K103" s="85"/>
      <c r="L103" s="84"/>
      <c r="M103" s="85"/>
      <c r="N103" s="85"/>
      <c r="O103" s="227"/>
      <c r="P103" s="227"/>
      <c r="Q103" s="85"/>
      <c r="R103" s="85"/>
      <c r="S103" s="85"/>
      <c r="T103" s="227"/>
      <c r="U103" s="227"/>
    </row>
    <row r="104" spans="1:21" ht="12.75" hidden="1" x14ac:dyDescent="0.2">
      <c r="A104" s="281"/>
      <c r="B104" s="282"/>
      <c r="C104" s="282"/>
      <c r="D104" s="283"/>
      <c r="E104" s="283"/>
      <c r="F104" s="283"/>
      <c r="G104" s="284"/>
      <c r="H104" s="284"/>
      <c r="I104" s="285"/>
      <c r="J104" s="285"/>
      <c r="K104" s="28"/>
      <c r="L104" s="27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2.75" hidden="1" x14ac:dyDescent="0.2">
      <c r="A105" s="281"/>
      <c r="B105" s="282"/>
      <c r="C105" s="282"/>
      <c r="D105" s="283"/>
      <c r="E105" s="283"/>
      <c r="F105" s="283"/>
      <c r="G105" s="284"/>
      <c r="H105" s="284"/>
      <c r="I105" s="285"/>
      <c r="J105" s="285"/>
      <c r="K105" s="28"/>
      <c r="L105" s="27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2.75" hidden="1" x14ac:dyDescent="0.2">
      <c r="A106" s="281"/>
      <c r="B106" s="282"/>
      <c r="C106" s="282"/>
      <c r="D106" s="282"/>
      <c r="E106" s="283"/>
      <c r="F106" s="283"/>
      <c r="G106" s="284"/>
      <c r="H106" s="284"/>
      <c r="I106" s="285"/>
      <c r="J106" s="285"/>
      <c r="K106" s="28"/>
      <c r="L106" s="27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9.5" hidden="1" x14ac:dyDescent="0.3">
      <c r="A107" s="274"/>
      <c r="B107" s="275"/>
      <c r="C107" s="275"/>
      <c r="D107" s="286" t="s">
        <v>47</v>
      </c>
      <c r="E107" s="287"/>
      <c r="F107" s="288"/>
      <c r="G107" s="280"/>
      <c r="H107" s="259"/>
      <c r="I107" s="261"/>
      <c r="J107" s="261"/>
      <c r="K107" s="85"/>
      <c r="L107" s="84"/>
      <c r="M107" s="85"/>
      <c r="N107" s="85"/>
      <c r="O107" s="227"/>
      <c r="P107" s="227"/>
      <c r="Q107" s="85"/>
      <c r="R107" s="85"/>
      <c r="S107" s="85"/>
      <c r="T107" s="227"/>
      <c r="U107" s="227"/>
    </row>
    <row r="108" spans="1:21" ht="18.75" hidden="1" x14ac:dyDescent="0.25">
      <c r="A108" s="274"/>
      <c r="B108" s="275"/>
      <c r="C108" s="275"/>
      <c r="D108" s="289" t="s">
        <v>48</v>
      </c>
      <c r="E108" s="288"/>
      <c r="F108" s="288"/>
      <c r="G108" s="280"/>
      <c r="H108" s="290" t="s">
        <v>46</v>
      </c>
      <c r="I108" s="291">
        <f ca="1">IFERROR(__xludf.DUMMYFUNCTION("IMPORTRANGE(""https://docs.google.com/spreadsheets/d/1eHaY18a8A9IcSdp1K8H6x8fbOy06t2VsZHhMHf-1x7Y/edit?usp=sharing"",""แผน!N60"")"),0)</f>
        <v>0</v>
      </c>
      <c r="J108" s="292">
        <v>0</v>
      </c>
      <c r="K108" s="72">
        <f ca="1">IF(I108&gt;0,J108*100/I108,0)</f>
        <v>0</v>
      </c>
      <c r="L108" s="84"/>
      <c r="M108" s="85"/>
      <c r="N108" s="85"/>
      <c r="O108" s="227"/>
      <c r="P108" s="227"/>
      <c r="Q108" s="85"/>
      <c r="R108" s="85"/>
      <c r="S108" s="85"/>
      <c r="T108" s="227"/>
      <c r="U108" s="227"/>
    </row>
    <row r="109" spans="1:21" ht="18.75" hidden="1" x14ac:dyDescent="0.25">
      <c r="A109" s="274"/>
      <c r="B109" s="275"/>
      <c r="C109" s="275"/>
      <c r="D109" s="289" t="s">
        <v>49</v>
      </c>
      <c r="E109" s="288"/>
      <c r="F109" s="288"/>
      <c r="G109" s="280"/>
      <c r="H109" s="290" t="s">
        <v>35</v>
      </c>
      <c r="I109" s="291">
        <f ca="1">IFERROR(__xludf.DUMMYFUNCTION("IMPORTRANGE(""https://docs.google.com/spreadsheets/d/1eHaY18a8A9IcSdp1K8H6x8fbOy06t2VsZHhMHf-1x7Y/edit?usp=sharing"",""แผน!O60"")"),0)</f>
        <v>0</v>
      </c>
      <c r="J109" s="292">
        <v>0</v>
      </c>
      <c r="K109" s="72">
        <f ca="1">IF(I109&gt;0,J109*100/I109,0)</f>
        <v>0</v>
      </c>
      <c r="L109" s="84"/>
      <c r="M109" s="85"/>
      <c r="N109" s="85"/>
      <c r="O109" s="227"/>
      <c r="P109" s="227"/>
      <c r="Q109" s="85"/>
      <c r="R109" s="85"/>
      <c r="S109" s="85"/>
      <c r="T109" s="227"/>
      <c r="U109" s="227"/>
    </row>
    <row r="110" spans="1:21" ht="12.75" hidden="1" x14ac:dyDescent="0.2">
      <c r="A110" s="281"/>
      <c r="B110" s="282"/>
      <c r="C110" s="282"/>
      <c r="D110" s="283"/>
      <c r="E110" s="283"/>
      <c r="F110" s="283"/>
      <c r="G110" s="284"/>
      <c r="H110" s="284"/>
      <c r="I110" s="285"/>
      <c r="J110" s="285"/>
      <c r="K110" s="28"/>
      <c r="L110" s="27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2.75" hidden="1" x14ac:dyDescent="0.2">
      <c r="A111" s="281"/>
      <c r="B111" s="282"/>
      <c r="C111" s="282"/>
      <c r="D111" s="283"/>
      <c r="E111" s="283"/>
      <c r="F111" s="283"/>
      <c r="G111" s="284"/>
      <c r="H111" s="284"/>
      <c r="I111" s="285"/>
      <c r="J111" s="285"/>
      <c r="K111" s="28"/>
      <c r="L111" s="27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2.75" hidden="1" x14ac:dyDescent="0.2">
      <c r="A112" s="281"/>
      <c r="B112" s="282"/>
      <c r="C112" s="282"/>
      <c r="D112" s="282"/>
      <c r="E112" s="283"/>
      <c r="F112" s="283"/>
      <c r="G112" s="284"/>
      <c r="H112" s="284"/>
      <c r="I112" s="285"/>
      <c r="J112" s="285"/>
      <c r="K112" s="28"/>
      <c r="L112" s="27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2.75" hidden="1" x14ac:dyDescent="0.2">
      <c r="A113" s="281"/>
      <c r="B113" s="282"/>
      <c r="C113" s="282"/>
      <c r="D113" s="282"/>
      <c r="E113" s="283"/>
      <c r="F113" s="283"/>
      <c r="G113" s="284"/>
      <c r="H113" s="284"/>
      <c r="I113" s="285">
        <v>0</v>
      </c>
      <c r="J113" s="285">
        <v>0</v>
      </c>
      <c r="K113" s="28"/>
      <c r="L113" s="27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21" hidden="1" customHeight="1" x14ac:dyDescent="0.25">
      <c r="A114" s="274"/>
      <c r="B114" s="275"/>
      <c r="C114" s="275"/>
      <c r="D114" s="289" t="s">
        <v>50</v>
      </c>
      <c r="E114" s="288"/>
      <c r="F114" s="288"/>
      <c r="G114" s="280"/>
      <c r="H114" s="293" t="s">
        <v>35</v>
      </c>
      <c r="I114" s="294">
        <f ca="1">IFERROR(__xludf.DUMMYFUNCTION("IMPORTRANGE(""https://docs.google.com/spreadsheets/d/1eHaY18a8A9IcSdp1K8H6x8fbOy06t2VsZHhMHf-1x7Y/edit?usp=sharing"",""แผน!R60"")"),0)</f>
        <v>0</v>
      </c>
      <c r="J114" s="292">
        <v>0</v>
      </c>
      <c r="K114" s="72">
        <f ca="1">IF(I114&gt;0,J114*100/I114,0)</f>
        <v>0</v>
      </c>
      <c r="L114" s="84"/>
      <c r="M114" s="85"/>
      <c r="N114" s="85"/>
      <c r="O114" s="227"/>
      <c r="P114" s="227"/>
      <c r="Q114" s="85"/>
      <c r="R114" s="85"/>
      <c r="S114" s="85"/>
      <c r="T114" s="227"/>
      <c r="U114" s="227"/>
    </row>
    <row r="115" spans="1:21" ht="19.5" x14ac:dyDescent="0.3">
      <c r="A115" s="977" t="s">
        <v>51</v>
      </c>
      <c r="B115" s="824"/>
      <c r="C115" s="825"/>
      <c r="D115" s="824"/>
      <c r="E115" s="824"/>
      <c r="F115" s="824"/>
      <c r="G115" s="824"/>
      <c r="H115" s="823"/>
      <c r="I115" s="822"/>
      <c r="J115" s="822"/>
      <c r="K115" s="821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</row>
    <row r="116" spans="1:21" ht="19.5" x14ac:dyDescent="0.3">
      <c r="A116" s="248"/>
      <c r="B116" s="249" t="s">
        <v>52</v>
      </c>
      <c r="C116" s="299"/>
      <c r="D116" s="251"/>
      <c r="E116" s="250"/>
      <c r="F116" s="250"/>
      <c r="G116" s="250"/>
      <c r="H116" s="251"/>
      <c r="I116" s="1203">
        <f ca="1">I127</f>
        <v>10</v>
      </c>
      <c r="J116" s="1202">
        <f>J127</f>
        <v>10</v>
      </c>
      <c r="K116" s="1201">
        <f ca="1">IF(I116&gt;0,J116*100/I116,0)</f>
        <v>100</v>
      </c>
      <c r="L116" s="205"/>
      <c r="M116" s="206"/>
      <c r="N116" s="206"/>
      <c r="O116" s="206"/>
      <c r="P116" s="206"/>
      <c r="Q116" s="206"/>
      <c r="R116" s="206"/>
      <c r="S116" s="206"/>
      <c r="T116" s="206"/>
      <c r="U116" s="206"/>
    </row>
    <row r="117" spans="1:21" ht="19.5" x14ac:dyDescent="0.3">
      <c r="A117" s="255"/>
      <c r="B117" s="256"/>
      <c r="C117" s="668" t="s">
        <v>18</v>
      </c>
      <c r="D117" s="258" t="s">
        <v>19</v>
      </c>
      <c r="E117" s="256"/>
      <c r="F117" s="256"/>
      <c r="G117" s="259"/>
      <c r="H117" s="260" t="s">
        <v>14</v>
      </c>
      <c r="I117" s="261"/>
      <c r="J117" s="261"/>
      <c r="K117" s="85"/>
      <c r="L117" s="389">
        <f ca="1">L118+L119</f>
        <v>0</v>
      </c>
      <c r="M117" s="262">
        <f ca="1">M118+M119</f>
        <v>0</v>
      </c>
      <c r="N117" s="262">
        <f ca="1">N118+N119</f>
        <v>0</v>
      </c>
      <c r="O117" s="262">
        <f t="shared" ref="O117:O125" ca="1" si="33">IF(L117&gt;0,N117*100/L117,0)</f>
        <v>0</v>
      </c>
      <c r="P117" s="262">
        <f t="shared" ref="P117:P125" ca="1" si="34">IF(M117&gt;0,N117*100/M117,0)</f>
        <v>0</v>
      </c>
      <c r="Q117" s="262">
        <f ca="1">Q118+Q119</f>
        <v>173660</v>
      </c>
      <c r="R117" s="262">
        <f ca="1">R118+R119</f>
        <v>173660</v>
      </c>
      <c r="S117" s="262">
        <f ca="1">S118+S119</f>
        <v>71863.360000000001</v>
      </c>
      <c r="T117" s="262">
        <f t="shared" ref="T117:T125" ca="1" si="35">IF(Q117&gt;0,S117*100/Q117,0)</f>
        <v>41.381642289531271</v>
      </c>
      <c r="U117" s="262">
        <f t="shared" ref="U117:U125" ca="1" si="36">IF(R117&gt;0,S117*100/R117,0)</f>
        <v>41.381642289531271</v>
      </c>
    </row>
    <row r="118" spans="1:21" ht="18.75" hidden="1" x14ac:dyDescent="0.25">
      <c r="A118" s="255"/>
      <c r="B118" s="256"/>
      <c r="C118" s="256"/>
      <c r="D118" s="256"/>
      <c r="E118" s="263" t="s">
        <v>20</v>
      </c>
      <c r="F118" s="256"/>
      <c r="G118" s="259"/>
      <c r="H118" s="264" t="s">
        <v>14</v>
      </c>
      <c r="I118" s="261"/>
      <c r="J118" s="261"/>
      <c r="K118" s="85"/>
      <c r="L118" s="74">
        <f t="shared" ref="L118:N119" si="37">L121+L124</f>
        <v>0</v>
      </c>
      <c r="M118" s="75">
        <f t="shared" si="37"/>
        <v>0</v>
      </c>
      <c r="N118" s="75">
        <f t="shared" si="37"/>
        <v>0</v>
      </c>
      <c r="O118" s="75">
        <f t="shared" si="33"/>
        <v>0</v>
      </c>
      <c r="P118" s="75">
        <f t="shared" si="34"/>
        <v>0</v>
      </c>
      <c r="Q118" s="75">
        <f t="shared" ref="Q118:S119" si="38">Q121+Q124</f>
        <v>0</v>
      </c>
      <c r="R118" s="75">
        <f t="shared" si="38"/>
        <v>0</v>
      </c>
      <c r="S118" s="75">
        <f t="shared" si="38"/>
        <v>0</v>
      </c>
      <c r="T118" s="75">
        <f t="shared" si="35"/>
        <v>0</v>
      </c>
      <c r="U118" s="75">
        <f t="shared" si="36"/>
        <v>0</v>
      </c>
    </row>
    <row r="119" spans="1:21" ht="18.75" hidden="1" x14ac:dyDescent="0.25">
      <c r="A119" s="255"/>
      <c r="B119" s="256"/>
      <c r="C119" s="256"/>
      <c r="D119" s="256"/>
      <c r="E119" s="265" t="s">
        <v>21</v>
      </c>
      <c r="F119" s="256"/>
      <c r="G119" s="259"/>
      <c r="H119" s="266" t="s">
        <v>14</v>
      </c>
      <c r="I119" s="261"/>
      <c r="J119" s="261"/>
      <c r="K119" s="85"/>
      <c r="L119" s="71">
        <f t="shared" ca="1" si="37"/>
        <v>0</v>
      </c>
      <c r="M119" s="72">
        <f t="shared" ca="1" si="37"/>
        <v>0</v>
      </c>
      <c r="N119" s="72">
        <f t="shared" ca="1" si="37"/>
        <v>0</v>
      </c>
      <c r="O119" s="72">
        <f t="shared" ca="1" si="33"/>
        <v>0</v>
      </c>
      <c r="P119" s="72">
        <f t="shared" ca="1" si="34"/>
        <v>0</v>
      </c>
      <c r="Q119" s="72">
        <f t="shared" ca="1" si="38"/>
        <v>173660</v>
      </c>
      <c r="R119" s="72">
        <f t="shared" ca="1" si="38"/>
        <v>173660</v>
      </c>
      <c r="S119" s="72">
        <f t="shared" ca="1" si="38"/>
        <v>71863.360000000001</v>
      </c>
      <c r="T119" s="72">
        <f t="shared" ca="1" si="35"/>
        <v>41.381642289531271</v>
      </c>
      <c r="U119" s="72">
        <f t="shared" ca="1" si="36"/>
        <v>41.381642289531271</v>
      </c>
    </row>
    <row r="120" spans="1:21" ht="18.75" x14ac:dyDescent="0.25">
      <c r="A120" s="255"/>
      <c r="B120" s="256"/>
      <c r="C120" s="301"/>
      <c r="D120" s="268" t="s">
        <v>22</v>
      </c>
      <c r="E120" s="256"/>
      <c r="F120" s="256"/>
      <c r="G120" s="259"/>
      <c r="H120" s="302" t="s">
        <v>14</v>
      </c>
      <c r="I120" s="261"/>
      <c r="J120" s="261"/>
      <c r="K120" s="85"/>
      <c r="L120" s="71">
        <f ca="1">L121+L122</f>
        <v>0</v>
      </c>
      <c r="M120" s="72">
        <f ca="1">M121+M122</f>
        <v>0</v>
      </c>
      <c r="N120" s="72">
        <f ca="1">N121+N122</f>
        <v>0</v>
      </c>
      <c r="O120" s="72">
        <f t="shared" ca="1" si="33"/>
        <v>0</v>
      </c>
      <c r="P120" s="72">
        <f t="shared" ca="1" si="34"/>
        <v>0</v>
      </c>
      <c r="Q120" s="72">
        <f ca="1">Q121+Q122</f>
        <v>173660</v>
      </c>
      <c r="R120" s="72">
        <f ca="1">R121+R122</f>
        <v>173660</v>
      </c>
      <c r="S120" s="72">
        <f ca="1">S121+S122</f>
        <v>71863.360000000001</v>
      </c>
      <c r="T120" s="72">
        <f t="shared" ca="1" si="35"/>
        <v>41.381642289531271</v>
      </c>
      <c r="U120" s="72">
        <f t="shared" ca="1" si="36"/>
        <v>41.381642289531271</v>
      </c>
    </row>
    <row r="121" spans="1:21" ht="18.75" hidden="1" x14ac:dyDescent="0.25">
      <c r="A121" s="255"/>
      <c r="B121" s="256"/>
      <c r="C121" s="301"/>
      <c r="D121" s="267"/>
      <c r="E121" s="263" t="s">
        <v>36</v>
      </c>
      <c r="F121" s="256"/>
      <c r="G121" s="259"/>
      <c r="H121" s="303" t="s">
        <v>14</v>
      </c>
      <c r="I121" s="261"/>
      <c r="J121" s="261"/>
      <c r="K121" s="85"/>
      <c r="L121" s="74">
        <v>0</v>
      </c>
      <c r="M121" s="75">
        <v>0</v>
      </c>
      <c r="N121" s="75">
        <v>0</v>
      </c>
      <c r="O121" s="75">
        <f t="shared" si="33"/>
        <v>0</v>
      </c>
      <c r="P121" s="75">
        <f t="shared" si="34"/>
        <v>0</v>
      </c>
      <c r="Q121" s="75">
        <v>0</v>
      </c>
      <c r="R121" s="75">
        <v>0</v>
      </c>
      <c r="S121" s="75">
        <v>0</v>
      </c>
      <c r="T121" s="75">
        <f t="shared" si="35"/>
        <v>0</v>
      </c>
      <c r="U121" s="75">
        <f t="shared" si="36"/>
        <v>0</v>
      </c>
    </row>
    <row r="122" spans="1:21" ht="18.75" hidden="1" x14ac:dyDescent="0.25">
      <c r="A122" s="255"/>
      <c r="B122" s="256"/>
      <c r="C122" s="301"/>
      <c r="D122" s="267"/>
      <c r="E122" s="265" t="s">
        <v>37</v>
      </c>
      <c r="F122" s="256"/>
      <c r="G122" s="259"/>
      <c r="H122" s="302" t="s">
        <v>14</v>
      </c>
      <c r="I122" s="261"/>
      <c r="J122" s="261"/>
      <c r="K122" s="85"/>
      <c r="L122" s="71">
        <f ca="1">IFERROR(__xludf.DUMMYFUNCTION("IMPORTRANGE(""https://docs.google.com/spreadsheets/d/1-uDff_7J0KD5mKrp0Vvzr7lt3OU09vwQwhkpOPPYv2Y/edit?usp=sharing"",""งบพรบ!BG60"")"),0)</f>
        <v>0</v>
      </c>
      <c r="M122" s="72">
        <f ca="1">IFERROR(__xludf.DUMMYFUNCTION("IMPORTRANGE(""https://docs.google.com/spreadsheets/d/1-uDff_7J0KD5mKrp0Vvzr7lt3OU09vwQwhkpOPPYv2Y/edit?usp=sharing"",""งบพรบ!BL60"")"),0)</f>
        <v>0</v>
      </c>
      <c r="N122" s="72">
        <f ca="1">IFERROR(__xludf.DUMMYFUNCTION("IMPORTRANGE(""https://docs.google.com/spreadsheets/d/1-uDff_7J0KD5mKrp0Vvzr7lt3OU09vwQwhkpOPPYv2Y/edit?usp=sharing"",""งบพรบ!BN60"")"),0)</f>
        <v>0</v>
      </c>
      <c r="O122" s="72">
        <f t="shared" ca="1" si="33"/>
        <v>0</v>
      </c>
      <c r="P122" s="72">
        <f t="shared" ca="1" si="34"/>
        <v>0</v>
      </c>
      <c r="Q122" s="72">
        <f ca="1">IFERROR(__xludf.DUMMYFUNCTION("IMPORTRANGE(""https://docs.google.com/spreadsheets/d/1ItG2mGa2ceCfYo0BwxsXqNm01IGEUdYcSSLTEv9YCik/edit?usp=sharing"",""เบิกจ่ายกองทุน!U60"")"),173660)</f>
        <v>173660</v>
      </c>
      <c r="R122" s="72">
        <f ca="1">IFERROR(__xludf.DUMMYFUNCTION("IMPORTRANGE(""https://docs.google.com/spreadsheets/d/1ItG2mGa2ceCfYo0BwxsXqNm01IGEUdYcSSLTEv9YCik/edit?usp=sharing"",""เบิกจ่ายกองทุน!V60"")"),173660)</f>
        <v>173660</v>
      </c>
      <c r="S122" s="72">
        <f ca="1">IFERROR(__xludf.DUMMYFUNCTION("IMPORTRANGE(""https://docs.google.com/spreadsheets/d/1ItG2mGa2ceCfYo0BwxsXqNm01IGEUdYcSSLTEv9YCik/edit?usp=sharing"",""เบิกจ่ายกองทุน!W60"")"),71863.36)</f>
        <v>71863.360000000001</v>
      </c>
      <c r="T122" s="72">
        <f t="shared" ca="1" si="35"/>
        <v>41.381642289531271</v>
      </c>
      <c r="U122" s="72">
        <f t="shared" ca="1" si="36"/>
        <v>41.381642289531271</v>
      </c>
    </row>
    <row r="123" spans="1:21" ht="18.75" x14ac:dyDescent="0.25">
      <c r="A123" s="255"/>
      <c r="B123" s="256"/>
      <c r="C123" s="301"/>
      <c r="D123" s="852" t="s">
        <v>23</v>
      </c>
      <c r="E123" s="256"/>
      <c r="F123" s="256"/>
      <c r="G123" s="259"/>
      <c r="H123" s="266" t="s">
        <v>14</v>
      </c>
      <c r="I123" s="261"/>
      <c r="J123" s="261"/>
      <c r="K123" s="85"/>
      <c r="L123" s="71">
        <f ca="1">L124+L125</f>
        <v>0</v>
      </c>
      <c r="M123" s="72">
        <f ca="1">M124+M125</f>
        <v>0</v>
      </c>
      <c r="N123" s="72">
        <f ca="1">N124+N125</f>
        <v>0</v>
      </c>
      <c r="O123" s="72">
        <f t="shared" ca="1" si="33"/>
        <v>0</v>
      </c>
      <c r="P123" s="72">
        <f t="shared" ca="1" si="34"/>
        <v>0</v>
      </c>
      <c r="Q123" s="72">
        <f ca="1">Q124+Q125</f>
        <v>0</v>
      </c>
      <c r="R123" s="72">
        <f ca="1">R124+R125</f>
        <v>0</v>
      </c>
      <c r="S123" s="72">
        <f ca="1">S124+S125</f>
        <v>0</v>
      </c>
      <c r="T123" s="72">
        <f t="shared" ca="1" si="35"/>
        <v>0</v>
      </c>
      <c r="U123" s="72">
        <f t="shared" ca="1" si="36"/>
        <v>0</v>
      </c>
    </row>
    <row r="124" spans="1:21" ht="18.75" hidden="1" x14ac:dyDescent="0.25">
      <c r="A124" s="255"/>
      <c r="B124" s="256"/>
      <c r="C124" s="301"/>
      <c r="D124" s="267"/>
      <c r="E124" s="263" t="s">
        <v>20</v>
      </c>
      <c r="F124" s="256"/>
      <c r="G124" s="259"/>
      <c r="H124" s="303" t="s">
        <v>14</v>
      </c>
      <c r="I124" s="261"/>
      <c r="J124" s="261"/>
      <c r="K124" s="85"/>
      <c r="L124" s="74">
        <v>0</v>
      </c>
      <c r="M124" s="75">
        <v>0</v>
      </c>
      <c r="N124" s="75">
        <v>0</v>
      </c>
      <c r="O124" s="75">
        <f t="shared" si="33"/>
        <v>0</v>
      </c>
      <c r="P124" s="75">
        <f t="shared" si="34"/>
        <v>0</v>
      </c>
      <c r="Q124" s="75">
        <v>0</v>
      </c>
      <c r="R124" s="75">
        <v>0</v>
      </c>
      <c r="S124" s="75">
        <v>0</v>
      </c>
      <c r="T124" s="75">
        <f t="shared" si="35"/>
        <v>0</v>
      </c>
      <c r="U124" s="75">
        <f t="shared" si="36"/>
        <v>0</v>
      </c>
    </row>
    <row r="125" spans="1:21" ht="18.75" hidden="1" x14ac:dyDescent="0.25">
      <c r="A125" s="255"/>
      <c r="B125" s="256"/>
      <c r="C125" s="256"/>
      <c r="D125" s="256"/>
      <c r="E125" s="265" t="s">
        <v>21</v>
      </c>
      <c r="F125" s="256"/>
      <c r="G125" s="259"/>
      <c r="H125" s="266" t="s">
        <v>14</v>
      </c>
      <c r="I125" s="261"/>
      <c r="J125" s="261"/>
      <c r="K125" s="85"/>
      <c r="L125" s="71">
        <f ca="1">IFERROR(__xludf.DUMMYFUNCTION("IMPORTRANGE(""https://docs.google.com/spreadsheets/d/1-uDff_7J0KD5mKrp0Vvzr7lt3OU09vwQwhkpOPPYv2Y/edit?usp=sharing"",""งบพรบ!BJ60"")"),0)</f>
        <v>0</v>
      </c>
      <c r="M125" s="72">
        <f ca="1">IFERROR(__xludf.DUMMYFUNCTION("IMPORTRANGE(""https://docs.google.com/spreadsheets/d/1-uDff_7J0KD5mKrp0Vvzr7lt3OU09vwQwhkpOPPYv2Y/edit?usp=sharing"",""งบพรบ!BM60"")"),0)</f>
        <v>0</v>
      </c>
      <c r="N125" s="72">
        <f ca="1">IFERROR(__xludf.DUMMYFUNCTION("IMPORTRANGE(""https://docs.google.com/spreadsheets/d/1-uDff_7J0KD5mKrp0Vvzr7lt3OU09vwQwhkpOPPYv2Y/edit?usp=sharing"",""งบพรบ!BO60"")"),0)</f>
        <v>0</v>
      </c>
      <c r="O125" s="72">
        <f t="shared" ca="1" si="33"/>
        <v>0</v>
      </c>
      <c r="P125" s="72">
        <f t="shared" ca="1" si="34"/>
        <v>0</v>
      </c>
      <c r="Q125" s="72">
        <f ca="1">IFERROR(__xludf.DUMMYFUNCTION("IMPORTRANGE(""https://docs.google.com/spreadsheets/d/1ItG2mGa2ceCfYo0BwxsXqNm01IGEUdYcSSLTEv9YCik/edit?usp=sharing"",""เบิกจ่ายกองทุน!X60"")"),0)</f>
        <v>0</v>
      </c>
      <c r="R125" s="72">
        <f ca="1">IFERROR(__xludf.DUMMYFUNCTION("IMPORTRANGE(""https://docs.google.com/spreadsheets/d/1ItG2mGa2ceCfYo0BwxsXqNm01IGEUdYcSSLTEv9YCik/edit?usp=sharing"",""เบิกจ่ายกองทุน!Y60"")"),0)</f>
        <v>0</v>
      </c>
      <c r="S125" s="72">
        <f ca="1">IFERROR(__xludf.DUMMYFUNCTION("IMPORTRANGE(""https://docs.google.com/spreadsheets/d/1ItG2mGa2ceCfYo0BwxsXqNm01IGEUdYcSSLTEv9YCik/edit?usp=sharing"",""เบิกจ่ายกองทุน!Z60"")"),0)</f>
        <v>0</v>
      </c>
      <c r="T125" s="72">
        <f t="shared" ca="1" si="35"/>
        <v>0</v>
      </c>
      <c r="U125" s="72">
        <f t="shared" ca="1" si="36"/>
        <v>0</v>
      </c>
    </row>
    <row r="126" spans="1:21" ht="19.5" x14ac:dyDescent="0.3">
      <c r="A126" s="793"/>
      <c r="B126" s="764"/>
      <c r="C126" s="668" t="s">
        <v>18</v>
      </c>
      <c r="D126" s="1313" t="s">
        <v>38</v>
      </c>
      <c r="E126" s="1312"/>
      <c r="F126" s="1312"/>
      <c r="G126" s="1311"/>
      <c r="H126" s="1310"/>
      <c r="I126" s="541"/>
      <c r="J126" s="541"/>
      <c r="K126" s="384"/>
      <c r="L126" s="84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1:21" ht="18.75" x14ac:dyDescent="0.25">
      <c r="A127" s="274"/>
      <c r="B127" s="275"/>
      <c r="C127" s="275"/>
      <c r="D127" s="289" t="s">
        <v>53</v>
      </c>
      <c r="E127" s="288"/>
      <c r="F127" s="288"/>
      <c r="G127" s="280"/>
      <c r="H127" s="266" t="s">
        <v>35</v>
      </c>
      <c r="I127" s="291">
        <f ca="1">IFERROR(__xludf.DUMMYFUNCTION("IMPORTRANGE(""https://docs.google.com/spreadsheets/d/1eHaY18a8A9IcSdp1K8H6x8fbOy06t2VsZHhMHf-1x7Y/edit?usp=sharing"",""แผน!FF60"")"),10)</f>
        <v>10</v>
      </c>
      <c r="J127" s="292">
        <v>10</v>
      </c>
      <c r="K127" s="72">
        <f ca="1">IF(I127&gt;0,J127*100/I127,0)</f>
        <v>100</v>
      </c>
      <c r="L127" s="84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1:21" ht="18.75" x14ac:dyDescent="0.25">
      <c r="A128" s="274"/>
      <c r="B128" s="275"/>
      <c r="C128" s="275"/>
      <c r="D128" s="288"/>
      <c r="E128" s="288"/>
      <c r="F128" s="288"/>
      <c r="G128" s="280"/>
      <c r="H128" s="266" t="s">
        <v>54</v>
      </c>
      <c r="I128" s="291">
        <f ca="1">IFERROR(__xludf.DUMMYFUNCTION("IMPORTRANGE(""https://docs.google.com/spreadsheets/d/1eHaY18a8A9IcSdp1K8H6x8fbOy06t2VsZHhMHf-1x7Y/edit?usp=sharing"",""แผน!FG60"")"),0)</f>
        <v>0</v>
      </c>
      <c r="J128" s="292">
        <v>0</v>
      </c>
      <c r="K128" s="72">
        <f ca="1">IF(I128&gt;0,J128*100/I128,0)</f>
        <v>0</v>
      </c>
      <c r="L128" s="84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1:21" ht="18.75" x14ac:dyDescent="0.25">
      <c r="A129" s="274"/>
      <c r="B129" s="275"/>
      <c r="C129" s="275"/>
      <c r="D129" s="724" t="s">
        <v>55</v>
      </c>
      <c r="E129" s="288"/>
      <c r="F129" s="288"/>
      <c r="G129" s="280"/>
      <c r="H129" s="266" t="s">
        <v>35</v>
      </c>
      <c r="I129" s="291">
        <f ca="1">IFERROR(__xludf.DUMMYFUNCTION("IMPORTRANGE(""https://docs.google.com/spreadsheets/d/1eHaY18a8A9IcSdp1K8H6x8fbOy06t2VsZHhMHf-1x7Y/edit?usp=sharing"",""แผน!FH60"")"),10)</f>
        <v>10</v>
      </c>
      <c r="J129" s="292">
        <v>10</v>
      </c>
      <c r="K129" s="72">
        <f ca="1">IF(I129&gt;0,J129*100/I129,0)</f>
        <v>100</v>
      </c>
      <c r="L129" s="84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1:21" ht="18.75" x14ac:dyDescent="0.25">
      <c r="A130" s="274"/>
      <c r="B130" s="275"/>
      <c r="C130" s="275"/>
      <c r="D130" s="275"/>
      <c r="E130" s="288"/>
      <c r="F130" s="288"/>
      <c r="G130" s="280"/>
      <c r="H130" s="266" t="s">
        <v>54</v>
      </c>
      <c r="I130" s="291">
        <f ca="1">IFERROR(__xludf.DUMMYFUNCTION("IMPORTRANGE(""https://docs.google.com/spreadsheets/d/1eHaY18a8A9IcSdp1K8H6x8fbOy06t2VsZHhMHf-1x7Y/edit?usp=sharing"",""แผน!FI60"")"),0)</f>
        <v>0</v>
      </c>
      <c r="J130" s="292">
        <v>0</v>
      </c>
      <c r="K130" s="72">
        <f ca="1">IF(I130&gt;0,J130*100/I130,0)</f>
        <v>0</v>
      </c>
      <c r="L130" s="84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1:21" ht="18.75" hidden="1" x14ac:dyDescent="0.25">
      <c r="A131" s="274"/>
      <c r="B131" s="275"/>
      <c r="C131" s="275"/>
      <c r="D131" s="772" t="s">
        <v>56</v>
      </c>
      <c r="E131" s="288"/>
      <c r="F131" s="288"/>
      <c r="G131" s="280"/>
      <c r="H131" s="264" t="s">
        <v>35</v>
      </c>
      <c r="I131" s="261"/>
      <c r="J131" s="261"/>
      <c r="K131" s="85"/>
      <c r="L131" s="84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1:21" ht="18.75" hidden="1" x14ac:dyDescent="0.25">
      <c r="A132" s="274"/>
      <c r="B132" s="275"/>
      <c r="C132" s="275"/>
      <c r="D132" s="772" t="s">
        <v>57</v>
      </c>
      <c r="E132" s="288"/>
      <c r="F132" s="288"/>
      <c r="G132" s="280"/>
      <c r="H132" s="307"/>
      <c r="I132" s="261"/>
      <c r="J132" s="261"/>
      <c r="K132" s="85"/>
      <c r="L132" s="84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1:21" ht="12.75" hidden="1" x14ac:dyDescent="0.2">
      <c r="A133" s="281"/>
      <c r="B133" s="282"/>
      <c r="C133" s="282"/>
      <c r="D133" s="283"/>
      <c r="E133" s="283"/>
      <c r="F133" s="283"/>
      <c r="G133" s="284"/>
      <c r="H133" s="308"/>
      <c r="I133" s="285"/>
      <c r="J133" s="285"/>
      <c r="K133" s="28"/>
      <c r="L133" s="27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9.5" hidden="1" x14ac:dyDescent="0.3">
      <c r="A134" s="977" t="s">
        <v>58</v>
      </c>
      <c r="B134" s="824"/>
      <c r="C134" s="825"/>
      <c r="D134" s="824"/>
      <c r="E134" s="824"/>
      <c r="F134" s="824"/>
      <c r="G134" s="824"/>
      <c r="H134" s="823"/>
      <c r="I134" s="822"/>
      <c r="J134" s="822"/>
      <c r="K134" s="821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</row>
    <row r="135" spans="1:21" ht="19.5" hidden="1" x14ac:dyDescent="0.3">
      <c r="A135" s="248"/>
      <c r="B135" s="249" t="s">
        <v>59</v>
      </c>
      <c r="C135" s="299"/>
      <c r="D135" s="251"/>
      <c r="E135" s="250"/>
      <c r="F135" s="250"/>
      <c r="G135" s="250"/>
      <c r="H135" s="251"/>
      <c r="I135" s="818"/>
      <c r="J135" s="814"/>
      <c r="K135" s="206"/>
      <c r="L135" s="205"/>
      <c r="M135" s="206"/>
      <c r="N135" s="206"/>
      <c r="O135" s="206"/>
      <c r="P135" s="206"/>
      <c r="Q135" s="206"/>
      <c r="R135" s="206"/>
      <c r="S135" s="206"/>
      <c r="T135" s="206"/>
      <c r="U135" s="206"/>
    </row>
    <row r="136" spans="1:21" ht="19.5" hidden="1" x14ac:dyDescent="0.3">
      <c r="A136" s="248"/>
      <c r="B136" s="250"/>
      <c r="C136" s="979" t="s">
        <v>60</v>
      </c>
      <c r="D136" s="251"/>
      <c r="E136" s="250"/>
      <c r="F136" s="250"/>
      <c r="G136" s="252"/>
      <c r="H136" s="253" t="s">
        <v>61</v>
      </c>
      <c r="I136" s="254">
        <f ca="1">I154</f>
        <v>0</v>
      </c>
      <c r="J136" s="254">
        <f>J154</f>
        <v>0</v>
      </c>
      <c r="K136" s="57">
        <f ca="1">IF(I136&gt;0,J136*100/I136,0)</f>
        <v>0</v>
      </c>
      <c r="L136" s="205"/>
      <c r="M136" s="206"/>
      <c r="N136" s="206"/>
      <c r="O136" s="206"/>
      <c r="P136" s="206"/>
      <c r="Q136" s="206"/>
      <c r="R136" s="206"/>
      <c r="S136" s="206"/>
      <c r="T136" s="206"/>
      <c r="U136" s="206"/>
    </row>
    <row r="137" spans="1:21" ht="19.5" hidden="1" x14ac:dyDescent="0.3">
      <c r="A137" s="248"/>
      <c r="B137" s="250"/>
      <c r="C137" s="979" t="s">
        <v>62</v>
      </c>
      <c r="D137" s="251"/>
      <c r="E137" s="250"/>
      <c r="F137" s="250"/>
      <c r="G137" s="252"/>
      <c r="H137" s="253" t="s">
        <v>35</v>
      </c>
      <c r="I137" s="254">
        <f ca="1">I152</f>
        <v>0</v>
      </c>
      <c r="J137" s="254">
        <f>J152</f>
        <v>0</v>
      </c>
      <c r="K137" s="57">
        <f ca="1">IF(I137&gt;0,J137*100/I137,0)</f>
        <v>0</v>
      </c>
      <c r="L137" s="205"/>
      <c r="M137" s="206"/>
      <c r="N137" s="206"/>
      <c r="O137" s="206"/>
      <c r="P137" s="206"/>
      <c r="Q137" s="206"/>
      <c r="R137" s="206"/>
      <c r="S137" s="206"/>
      <c r="T137" s="206"/>
      <c r="U137" s="206"/>
    </row>
    <row r="138" spans="1:21" ht="19.5" hidden="1" x14ac:dyDescent="0.3">
      <c r="A138" s="248"/>
      <c r="B138" s="250"/>
      <c r="C138" s="299"/>
      <c r="D138" s="251"/>
      <c r="E138" s="250"/>
      <c r="F138" s="250"/>
      <c r="G138" s="252"/>
      <c r="H138" s="253" t="s">
        <v>54</v>
      </c>
      <c r="I138" s="254">
        <f ca="1">I153</f>
        <v>0</v>
      </c>
      <c r="J138" s="254">
        <f>J153</f>
        <v>0</v>
      </c>
      <c r="K138" s="57">
        <f ca="1">IF(I138&gt;0,J138*100/I138,0)</f>
        <v>0</v>
      </c>
      <c r="L138" s="205"/>
      <c r="M138" s="206"/>
      <c r="N138" s="206"/>
      <c r="O138" s="206"/>
      <c r="P138" s="206"/>
      <c r="Q138" s="206"/>
      <c r="R138" s="206"/>
      <c r="S138" s="206"/>
      <c r="T138" s="206"/>
      <c r="U138" s="206"/>
    </row>
    <row r="139" spans="1:21" ht="19.5" hidden="1" x14ac:dyDescent="0.3">
      <c r="A139" s="255"/>
      <c r="B139" s="256"/>
      <c r="C139" s="257" t="s">
        <v>18</v>
      </c>
      <c r="D139" s="258" t="s">
        <v>19</v>
      </c>
      <c r="E139" s="256"/>
      <c r="F139" s="256"/>
      <c r="G139" s="259"/>
      <c r="H139" s="260" t="s">
        <v>14</v>
      </c>
      <c r="I139" s="261"/>
      <c r="J139" s="261"/>
      <c r="K139" s="85"/>
      <c r="L139" s="389">
        <f ca="1">L140+L141</f>
        <v>0</v>
      </c>
      <c r="M139" s="262">
        <f ca="1">M140+M141</f>
        <v>0</v>
      </c>
      <c r="N139" s="262">
        <f ca="1">N140+N141</f>
        <v>0</v>
      </c>
      <c r="O139" s="262">
        <f t="shared" ref="O139:O147" ca="1" si="39">IF(L139&gt;0,N139*100/L139,0)</f>
        <v>0</v>
      </c>
      <c r="P139" s="262">
        <f t="shared" ref="P139:P147" ca="1" si="40">IF(M139&gt;0,N139*100/M139,0)</f>
        <v>0</v>
      </c>
      <c r="Q139" s="262">
        <f ca="1">Q140+Q141</f>
        <v>0</v>
      </c>
      <c r="R139" s="262">
        <f ca="1">R140+R141</f>
        <v>0</v>
      </c>
      <c r="S139" s="262">
        <f ca="1">S140+S141</f>
        <v>0</v>
      </c>
      <c r="T139" s="262">
        <f t="shared" ref="T139:T147" ca="1" si="41">IF(Q139&gt;0,S139*100/Q139,0)</f>
        <v>0</v>
      </c>
      <c r="U139" s="262">
        <f t="shared" ref="U139:U147" ca="1" si="42">IF(R139&gt;0,S139*100/R139,0)</f>
        <v>0</v>
      </c>
    </row>
    <row r="140" spans="1:21" ht="18.75" hidden="1" x14ac:dyDescent="0.25">
      <c r="A140" s="255"/>
      <c r="B140" s="256"/>
      <c r="C140" s="256"/>
      <c r="D140" s="256"/>
      <c r="E140" s="263" t="s">
        <v>20</v>
      </c>
      <c r="F140" s="256"/>
      <c r="G140" s="259"/>
      <c r="H140" s="264" t="s">
        <v>14</v>
      </c>
      <c r="I140" s="261"/>
      <c r="J140" s="261"/>
      <c r="K140" s="85"/>
      <c r="L140" s="74">
        <f t="shared" ref="L140:N141" si="43">L143+L146</f>
        <v>0</v>
      </c>
      <c r="M140" s="75">
        <f t="shared" si="43"/>
        <v>0</v>
      </c>
      <c r="N140" s="75">
        <f t="shared" si="43"/>
        <v>0</v>
      </c>
      <c r="O140" s="75">
        <f t="shared" si="39"/>
        <v>0</v>
      </c>
      <c r="P140" s="75">
        <f t="shared" si="40"/>
        <v>0</v>
      </c>
      <c r="Q140" s="75">
        <f t="shared" ref="Q140:S141" si="44">Q143+Q146</f>
        <v>0</v>
      </c>
      <c r="R140" s="75">
        <f t="shared" si="44"/>
        <v>0</v>
      </c>
      <c r="S140" s="75">
        <f t="shared" si="44"/>
        <v>0</v>
      </c>
      <c r="T140" s="75">
        <f t="shared" si="41"/>
        <v>0</v>
      </c>
      <c r="U140" s="75">
        <f t="shared" si="42"/>
        <v>0</v>
      </c>
    </row>
    <row r="141" spans="1:21" ht="18.75" hidden="1" x14ac:dyDescent="0.25">
      <c r="A141" s="255"/>
      <c r="B141" s="256"/>
      <c r="C141" s="256"/>
      <c r="D141" s="256"/>
      <c r="E141" s="265" t="s">
        <v>21</v>
      </c>
      <c r="F141" s="256"/>
      <c r="G141" s="259"/>
      <c r="H141" s="266" t="s">
        <v>14</v>
      </c>
      <c r="I141" s="261"/>
      <c r="J141" s="261"/>
      <c r="K141" s="85"/>
      <c r="L141" s="71">
        <f t="shared" ca="1" si="43"/>
        <v>0</v>
      </c>
      <c r="M141" s="72">
        <f t="shared" ca="1" si="43"/>
        <v>0</v>
      </c>
      <c r="N141" s="72">
        <f t="shared" ca="1" si="43"/>
        <v>0</v>
      </c>
      <c r="O141" s="72">
        <f t="shared" ca="1" si="39"/>
        <v>0</v>
      </c>
      <c r="P141" s="72">
        <f t="shared" ca="1" si="40"/>
        <v>0</v>
      </c>
      <c r="Q141" s="72">
        <f t="shared" ca="1" si="44"/>
        <v>0</v>
      </c>
      <c r="R141" s="72">
        <f t="shared" ca="1" si="44"/>
        <v>0</v>
      </c>
      <c r="S141" s="72">
        <f t="shared" ca="1" si="44"/>
        <v>0</v>
      </c>
      <c r="T141" s="72">
        <f t="shared" ca="1" si="41"/>
        <v>0</v>
      </c>
      <c r="U141" s="72">
        <f t="shared" ca="1" si="42"/>
        <v>0</v>
      </c>
    </row>
    <row r="142" spans="1:21" ht="18.75" hidden="1" x14ac:dyDescent="0.25">
      <c r="A142" s="255"/>
      <c r="B142" s="267"/>
      <c r="C142" s="256"/>
      <c r="D142" s="268" t="s">
        <v>22</v>
      </c>
      <c r="E142" s="256"/>
      <c r="F142" s="256"/>
      <c r="G142" s="259"/>
      <c r="H142" s="269" t="s">
        <v>14</v>
      </c>
      <c r="I142" s="270"/>
      <c r="J142" s="270"/>
      <c r="K142" s="227"/>
      <c r="L142" s="71">
        <f ca="1">L143+L144</f>
        <v>0</v>
      </c>
      <c r="M142" s="72">
        <f ca="1">M143+M144</f>
        <v>0</v>
      </c>
      <c r="N142" s="72">
        <f ca="1">N143+N144</f>
        <v>0</v>
      </c>
      <c r="O142" s="72">
        <f t="shared" ca="1" si="39"/>
        <v>0</v>
      </c>
      <c r="P142" s="72">
        <f t="shared" ca="1" si="40"/>
        <v>0</v>
      </c>
      <c r="Q142" s="72">
        <f ca="1">Q143+Q144</f>
        <v>0</v>
      </c>
      <c r="R142" s="72">
        <f ca="1">R143+R144</f>
        <v>0</v>
      </c>
      <c r="S142" s="72">
        <f ca="1">S143+S144</f>
        <v>0</v>
      </c>
      <c r="T142" s="72">
        <f t="shared" ca="1" si="41"/>
        <v>0</v>
      </c>
      <c r="U142" s="72">
        <f t="shared" ca="1" si="42"/>
        <v>0</v>
      </c>
    </row>
    <row r="143" spans="1:21" ht="18.75" hidden="1" x14ac:dyDescent="0.25">
      <c r="A143" s="255"/>
      <c r="B143" s="256"/>
      <c r="C143" s="256"/>
      <c r="D143" s="256"/>
      <c r="E143" s="263" t="s">
        <v>36</v>
      </c>
      <c r="F143" s="256"/>
      <c r="G143" s="259"/>
      <c r="H143" s="271" t="s">
        <v>14</v>
      </c>
      <c r="I143" s="270"/>
      <c r="J143" s="270"/>
      <c r="K143" s="227"/>
      <c r="L143" s="74">
        <v>0</v>
      </c>
      <c r="M143" s="75">
        <v>0</v>
      </c>
      <c r="N143" s="75">
        <v>0</v>
      </c>
      <c r="O143" s="75">
        <f t="shared" si="39"/>
        <v>0</v>
      </c>
      <c r="P143" s="75">
        <f t="shared" si="40"/>
        <v>0</v>
      </c>
      <c r="Q143" s="75">
        <v>0</v>
      </c>
      <c r="R143" s="75">
        <v>0</v>
      </c>
      <c r="S143" s="75">
        <v>0</v>
      </c>
      <c r="T143" s="75">
        <f t="shared" si="41"/>
        <v>0</v>
      </c>
      <c r="U143" s="75">
        <f t="shared" si="42"/>
        <v>0</v>
      </c>
    </row>
    <row r="144" spans="1:21" ht="18.75" hidden="1" x14ac:dyDescent="0.25">
      <c r="A144" s="255"/>
      <c r="B144" s="256"/>
      <c r="C144" s="256"/>
      <c r="D144" s="256"/>
      <c r="E144" s="265" t="s">
        <v>37</v>
      </c>
      <c r="F144" s="256"/>
      <c r="G144" s="259"/>
      <c r="H144" s="269" t="s">
        <v>14</v>
      </c>
      <c r="I144" s="270"/>
      <c r="J144" s="270"/>
      <c r="K144" s="227"/>
      <c r="L144" s="71">
        <f ca="1">IFERROR(__xludf.DUMMYFUNCTION("IMPORTRANGE(""https://docs.google.com/spreadsheets/d/1-uDff_7J0KD5mKrp0Vvzr7lt3OU09vwQwhkpOPPYv2Y/edit?usp=sharing"",""งบพรบ!BQ60"")"),0)</f>
        <v>0</v>
      </c>
      <c r="M144" s="72">
        <f ca="1">IFERROR(__xludf.DUMMYFUNCTION("IMPORTRANGE(""https://docs.google.com/spreadsheets/d/1-uDff_7J0KD5mKrp0Vvzr7lt3OU09vwQwhkpOPPYv2Y/edit?usp=sharing"",""งบพรบ!BV60"")"),0)</f>
        <v>0</v>
      </c>
      <c r="N144" s="72">
        <f ca="1">IFERROR(__xludf.DUMMYFUNCTION("IMPORTRANGE(""https://docs.google.com/spreadsheets/d/1-uDff_7J0KD5mKrp0Vvzr7lt3OU09vwQwhkpOPPYv2Y/edit?usp=sharing"",""งบพรบ!BX60"")"),0)</f>
        <v>0</v>
      </c>
      <c r="O144" s="72">
        <f t="shared" ca="1" si="39"/>
        <v>0</v>
      </c>
      <c r="P144" s="72">
        <f t="shared" ca="1" si="40"/>
        <v>0</v>
      </c>
      <c r="Q144" s="72">
        <f ca="1">IFERROR(__xludf.DUMMYFUNCTION("IMPORTRANGE(""https://docs.google.com/spreadsheets/d/1ItG2mGa2ceCfYo0BwxsXqNm01IGEUdYcSSLTEv9YCik/edit?usp=sharing"",""เบิกจ่ายกองทุน!CF60"")"),0)</f>
        <v>0</v>
      </c>
      <c r="R144" s="72">
        <f ca="1">IFERROR(__xludf.DUMMYFUNCTION("IMPORTRANGE(""https://docs.google.com/spreadsheets/d/1ItG2mGa2ceCfYo0BwxsXqNm01IGEUdYcSSLTEv9YCik/edit?usp=sharing"",""เบิกจ่ายกองทุน!CG60"")"),0)</f>
        <v>0</v>
      </c>
      <c r="S144" s="72">
        <f ca="1">IFERROR(__xludf.DUMMYFUNCTION("IMPORTRANGE(""https://docs.google.com/spreadsheets/d/1ItG2mGa2ceCfYo0BwxsXqNm01IGEUdYcSSLTEv9YCik/edit?usp=sharing"",""เบิกจ่ายกองทุน!CH60"")"),0)</f>
        <v>0</v>
      </c>
      <c r="T144" s="72">
        <f t="shared" ca="1" si="41"/>
        <v>0</v>
      </c>
      <c r="U144" s="72">
        <f t="shared" ca="1" si="42"/>
        <v>0</v>
      </c>
    </row>
    <row r="145" spans="1:21" ht="18.75" hidden="1" x14ac:dyDescent="0.25">
      <c r="A145" s="255"/>
      <c r="B145" s="256"/>
      <c r="C145" s="256"/>
      <c r="D145" s="268" t="s">
        <v>23</v>
      </c>
      <c r="E145" s="256"/>
      <c r="F145" s="256"/>
      <c r="G145" s="259"/>
      <c r="H145" s="273" t="s">
        <v>14</v>
      </c>
      <c r="I145" s="270"/>
      <c r="J145" s="270"/>
      <c r="K145" s="227"/>
      <c r="L145" s="71">
        <f ca="1">L146+L147</f>
        <v>0</v>
      </c>
      <c r="M145" s="72">
        <f ca="1">M146+M147</f>
        <v>0</v>
      </c>
      <c r="N145" s="72">
        <f ca="1">N146+N147</f>
        <v>0</v>
      </c>
      <c r="O145" s="72">
        <f t="shared" ca="1" si="39"/>
        <v>0</v>
      </c>
      <c r="P145" s="72">
        <f t="shared" ca="1" si="40"/>
        <v>0</v>
      </c>
      <c r="Q145" s="72">
        <f ca="1">Q146+Q147</f>
        <v>0</v>
      </c>
      <c r="R145" s="72">
        <f ca="1">R146+R147</f>
        <v>0</v>
      </c>
      <c r="S145" s="72">
        <f ca="1">S146+S147</f>
        <v>0</v>
      </c>
      <c r="T145" s="72">
        <f t="shared" ca="1" si="41"/>
        <v>0</v>
      </c>
      <c r="U145" s="72">
        <f t="shared" ca="1" si="42"/>
        <v>0</v>
      </c>
    </row>
    <row r="146" spans="1:21" ht="18.75" hidden="1" x14ac:dyDescent="0.25">
      <c r="A146" s="255"/>
      <c r="B146" s="256"/>
      <c r="C146" s="256"/>
      <c r="D146" s="256"/>
      <c r="E146" s="263" t="s">
        <v>20</v>
      </c>
      <c r="F146" s="256"/>
      <c r="G146" s="259"/>
      <c r="H146" s="271" t="s">
        <v>14</v>
      </c>
      <c r="I146" s="270"/>
      <c r="J146" s="270"/>
      <c r="K146" s="227"/>
      <c r="L146" s="74">
        <v>0</v>
      </c>
      <c r="M146" s="75">
        <v>0</v>
      </c>
      <c r="N146" s="75">
        <v>0</v>
      </c>
      <c r="O146" s="75">
        <f t="shared" si="39"/>
        <v>0</v>
      </c>
      <c r="P146" s="75">
        <f t="shared" si="40"/>
        <v>0</v>
      </c>
      <c r="Q146" s="75">
        <v>0</v>
      </c>
      <c r="R146" s="75">
        <v>0</v>
      </c>
      <c r="S146" s="75">
        <v>0</v>
      </c>
      <c r="T146" s="75">
        <f t="shared" si="41"/>
        <v>0</v>
      </c>
      <c r="U146" s="75">
        <f t="shared" si="42"/>
        <v>0</v>
      </c>
    </row>
    <row r="147" spans="1:21" ht="18.75" hidden="1" x14ac:dyDescent="0.25">
      <c r="A147" s="255"/>
      <c r="B147" s="256"/>
      <c r="C147" s="256"/>
      <c r="D147" s="256"/>
      <c r="E147" s="265" t="s">
        <v>21</v>
      </c>
      <c r="F147" s="256"/>
      <c r="G147" s="259"/>
      <c r="H147" s="273" t="s">
        <v>14</v>
      </c>
      <c r="I147" s="270"/>
      <c r="J147" s="270"/>
      <c r="K147" s="227"/>
      <c r="L147" s="71">
        <f ca="1">IFERROR(__xludf.DUMMYFUNCTION("IMPORTRANGE(""https://docs.google.com/spreadsheets/d/1-uDff_7J0KD5mKrp0Vvzr7lt3OU09vwQwhkpOPPYv2Y/edit?usp=sharing"",""งบพรบ!BT60"")"),0)</f>
        <v>0</v>
      </c>
      <c r="M147" s="72">
        <f ca="1">IFERROR(__xludf.DUMMYFUNCTION("IMPORTRANGE(""https://docs.google.com/spreadsheets/d/1-uDff_7J0KD5mKrp0Vvzr7lt3OU09vwQwhkpOPPYv2Y/edit?usp=sharing"",""งบพรบ!BW60"")"),0)</f>
        <v>0</v>
      </c>
      <c r="N147" s="72">
        <f ca="1">IFERROR(__xludf.DUMMYFUNCTION("IMPORTRANGE(""https://docs.google.com/spreadsheets/d/1-uDff_7J0KD5mKrp0Vvzr7lt3OU09vwQwhkpOPPYv2Y/edit?usp=sharing"",""งบพรบ!BY60"")"),0)</f>
        <v>0</v>
      </c>
      <c r="O147" s="72">
        <f t="shared" ca="1" si="39"/>
        <v>0</v>
      </c>
      <c r="P147" s="72">
        <f t="shared" ca="1" si="40"/>
        <v>0</v>
      </c>
      <c r="Q147" s="72">
        <f ca="1">IFERROR(__xludf.DUMMYFUNCTION("IMPORTRANGE(""https://docs.google.com/spreadsheets/d/1ItG2mGa2ceCfYo0BwxsXqNm01IGEUdYcSSLTEv9YCik/edit?usp=sharing"",""เบิกจ่ายกองทุน!CI60"")"),0)</f>
        <v>0</v>
      </c>
      <c r="R147" s="72">
        <f ca="1">IFERROR(__xludf.DUMMYFUNCTION("IMPORTRANGE(""https://docs.google.com/spreadsheets/d/1ItG2mGa2ceCfYo0BwxsXqNm01IGEUdYcSSLTEv9YCik/edit?usp=sharing"",""เบิกจ่ายกองทุน!CJ60"")"),0)</f>
        <v>0</v>
      </c>
      <c r="S147" s="72">
        <f ca="1">IFERROR(__xludf.DUMMYFUNCTION("IMPORTRANGE(""https://docs.google.com/spreadsheets/d/1ItG2mGa2ceCfYo0BwxsXqNm01IGEUdYcSSLTEv9YCik/edit?usp=sharing"",""เบิกจ่ายกองทุน!CK60"")"),0)</f>
        <v>0</v>
      </c>
      <c r="T147" s="72">
        <f t="shared" ca="1" si="41"/>
        <v>0</v>
      </c>
      <c r="U147" s="72">
        <f t="shared" ca="1" si="42"/>
        <v>0</v>
      </c>
    </row>
    <row r="148" spans="1:21" ht="19.5" hidden="1" x14ac:dyDescent="0.3">
      <c r="A148" s="274"/>
      <c r="B148" s="275"/>
      <c r="C148" s="257" t="s">
        <v>18</v>
      </c>
      <c r="D148" s="800" t="s">
        <v>38</v>
      </c>
      <c r="E148" s="278"/>
      <c r="F148" s="278"/>
      <c r="G148" s="279"/>
      <c r="H148" s="305"/>
      <c r="I148" s="261"/>
      <c r="J148" s="261"/>
      <c r="K148" s="85"/>
      <c r="L148" s="84"/>
      <c r="M148" s="85"/>
      <c r="N148" s="85"/>
      <c r="O148" s="85"/>
      <c r="P148" s="85"/>
      <c r="Q148" s="85"/>
      <c r="R148" s="85"/>
      <c r="S148" s="85"/>
      <c r="T148" s="85"/>
      <c r="U148" s="85"/>
    </row>
    <row r="149" spans="1:21" ht="18.75" hidden="1" x14ac:dyDescent="0.25">
      <c r="A149" s="255"/>
      <c r="B149" s="256"/>
      <c r="C149" s="301"/>
      <c r="D149" s="265" t="s">
        <v>63</v>
      </c>
      <c r="E149" s="256"/>
      <c r="F149" s="256"/>
      <c r="G149" s="259"/>
      <c r="H149" s="305"/>
      <c r="I149" s="261"/>
      <c r="J149" s="292">
        <v>0</v>
      </c>
      <c r="K149" s="85"/>
      <c r="L149" s="84"/>
      <c r="M149" s="85"/>
      <c r="N149" s="85"/>
      <c r="O149" s="85"/>
      <c r="P149" s="85"/>
      <c r="Q149" s="85"/>
      <c r="R149" s="85"/>
      <c r="S149" s="85"/>
      <c r="T149" s="85"/>
      <c r="U149" s="85"/>
    </row>
    <row r="150" spans="1:21" ht="19.5" hidden="1" x14ac:dyDescent="0.3">
      <c r="A150" s="255"/>
      <c r="B150" s="256"/>
      <c r="C150" s="256"/>
      <c r="D150" s="288"/>
      <c r="E150" s="257" t="s">
        <v>319</v>
      </c>
      <c r="F150" s="256"/>
      <c r="G150" s="259"/>
      <c r="H150" s="273" t="s">
        <v>35</v>
      </c>
      <c r="I150" s="291">
        <f ca="1">IFERROR(__xludf.DUMMYFUNCTION("IMPORTRANGE(""https://docs.google.com/spreadsheets/d/1eHaY18a8A9IcSdp1K8H6x8fbOy06t2VsZHhMHf-1x7Y/edit?usp=sharing"",""แผน!U60"")"),0)</f>
        <v>0</v>
      </c>
      <c r="J150" s="292">
        <v>0</v>
      </c>
      <c r="K150" s="72">
        <f ca="1">IF(I150&gt;0,J150*100/I150,0)</f>
        <v>0</v>
      </c>
      <c r="L150" s="84"/>
      <c r="M150" s="85"/>
      <c r="N150" s="85"/>
      <c r="O150" s="85"/>
      <c r="P150" s="85"/>
      <c r="Q150" s="85"/>
      <c r="R150" s="85"/>
      <c r="S150" s="85"/>
      <c r="T150" s="85"/>
      <c r="U150" s="85"/>
    </row>
    <row r="151" spans="1:21" ht="18.75" hidden="1" x14ac:dyDescent="0.25">
      <c r="A151" s="255"/>
      <c r="B151" s="256"/>
      <c r="C151" s="256"/>
      <c r="D151" s="288"/>
      <c r="E151" s="256"/>
      <c r="F151" s="256"/>
      <c r="G151" s="259"/>
      <c r="H151" s="273" t="s">
        <v>54</v>
      </c>
      <c r="I151" s="291">
        <f ca="1">IFERROR(__xludf.DUMMYFUNCTION("IMPORTRANGE(""https://docs.google.com/spreadsheets/d/1eHaY18a8A9IcSdp1K8H6x8fbOy06t2VsZHhMHf-1x7Y/edit?usp=sharing"",""แผน!V60"")"),0)</f>
        <v>0</v>
      </c>
      <c r="J151" s="292">
        <v>0</v>
      </c>
      <c r="K151" s="72">
        <f ca="1">IF(I151&gt;0,J151*100/I151,0)</f>
        <v>0</v>
      </c>
      <c r="L151" s="84"/>
      <c r="M151" s="85"/>
      <c r="N151" s="85"/>
      <c r="O151" s="85"/>
      <c r="P151" s="85"/>
      <c r="Q151" s="85"/>
      <c r="R151" s="85"/>
      <c r="S151" s="85"/>
      <c r="T151" s="85"/>
      <c r="U151" s="85"/>
    </row>
    <row r="152" spans="1:21" ht="19.5" hidden="1" x14ac:dyDescent="0.3">
      <c r="A152" s="255"/>
      <c r="B152" s="256"/>
      <c r="C152" s="256"/>
      <c r="D152" s="288"/>
      <c r="E152" s="257" t="s">
        <v>318</v>
      </c>
      <c r="F152" s="256"/>
      <c r="G152" s="259"/>
      <c r="H152" s="273" t="s">
        <v>35</v>
      </c>
      <c r="I152" s="291">
        <f ca="1">IFERROR(__xludf.DUMMYFUNCTION("IMPORTRANGE(""https://docs.google.com/spreadsheets/d/1eHaY18a8A9IcSdp1K8H6x8fbOy06t2VsZHhMHf-1x7Y/edit?usp=sharing"",""แผน!W60"")"),0)</f>
        <v>0</v>
      </c>
      <c r="J152" s="292">
        <v>0</v>
      </c>
      <c r="K152" s="72">
        <f ca="1">IF(I152&gt;0,J152*100/I152,0)</f>
        <v>0</v>
      </c>
      <c r="L152" s="84"/>
      <c r="M152" s="85"/>
      <c r="N152" s="85"/>
      <c r="O152" s="85"/>
      <c r="P152" s="85"/>
      <c r="Q152" s="85"/>
      <c r="R152" s="85"/>
      <c r="S152" s="85"/>
      <c r="T152" s="85"/>
      <c r="U152" s="85"/>
    </row>
    <row r="153" spans="1:21" ht="18.75" hidden="1" x14ac:dyDescent="0.25">
      <c r="A153" s="255"/>
      <c r="B153" s="256"/>
      <c r="C153" s="256"/>
      <c r="D153" s="256"/>
      <c r="E153" s="256"/>
      <c r="F153" s="256"/>
      <c r="G153" s="259"/>
      <c r="H153" s="273" t="s">
        <v>54</v>
      </c>
      <c r="I153" s="291">
        <f ca="1">IFERROR(__xludf.DUMMYFUNCTION("IMPORTRANGE(""https://docs.google.com/spreadsheets/d/1eHaY18a8A9IcSdp1K8H6x8fbOy06t2VsZHhMHf-1x7Y/edit?usp=sharing"",""แผน!X60"")"),0)</f>
        <v>0</v>
      </c>
      <c r="J153" s="292">
        <v>0</v>
      </c>
      <c r="K153" s="72">
        <f ca="1">IF(I153&gt;0,J153*100/I153,0)</f>
        <v>0</v>
      </c>
      <c r="L153" s="84"/>
      <c r="M153" s="85"/>
      <c r="N153" s="85"/>
      <c r="O153" s="85"/>
      <c r="P153" s="85"/>
      <c r="Q153" s="85"/>
      <c r="R153" s="85"/>
      <c r="S153" s="85"/>
      <c r="T153" s="85"/>
      <c r="U153" s="85"/>
    </row>
    <row r="154" spans="1:21" ht="18.75" hidden="1" x14ac:dyDescent="0.25">
      <c r="A154" s="255"/>
      <c r="B154" s="256"/>
      <c r="C154" s="256"/>
      <c r="D154" s="265" t="s">
        <v>66</v>
      </c>
      <c r="E154" s="256"/>
      <c r="F154" s="256"/>
      <c r="G154" s="259"/>
      <c r="H154" s="273" t="s">
        <v>61</v>
      </c>
      <c r="I154" s="291">
        <f ca="1">IFERROR(__xludf.DUMMYFUNCTION("IMPORTRANGE(""https://docs.google.com/spreadsheets/d/1eHaY18a8A9IcSdp1K8H6x8fbOy06t2VsZHhMHf-1x7Y/edit?usp=sharing"",""แผน!Y60"")"),0)</f>
        <v>0</v>
      </c>
      <c r="J154" s="292">
        <v>0</v>
      </c>
      <c r="K154" s="72">
        <f ca="1">IF(I154&gt;0,J154*100/I154,0)</f>
        <v>0</v>
      </c>
      <c r="L154" s="84"/>
      <c r="M154" s="85"/>
      <c r="N154" s="85"/>
      <c r="O154" s="85"/>
      <c r="P154" s="85"/>
      <c r="Q154" s="85"/>
      <c r="R154" s="85"/>
      <c r="S154" s="85"/>
      <c r="T154" s="85"/>
      <c r="U154" s="85"/>
    </row>
    <row r="155" spans="1:21" ht="19.5" hidden="1" x14ac:dyDescent="0.3">
      <c r="A155" s="977" t="s">
        <v>67</v>
      </c>
      <c r="B155" s="824"/>
      <c r="C155" s="825"/>
      <c r="D155" s="824"/>
      <c r="E155" s="824"/>
      <c r="F155" s="824"/>
      <c r="G155" s="824"/>
      <c r="H155" s="823"/>
      <c r="I155" s="822"/>
      <c r="J155" s="822"/>
      <c r="K155" s="821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</row>
    <row r="156" spans="1:21" ht="19.5" hidden="1" x14ac:dyDescent="0.3">
      <c r="A156" s="248"/>
      <c r="B156" s="249" t="s">
        <v>68</v>
      </c>
      <c r="C156" s="250"/>
      <c r="D156" s="250"/>
      <c r="E156" s="250"/>
      <c r="F156" s="250"/>
      <c r="G156" s="252"/>
      <c r="H156" s="300" t="s">
        <v>35</v>
      </c>
      <c r="I156" s="254">
        <f ca="1">I169</f>
        <v>0</v>
      </c>
      <c r="J156" s="254">
        <f>J169</f>
        <v>0</v>
      </c>
      <c r="K156" s="57">
        <f ca="1">IF(I156&gt;0,J156*100/I156,0)</f>
        <v>0</v>
      </c>
      <c r="L156" s="205"/>
      <c r="M156" s="206"/>
      <c r="N156" s="206"/>
      <c r="O156" s="206"/>
      <c r="P156" s="206"/>
      <c r="Q156" s="206"/>
      <c r="R156" s="206"/>
      <c r="S156" s="206"/>
      <c r="T156" s="206"/>
      <c r="U156" s="206"/>
    </row>
    <row r="157" spans="1:21" ht="19.5" hidden="1" x14ac:dyDescent="0.3">
      <c r="A157" s="255"/>
      <c r="B157" s="256"/>
      <c r="C157" s="257" t="s">
        <v>18</v>
      </c>
      <c r="D157" s="258" t="s">
        <v>19</v>
      </c>
      <c r="E157" s="256"/>
      <c r="F157" s="256"/>
      <c r="G157" s="259"/>
      <c r="H157" s="260" t="s">
        <v>14</v>
      </c>
      <c r="I157" s="261"/>
      <c r="J157" s="261"/>
      <c r="K157" s="85"/>
      <c r="L157" s="389">
        <f ca="1">L158+L159</f>
        <v>0</v>
      </c>
      <c r="M157" s="262">
        <f ca="1">M158+M159</f>
        <v>0</v>
      </c>
      <c r="N157" s="262">
        <f ca="1">N158+N159</f>
        <v>0</v>
      </c>
      <c r="O157" s="262">
        <f t="shared" ref="O157:O165" ca="1" si="45">IF(L157&gt;0,N157*100/L157,0)</f>
        <v>0</v>
      </c>
      <c r="P157" s="262">
        <f t="shared" ref="P157:P165" ca="1" si="46">IF(M157&gt;0,N157*100/M157,0)</f>
        <v>0</v>
      </c>
      <c r="Q157" s="262">
        <f ca="1">Q158+Q159</f>
        <v>0</v>
      </c>
      <c r="R157" s="262">
        <f ca="1">R158+R159</f>
        <v>0</v>
      </c>
      <c r="S157" s="262">
        <f ca="1">S158+S159</f>
        <v>0</v>
      </c>
      <c r="T157" s="262">
        <f t="shared" ref="T157:T165" ca="1" si="47">IF(Q157&gt;0,S157*100/Q157,0)</f>
        <v>0</v>
      </c>
      <c r="U157" s="262">
        <f t="shared" ref="U157:U165" ca="1" si="48">IF(R157&gt;0,S157*100/R157,0)</f>
        <v>0</v>
      </c>
    </row>
    <row r="158" spans="1:21" ht="18.75" hidden="1" x14ac:dyDescent="0.25">
      <c r="A158" s="255"/>
      <c r="B158" s="256"/>
      <c r="C158" s="256"/>
      <c r="D158" s="256"/>
      <c r="E158" s="263" t="s">
        <v>20</v>
      </c>
      <c r="F158" s="256"/>
      <c r="G158" s="259"/>
      <c r="H158" s="264" t="s">
        <v>14</v>
      </c>
      <c r="I158" s="261"/>
      <c r="J158" s="261"/>
      <c r="K158" s="85"/>
      <c r="L158" s="74">
        <f t="shared" ref="L158:N159" si="49">L161+L164</f>
        <v>0</v>
      </c>
      <c r="M158" s="75">
        <f t="shared" si="49"/>
        <v>0</v>
      </c>
      <c r="N158" s="75">
        <f t="shared" si="49"/>
        <v>0</v>
      </c>
      <c r="O158" s="75">
        <f t="shared" si="45"/>
        <v>0</v>
      </c>
      <c r="P158" s="75">
        <f t="shared" si="46"/>
        <v>0</v>
      </c>
      <c r="Q158" s="75">
        <f t="shared" ref="Q158:S159" si="50">Q161+Q164</f>
        <v>0</v>
      </c>
      <c r="R158" s="75">
        <f t="shared" si="50"/>
        <v>0</v>
      </c>
      <c r="S158" s="75">
        <f t="shared" si="50"/>
        <v>0</v>
      </c>
      <c r="T158" s="75">
        <f t="shared" si="47"/>
        <v>0</v>
      </c>
      <c r="U158" s="75">
        <f t="shared" si="48"/>
        <v>0</v>
      </c>
    </row>
    <row r="159" spans="1:21" ht="18.75" hidden="1" x14ac:dyDescent="0.25">
      <c r="A159" s="255"/>
      <c r="B159" s="256"/>
      <c r="C159" s="256"/>
      <c r="D159" s="256"/>
      <c r="E159" s="265" t="s">
        <v>21</v>
      </c>
      <c r="F159" s="256"/>
      <c r="G159" s="259"/>
      <c r="H159" s="266" t="s">
        <v>14</v>
      </c>
      <c r="I159" s="261"/>
      <c r="J159" s="261"/>
      <c r="K159" s="85"/>
      <c r="L159" s="71">
        <f t="shared" ca="1" si="49"/>
        <v>0</v>
      </c>
      <c r="M159" s="72">
        <f t="shared" ca="1" si="49"/>
        <v>0</v>
      </c>
      <c r="N159" s="72">
        <f t="shared" ca="1" si="49"/>
        <v>0</v>
      </c>
      <c r="O159" s="72">
        <f t="shared" ca="1" si="45"/>
        <v>0</v>
      </c>
      <c r="P159" s="72">
        <f t="shared" ca="1" si="46"/>
        <v>0</v>
      </c>
      <c r="Q159" s="72">
        <f t="shared" ca="1" si="50"/>
        <v>0</v>
      </c>
      <c r="R159" s="72">
        <f t="shared" ca="1" si="50"/>
        <v>0</v>
      </c>
      <c r="S159" s="72">
        <f t="shared" ca="1" si="50"/>
        <v>0</v>
      </c>
      <c r="T159" s="72">
        <f t="shared" ca="1" si="47"/>
        <v>0</v>
      </c>
      <c r="U159" s="72">
        <f t="shared" ca="1" si="48"/>
        <v>0</v>
      </c>
    </row>
    <row r="160" spans="1:21" ht="18.75" hidden="1" x14ac:dyDescent="0.25">
      <c r="A160" s="255"/>
      <c r="B160" s="267"/>
      <c r="C160" s="256"/>
      <c r="D160" s="268" t="s">
        <v>22</v>
      </c>
      <c r="E160" s="256"/>
      <c r="F160" s="256"/>
      <c r="G160" s="259"/>
      <c r="H160" s="269" t="s">
        <v>14</v>
      </c>
      <c r="I160" s="270"/>
      <c r="J160" s="270"/>
      <c r="K160" s="227"/>
      <c r="L160" s="71">
        <f ca="1">L161+L162</f>
        <v>0</v>
      </c>
      <c r="M160" s="72">
        <f ca="1">M161+M162</f>
        <v>0</v>
      </c>
      <c r="N160" s="72">
        <f ca="1">N161+N162</f>
        <v>0</v>
      </c>
      <c r="O160" s="72">
        <f t="shared" ca="1" si="45"/>
        <v>0</v>
      </c>
      <c r="P160" s="72">
        <f t="shared" ca="1" si="46"/>
        <v>0</v>
      </c>
      <c r="Q160" s="72">
        <f ca="1">Q161+Q162</f>
        <v>0</v>
      </c>
      <c r="R160" s="72">
        <f ca="1">R161+R162</f>
        <v>0</v>
      </c>
      <c r="S160" s="72">
        <f ca="1">S161+S162</f>
        <v>0</v>
      </c>
      <c r="T160" s="72">
        <f t="shared" ca="1" si="47"/>
        <v>0</v>
      </c>
      <c r="U160" s="72">
        <f t="shared" ca="1" si="48"/>
        <v>0</v>
      </c>
    </row>
    <row r="161" spans="1:21" ht="18.75" hidden="1" x14ac:dyDescent="0.25">
      <c r="A161" s="255"/>
      <c r="B161" s="256"/>
      <c r="C161" s="256"/>
      <c r="D161" s="256"/>
      <c r="E161" s="263" t="s">
        <v>36</v>
      </c>
      <c r="F161" s="256"/>
      <c r="G161" s="259"/>
      <c r="H161" s="271" t="s">
        <v>14</v>
      </c>
      <c r="I161" s="270"/>
      <c r="J161" s="270"/>
      <c r="K161" s="227"/>
      <c r="L161" s="74">
        <v>0</v>
      </c>
      <c r="M161" s="75">
        <v>0</v>
      </c>
      <c r="N161" s="75">
        <v>0</v>
      </c>
      <c r="O161" s="75">
        <f t="shared" si="45"/>
        <v>0</v>
      </c>
      <c r="P161" s="75">
        <f t="shared" si="46"/>
        <v>0</v>
      </c>
      <c r="Q161" s="75">
        <v>0</v>
      </c>
      <c r="R161" s="75">
        <v>0</v>
      </c>
      <c r="S161" s="75">
        <v>0</v>
      </c>
      <c r="T161" s="75">
        <f t="shared" si="47"/>
        <v>0</v>
      </c>
      <c r="U161" s="75">
        <f t="shared" si="48"/>
        <v>0</v>
      </c>
    </row>
    <row r="162" spans="1:21" ht="18.75" hidden="1" x14ac:dyDescent="0.25">
      <c r="A162" s="255"/>
      <c r="B162" s="256"/>
      <c r="C162" s="256"/>
      <c r="D162" s="256"/>
      <c r="E162" s="265" t="s">
        <v>37</v>
      </c>
      <c r="F162" s="256"/>
      <c r="G162" s="259"/>
      <c r="H162" s="269" t="s">
        <v>14</v>
      </c>
      <c r="I162" s="270"/>
      <c r="J162" s="270"/>
      <c r="K162" s="227"/>
      <c r="L162" s="71">
        <f ca="1">IFERROR(__xludf.DUMMYFUNCTION("IMPORTRANGE(""https://docs.google.com/spreadsheets/d/1-uDff_7J0KD5mKrp0Vvzr7lt3OU09vwQwhkpOPPYv2Y/edit?usp=sharing"",""งบพรบ!CA60"")"),0)</f>
        <v>0</v>
      </c>
      <c r="M162" s="72">
        <f ca="1">IFERROR(__xludf.DUMMYFUNCTION("IMPORTRANGE(""https://docs.google.com/spreadsheets/d/1-uDff_7J0KD5mKrp0Vvzr7lt3OU09vwQwhkpOPPYv2Y/edit?usp=sharing"",""งบพรบ!CF60"")"),0)</f>
        <v>0</v>
      </c>
      <c r="N162" s="72">
        <f ca="1">IFERROR(__xludf.DUMMYFUNCTION("IMPORTRANGE(""https://docs.google.com/spreadsheets/d/1-uDff_7J0KD5mKrp0Vvzr7lt3OU09vwQwhkpOPPYv2Y/edit?usp=sharing"",""งบพรบ!CH60"")"),0)</f>
        <v>0</v>
      </c>
      <c r="O162" s="72">
        <f t="shared" ca="1" si="45"/>
        <v>0</v>
      </c>
      <c r="P162" s="72">
        <f t="shared" ca="1" si="46"/>
        <v>0</v>
      </c>
      <c r="Q162" s="72">
        <f ca="1">IFERROR(__xludf.DUMMYFUNCTION("IMPORTRANGE(""https://docs.google.com/spreadsheets/d/1ItG2mGa2ceCfYo0BwxsXqNm01IGEUdYcSSLTEv9YCik/edit?usp=sharing"",""เบิกจ่ายกองทุน!AM60"")"),0)</f>
        <v>0</v>
      </c>
      <c r="R162" s="72">
        <f ca="1">IFERROR(__xludf.DUMMYFUNCTION("IMPORTRANGE(""https://docs.google.com/spreadsheets/d/1ItG2mGa2ceCfYo0BwxsXqNm01IGEUdYcSSLTEv9YCik/edit?usp=sharing"",""เบิกจ่ายกองทุน!AN60"")"),0)</f>
        <v>0</v>
      </c>
      <c r="S162" s="72">
        <f ca="1">IFERROR(__xludf.DUMMYFUNCTION("IMPORTRANGE(""https://docs.google.com/spreadsheets/d/1ItG2mGa2ceCfYo0BwxsXqNm01IGEUdYcSSLTEv9YCik/edit?usp=sharing"",""เบิกจ่ายกองทุน!AO60"")"),0)</f>
        <v>0</v>
      </c>
      <c r="T162" s="72">
        <f t="shared" ca="1" si="47"/>
        <v>0</v>
      </c>
      <c r="U162" s="72">
        <f t="shared" ca="1" si="48"/>
        <v>0</v>
      </c>
    </row>
    <row r="163" spans="1:21" ht="18.75" hidden="1" x14ac:dyDescent="0.25">
      <c r="A163" s="255"/>
      <c r="B163" s="256"/>
      <c r="C163" s="256"/>
      <c r="D163" s="268" t="s">
        <v>23</v>
      </c>
      <c r="E163" s="256"/>
      <c r="F163" s="256"/>
      <c r="G163" s="259"/>
      <c r="H163" s="273" t="s">
        <v>14</v>
      </c>
      <c r="I163" s="270"/>
      <c r="J163" s="270"/>
      <c r="K163" s="227"/>
      <c r="L163" s="71">
        <f ca="1">L164+L165</f>
        <v>0</v>
      </c>
      <c r="M163" s="72">
        <f ca="1">M164+M165</f>
        <v>0</v>
      </c>
      <c r="N163" s="72">
        <f ca="1">N164+N165</f>
        <v>0</v>
      </c>
      <c r="O163" s="72">
        <f t="shared" ca="1" si="45"/>
        <v>0</v>
      </c>
      <c r="P163" s="72">
        <f t="shared" ca="1" si="46"/>
        <v>0</v>
      </c>
      <c r="Q163" s="72">
        <f>Q164+Q165</f>
        <v>0</v>
      </c>
      <c r="R163" s="72">
        <f>R164+R165</f>
        <v>0</v>
      </c>
      <c r="S163" s="72">
        <f>S164+S165</f>
        <v>0</v>
      </c>
      <c r="T163" s="72">
        <f t="shared" si="47"/>
        <v>0</v>
      </c>
      <c r="U163" s="72">
        <f t="shared" si="48"/>
        <v>0</v>
      </c>
    </row>
    <row r="164" spans="1:21" ht="18.75" hidden="1" x14ac:dyDescent="0.25">
      <c r="A164" s="255"/>
      <c r="B164" s="267"/>
      <c r="C164" s="267"/>
      <c r="D164" s="267"/>
      <c r="E164" s="263" t="s">
        <v>20</v>
      </c>
      <c r="F164" s="256"/>
      <c r="G164" s="259"/>
      <c r="H164" s="271" t="s">
        <v>14</v>
      </c>
      <c r="I164" s="270"/>
      <c r="J164" s="270"/>
      <c r="K164" s="227"/>
      <c r="L164" s="74">
        <v>0</v>
      </c>
      <c r="M164" s="75">
        <v>0</v>
      </c>
      <c r="N164" s="75">
        <v>0</v>
      </c>
      <c r="O164" s="75">
        <f t="shared" si="45"/>
        <v>0</v>
      </c>
      <c r="P164" s="75">
        <f t="shared" si="46"/>
        <v>0</v>
      </c>
      <c r="Q164" s="75">
        <v>0</v>
      </c>
      <c r="R164" s="75">
        <v>0</v>
      </c>
      <c r="S164" s="75">
        <v>0</v>
      </c>
      <c r="T164" s="75">
        <f t="shared" si="47"/>
        <v>0</v>
      </c>
      <c r="U164" s="75">
        <f t="shared" si="48"/>
        <v>0</v>
      </c>
    </row>
    <row r="165" spans="1:21" ht="18.75" hidden="1" x14ac:dyDescent="0.25">
      <c r="A165" s="255"/>
      <c r="B165" s="267"/>
      <c r="C165" s="267"/>
      <c r="D165" s="256"/>
      <c r="E165" s="265" t="s">
        <v>21</v>
      </c>
      <c r="F165" s="256"/>
      <c r="G165" s="259"/>
      <c r="H165" s="273" t="s">
        <v>14</v>
      </c>
      <c r="I165" s="270"/>
      <c r="J165" s="270"/>
      <c r="K165" s="227"/>
      <c r="L165" s="71">
        <f ca="1">IFERROR(__xludf.DUMMYFUNCTION("IMPORTRANGE(""https://docs.google.com/spreadsheets/d/1-uDff_7J0KD5mKrp0Vvzr7lt3OU09vwQwhkpOPPYv2Y/edit?usp=sharing"",""งบพรบ!CD60"")"),0)</f>
        <v>0</v>
      </c>
      <c r="M165" s="72">
        <f ca="1">IFERROR(__xludf.DUMMYFUNCTION("IMPORTRANGE(""https://docs.google.com/spreadsheets/d/1-uDff_7J0KD5mKrp0Vvzr7lt3OU09vwQwhkpOPPYv2Y/edit?usp=sharing"",""งบพรบ!CG60"")"),0)</f>
        <v>0</v>
      </c>
      <c r="N165" s="72">
        <f ca="1">IFERROR(__xludf.DUMMYFUNCTION("IMPORTRANGE(""https://docs.google.com/spreadsheets/d/1-uDff_7J0KD5mKrp0Vvzr7lt3OU09vwQwhkpOPPYv2Y/edit?usp=sharing"",""งบพรบ!CI60"")"),0)</f>
        <v>0</v>
      </c>
      <c r="O165" s="72">
        <f t="shared" ca="1" si="45"/>
        <v>0</v>
      </c>
      <c r="P165" s="72">
        <f t="shared" ca="1" si="46"/>
        <v>0</v>
      </c>
      <c r="Q165" s="72">
        <v>0</v>
      </c>
      <c r="R165" s="72">
        <v>0</v>
      </c>
      <c r="S165" s="72">
        <v>0</v>
      </c>
      <c r="T165" s="72">
        <f t="shared" si="47"/>
        <v>0</v>
      </c>
      <c r="U165" s="72">
        <f t="shared" si="48"/>
        <v>0</v>
      </c>
    </row>
    <row r="166" spans="1:21" ht="19.5" hidden="1" x14ac:dyDescent="0.3">
      <c r="A166" s="274"/>
      <c r="B166" s="275"/>
      <c r="C166" s="276" t="s">
        <v>18</v>
      </c>
      <c r="D166" s="800" t="s">
        <v>38</v>
      </c>
      <c r="E166" s="278"/>
      <c r="F166" s="278"/>
      <c r="G166" s="279"/>
      <c r="H166" s="305"/>
      <c r="I166" s="261"/>
      <c r="J166" s="261"/>
      <c r="K166" s="85"/>
      <c r="L166" s="84"/>
      <c r="M166" s="85"/>
      <c r="N166" s="85"/>
      <c r="O166" s="85"/>
      <c r="P166" s="85"/>
      <c r="Q166" s="85"/>
      <c r="R166" s="85"/>
      <c r="S166" s="85"/>
      <c r="T166" s="85"/>
      <c r="U166" s="85"/>
    </row>
    <row r="167" spans="1:21" ht="18.75" hidden="1" x14ac:dyDescent="0.25">
      <c r="A167" s="255"/>
      <c r="B167" s="256"/>
      <c r="C167" s="256"/>
      <c r="D167" s="265" t="s">
        <v>69</v>
      </c>
      <c r="E167" s="256"/>
      <c r="F167" s="256"/>
      <c r="G167" s="259"/>
      <c r="H167" s="273" t="s">
        <v>35</v>
      </c>
      <c r="I167" s="291">
        <f ca="1">IFERROR(__xludf.DUMMYFUNCTION("IMPORTRANGE(""https://docs.google.com/spreadsheets/d/1eHaY18a8A9IcSdp1K8H6x8fbOy06t2VsZHhMHf-1x7Y/edit?usp=sharing"",""แผน!Z60"")"),0)</f>
        <v>0</v>
      </c>
      <c r="J167" s="292">
        <v>0</v>
      </c>
      <c r="K167" s="72">
        <f ca="1">IF(I167&gt;0,J167*100/I167,0)</f>
        <v>0</v>
      </c>
      <c r="L167" s="84"/>
      <c r="M167" s="85"/>
      <c r="N167" s="85"/>
      <c r="O167" s="85"/>
      <c r="P167" s="85"/>
      <c r="Q167" s="85"/>
      <c r="R167" s="85"/>
      <c r="S167" s="85"/>
      <c r="T167" s="85"/>
      <c r="U167" s="85"/>
    </row>
    <row r="168" spans="1:21" ht="18.75" hidden="1" x14ac:dyDescent="0.25">
      <c r="A168" s="255"/>
      <c r="B168" s="256"/>
      <c r="C168" s="256"/>
      <c r="D168" s="263" t="s">
        <v>70</v>
      </c>
      <c r="E168" s="256"/>
      <c r="F168" s="256"/>
      <c r="G168" s="259"/>
      <c r="H168" s="756" t="s">
        <v>35</v>
      </c>
      <c r="I168" s="570">
        <f ca="1">IFERROR(__xludf.DUMMYFUNCTION("IMPORTRANGE(""https://docs.google.com/spreadsheets/d/1eHaY18a8A9IcSdp1K8H6x8fbOy06t2VsZHhMHf-1x7Y/edit?usp=sharing"",""แผน!Z60"")"),0)</f>
        <v>0</v>
      </c>
      <c r="J168" s="832">
        <v>0</v>
      </c>
      <c r="K168" s="75">
        <f ca="1">IF(I168&gt;0,J168*100/I168,0)</f>
        <v>0</v>
      </c>
      <c r="L168" s="84"/>
      <c r="M168" s="85"/>
      <c r="N168" s="85"/>
      <c r="O168" s="85"/>
      <c r="P168" s="85"/>
      <c r="Q168" s="85"/>
      <c r="R168" s="85"/>
      <c r="S168" s="85"/>
      <c r="T168" s="85"/>
      <c r="U168" s="85"/>
    </row>
    <row r="169" spans="1:21" ht="18.75" hidden="1" x14ac:dyDescent="0.25">
      <c r="A169" s="976"/>
      <c r="B169" s="615"/>
      <c r="C169" s="615"/>
      <c r="D169" s="758" t="s">
        <v>71</v>
      </c>
      <c r="E169" s="615"/>
      <c r="F169" s="615"/>
      <c r="G169" s="616"/>
      <c r="H169" s="975" t="s">
        <v>35</v>
      </c>
      <c r="I169" s="760">
        <f ca="1">IFERROR(__xludf.DUMMYFUNCTION("IMPORTRANGE(""https://docs.google.com/spreadsheets/d/1eHaY18a8A9IcSdp1K8H6x8fbOy06t2VsZHhMHf-1x7Y/edit?usp=sharing"",""แผน!Z60"")"),0)</f>
        <v>0</v>
      </c>
      <c r="J169" s="829">
        <v>0</v>
      </c>
      <c r="K169" s="828">
        <f ca="1">IF(I169&gt;0,J169*100/I169,0)</f>
        <v>0</v>
      </c>
      <c r="L169" s="95"/>
      <c r="M169" s="96"/>
      <c r="N169" s="96"/>
      <c r="O169" s="96"/>
      <c r="P169" s="96"/>
      <c r="Q169" s="96"/>
      <c r="R169" s="96"/>
      <c r="S169" s="96"/>
      <c r="T169" s="96"/>
      <c r="U169" s="96"/>
    </row>
    <row r="170" spans="1:21" ht="19.5" x14ac:dyDescent="0.3">
      <c r="A170" s="974" t="s">
        <v>72</v>
      </c>
      <c r="B170" s="973"/>
      <c r="C170" s="973"/>
      <c r="D170" s="973"/>
      <c r="E170" s="972"/>
      <c r="F170" s="972"/>
      <c r="G170" s="972"/>
      <c r="H170" s="973"/>
      <c r="I170" s="971"/>
      <c r="J170" s="971"/>
      <c r="K170" s="345"/>
      <c r="L170" s="345"/>
      <c r="M170" s="345"/>
      <c r="N170" s="345"/>
      <c r="O170" s="345"/>
      <c r="P170" s="346"/>
      <c r="Q170" s="345"/>
      <c r="R170" s="345"/>
      <c r="S170" s="345"/>
      <c r="T170" s="345"/>
      <c r="U170" s="346"/>
    </row>
    <row r="171" spans="1:21" ht="19.5" x14ac:dyDescent="0.3">
      <c r="A171" s="970" t="s">
        <v>73</v>
      </c>
      <c r="B171" s="969"/>
      <c r="C171" s="969"/>
      <c r="D171" s="968"/>
      <c r="E171" s="968"/>
      <c r="F171" s="968"/>
      <c r="G171" s="968"/>
      <c r="H171" s="1162"/>
      <c r="I171" s="966"/>
      <c r="J171" s="966"/>
      <c r="K171" s="354"/>
      <c r="L171" s="353"/>
      <c r="M171" s="354"/>
      <c r="N171" s="354"/>
      <c r="O171" s="354"/>
      <c r="P171" s="354"/>
      <c r="Q171" s="354"/>
      <c r="R171" s="354"/>
      <c r="S171" s="354"/>
      <c r="T171" s="354"/>
      <c r="U171" s="354"/>
    </row>
    <row r="172" spans="1:21" ht="19.5" x14ac:dyDescent="0.3">
      <c r="A172" s="965"/>
      <c r="B172" s="885" t="s">
        <v>74</v>
      </c>
      <c r="C172" s="762"/>
      <c r="D172" s="278"/>
      <c r="E172" s="278"/>
      <c r="F172" s="278"/>
      <c r="G172" s="279"/>
      <c r="H172" s="1309" t="s">
        <v>35</v>
      </c>
      <c r="I172" s="963">
        <f ca="1">I183+I184</f>
        <v>7</v>
      </c>
      <c r="J172" s="963">
        <f>J183+J184</f>
        <v>7</v>
      </c>
      <c r="K172" s="962">
        <f ca="1">IF(I172&gt;0,J172*100/I172,0)</f>
        <v>100</v>
      </c>
      <c r="L172" s="362"/>
      <c r="M172" s="363"/>
      <c r="N172" s="363"/>
      <c r="O172" s="363"/>
      <c r="P172" s="363"/>
      <c r="Q172" s="363"/>
      <c r="R172" s="363"/>
      <c r="S172" s="363"/>
      <c r="T172" s="363"/>
      <c r="U172" s="363"/>
    </row>
    <row r="173" spans="1:21" ht="19.5" x14ac:dyDescent="0.3">
      <c r="A173" s="255"/>
      <c r="B173" s="256"/>
      <c r="C173" s="668" t="s">
        <v>18</v>
      </c>
      <c r="D173" s="258" t="s">
        <v>19</v>
      </c>
      <c r="E173" s="256"/>
      <c r="F173" s="256"/>
      <c r="G173" s="259"/>
      <c r="H173" s="260" t="s">
        <v>14</v>
      </c>
      <c r="I173" s="261"/>
      <c r="J173" s="261"/>
      <c r="K173" s="85"/>
      <c r="L173" s="389">
        <f ca="1">L174+L175</f>
        <v>19590</v>
      </c>
      <c r="M173" s="262">
        <f ca="1">M174+M175</f>
        <v>29290</v>
      </c>
      <c r="N173" s="262">
        <f ca="1">N174+N175</f>
        <v>29290</v>
      </c>
      <c r="O173" s="262">
        <f t="shared" ref="O173:O181" ca="1" si="51">IF(L173&gt;0,N173*100/L173,0)</f>
        <v>149.51505870342012</v>
      </c>
      <c r="P173" s="262">
        <f t="shared" ref="P173:P181" ca="1" si="52">IF(M173&gt;0,N173*100/M173,0)</f>
        <v>100</v>
      </c>
      <c r="Q173" s="262">
        <f ca="1">Q174+Q175</f>
        <v>0</v>
      </c>
      <c r="R173" s="262">
        <f ca="1">R174+R175</f>
        <v>0</v>
      </c>
      <c r="S173" s="262">
        <f ca="1">S174+S175</f>
        <v>0</v>
      </c>
      <c r="T173" s="262">
        <f t="shared" ref="T173:T181" ca="1" si="53">IF(Q173&gt;0,S173*100/Q173,0)</f>
        <v>0</v>
      </c>
      <c r="U173" s="262">
        <f t="shared" ref="U173:U181" ca="1" si="54">IF(R173&gt;0,S173*100/R173,0)</f>
        <v>0</v>
      </c>
    </row>
    <row r="174" spans="1:21" ht="18.75" hidden="1" x14ac:dyDescent="0.25">
      <c r="A174" s="255"/>
      <c r="B174" s="256"/>
      <c r="C174" s="256"/>
      <c r="D174" s="256"/>
      <c r="E174" s="263" t="s">
        <v>20</v>
      </c>
      <c r="F174" s="256"/>
      <c r="G174" s="259"/>
      <c r="H174" s="264" t="s">
        <v>14</v>
      </c>
      <c r="I174" s="261"/>
      <c r="J174" s="261"/>
      <c r="K174" s="85"/>
      <c r="L174" s="74">
        <f t="shared" ref="L174:N175" si="55">L177+L180</f>
        <v>0</v>
      </c>
      <c r="M174" s="75">
        <f t="shared" si="55"/>
        <v>0</v>
      </c>
      <c r="N174" s="75">
        <f t="shared" si="55"/>
        <v>0</v>
      </c>
      <c r="O174" s="75">
        <f t="shared" si="51"/>
        <v>0</v>
      </c>
      <c r="P174" s="75">
        <f t="shared" si="52"/>
        <v>0</v>
      </c>
      <c r="Q174" s="75">
        <f t="shared" ref="Q174:S175" si="56">Q177+Q180</f>
        <v>0</v>
      </c>
      <c r="R174" s="75">
        <f t="shared" si="56"/>
        <v>0</v>
      </c>
      <c r="S174" s="75">
        <f t="shared" si="56"/>
        <v>0</v>
      </c>
      <c r="T174" s="75">
        <f t="shared" si="53"/>
        <v>0</v>
      </c>
      <c r="U174" s="75">
        <f t="shared" si="54"/>
        <v>0</v>
      </c>
    </row>
    <row r="175" spans="1:21" ht="18.75" hidden="1" x14ac:dyDescent="0.25">
      <c r="A175" s="255"/>
      <c r="B175" s="256"/>
      <c r="C175" s="256"/>
      <c r="D175" s="256"/>
      <c r="E175" s="265" t="s">
        <v>21</v>
      </c>
      <c r="F175" s="256"/>
      <c r="G175" s="259"/>
      <c r="H175" s="266" t="s">
        <v>14</v>
      </c>
      <c r="I175" s="261"/>
      <c r="J175" s="261"/>
      <c r="K175" s="85"/>
      <c r="L175" s="71">
        <f t="shared" ca="1" si="55"/>
        <v>19590</v>
      </c>
      <c r="M175" s="72">
        <f t="shared" ca="1" si="55"/>
        <v>29290</v>
      </c>
      <c r="N175" s="72">
        <f t="shared" ca="1" si="55"/>
        <v>29290</v>
      </c>
      <c r="O175" s="72">
        <f t="shared" ca="1" si="51"/>
        <v>149.51505870342012</v>
      </c>
      <c r="P175" s="72">
        <f t="shared" ca="1" si="52"/>
        <v>100</v>
      </c>
      <c r="Q175" s="72">
        <f t="shared" ca="1" si="56"/>
        <v>0</v>
      </c>
      <c r="R175" s="72">
        <f t="shared" ca="1" si="56"/>
        <v>0</v>
      </c>
      <c r="S175" s="72">
        <f t="shared" ca="1" si="56"/>
        <v>0</v>
      </c>
      <c r="T175" s="72">
        <f t="shared" ca="1" si="53"/>
        <v>0</v>
      </c>
      <c r="U175" s="72">
        <f t="shared" ca="1" si="54"/>
        <v>0</v>
      </c>
    </row>
    <row r="176" spans="1:21" ht="18.75" x14ac:dyDescent="0.25">
      <c r="A176" s="255"/>
      <c r="B176" s="267"/>
      <c r="C176" s="256"/>
      <c r="D176" s="268" t="s">
        <v>22</v>
      </c>
      <c r="E176" s="256"/>
      <c r="F176" s="256"/>
      <c r="G176" s="259"/>
      <c r="H176" s="269" t="s">
        <v>14</v>
      </c>
      <c r="I176" s="270"/>
      <c r="J176" s="270"/>
      <c r="K176" s="227"/>
      <c r="L176" s="71">
        <f ca="1">L177+L178</f>
        <v>19590</v>
      </c>
      <c r="M176" s="72">
        <f ca="1">M177+M178</f>
        <v>29290</v>
      </c>
      <c r="N176" s="72">
        <f ca="1">N177+N178</f>
        <v>29290</v>
      </c>
      <c r="O176" s="72">
        <f t="shared" ca="1" si="51"/>
        <v>149.51505870342012</v>
      </c>
      <c r="P176" s="72">
        <f t="shared" ca="1" si="52"/>
        <v>100</v>
      </c>
      <c r="Q176" s="72">
        <f ca="1">Q177+Q178</f>
        <v>0</v>
      </c>
      <c r="R176" s="72">
        <f ca="1">R177+R178</f>
        <v>0</v>
      </c>
      <c r="S176" s="72">
        <f ca="1">S177+S178</f>
        <v>0</v>
      </c>
      <c r="T176" s="72">
        <f t="shared" ca="1" si="53"/>
        <v>0</v>
      </c>
      <c r="U176" s="72">
        <f t="shared" ca="1" si="54"/>
        <v>0</v>
      </c>
    </row>
    <row r="177" spans="1:21" ht="18.75" hidden="1" x14ac:dyDescent="0.25">
      <c r="A177" s="255"/>
      <c r="B177" s="256"/>
      <c r="C177" s="267"/>
      <c r="D177" s="267"/>
      <c r="E177" s="263" t="s">
        <v>36</v>
      </c>
      <c r="F177" s="256"/>
      <c r="G177" s="259"/>
      <c r="H177" s="271" t="s">
        <v>14</v>
      </c>
      <c r="I177" s="270"/>
      <c r="J177" s="270"/>
      <c r="K177" s="227"/>
      <c r="L177" s="74">
        <v>0</v>
      </c>
      <c r="M177" s="75">
        <v>0</v>
      </c>
      <c r="N177" s="75">
        <v>0</v>
      </c>
      <c r="O177" s="75">
        <f t="shared" si="51"/>
        <v>0</v>
      </c>
      <c r="P177" s="75">
        <f t="shared" si="52"/>
        <v>0</v>
      </c>
      <c r="Q177" s="75">
        <v>0</v>
      </c>
      <c r="R177" s="75">
        <v>0</v>
      </c>
      <c r="S177" s="75">
        <v>0</v>
      </c>
      <c r="T177" s="75">
        <f t="shared" si="53"/>
        <v>0</v>
      </c>
      <c r="U177" s="75">
        <f t="shared" si="54"/>
        <v>0</v>
      </c>
    </row>
    <row r="178" spans="1:21" ht="18.75" hidden="1" x14ac:dyDescent="0.25">
      <c r="A178" s="255"/>
      <c r="B178" s="267"/>
      <c r="C178" s="267"/>
      <c r="D178" s="267"/>
      <c r="E178" s="265" t="s">
        <v>37</v>
      </c>
      <c r="F178" s="256"/>
      <c r="G178" s="259"/>
      <c r="H178" s="269" t="s">
        <v>14</v>
      </c>
      <c r="I178" s="270"/>
      <c r="J178" s="270"/>
      <c r="K178" s="227"/>
      <c r="L178" s="71">
        <f ca="1">IFERROR(__xludf.DUMMYFUNCTION("IMPORTRANGE(""https://docs.google.com/spreadsheets/d/1-uDff_7J0KD5mKrp0Vvzr7lt3OU09vwQwhkpOPPYv2Y/edit?usp=sharing"",""งบพรบ!CK60"")"),19590)</f>
        <v>19590</v>
      </c>
      <c r="M178" s="72">
        <f ca="1">IFERROR(__xludf.DUMMYFUNCTION("IMPORTRANGE(""https://docs.google.com/spreadsheets/d/1-uDff_7J0KD5mKrp0Vvzr7lt3OU09vwQwhkpOPPYv2Y/edit?usp=sharing"",""งบพรบ!CP60"")"),29290)</f>
        <v>29290</v>
      </c>
      <c r="N178" s="72">
        <f ca="1">IFERROR(__xludf.DUMMYFUNCTION("IMPORTRANGE(""https://docs.google.com/spreadsheets/d/1-uDff_7J0KD5mKrp0Vvzr7lt3OU09vwQwhkpOPPYv2Y/edit?usp=sharing"",""งบพรบ!CR60"")"),29290)</f>
        <v>29290</v>
      </c>
      <c r="O178" s="72">
        <f t="shared" ca="1" si="51"/>
        <v>149.51505870342012</v>
      </c>
      <c r="P178" s="72">
        <f t="shared" ca="1" si="52"/>
        <v>100</v>
      </c>
      <c r="Q178" s="72">
        <f ca="1">IFERROR(__xludf.DUMMYFUNCTION("IMPORTRANGE(""https://docs.google.com/spreadsheets/d/1ItG2mGa2ceCfYo0BwxsXqNm01IGEUdYcSSLTEv9YCik/edit?usp=sharing"",""เบิกจ่ายกองทุน!DG60"")"),0)</f>
        <v>0</v>
      </c>
      <c r="R178" s="72">
        <f ca="1">IFERROR(__xludf.DUMMYFUNCTION("IMPORTRANGE(""https://docs.google.com/spreadsheets/d/1ItG2mGa2ceCfYo0BwxsXqNm01IGEUdYcSSLTEv9YCik/edit?usp=sharing"",""เบิกจ่ายกองทุน!DH60"")"),0)</f>
        <v>0</v>
      </c>
      <c r="S178" s="72">
        <f ca="1">IFERROR(__xludf.DUMMYFUNCTION("IMPORTRANGE(""https://docs.google.com/spreadsheets/d/1ItG2mGa2ceCfYo0BwxsXqNm01IGEUdYcSSLTEv9YCik/edit?usp=sharing"",""เบิกจ่ายกองทุน!DI60"")"),0)</f>
        <v>0</v>
      </c>
      <c r="T178" s="72">
        <f t="shared" ca="1" si="53"/>
        <v>0</v>
      </c>
      <c r="U178" s="72">
        <f t="shared" ca="1" si="54"/>
        <v>0</v>
      </c>
    </row>
    <row r="179" spans="1:21" ht="18.75" x14ac:dyDescent="0.25">
      <c r="A179" s="255"/>
      <c r="B179" s="256"/>
      <c r="C179" s="267"/>
      <c r="D179" s="268" t="s">
        <v>23</v>
      </c>
      <c r="E179" s="256"/>
      <c r="F179" s="256"/>
      <c r="G179" s="259"/>
      <c r="H179" s="273" t="s">
        <v>14</v>
      </c>
      <c r="I179" s="270"/>
      <c r="J179" s="270"/>
      <c r="K179" s="227"/>
      <c r="L179" s="71">
        <f ca="1">L180+L181</f>
        <v>0</v>
      </c>
      <c r="M179" s="72">
        <f ca="1">M180+M181</f>
        <v>0</v>
      </c>
      <c r="N179" s="72">
        <f ca="1">N180+N181</f>
        <v>0</v>
      </c>
      <c r="O179" s="72">
        <f t="shared" ca="1" si="51"/>
        <v>0</v>
      </c>
      <c r="P179" s="72">
        <f t="shared" ca="1" si="52"/>
        <v>0</v>
      </c>
      <c r="Q179" s="72">
        <f>Q180+Q181</f>
        <v>0</v>
      </c>
      <c r="R179" s="72">
        <f>R180+R181</f>
        <v>0</v>
      </c>
      <c r="S179" s="72">
        <f>S180+S181</f>
        <v>0</v>
      </c>
      <c r="T179" s="72">
        <f t="shared" si="53"/>
        <v>0</v>
      </c>
      <c r="U179" s="72">
        <f t="shared" si="54"/>
        <v>0</v>
      </c>
    </row>
    <row r="180" spans="1:21" ht="18.75" hidden="1" x14ac:dyDescent="0.25">
      <c r="A180" s="255"/>
      <c r="B180" s="256"/>
      <c r="C180" s="256"/>
      <c r="D180" s="256"/>
      <c r="E180" s="263" t="s">
        <v>20</v>
      </c>
      <c r="F180" s="256"/>
      <c r="G180" s="259"/>
      <c r="H180" s="271" t="s">
        <v>14</v>
      </c>
      <c r="I180" s="270"/>
      <c r="J180" s="270"/>
      <c r="K180" s="227"/>
      <c r="L180" s="74">
        <v>0</v>
      </c>
      <c r="M180" s="75">
        <v>0</v>
      </c>
      <c r="N180" s="75">
        <v>0</v>
      </c>
      <c r="O180" s="75">
        <f t="shared" si="51"/>
        <v>0</v>
      </c>
      <c r="P180" s="75">
        <f t="shared" si="52"/>
        <v>0</v>
      </c>
      <c r="Q180" s="75">
        <v>0</v>
      </c>
      <c r="R180" s="75">
        <v>0</v>
      </c>
      <c r="S180" s="75">
        <v>0</v>
      </c>
      <c r="T180" s="75">
        <f t="shared" si="53"/>
        <v>0</v>
      </c>
      <c r="U180" s="75">
        <f t="shared" si="54"/>
        <v>0</v>
      </c>
    </row>
    <row r="181" spans="1:21" ht="18.75" hidden="1" x14ac:dyDescent="0.25">
      <c r="A181" s="255"/>
      <c r="B181" s="256"/>
      <c r="C181" s="256"/>
      <c r="D181" s="256"/>
      <c r="E181" s="265" t="s">
        <v>21</v>
      </c>
      <c r="F181" s="256"/>
      <c r="G181" s="259"/>
      <c r="H181" s="273" t="s">
        <v>14</v>
      </c>
      <c r="I181" s="270"/>
      <c r="J181" s="270"/>
      <c r="K181" s="227"/>
      <c r="L181" s="71">
        <f ca="1">IFERROR(__xludf.DUMMYFUNCTION("IMPORTRANGE(""https://docs.google.com/spreadsheets/d/1-uDff_7J0KD5mKrp0Vvzr7lt3OU09vwQwhkpOPPYv2Y/edit?usp=sharing"",""งบพรบ!CN60"")"),0)</f>
        <v>0</v>
      </c>
      <c r="M181" s="72">
        <f ca="1">IFERROR(__xludf.DUMMYFUNCTION("IMPORTRANGE(""https://docs.google.com/spreadsheets/d/1-uDff_7J0KD5mKrp0Vvzr7lt3OU09vwQwhkpOPPYv2Y/edit?usp=sharing"",""งบพรบ!CQ60"")"),0)</f>
        <v>0</v>
      </c>
      <c r="N181" s="72">
        <f ca="1">IFERROR(__xludf.DUMMYFUNCTION("IMPORTRANGE(""https://docs.google.com/spreadsheets/d/1-uDff_7J0KD5mKrp0Vvzr7lt3OU09vwQwhkpOPPYv2Y/edit?usp=sharing"",""งบพรบ!CS60"")"),0)</f>
        <v>0</v>
      </c>
      <c r="O181" s="72">
        <f t="shared" ca="1" si="51"/>
        <v>0</v>
      </c>
      <c r="P181" s="72">
        <f t="shared" ca="1" si="52"/>
        <v>0</v>
      </c>
      <c r="Q181" s="72">
        <v>0</v>
      </c>
      <c r="R181" s="72">
        <v>0</v>
      </c>
      <c r="S181" s="72">
        <v>0</v>
      </c>
      <c r="T181" s="72">
        <f t="shared" si="53"/>
        <v>0</v>
      </c>
      <c r="U181" s="72">
        <f t="shared" si="54"/>
        <v>0</v>
      </c>
    </row>
    <row r="182" spans="1:21" ht="19.5" x14ac:dyDescent="0.3">
      <c r="A182" s="274"/>
      <c r="B182" s="275"/>
      <c r="C182" s="668" t="s">
        <v>18</v>
      </c>
      <c r="D182" s="800" t="s">
        <v>38</v>
      </c>
      <c r="E182" s="278"/>
      <c r="F182" s="278"/>
      <c r="G182" s="279"/>
      <c r="H182" s="305"/>
      <c r="I182" s="261"/>
      <c r="J182" s="261"/>
      <c r="K182" s="85"/>
      <c r="L182" s="84"/>
      <c r="M182" s="85"/>
      <c r="N182" s="85"/>
      <c r="O182" s="85"/>
      <c r="P182" s="85"/>
      <c r="Q182" s="85"/>
      <c r="R182" s="85"/>
      <c r="S182" s="85"/>
      <c r="T182" s="85"/>
      <c r="U182" s="85"/>
    </row>
    <row r="183" spans="1:21" ht="18.75" x14ac:dyDescent="0.25">
      <c r="A183" s="529"/>
      <c r="B183" s="256"/>
      <c r="C183" s="267"/>
      <c r="D183" s="567" t="s">
        <v>75</v>
      </c>
      <c r="E183" s="256"/>
      <c r="F183" s="256"/>
      <c r="G183" s="259"/>
      <c r="H183" s="302" t="s">
        <v>35</v>
      </c>
      <c r="I183" s="291">
        <f ca="1">IFERROR(__xludf.DUMMYFUNCTION("IMPORTRANGE(""https://docs.google.com/spreadsheets/d/1eHaY18a8A9IcSdp1K8H6x8fbOy06t2VsZHhMHf-1x7Y/edit?usp=sharing"",""แผน!AA60"")"),7)</f>
        <v>7</v>
      </c>
      <c r="J183" s="292">
        <v>7</v>
      </c>
      <c r="K183" s="72">
        <f ca="1">IF(I183&gt;0,J183*100/I183,0)</f>
        <v>100</v>
      </c>
      <c r="L183" s="84"/>
      <c r="M183" s="85"/>
      <c r="N183" s="85"/>
      <c r="O183" s="85"/>
      <c r="P183" s="85"/>
      <c r="Q183" s="85"/>
      <c r="R183" s="85"/>
      <c r="S183" s="85"/>
      <c r="T183" s="85"/>
      <c r="U183" s="85"/>
    </row>
    <row r="184" spans="1:21" ht="18.75" hidden="1" x14ac:dyDescent="0.25">
      <c r="A184" s="529"/>
      <c r="B184" s="267"/>
      <c r="C184" s="267"/>
      <c r="D184" s="569" t="s">
        <v>76</v>
      </c>
      <c r="E184" s="256"/>
      <c r="F184" s="256"/>
      <c r="G184" s="259"/>
      <c r="H184" s="303" t="s">
        <v>35</v>
      </c>
      <c r="I184" s="570">
        <v>0</v>
      </c>
      <c r="J184" s="570">
        <v>0</v>
      </c>
      <c r="K184" s="75">
        <f>IF(I184&gt;0,J184*100/I184,0)</f>
        <v>0</v>
      </c>
      <c r="L184" s="84"/>
      <c r="M184" s="85"/>
      <c r="N184" s="85"/>
      <c r="O184" s="85"/>
      <c r="P184" s="85"/>
      <c r="Q184" s="85"/>
      <c r="R184" s="85"/>
      <c r="S184" s="85"/>
      <c r="T184" s="85"/>
      <c r="U184" s="85"/>
    </row>
    <row r="185" spans="1:21" ht="19.5" x14ac:dyDescent="0.3">
      <c r="A185" s="965"/>
      <c r="B185" s="885" t="s">
        <v>77</v>
      </c>
      <c r="C185" s="762"/>
      <c r="D185" s="278"/>
      <c r="E185" s="278"/>
      <c r="F185" s="278"/>
      <c r="G185" s="279"/>
      <c r="H185" s="1309" t="s">
        <v>35</v>
      </c>
      <c r="I185" s="963">
        <f ca="1">I230+I231</f>
        <v>15</v>
      </c>
      <c r="J185" s="963">
        <f>J230+J231</f>
        <v>15</v>
      </c>
      <c r="K185" s="962">
        <f ca="1">IF(I185&gt;0,J185*100/I185,0)</f>
        <v>100</v>
      </c>
      <c r="L185" s="362"/>
      <c r="M185" s="363"/>
      <c r="N185" s="363"/>
      <c r="O185" s="363"/>
      <c r="P185" s="363"/>
      <c r="Q185" s="363"/>
      <c r="R185" s="363"/>
      <c r="S185" s="363"/>
      <c r="T185" s="363"/>
      <c r="U185" s="363"/>
    </row>
    <row r="186" spans="1:21" ht="19.5" x14ac:dyDescent="0.3">
      <c r="A186" s="255"/>
      <c r="B186" s="256"/>
      <c r="C186" s="668" t="s">
        <v>18</v>
      </c>
      <c r="D186" s="258" t="s">
        <v>19</v>
      </c>
      <c r="E186" s="256"/>
      <c r="F186" s="256"/>
      <c r="G186" s="259"/>
      <c r="H186" s="260" t="s">
        <v>14</v>
      </c>
      <c r="I186" s="261"/>
      <c r="J186" s="261"/>
      <c r="K186" s="85"/>
      <c r="L186" s="389">
        <f ca="1">L187+L188</f>
        <v>284700</v>
      </c>
      <c r="M186" s="262">
        <f ca="1">M187+M188</f>
        <v>288220</v>
      </c>
      <c r="N186" s="262">
        <f ca="1">N187+N188</f>
        <v>179574.46</v>
      </c>
      <c r="O186" s="262">
        <f t="shared" ref="O186:O194" ca="1" si="57">IF(L186&gt;0,N186*100/L186,0)</f>
        <v>63.074977168949772</v>
      </c>
      <c r="P186" s="262">
        <f t="shared" ref="P186:P194" ca="1" si="58">IF(M186&gt;0,N186*100/M186,0)</f>
        <v>62.304649226285477</v>
      </c>
      <c r="Q186" s="262">
        <f ca="1">Q187+Q188</f>
        <v>0</v>
      </c>
      <c r="R186" s="262">
        <f ca="1">R187+R188</f>
        <v>0</v>
      </c>
      <c r="S186" s="262">
        <f ca="1">S187+S188</f>
        <v>0</v>
      </c>
      <c r="T186" s="262">
        <f t="shared" ref="T186:T194" ca="1" si="59">IF(Q186&gt;0,S186*100/Q186,0)</f>
        <v>0</v>
      </c>
      <c r="U186" s="262">
        <f t="shared" ref="U186:U194" ca="1" si="60">IF(R186&gt;0,S186*100/R186,0)</f>
        <v>0</v>
      </c>
    </row>
    <row r="187" spans="1:21" ht="18.75" hidden="1" x14ac:dyDescent="0.25">
      <c r="A187" s="255"/>
      <c r="B187" s="256"/>
      <c r="C187" s="256"/>
      <c r="D187" s="256"/>
      <c r="E187" s="263" t="s">
        <v>20</v>
      </c>
      <c r="F187" s="256"/>
      <c r="G187" s="259"/>
      <c r="H187" s="264" t="s">
        <v>14</v>
      </c>
      <c r="I187" s="261"/>
      <c r="J187" s="261"/>
      <c r="K187" s="85"/>
      <c r="L187" s="74">
        <f t="shared" ref="L187:N188" si="61">L190+L193</f>
        <v>0</v>
      </c>
      <c r="M187" s="75">
        <f t="shared" si="61"/>
        <v>0</v>
      </c>
      <c r="N187" s="75">
        <f t="shared" si="61"/>
        <v>0</v>
      </c>
      <c r="O187" s="75">
        <f t="shared" si="57"/>
        <v>0</v>
      </c>
      <c r="P187" s="75">
        <f t="shared" si="58"/>
        <v>0</v>
      </c>
      <c r="Q187" s="75">
        <f t="shared" ref="Q187:S188" si="62">Q190+Q193</f>
        <v>0</v>
      </c>
      <c r="R187" s="75">
        <f t="shared" si="62"/>
        <v>0</v>
      </c>
      <c r="S187" s="75">
        <f t="shared" si="62"/>
        <v>0</v>
      </c>
      <c r="T187" s="75">
        <f t="shared" si="59"/>
        <v>0</v>
      </c>
      <c r="U187" s="75">
        <f t="shared" si="60"/>
        <v>0</v>
      </c>
    </row>
    <row r="188" spans="1:21" ht="18.75" hidden="1" x14ac:dyDescent="0.25">
      <c r="A188" s="255"/>
      <c r="B188" s="256"/>
      <c r="C188" s="256"/>
      <c r="D188" s="256"/>
      <c r="E188" s="265" t="s">
        <v>21</v>
      </c>
      <c r="F188" s="256"/>
      <c r="G188" s="259"/>
      <c r="H188" s="266" t="s">
        <v>14</v>
      </c>
      <c r="I188" s="261"/>
      <c r="J188" s="261"/>
      <c r="K188" s="85"/>
      <c r="L188" s="71">
        <f t="shared" ca="1" si="61"/>
        <v>284700</v>
      </c>
      <c r="M188" s="72">
        <f t="shared" ca="1" si="61"/>
        <v>288220</v>
      </c>
      <c r="N188" s="72">
        <f t="shared" ca="1" si="61"/>
        <v>179574.46</v>
      </c>
      <c r="O188" s="72">
        <f t="shared" ca="1" si="57"/>
        <v>63.074977168949772</v>
      </c>
      <c r="P188" s="72">
        <f t="shared" ca="1" si="58"/>
        <v>62.304649226285477</v>
      </c>
      <c r="Q188" s="72">
        <f t="shared" ca="1" si="62"/>
        <v>0</v>
      </c>
      <c r="R188" s="72">
        <f t="shared" ca="1" si="62"/>
        <v>0</v>
      </c>
      <c r="S188" s="72">
        <f t="shared" ca="1" si="62"/>
        <v>0</v>
      </c>
      <c r="T188" s="72">
        <f t="shared" ca="1" si="59"/>
        <v>0</v>
      </c>
      <c r="U188" s="72">
        <f t="shared" ca="1" si="60"/>
        <v>0</v>
      </c>
    </row>
    <row r="189" spans="1:21" ht="18.75" x14ac:dyDescent="0.25">
      <c r="A189" s="255"/>
      <c r="B189" s="267"/>
      <c r="C189" s="256"/>
      <c r="D189" s="268" t="s">
        <v>22</v>
      </c>
      <c r="E189" s="256"/>
      <c r="F189" s="256"/>
      <c r="G189" s="259"/>
      <c r="H189" s="269" t="s">
        <v>14</v>
      </c>
      <c r="I189" s="270"/>
      <c r="J189" s="270"/>
      <c r="K189" s="227"/>
      <c r="L189" s="71">
        <f ca="1">L190+L191</f>
        <v>284700</v>
      </c>
      <c r="M189" s="72">
        <f ca="1">M190+M191</f>
        <v>288220</v>
      </c>
      <c r="N189" s="72">
        <f ca="1">N190+N191</f>
        <v>179574.46</v>
      </c>
      <c r="O189" s="72">
        <f t="shared" ca="1" si="57"/>
        <v>63.074977168949772</v>
      </c>
      <c r="P189" s="72">
        <f t="shared" ca="1" si="58"/>
        <v>62.304649226285477</v>
      </c>
      <c r="Q189" s="72">
        <f ca="1">Q190+Q191</f>
        <v>0</v>
      </c>
      <c r="R189" s="72">
        <f ca="1">R190+R191</f>
        <v>0</v>
      </c>
      <c r="S189" s="72">
        <f ca="1">S190+S191</f>
        <v>0</v>
      </c>
      <c r="T189" s="72">
        <f t="shared" ca="1" si="59"/>
        <v>0</v>
      </c>
      <c r="U189" s="72">
        <f t="shared" ca="1" si="60"/>
        <v>0</v>
      </c>
    </row>
    <row r="190" spans="1:21" ht="18.75" hidden="1" x14ac:dyDescent="0.25">
      <c r="A190" s="255"/>
      <c r="B190" s="256"/>
      <c r="C190" s="256"/>
      <c r="D190" s="256"/>
      <c r="E190" s="263" t="s">
        <v>36</v>
      </c>
      <c r="F190" s="256"/>
      <c r="G190" s="259"/>
      <c r="H190" s="271" t="s">
        <v>14</v>
      </c>
      <c r="I190" s="270"/>
      <c r="J190" s="270"/>
      <c r="K190" s="227"/>
      <c r="L190" s="74">
        <v>0</v>
      </c>
      <c r="M190" s="75">
        <v>0</v>
      </c>
      <c r="N190" s="75">
        <v>0</v>
      </c>
      <c r="O190" s="75">
        <f t="shared" si="57"/>
        <v>0</v>
      </c>
      <c r="P190" s="75">
        <f t="shared" si="58"/>
        <v>0</v>
      </c>
      <c r="Q190" s="75">
        <v>0</v>
      </c>
      <c r="R190" s="75">
        <v>0</v>
      </c>
      <c r="S190" s="75">
        <v>0</v>
      </c>
      <c r="T190" s="75">
        <f t="shared" si="59"/>
        <v>0</v>
      </c>
      <c r="U190" s="75">
        <f t="shared" si="60"/>
        <v>0</v>
      </c>
    </row>
    <row r="191" spans="1:21" ht="18.75" hidden="1" x14ac:dyDescent="0.25">
      <c r="A191" s="255"/>
      <c r="B191" s="267"/>
      <c r="C191" s="256"/>
      <c r="D191" s="256"/>
      <c r="E191" s="265" t="s">
        <v>37</v>
      </c>
      <c r="F191" s="256"/>
      <c r="G191" s="259"/>
      <c r="H191" s="269" t="s">
        <v>14</v>
      </c>
      <c r="I191" s="270"/>
      <c r="J191" s="270"/>
      <c r="K191" s="227"/>
      <c r="L191" s="71">
        <f ca="1">IFERROR(__xludf.DUMMYFUNCTION("IMPORTRANGE(""https://docs.google.com/spreadsheets/d/1-uDff_7J0KD5mKrp0Vvzr7lt3OU09vwQwhkpOPPYv2Y/edit?usp=sharing"",""งบพรบ!CU60"")"),284700)</f>
        <v>284700</v>
      </c>
      <c r="M191" s="72">
        <f ca="1">IFERROR(__xludf.DUMMYFUNCTION("IMPORTRANGE(""https://docs.google.com/spreadsheets/d/1-uDff_7J0KD5mKrp0Vvzr7lt3OU09vwQwhkpOPPYv2Y/edit?usp=sharing"",""งบพรบ!CZ60"")"),288220)</f>
        <v>288220</v>
      </c>
      <c r="N191" s="72">
        <f ca="1">IFERROR(__xludf.DUMMYFUNCTION("IMPORTRANGE(""https://docs.google.com/spreadsheets/d/1-uDff_7J0KD5mKrp0Vvzr7lt3OU09vwQwhkpOPPYv2Y/edit?usp=sharing"",""งบพรบ!DB60"")"),179574.46)</f>
        <v>179574.46</v>
      </c>
      <c r="O191" s="72">
        <f t="shared" ca="1" si="57"/>
        <v>63.074977168949772</v>
      </c>
      <c r="P191" s="72">
        <f t="shared" ca="1" si="58"/>
        <v>62.304649226285477</v>
      </c>
      <c r="Q191" s="72">
        <f ca="1">IFERROR(__xludf.DUMMYFUNCTION("IMPORTRANGE(""https://docs.google.com/spreadsheets/d/1ItG2mGa2ceCfYo0BwxsXqNm01IGEUdYcSSLTEv9YCik/edit?usp=sharing"",""เบิกจ่ายกองทุน!BQ60"")"),0)</f>
        <v>0</v>
      </c>
      <c r="R191" s="72">
        <f ca="1">IFERROR(__xludf.DUMMYFUNCTION("IMPORTRANGE(""https://docs.google.com/spreadsheets/d/1ItG2mGa2ceCfYo0BwxsXqNm01IGEUdYcSSLTEv9YCik/edit?usp=sharing"",""เบิกจ่ายกองทุน!BR60"")"),0)</f>
        <v>0</v>
      </c>
      <c r="S191" s="72">
        <f ca="1">IFERROR(__xludf.DUMMYFUNCTION("IMPORTRANGE(""https://docs.google.com/spreadsheets/d/1ItG2mGa2ceCfYo0BwxsXqNm01IGEUdYcSSLTEv9YCik/edit?usp=sharing"",""เบิกจ่ายกองทุน!BS60"")"),0)</f>
        <v>0</v>
      </c>
      <c r="T191" s="72">
        <f t="shared" ca="1" si="59"/>
        <v>0</v>
      </c>
      <c r="U191" s="72">
        <f t="shared" ca="1" si="60"/>
        <v>0</v>
      </c>
    </row>
    <row r="192" spans="1:21" ht="18.75" x14ac:dyDescent="0.25">
      <c r="A192" s="255"/>
      <c r="B192" s="267"/>
      <c r="C192" s="267"/>
      <c r="D192" s="268" t="s">
        <v>23</v>
      </c>
      <c r="E192" s="256"/>
      <c r="F192" s="256"/>
      <c r="G192" s="259"/>
      <c r="H192" s="273" t="s">
        <v>14</v>
      </c>
      <c r="I192" s="270"/>
      <c r="J192" s="270"/>
      <c r="K192" s="227"/>
      <c r="L192" s="71">
        <f ca="1">L193+L194</f>
        <v>0</v>
      </c>
      <c r="M192" s="72">
        <f ca="1">M193+M194</f>
        <v>0</v>
      </c>
      <c r="N192" s="72">
        <f ca="1">N193+N194</f>
        <v>0</v>
      </c>
      <c r="O192" s="72">
        <f t="shared" ca="1" si="57"/>
        <v>0</v>
      </c>
      <c r="P192" s="72">
        <f t="shared" ca="1" si="58"/>
        <v>0</v>
      </c>
      <c r="Q192" s="72">
        <f ca="1">Q193+Q194</f>
        <v>0</v>
      </c>
      <c r="R192" s="72">
        <f ca="1">R193+R194</f>
        <v>0</v>
      </c>
      <c r="S192" s="72">
        <f ca="1">S193+S194</f>
        <v>0</v>
      </c>
      <c r="T192" s="72">
        <f t="shared" ca="1" si="59"/>
        <v>0</v>
      </c>
      <c r="U192" s="72">
        <f t="shared" ca="1" si="60"/>
        <v>0</v>
      </c>
    </row>
    <row r="193" spans="1:21" ht="18.75" hidden="1" x14ac:dyDescent="0.25">
      <c r="A193" s="255"/>
      <c r="B193" s="267"/>
      <c r="C193" s="267"/>
      <c r="D193" s="256"/>
      <c r="E193" s="263" t="s">
        <v>20</v>
      </c>
      <c r="F193" s="256"/>
      <c r="G193" s="259"/>
      <c r="H193" s="271" t="s">
        <v>14</v>
      </c>
      <c r="I193" s="270"/>
      <c r="J193" s="270"/>
      <c r="K193" s="227"/>
      <c r="L193" s="74">
        <v>0</v>
      </c>
      <c r="M193" s="75">
        <v>0</v>
      </c>
      <c r="N193" s="75">
        <v>0</v>
      </c>
      <c r="O193" s="75">
        <f t="shared" si="57"/>
        <v>0</v>
      </c>
      <c r="P193" s="75">
        <f t="shared" si="58"/>
        <v>0</v>
      </c>
      <c r="Q193" s="75">
        <v>0</v>
      </c>
      <c r="R193" s="75">
        <v>0</v>
      </c>
      <c r="S193" s="75">
        <v>0</v>
      </c>
      <c r="T193" s="75">
        <f t="shared" si="59"/>
        <v>0</v>
      </c>
      <c r="U193" s="75">
        <f t="shared" si="60"/>
        <v>0</v>
      </c>
    </row>
    <row r="194" spans="1:21" ht="18.75" hidden="1" x14ac:dyDescent="0.25">
      <c r="A194" s="255"/>
      <c r="B194" s="267"/>
      <c r="C194" s="267"/>
      <c r="D194" s="267"/>
      <c r="E194" s="265" t="s">
        <v>21</v>
      </c>
      <c r="F194" s="256"/>
      <c r="G194" s="259"/>
      <c r="H194" s="273" t="s">
        <v>14</v>
      </c>
      <c r="I194" s="270"/>
      <c r="J194" s="270"/>
      <c r="K194" s="227"/>
      <c r="L194" s="71">
        <f ca="1">IFERROR(__xludf.DUMMYFUNCTION("IMPORTRANGE(""https://docs.google.com/spreadsheets/d/1-uDff_7J0KD5mKrp0Vvzr7lt3OU09vwQwhkpOPPYv2Y/edit?usp=sharing"",""งบพรบ!CX60"")"),0)</f>
        <v>0</v>
      </c>
      <c r="M194" s="72">
        <f ca="1">IFERROR(__xludf.DUMMYFUNCTION("IMPORTRANGE(""https://docs.google.com/spreadsheets/d/1-uDff_7J0KD5mKrp0Vvzr7lt3OU09vwQwhkpOPPYv2Y/edit?usp=sharing"",""งบพรบ!DA60"")"),0)</f>
        <v>0</v>
      </c>
      <c r="N194" s="72">
        <f ca="1">IFERROR(__xludf.DUMMYFUNCTION("IMPORTRANGE(""https://docs.google.com/spreadsheets/d/1-uDff_7J0KD5mKrp0Vvzr7lt3OU09vwQwhkpOPPYv2Y/edit?usp=sharing"",""งบพรบ!DC60"")"),0)</f>
        <v>0</v>
      </c>
      <c r="O194" s="72">
        <f t="shared" ca="1" si="57"/>
        <v>0</v>
      </c>
      <c r="P194" s="72">
        <f t="shared" ca="1" si="58"/>
        <v>0</v>
      </c>
      <c r="Q194" s="72">
        <f ca="1">IFERROR(__xludf.DUMMYFUNCTION("IMPORTRANGE(""https://docs.google.com/spreadsheets/d/1ItG2mGa2ceCfYo0BwxsXqNm01IGEUdYcSSLTEv9YCik/edit?usp=sharing"",""เบิกจ่ายกองทุน!BT60"")"),0)</f>
        <v>0</v>
      </c>
      <c r="R194" s="72">
        <f ca="1">IFERROR(__xludf.DUMMYFUNCTION("IMPORTRANGE(""https://docs.google.com/spreadsheets/d/1ItG2mGa2ceCfYo0BwxsXqNm01IGEUdYcSSLTEv9YCik/edit?usp=sharing"",""เบิกจ่ายกองทุน!BU60"")"),0)</f>
        <v>0</v>
      </c>
      <c r="S194" s="72">
        <f ca="1">IFERROR(__xludf.DUMMYFUNCTION("IMPORTRANGE(""https://docs.google.com/spreadsheets/d/1ItG2mGa2ceCfYo0BwxsXqNm01IGEUdYcSSLTEv9YCik/edit?usp=sharing"",""เบิกจ่ายกองทุน!BV60"")"),0)</f>
        <v>0</v>
      </c>
      <c r="T194" s="72">
        <f t="shared" ca="1" si="59"/>
        <v>0</v>
      </c>
      <c r="U194" s="72">
        <f t="shared" ca="1" si="60"/>
        <v>0</v>
      </c>
    </row>
    <row r="195" spans="1:21" ht="19.5" x14ac:dyDescent="0.3">
      <c r="A195" s="532"/>
      <c r="B195" s="534"/>
      <c r="C195" s="1307" t="s">
        <v>78</v>
      </c>
      <c r="D195" s="534"/>
      <c r="E195" s="533"/>
      <c r="F195" s="533"/>
      <c r="G195" s="536"/>
      <c r="H195" s="537" t="s">
        <v>79</v>
      </c>
      <c r="I195" s="538">
        <f ca="1">I198</f>
        <v>4</v>
      </c>
      <c r="J195" s="538">
        <f>J198</f>
        <v>2</v>
      </c>
      <c r="K195" s="539">
        <f ca="1">IF(I195&gt;0,J195*100/I195,0)</f>
        <v>50</v>
      </c>
      <c r="L195" s="377"/>
      <c r="M195" s="378"/>
      <c r="N195" s="378"/>
      <c r="O195" s="378"/>
      <c r="P195" s="378"/>
      <c r="Q195" s="378"/>
      <c r="R195" s="378"/>
      <c r="S195" s="378"/>
      <c r="T195" s="378"/>
      <c r="U195" s="378"/>
    </row>
    <row r="196" spans="1:21" ht="19.5" x14ac:dyDescent="0.3">
      <c r="A196" s="255"/>
      <c r="B196" s="267"/>
      <c r="C196" s="668" t="s">
        <v>18</v>
      </c>
      <c r="D196" s="959" t="s">
        <v>19</v>
      </c>
      <c r="E196" s="256"/>
      <c r="F196" s="256"/>
      <c r="G196" s="259"/>
      <c r="H196" s="612" t="s">
        <v>14</v>
      </c>
      <c r="I196" s="261"/>
      <c r="J196" s="261"/>
      <c r="K196" s="85"/>
      <c r="L196" s="389">
        <f ca="1">IFERROR(__xludf.DUMMYFUNCTION("IMPORTRANGE(""https://docs.google.com/spreadsheets/d/1eHaY18a8A9IcSdp1K8H6x8fbOy06t2VsZHhMHf-1x7Y/edit?usp=sharing"",""แผน!AB60"")"),6000)</f>
        <v>6000</v>
      </c>
      <c r="M196" s="85"/>
      <c r="N196" s="961">
        <v>2000</v>
      </c>
      <c r="O196" s="262">
        <f ca="1">IF(L196&gt;0,N196*100/L196,0)</f>
        <v>33.333333333333336</v>
      </c>
      <c r="P196" s="262">
        <f>IF(M196&gt;0,N196*100/M196,0)</f>
        <v>0</v>
      </c>
      <c r="Q196" s="85"/>
      <c r="R196" s="85"/>
      <c r="S196" s="85"/>
      <c r="T196" s="85"/>
      <c r="U196" s="85"/>
    </row>
    <row r="197" spans="1:21" ht="19.5" x14ac:dyDescent="0.3">
      <c r="A197" s="274"/>
      <c r="B197" s="275"/>
      <c r="C197" s="668" t="s">
        <v>18</v>
      </c>
      <c r="D197" s="800" t="s">
        <v>38</v>
      </c>
      <c r="E197" s="278"/>
      <c r="F197" s="278"/>
      <c r="G197" s="279"/>
      <c r="H197" s="305"/>
      <c r="I197" s="261"/>
      <c r="J197" s="261"/>
      <c r="K197" s="85"/>
      <c r="L197" s="84"/>
      <c r="M197" s="85"/>
      <c r="N197" s="85"/>
      <c r="O197" s="85"/>
      <c r="P197" s="85"/>
      <c r="Q197" s="85"/>
      <c r="R197" s="85"/>
      <c r="S197" s="85"/>
      <c r="T197" s="85"/>
      <c r="U197" s="85"/>
    </row>
    <row r="198" spans="1:21" ht="18.75" x14ac:dyDescent="0.25">
      <c r="A198" s="274"/>
      <c r="B198" s="275"/>
      <c r="C198" s="275"/>
      <c r="D198" s="289" t="s">
        <v>80</v>
      </c>
      <c r="E198" s="288"/>
      <c r="F198" s="288"/>
      <c r="G198" s="280"/>
      <c r="H198" s="273" t="s">
        <v>79</v>
      </c>
      <c r="I198" s="291">
        <f ca="1">IFERROR(__xludf.DUMMYFUNCTION("IMPORTRANGE(""https://docs.google.com/spreadsheets/d/1eHaY18a8A9IcSdp1K8H6x8fbOy06t2VsZHhMHf-1x7Y/edit?usp=sharing"",""แผน!AE60"")"),4)</f>
        <v>4</v>
      </c>
      <c r="J198" s="292">
        <v>2</v>
      </c>
      <c r="K198" s="72">
        <f ca="1">IF(I198&gt;0,J198*100/I198,0)</f>
        <v>50</v>
      </c>
      <c r="L198" s="84"/>
      <c r="M198" s="85"/>
      <c r="N198" s="85"/>
      <c r="O198" s="85"/>
      <c r="P198" s="85"/>
      <c r="Q198" s="85"/>
      <c r="R198" s="85"/>
      <c r="S198" s="85"/>
      <c r="T198" s="85"/>
      <c r="U198" s="85"/>
    </row>
    <row r="199" spans="1:21" ht="18.75" x14ac:dyDescent="0.25">
      <c r="A199" s="274"/>
      <c r="B199" s="275"/>
      <c r="C199" s="275"/>
      <c r="D199" s="289" t="s">
        <v>81</v>
      </c>
      <c r="E199" s="288"/>
      <c r="F199" s="288"/>
      <c r="G199" s="280"/>
      <c r="H199" s="530" t="s">
        <v>35</v>
      </c>
      <c r="I199" s="261"/>
      <c r="J199" s="291">
        <f>J200+J201</f>
        <v>0</v>
      </c>
      <c r="K199" s="85"/>
      <c r="L199" s="84"/>
      <c r="M199" s="85"/>
      <c r="N199" s="85"/>
      <c r="O199" s="85"/>
      <c r="P199" s="85"/>
      <c r="Q199" s="85"/>
      <c r="R199" s="85"/>
      <c r="S199" s="85"/>
      <c r="T199" s="85"/>
      <c r="U199" s="85"/>
    </row>
    <row r="200" spans="1:21" ht="18.75" x14ac:dyDescent="0.25">
      <c r="A200" s="274"/>
      <c r="B200" s="275"/>
      <c r="C200" s="275"/>
      <c r="D200" s="275"/>
      <c r="E200" s="289" t="s">
        <v>82</v>
      </c>
      <c r="F200" s="288"/>
      <c r="G200" s="280"/>
      <c r="H200" s="530" t="s">
        <v>35</v>
      </c>
      <c r="I200" s="261"/>
      <c r="J200" s="292">
        <v>0</v>
      </c>
      <c r="K200" s="85"/>
      <c r="L200" s="84"/>
      <c r="M200" s="85"/>
      <c r="N200" s="85"/>
      <c r="O200" s="85"/>
      <c r="P200" s="85"/>
      <c r="Q200" s="85"/>
      <c r="R200" s="85"/>
      <c r="S200" s="85"/>
      <c r="T200" s="85"/>
      <c r="U200" s="85"/>
    </row>
    <row r="201" spans="1:21" ht="18.75" x14ac:dyDescent="0.25">
      <c r="A201" s="274"/>
      <c r="B201" s="275"/>
      <c r="C201" s="275"/>
      <c r="D201" s="275"/>
      <c r="E201" s="289" t="s">
        <v>83</v>
      </c>
      <c r="F201" s="288"/>
      <c r="G201" s="280"/>
      <c r="H201" s="530" t="s">
        <v>35</v>
      </c>
      <c r="I201" s="261"/>
      <c r="J201" s="292">
        <v>0</v>
      </c>
      <c r="K201" s="85"/>
      <c r="L201" s="84"/>
      <c r="M201" s="85"/>
      <c r="N201" s="85"/>
      <c r="O201" s="85"/>
      <c r="P201" s="85"/>
      <c r="Q201" s="85"/>
      <c r="R201" s="85"/>
      <c r="S201" s="85"/>
      <c r="T201" s="85"/>
      <c r="U201" s="85"/>
    </row>
    <row r="202" spans="1:21" ht="19.5" hidden="1" x14ac:dyDescent="0.3">
      <c r="A202" s="532"/>
      <c r="B202" s="534"/>
      <c r="C202" s="958" t="s">
        <v>84</v>
      </c>
      <c r="D202" s="533"/>
      <c r="E202" s="533"/>
      <c r="F202" s="533"/>
      <c r="G202" s="536"/>
      <c r="H202" s="881" t="s">
        <v>85</v>
      </c>
      <c r="I202" s="538">
        <f ca="1">I209</f>
        <v>0</v>
      </c>
      <c r="J202" s="538">
        <f>J209</f>
        <v>0</v>
      </c>
      <c r="K202" s="539">
        <f ca="1">IF(I202&gt;0,J202*100/I202,0)</f>
        <v>0</v>
      </c>
      <c r="L202" s="377"/>
      <c r="M202" s="378"/>
      <c r="N202" s="378"/>
      <c r="O202" s="378"/>
      <c r="P202" s="378"/>
      <c r="Q202" s="378"/>
      <c r="R202" s="378"/>
      <c r="S202" s="378"/>
      <c r="T202" s="378"/>
      <c r="U202" s="378"/>
    </row>
    <row r="203" spans="1:21" ht="19.5" hidden="1" x14ac:dyDescent="0.3">
      <c r="A203" s="255"/>
      <c r="B203" s="267"/>
      <c r="C203" s="276" t="s">
        <v>18</v>
      </c>
      <c r="D203" s="959" t="s">
        <v>19</v>
      </c>
      <c r="E203" s="256"/>
      <c r="F203" s="256"/>
      <c r="G203" s="259"/>
      <c r="H203" s="612" t="s">
        <v>14</v>
      </c>
      <c r="I203" s="270"/>
      <c r="J203" s="270"/>
      <c r="K203" s="227"/>
      <c r="L203" s="389">
        <f ca="1">L204+L205+L206+L207</f>
        <v>0</v>
      </c>
      <c r="M203" s="85"/>
      <c r="N203" s="262">
        <f>N204+N205+N206+N207</f>
        <v>0</v>
      </c>
      <c r="O203" s="262">
        <f ca="1">IF(L203&gt;0,N203*100/L203,0)</f>
        <v>0</v>
      </c>
      <c r="P203" s="262">
        <f>IF(M203&gt;0,N203*100/M203,0)</f>
        <v>0</v>
      </c>
      <c r="Q203" s="383">
        <f ca="1">Q204+Q205+Q206+Q207</f>
        <v>0</v>
      </c>
      <c r="R203" s="384"/>
      <c r="S203" s="385">
        <f>S204+S205+S206+S207</f>
        <v>0</v>
      </c>
      <c r="T203" s="385">
        <f ca="1">IF(Q203&gt;0,S203*100/Q203,0)</f>
        <v>0</v>
      </c>
      <c r="U203" s="385">
        <f>IF(R203&gt;0,S203*100/R203,0)</f>
        <v>0</v>
      </c>
    </row>
    <row r="204" spans="1:21" ht="18.75" hidden="1" x14ac:dyDescent="0.25">
      <c r="A204" s="255"/>
      <c r="B204" s="267"/>
      <c r="C204" s="267"/>
      <c r="D204" s="265" t="s">
        <v>86</v>
      </c>
      <c r="E204" s="256"/>
      <c r="F204" s="256"/>
      <c r="G204" s="259"/>
      <c r="H204" s="269" t="s">
        <v>14</v>
      </c>
      <c r="I204" s="270"/>
      <c r="J204" s="270"/>
      <c r="K204" s="227"/>
      <c r="L204" s="71">
        <f ca="1">IFERROR(__xludf.DUMMYFUNCTION("IMPORTRANGE(""https://docs.google.com/spreadsheets/d/1eHaY18a8A9IcSdp1K8H6x8fbOy06t2VsZHhMHf-1x7Y/edit?usp=sharing"",""แผน!AG60"")"),0)</f>
        <v>0</v>
      </c>
      <c r="M204" s="85"/>
      <c r="N204" s="387">
        <v>0</v>
      </c>
      <c r="O204" s="227"/>
      <c r="P204" s="85"/>
      <c r="Q204" s="71">
        <v>0</v>
      </c>
      <c r="R204" s="85"/>
      <c r="S204" s="72">
        <v>0</v>
      </c>
      <c r="T204" s="227"/>
      <c r="U204" s="85"/>
    </row>
    <row r="205" spans="1:21" ht="18.75" hidden="1" x14ac:dyDescent="0.25">
      <c r="A205" s="529"/>
      <c r="B205" s="267"/>
      <c r="C205" s="267"/>
      <c r="D205" s="265" t="s">
        <v>88</v>
      </c>
      <c r="E205" s="256"/>
      <c r="F205" s="256"/>
      <c r="G205" s="259"/>
      <c r="H205" s="290" t="s">
        <v>14</v>
      </c>
      <c r="I205" s="261"/>
      <c r="J205" s="261"/>
      <c r="K205" s="85"/>
      <c r="L205" s="71">
        <f ca="1">IFERROR(__xludf.DUMMYFUNCTION("IMPORTRANGE(""https://docs.google.com/spreadsheets/d/1eHaY18a8A9IcSdp1K8H6x8fbOy06t2VsZHhMHf-1x7Y/edit?usp=sharing"",""แผน!Ai60"")"),0)</f>
        <v>0</v>
      </c>
      <c r="M205" s="85"/>
      <c r="N205" s="387">
        <v>0</v>
      </c>
      <c r="O205" s="227"/>
      <c r="P205" s="85"/>
      <c r="Q205" s="71">
        <v>0</v>
      </c>
      <c r="R205" s="85"/>
      <c r="S205" s="72">
        <v>0</v>
      </c>
      <c r="T205" s="227"/>
      <c r="U205" s="85"/>
    </row>
    <row r="206" spans="1:21" ht="18.75" hidden="1" x14ac:dyDescent="0.25">
      <c r="A206" s="529"/>
      <c r="B206" s="267"/>
      <c r="C206" s="267"/>
      <c r="D206" s="265" t="s">
        <v>95</v>
      </c>
      <c r="E206" s="256"/>
      <c r="F206" s="256"/>
      <c r="G206" s="259"/>
      <c r="H206" s="290" t="s">
        <v>14</v>
      </c>
      <c r="I206" s="261"/>
      <c r="J206" s="261"/>
      <c r="K206" s="85"/>
      <c r="L206" s="71">
        <f ca="1">IFERROR(__xludf.DUMMYFUNCTION("IMPORTRANGE(""https://docs.google.com/spreadsheets/d/1eHaY18a8A9IcSdp1K8H6x8fbOy06t2VsZHhMHf-1x7Y/edit?usp=sharing"",""แผน!Aj60"")"),0)</f>
        <v>0</v>
      </c>
      <c r="M206" s="85"/>
      <c r="N206" s="387">
        <v>0</v>
      </c>
      <c r="O206" s="227"/>
      <c r="P206" s="85"/>
      <c r="Q206" s="71">
        <f ca="1">IFERROR(__xludf.DUMMYFUNCTION("IMPORTRANGE(""https://docs.google.com/spreadsheets/d/1eHaY18a8A9IcSdp1K8H6x8fbOy06t2VsZHhMHf-1x7Y/edit?usp=sharing"",""แผน!LV60"")"),0)</f>
        <v>0</v>
      </c>
      <c r="R206" s="85"/>
      <c r="S206" s="387">
        <v>0</v>
      </c>
      <c r="T206" s="227"/>
      <c r="U206" s="85"/>
    </row>
    <row r="207" spans="1:21" ht="18.75" hidden="1" x14ac:dyDescent="0.25">
      <c r="A207" s="529"/>
      <c r="B207" s="267"/>
      <c r="C207" s="256"/>
      <c r="D207" s="256"/>
      <c r="E207" s="256"/>
      <c r="F207" s="256"/>
      <c r="G207" s="259"/>
      <c r="H207" s="259"/>
      <c r="I207" s="261"/>
      <c r="J207" s="261"/>
      <c r="K207" s="85"/>
      <c r="L207" s="71">
        <f ca="1">IFERROR(__xludf.DUMMYFUNCTION("IMPORTRANGE(""https://docs.google.com/spreadsheets/d/1eHaY18a8A9IcSdp1K8H6x8fbOy06t2VsZHhMHf-1x7Y/edit?usp=sharing"",""แผน!AJ60"")"),0)</f>
        <v>0</v>
      </c>
      <c r="M207" s="85"/>
      <c r="N207" s="387">
        <v>0</v>
      </c>
      <c r="O207" s="227"/>
      <c r="P207" s="85"/>
      <c r="Q207" s="71">
        <v>0</v>
      </c>
      <c r="R207" s="85"/>
      <c r="S207" s="72">
        <v>0</v>
      </c>
      <c r="T207" s="227"/>
      <c r="U207" s="85"/>
    </row>
    <row r="208" spans="1:21" ht="19.5" hidden="1" x14ac:dyDescent="0.3">
      <c r="A208" s="274"/>
      <c r="B208" s="275"/>
      <c r="C208" s="257" t="s">
        <v>18</v>
      </c>
      <c r="D208" s="800" t="s">
        <v>38</v>
      </c>
      <c r="E208" s="278"/>
      <c r="F208" s="278"/>
      <c r="G208" s="279"/>
      <c r="H208" s="305"/>
      <c r="I208" s="270"/>
      <c r="J208" s="270"/>
      <c r="K208" s="227"/>
      <c r="L208" s="226"/>
      <c r="M208" s="227"/>
      <c r="N208" s="227"/>
      <c r="O208" s="227"/>
      <c r="P208" s="227"/>
      <c r="Q208" s="226"/>
      <c r="R208" s="227"/>
      <c r="S208" s="227"/>
      <c r="T208" s="227"/>
      <c r="U208" s="227"/>
    </row>
    <row r="209" spans="1:21" ht="18.75" hidden="1" x14ac:dyDescent="0.25">
      <c r="A209" s="274"/>
      <c r="B209" s="275"/>
      <c r="C209" s="275"/>
      <c r="D209" s="745" t="s">
        <v>90</v>
      </c>
      <c r="E209" s="288"/>
      <c r="F209" s="288"/>
      <c r="G209" s="280"/>
      <c r="H209" s="1308" t="s">
        <v>85</v>
      </c>
      <c r="I209" s="291">
        <f ca="1">IFERROR(__xludf.DUMMYFUNCTION("IMPORTRANGE(""https://docs.google.com/spreadsheets/d/1eHaY18a8A9IcSdp1K8H6x8fbOy06t2VsZHhMHf-1x7Y/edit?usp=sharing"",""แผน!AK60"")"),0)</f>
        <v>0</v>
      </c>
      <c r="J209" s="292">
        <v>0</v>
      </c>
      <c r="K209" s="746">
        <f ca="1">IF(I209&gt;0,J209*100/I209,0)</f>
        <v>0</v>
      </c>
      <c r="L209" s="84"/>
      <c r="M209" s="85"/>
      <c r="N209" s="85"/>
      <c r="O209" s="85"/>
      <c r="P209" s="85"/>
      <c r="Q209" s="84"/>
      <c r="R209" s="85"/>
      <c r="S209" s="85"/>
      <c r="T209" s="85"/>
      <c r="U209" s="85"/>
    </row>
    <row r="210" spans="1:21" ht="18.75" hidden="1" x14ac:dyDescent="0.25">
      <c r="A210" s="274"/>
      <c r="B210" s="275"/>
      <c r="C210" s="275"/>
      <c r="D210" s="289" t="s">
        <v>50</v>
      </c>
      <c r="E210" s="288"/>
      <c r="F210" s="288"/>
      <c r="G210" s="280"/>
      <c r="H210" s="305"/>
      <c r="I210" s="261"/>
      <c r="J210" s="261"/>
      <c r="K210" s="227"/>
      <c r="L210" s="84"/>
      <c r="M210" s="85"/>
      <c r="N210" s="85"/>
      <c r="O210" s="85"/>
      <c r="P210" s="85"/>
      <c r="Q210" s="84"/>
      <c r="R210" s="85"/>
      <c r="S210" s="85"/>
      <c r="T210" s="85"/>
      <c r="U210" s="85"/>
    </row>
    <row r="211" spans="1:21" ht="18.75" hidden="1" x14ac:dyDescent="0.25">
      <c r="A211" s="274"/>
      <c r="B211" s="275"/>
      <c r="C211" s="275"/>
      <c r="D211" s="288"/>
      <c r="E211" s="289" t="s">
        <v>91</v>
      </c>
      <c r="F211" s="288"/>
      <c r="G211" s="280"/>
      <c r="H211" s="1308" t="s">
        <v>85</v>
      </c>
      <c r="I211" s="291">
        <f ca="1">IFERROR(__xludf.DUMMYFUNCTION("IMPORTRANGE(""https://docs.google.com/spreadsheets/d/1eHaY18a8A9IcSdp1K8H6x8fbOy06t2VsZHhMHf-1x7Y/edit?usp=sharing"",""แผน!AK60"")"),0)</f>
        <v>0</v>
      </c>
      <c r="J211" s="292">
        <v>0</v>
      </c>
      <c r="K211" s="746">
        <f ca="1">IF(I211&gt;0,J211*100/I211,0)</f>
        <v>0</v>
      </c>
      <c r="L211" s="84"/>
      <c r="M211" s="85"/>
      <c r="N211" s="85"/>
      <c r="O211" s="85"/>
      <c r="P211" s="85"/>
      <c r="Q211" s="84"/>
      <c r="R211" s="85"/>
      <c r="S211" s="85"/>
      <c r="T211" s="85"/>
      <c r="U211" s="85"/>
    </row>
    <row r="212" spans="1:21" ht="18.75" hidden="1" x14ac:dyDescent="0.25">
      <c r="A212" s="274"/>
      <c r="B212" s="275"/>
      <c r="C212" s="275"/>
      <c r="D212" s="288"/>
      <c r="E212" s="289" t="s">
        <v>92</v>
      </c>
      <c r="F212" s="288"/>
      <c r="G212" s="288"/>
      <c r="H212" s="293" t="s">
        <v>93</v>
      </c>
      <c r="I212" s="291">
        <f ca="1">IFERROR(__xludf.DUMMYFUNCTION("IMPORTRANGE(""https://docs.google.com/spreadsheets/d/1eHaY18a8A9IcSdp1K8H6x8fbOy06t2VsZHhMHf-1x7Y/edit?usp=sharing"",""แผน!AK60"")"),0)</f>
        <v>0</v>
      </c>
      <c r="J212" s="292">
        <v>0</v>
      </c>
      <c r="K212" s="746">
        <f ca="1">IF(I212&gt;0,J212*100/I212,0)</f>
        <v>0</v>
      </c>
      <c r="L212" s="84"/>
      <c r="M212" s="85"/>
      <c r="N212" s="85"/>
      <c r="O212" s="85"/>
      <c r="P212" s="85"/>
      <c r="Q212" s="84"/>
      <c r="R212" s="85"/>
      <c r="S212" s="85"/>
      <c r="T212" s="85"/>
      <c r="U212" s="85"/>
    </row>
    <row r="213" spans="1:21" ht="19.5" hidden="1" x14ac:dyDescent="0.3">
      <c r="A213" s="532"/>
      <c r="B213" s="534"/>
      <c r="C213" s="1307" t="s">
        <v>94</v>
      </c>
      <c r="D213" s="533"/>
      <c r="E213" s="533"/>
      <c r="F213" s="533"/>
      <c r="G213" s="536"/>
      <c r="H213" s="881" t="s">
        <v>85</v>
      </c>
      <c r="I213" s="538">
        <f ca="1">I220</f>
        <v>0</v>
      </c>
      <c r="J213" s="538">
        <f>J220</f>
        <v>0</v>
      </c>
      <c r="K213" s="539">
        <f ca="1">IF(I213&gt;0,J213*100/I213,0)</f>
        <v>0</v>
      </c>
      <c r="L213" s="377"/>
      <c r="M213" s="378"/>
      <c r="N213" s="378"/>
      <c r="O213" s="378"/>
      <c r="P213" s="378"/>
      <c r="Q213" s="377"/>
      <c r="R213" s="378"/>
      <c r="S213" s="378"/>
      <c r="T213" s="378"/>
      <c r="U213" s="378"/>
    </row>
    <row r="214" spans="1:21" ht="19.5" hidden="1" x14ac:dyDescent="0.3">
      <c r="A214" s="255"/>
      <c r="B214" s="267"/>
      <c r="C214" s="276" t="s">
        <v>18</v>
      </c>
      <c r="D214" s="959" t="s">
        <v>19</v>
      </c>
      <c r="E214" s="256"/>
      <c r="F214" s="256"/>
      <c r="G214" s="259"/>
      <c r="H214" s="612" t="s">
        <v>14</v>
      </c>
      <c r="I214" s="270"/>
      <c r="J214" s="270"/>
      <c r="K214" s="227"/>
      <c r="L214" s="389">
        <f ca="1">L215+L216+L217</f>
        <v>0</v>
      </c>
      <c r="M214" s="85"/>
      <c r="N214" s="262">
        <f>N215+N216+N217</f>
        <v>0</v>
      </c>
      <c r="O214" s="262">
        <f ca="1">IF(L214&gt;0,N214*100/L214,0)</f>
        <v>0</v>
      </c>
      <c r="P214" s="262">
        <f>IF(M214&gt;0,N214*100/M214,0)</f>
        <v>0</v>
      </c>
      <c r="Q214" s="389">
        <f ca="1">Q215+Q216+Q217</f>
        <v>0</v>
      </c>
      <c r="R214" s="85"/>
      <c r="S214" s="262">
        <f>S215+S216+S217</f>
        <v>0</v>
      </c>
      <c r="T214" s="262">
        <f ca="1">IF(Q214&gt;0,S214*100/Q214,0)</f>
        <v>0</v>
      </c>
      <c r="U214" s="262">
        <f>IF(R214&gt;0,S214*100/R214,0)</f>
        <v>0</v>
      </c>
    </row>
    <row r="215" spans="1:21" ht="18.75" hidden="1" x14ac:dyDescent="0.25">
      <c r="A215" s="255"/>
      <c r="B215" s="267"/>
      <c r="C215" s="256"/>
      <c r="D215" s="265" t="s">
        <v>86</v>
      </c>
      <c r="E215" s="256"/>
      <c r="F215" s="256"/>
      <c r="G215" s="259"/>
      <c r="H215" s="269" t="s">
        <v>14</v>
      </c>
      <c r="I215" s="270"/>
      <c r="J215" s="270"/>
      <c r="K215" s="227"/>
      <c r="L215" s="71">
        <f ca="1">IFERROR(__xludf.DUMMYFUNCTION("IMPORTRANGE(""https://docs.google.com/spreadsheets/d/1eHaY18a8A9IcSdp1K8H6x8fbOy06t2VsZHhMHf-1x7Y/edit?usp=sharing"",""แผน!AM60"")"),0)</f>
        <v>0</v>
      </c>
      <c r="M215" s="85"/>
      <c r="N215" s="387">
        <v>0</v>
      </c>
      <c r="O215" s="227"/>
      <c r="P215" s="85"/>
      <c r="Q215" s="71">
        <v>0</v>
      </c>
      <c r="R215" s="85"/>
      <c r="S215" s="72">
        <v>0</v>
      </c>
      <c r="T215" s="227"/>
      <c r="U215" s="85"/>
    </row>
    <row r="216" spans="1:21" ht="18.75" hidden="1" x14ac:dyDescent="0.25">
      <c r="A216" s="529"/>
      <c r="B216" s="267"/>
      <c r="C216" s="267"/>
      <c r="D216" s="265" t="s">
        <v>95</v>
      </c>
      <c r="E216" s="256"/>
      <c r="F216" s="256"/>
      <c r="G216" s="259"/>
      <c r="H216" s="269" t="s">
        <v>14</v>
      </c>
      <c r="I216" s="261"/>
      <c r="J216" s="261"/>
      <c r="K216" s="85"/>
      <c r="L216" s="71">
        <f ca="1">IFERROR(__xludf.DUMMYFUNCTION("IMPORTRANGE(""https://docs.google.com/spreadsheets/d/1eHaY18a8A9IcSdp1K8H6x8fbOy06t2VsZHhMHf-1x7Y/edit?usp=sharing"",""แผน!AN60"")"),0)</f>
        <v>0</v>
      </c>
      <c r="M216" s="85"/>
      <c r="N216" s="387">
        <v>0</v>
      </c>
      <c r="O216" s="227"/>
      <c r="P216" s="85"/>
      <c r="Q216" s="71">
        <v>0</v>
      </c>
      <c r="R216" s="85"/>
      <c r="S216" s="72">
        <v>0</v>
      </c>
      <c r="T216" s="227"/>
      <c r="U216" s="85"/>
    </row>
    <row r="217" spans="1:21" ht="18.75" hidden="1" x14ac:dyDescent="0.25">
      <c r="A217" s="529"/>
      <c r="B217" s="267"/>
      <c r="C217" s="267"/>
      <c r="D217" s="265" t="s">
        <v>88</v>
      </c>
      <c r="E217" s="256"/>
      <c r="F217" s="256"/>
      <c r="G217" s="259"/>
      <c r="H217" s="269" t="s">
        <v>14</v>
      </c>
      <c r="I217" s="261"/>
      <c r="J217" s="261"/>
      <c r="K217" s="85"/>
      <c r="L217" s="71">
        <f ca="1">IFERROR(__xludf.DUMMYFUNCTION("IMPORTRANGE(""https://docs.google.com/spreadsheets/d/1eHaY18a8A9IcSdp1K8H6x8fbOy06t2VsZHhMHf-1x7Y/edit?usp=sharing"",""แผน!AO60"")"),0)</f>
        <v>0</v>
      </c>
      <c r="M217" s="85"/>
      <c r="N217" s="387">
        <v>0</v>
      </c>
      <c r="O217" s="227"/>
      <c r="P217" s="85"/>
      <c r="Q217" s="71">
        <f ca="1">IFERROR(__xludf.DUMMYFUNCTION("IMPORTRANGE(""https://docs.google.com/spreadsheets/d/1eHaY18a8A9IcSdp1K8H6x8fbOy06t2VsZHhMHf-1x7Y/edit?usp=sharing"",""แผน!LY60"")"),0)</f>
        <v>0</v>
      </c>
      <c r="R217" s="85"/>
      <c r="S217" s="387">
        <v>0</v>
      </c>
      <c r="T217" s="227"/>
      <c r="U217" s="85"/>
    </row>
    <row r="218" spans="1:21" ht="19.5" hidden="1" x14ac:dyDescent="0.3">
      <c r="A218" s="274"/>
      <c r="B218" s="275"/>
      <c r="C218" s="276" t="s">
        <v>18</v>
      </c>
      <c r="D218" s="800" t="s">
        <v>38</v>
      </c>
      <c r="E218" s="278"/>
      <c r="F218" s="278"/>
      <c r="G218" s="279"/>
      <c r="H218" s="305"/>
      <c r="I218" s="270"/>
      <c r="J218" s="261"/>
      <c r="K218" s="85"/>
      <c r="L218" s="84"/>
      <c r="M218" s="85"/>
      <c r="N218" s="85"/>
      <c r="O218" s="227"/>
      <c r="P218" s="227"/>
      <c r="Q218" s="84"/>
      <c r="R218" s="85"/>
      <c r="S218" s="85"/>
      <c r="T218" s="227"/>
      <c r="U218" s="227"/>
    </row>
    <row r="219" spans="1:21" ht="18.75" hidden="1" x14ac:dyDescent="0.25">
      <c r="A219" s="274"/>
      <c r="B219" s="275"/>
      <c r="C219" s="275"/>
      <c r="D219" s="745" t="s">
        <v>96</v>
      </c>
      <c r="E219" s="288"/>
      <c r="F219" s="288"/>
      <c r="G219" s="280"/>
      <c r="H219" s="1308" t="s">
        <v>85</v>
      </c>
      <c r="I219" s="291">
        <f ca="1">IFERROR(__xludf.DUMMYFUNCTION("IMPORTRANGE(""https://docs.google.com/spreadsheets/d/1eHaY18a8A9IcSdp1K8H6x8fbOy06t2VsZHhMHf-1x7Y/edit?usp=sharing"",""แผน!AP60"")"),0)</f>
        <v>0</v>
      </c>
      <c r="J219" s="292">
        <v>0</v>
      </c>
      <c r="K219" s="72">
        <f ca="1">IF(I219&gt;0,J219*100/I219,0)</f>
        <v>0</v>
      </c>
      <c r="L219" s="84"/>
      <c r="M219" s="85"/>
      <c r="N219" s="85"/>
      <c r="O219" s="85"/>
      <c r="P219" s="85"/>
      <c r="Q219" s="84"/>
      <c r="R219" s="85"/>
      <c r="S219" s="85"/>
      <c r="T219" s="85"/>
      <c r="U219" s="85"/>
    </row>
    <row r="220" spans="1:21" ht="18.75" hidden="1" x14ac:dyDescent="0.25">
      <c r="A220" s="274"/>
      <c r="B220" s="275"/>
      <c r="C220" s="275"/>
      <c r="D220" s="745" t="s">
        <v>97</v>
      </c>
      <c r="E220" s="288"/>
      <c r="F220" s="288"/>
      <c r="G220" s="280"/>
      <c r="H220" s="960" t="s">
        <v>85</v>
      </c>
      <c r="I220" s="291">
        <f ca="1">IFERROR(__xludf.DUMMYFUNCTION("IMPORTRANGE(""https://docs.google.com/spreadsheets/d/1eHaY18a8A9IcSdp1K8H6x8fbOy06t2VsZHhMHf-1x7Y/edit?usp=sharing"",""แผน!AP60"")"),0)</f>
        <v>0</v>
      </c>
      <c r="J220" s="292">
        <v>0</v>
      </c>
      <c r="K220" s="72">
        <f ca="1">IF(I220&gt;0,J220*100/I220,0)</f>
        <v>0</v>
      </c>
      <c r="L220" s="84"/>
      <c r="M220" s="85"/>
      <c r="N220" s="85"/>
      <c r="O220" s="85"/>
      <c r="P220" s="85"/>
      <c r="Q220" s="84"/>
      <c r="R220" s="85"/>
      <c r="S220" s="85"/>
      <c r="T220" s="85"/>
      <c r="U220" s="85"/>
    </row>
    <row r="221" spans="1:21" ht="19.5" x14ac:dyDescent="0.3">
      <c r="A221" s="532"/>
      <c r="B221" s="534"/>
      <c r="C221" s="1307" t="s">
        <v>98</v>
      </c>
      <c r="D221" s="533"/>
      <c r="E221" s="533"/>
      <c r="F221" s="533"/>
      <c r="G221" s="536"/>
      <c r="H221" s="537" t="s">
        <v>99</v>
      </c>
      <c r="I221" s="538">
        <f ca="1">I229</f>
        <v>5000</v>
      </c>
      <c r="J221" s="538">
        <f>J229</f>
        <v>0</v>
      </c>
      <c r="K221" s="539">
        <f ca="1">IF(I221&gt;0,J221*100/I221,0)</f>
        <v>0</v>
      </c>
      <c r="L221" s="377"/>
      <c r="M221" s="378"/>
      <c r="N221" s="378"/>
      <c r="O221" s="378"/>
      <c r="P221" s="378"/>
      <c r="Q221" s="378"/>
      <c r="R221" s="378"/>
      <c r="S221" s="378"/>
      <c r="T221" s="378"/>
      <c r="U221" s="378"/>
    </row>
    <row r="222" spans="1:21" ht="19.5" x14ac:dyDescent="0.3">
      <c r="A222" s="255"/>
      <c r="B222" s="267"/>
      <c r="C222" s="668" t="s">
        <v>18</v>
      </c>
      <c r="D222" s="874" t="s">
        <v>19</v>
      </c>
      <c r="E222" s="256"/>
      <c r="F222" s="256"/>
      <c r="G222" s="259"/>
      <c r="H222" s="612" t="s">
        <v>14</v>
      </c>
      <c r="I222" s="270"/>
      <c r="J222" s="270"/>
      <c r="K222" s="227"/>
      <c r="L222" s="389">
        <f ca="1">L223+L224+L225</f>
        <v>4500</v>
      </c>
      <c r="M222" s="85"/>
      <c r="N222" s="262">
        <f>N223+N224+N225</f>
        <v>0</v>
      </c>
      <c r="O222" s="262">
        <f ca="1">IF(L222&gt;0,N222*100/L222,0)</f>
        <v>0</v>
      </c>
      <c r="P222" s="262">
        <f>IF(M222&gt;0,N222*100/M222,0)</f>
        <v>0</v>
      </c>
      <c r="Q222" s="85"/>
      <c r="R222" s="85"/>
      <c r="S222" s="85"/>
      <c r="T222" s="85"/>
      <c r="U222" s="85"/>
    </row>
    <row r="223" spans="1:21" ht="18.75" x14ac:dyDescent="0.25">
      <c r="A223" s="255"/>
      <c r="B223" s="267"/>
      <c r="C223" s="267"/>
      <c r="D223" s="1303" t="s">
        <v>316</v>
      </c>
      <c r="E223" s="256"/>
      <c r="F223" s="256"/>
      <c r="G223" s="259"/>
      <c r="H223" s="269" t="s">
        <v>14</v>
      </c>
      <c r="I223" s="270"/>
      <c r="J223" s="270"/>
      <c r="K223" s="227"/>
      <c r="L223" s="71">
        <f ca="1">IFERROR(__xludf.DUMMYFUNCTION("IMPORTRANGE(""https://docs.google.com/spreadsheets/d/1eHaY18a8A9IcSdp1K8H6x8fbOy06t2VsZHhMHf-1x7Y/edit?usp=sharing"",""แผน!AR60"")"),2500)</f>
        <v>2500</v>
      </c>
      <c r="M223" s="85"/>
      <c r="N223" s="387">
        <v>0</v>
      </c>
      <c r="O223" s="227"/>
      <c r="P223" s="85"/>
      <c r="Q223" s="85"/>
      <c r="R223" s="85"/>
      <c r="S223" s="85"/>
      <c r="T223" s="227"/>
      <c r="U223" s="85"/>
    </row>
    <row r="224" spans="1:21" ht="18.75" x14ac:dyDescent="0.25">
      <c r="A224" s="529"/>
      <c r="B224" s="267"/>
      <c r="C224" s="267"/>
      <c r="D224" s="265" t="s">
        <v>315</v>
      </c>
      <c r="E224" s="256"/>
      <c r="F224" s="256"/>
      <c r="G224" s="259"/>
      <c r="H224" s="269" t="s">
        <v>14</v>
      </c>
      <c r="I224" s="261"/>
      <c r="J224" s="261"/>
      <c r="K224" s="85"/>
      <c r="L224" s="71">
        <f ca="1">IFERROR(__xludf.DUMMYFUNCTION("IMPORTRANGE(""https://docs.google.com/spreadsheets/d/1eHaY18a8A9IcSdp1K8H6x8fbOy06t2VsZHhMHf-1x7Y/edit?usp=sharing"",""แผน!AS60"")"),2000)</f>
        <v>2000</v>
      </c>
      <c r="M224" s="85"/>
      <c r="N224" s="387">
        <v>0</v>
      </c>
      <c r="O224" s="227"/>
      <c r="P224" s="85"/>
      <c r="Q224" s="85"/>
      <c r="R224" s="85"/>
      <c r="S224" s="85"/>
      <c r="T224" s="227"/>
      <c r="U224" s="85"/>
    </row>
    <row r="225" spans="1:21" ht="18.75" x14ac:dyDescent="0.25">
      <c r="A225" s="529"/>
      <c r="B225" s="267"/>
      <c r="C225" s="267"/>
      <c r="D225" s="265" t="s">
        <v>88</v>
      </c>
      <c r="E225" s="256"/>
      <c r="F225" s="256"/>
      <c r="G225" s="259"/>
      <c r="H225" s="269" t="s">
        <v>14</v>
      </c>
      <c r="I225" s="261"/>
      <c r="J225" s="261"/>
      <c r="K225" s="85"/>
      <c r="L225" s="71">
        <f ca="1">IFERROR(__xludf.DUMMYFUNCTION("IMPORTRANGE(""https://docs.google.com/spreadsheets/d/1eHaY18a8A9IcSdp1K8H6x8fbOy06t2VsZHhMHf-1x7Y/edit?usp=sharing"",""แผน!AT60"")"),0)</f>
        <v>0</v>
      </c>
      <c r="M225" s="85"/>
      <c r="N225" s="387">
        <v>0</v>
      </c>
      <c r="O225" s="227"/>
      <c r="P225" s="85"/>
      <c r="Q225" s="85"/>
      <c r="R225" s="85"/>
      <c r="S225" s="85"/>
      <c r="T225" s="227"/>
      <c r="U225" s="85"/>
    </row>
    <row r="226" spans="1:21" ht="19.5" x14ac:dyDescent="0.3">
      <c r="A226" s="274"/>
      <c r="B226" s="275"/>
      <c r="C226" s="668" t="s">
        <v>18</v>
      </c>
      <c r="D226" s="800" t="s">
        <v>38</v>
      </c>
      <c r="E226" s="278"/>
      <c r="F226" s="278"/>
      <c r="G226" s="279"/>
      <c r="H226" s="305"/>
      <c r="I226" s="270"/>
      <c r="J226" s="270"/>
      <c r="K226" s="227"/>
      <c r="L226" s="226"/>
      <c r="M226" s="227"/>
      <c r="N226" s="227"/>
      <c r="O226" s="227"/>
      <c r="P226" s="227"/>
      <c r="Q226" s="227"/>
      <c r="R226" s="227"/>
      <c r="S226" s="227"/>
      <c r="T226" s="227"/>
      <c r="U226" s="227"/>
    </row>
    <row r="227" spans="1:21" ht="18.75" x14ac:dyDescent="0.25">
      <c r="A227" s="274"/>
      <c r="B227" s="275"/>
      <c r="C227" s="275"/>
      <c r="D227" s="265" t="s">
        <v>101</v>
      </c>
      <c r="E227" s="288"/>
      <c r="F227" s="288"/>
      <c r="G227" s="280"/>
      <c r="H227" s="305"/>
      <c r="I227" s="261"/>
      <c r="J227" s="261"/>
      <c r="K227" s="227"/>
      <c r="L227" s="226"/>
      <c r="M227" s="227"/>
      <c r="N227" s="227"/>
      <c r="O227" s="227"/>
      <c r="P227" s="227"/>
      <c r="Q227" s="227"/>
      <c r="R227" s="227"/>
      <c r="S227" s="227"/>
      <c r="T227" s="227"/>
      <c r="U227" s="227"/>
    </row>
    <row r="228" spans="1:21" ht="18.75" x14ac:dyDescent="0.25">
      <c r="A228" s="274"/>
      <c r="B228" s="275"/>
      <c r="C228" s="275"/>
      <c r="D228" s="275"/>
      <c r="E228" s="745" t="s">
        <v>102</v>
      </c>
      <c r="F228" s="288"/>
      <c r="G228" s="280"/>
      <c r="H228" s="273" t="s">
        <v>99</v>
      </c>
      <c r="I228" s="291">
        <f ca="1">IFERROR(__xludf.DUMMYFUNCTION("IMPORTRANGE(""https://docs.google.com/spreadsheets/d/1eHaY18a8A9IcSdp1K8H6x8fbOy06t2VsZHhMHf-1x7Y/edit?usp=sharing"",""แผน!AV60"")"),5000)</f>
        <v>5000</v>
      </c>
      <c r="J228" s="292">
        <v>5000</v>
      </c>
      <c r="K228" s="746">
        <f ca="1">IF(I228&gt;0,J228*100/I228,0)</f>
        <v>100</v>
      </c>
      <c r="L228" s="226"/>
      <c r="M228" s="227"/>
      <c r="N228" s="227"/>
      <c r="O228" s="227"/>
      <c r="P228" s="227"/>
      <c r="Q228" s="227"/>
      <c r="R228" s="227"/>
      <c r="S228" s="227"/>
      <c r="T228" s="227"/>
      <c r="U228" s="227"/>
    </row>
    <row r="229" spans="1:21" ht="18.75" x14ac:dyDescent="0.25">
      <c r="A229" s="274"/>
      <c r="B229" s="275"/>
      <c r="C229" s="275"/>
      <c r="D229" s="275"/>
      <c r="E229" s="745" t="s">
        <v>103</v>
      </c>
      <c r="F229" s="288"/>
      <c r="G229" s="280"/>
      <c r="H229" s="273" t="s">
        <v>99</v>
      </c>
      <c r="I229" s="291">
        <f ca="1">IFERROR(__xludf.DUMMYFUNCTION("IMPORTRANGE(""https://docs.google.com/spreadsheets/d/1eHaY18a8A9IcSdp1K8H6x8fbOy06t2VsZHhMHf-1x7Y/edit?usp=sharing"",""แผน!AV60"")"),5000)</f>
        <v>5000</v>
      </c>
      <c r="J229" s="292">
        <v>0</v>
      </c>
      <c r="K229" s="746">
        <f ca="1">IF(I229&gt;0,J229*100/I229,0)</f>
        <v>0</v>
      </c>
      <c r="L229" s="84"/>
      <c r="M229" s="85"/>
      <c r="N229" s="85"/>
      <c r="O229" s="85"/>
      <c r="P229" s="85"/>
      <c r="Q229" s="85"/>
      <c r="R229" s="85"/>
      <c r="S229" s="85"/>
      <c r="T229" s="85"/>
      <c r="U229" s="85"/>
    </row>
    <row r="230" spans="1:21" ht="18.75" x14ac:dyDescent="0.25">
      <c r="A230" s="274"/>
      <c r="B230" s="275"/>
      <c r="C230" s="275"/>
      <c r="D230" s="265" t="s">
        <v>104</v>
      </c>
      <c r="E230" s="288"/>
      <c r="F230" s="288"/>
      <c r="G230" s="280"/>
      <c r="H230" s="273" t="s">
        <v>35</v>
      </c>
      <c r="I230" s="291">
        <f ca="1">IFERROR(__xludf.DUMMYFUNCTION("IMPORTRANGE(""https://docs.google.com/spreadsheets/d/1eHaY18a8A9IcSdp1K8H6x8fbOy06t2VsZHhMHf-1x7Y/edit?usp=sharing"",""แผน!AU60"")"),0)</f>
        <v>0</v>
      </c>
      <c r="J230" s="292">
        <v>0</v>
      </c>
      <c r="K230" s="746">
        <f ca="1">IF(I230&gt;0,J230*100/I230,0)</f>
        <v>0</v>
      </c>
      <c r="L230" s="84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1" ht="19.5" hidden="1" x14ac:dyDescent="0.3">
      <c r="A231" s="1087"/>
      <c r="B231" s="1086"/>
      <c r="C231" s="1304" t="s">
        <v>105</v>
      </c>
      <c r="D231" s="1085"/>
      <c r="E231" s="1085"/>
      <c r="F231" s="1085"/>
      <c r="G231" s="1084"/>
      <c r="H231" s="952" t="s">
        <v>35</v>
      </c>
      <c r="I231" s="951">
        <f ca="1">I242+I253</f>
        <v>15</v>
      </c>
      <c r="J231" s="951">
        <f>J242+J253</f>
        <v>15</v>
      </c>
      <c r="K231" s="950">
        <f ca="1">IF(I231&gt;0,J231*100/I231,0)</f>
        <v>100</v>
      </c>
      <c r="L231" s="377"/>
      <c r="M231" s="378"/>
      <c r="N231" s="378"/>
      <c r="O231" s="378"/>
      <c r="P231" s="378"/>
      <c r="Q231" s="378"/>
      <c r="R231" s="378"/>
      <c r="S231" s="378"/>
      <c r="T231" s="378"/>
      <c r="U231" s="378"/>
    </row>
    <row r="232" spans="1:21" ht="19.5" hidden="1" x14ac:dyDescent="0.3">
      <c r="A232" s="936"/>
      <c r="B232" s="1082"/>
      <c r="C232" s="948" t="s">
        <v>18</v>
      </c>
      <c r="D232" s="799" t="s">
        <v>19</v>
      </c>
      <c r="E232" s="935"/>
      <c r="F232" s="935"/>
      <c r="G232" s="934"/>
      <c r="H232" s="753" t="s">
        <v>14</v>
      </c>
      <c r="I232" s="933"/>
      <c r="J232" s="933"/>
      <c r="K232" s="932"/>
      <c r="L232" s="957">
        <f ca="1">L243+L254</f>
        <v>52500</v>
      </c>
      <c r="M232" s="85"/>
      <c r="N232" s="956">
        <f>N243+N254</f>
        <v>38220</v>
      </c>
      <c r="O232" s="85"/>
      <c r="P232" s="85"/>
      <c r="Q232" s="85">
        <v>0</v>
      </c>
      <c r="R232" s="85"/>
      <c r="S232" s="85">
        <v>0</v>
      </c>
      <c r="T232" s="85"/>
      <c r="U232" s="85"/>
    </row>
    <row r="233" spans="1:21" ht="18.75" hidden="1" x14ac:dyDescent="0.25">
      <c r="A233" s="936"/>
      <c r="B233" s="1082"/>
      <c r="C233" s="1082"/>
      <c r="D233" s="1303" t="s">
        <v>320</v>
      </c>
      <c r="E233" s="935"/>
      <c r="F233" s="935"/>
      <c r="G233" s="934"/>
      <c r="H233" s="271" t="s">
        <v>14</v>
      </c>
      <c r="I233" s="933"/>
      <c r="J233" s="933"/>
      <c r="K233" s="932"/>
      <c r="L233" s="74">
        <f ca="1">L244+L255</f>
        <v>14000</v>
      </c>
      <c r="M233" s="85"/>
      <c r="N233" s="75">
        <f>N244+N255</f>
        <v>2600</v>
      </c>
      <c r="O233" s="85"/>
      <c r="P233" s="85"/>
      <c r="Q233" s="1302">
        <v>0</v>
      </c>
      <c r="R233" s="671">
        <v>0</v>
      </c>
      <c r="S233" s="671">
        <v>0</v>
      </c>
      <c r="T233" s="85"/>
      <c r="U233" s="85"/>
    </row>
    <row r="234" spans="1:21" ht="18.75" hidden="1" x14ac:dyDescent="0.25">
      <c r="A234" s="1083"/>
      <c r="B234" s="1082"/>
      <c r="C234" s="1082"/>
      <c r="D234" s="567" t="s">
        <v>87</v>
      </c>
      <c r="E234" s="935"/>
      <c r="F234" s="935"/>
      <c r="G234" s="934"/>
      <c r="H234" s="271" t="s">
        <v>14</v>
      </c>
      <c r="I234" s="939"/>
      <c r="J234" s="939"/>
      <c r="K234" s="938"/>
      <c r="L234" s="74">
        <f ca="1">L245+L256</f>
        <v>2000</v>
      </c>
      <c r="M234" s="85"/>
      <c r="N234" s="75">
        <f>N245+N256</f>
        <v>0</v>
      </c>
      <c r="O234" s="85"/>
      <c r="P234" s="85"/>
      <c r="Q234" s="71">
        <v>0</v>
      </c>
      <c r="R234" s="72">
        <v>0</v>
      </c>
      <c r="S234" s="72">
        <v>0</v>
      </c>
      <c r="T234" s="85"/>
      <c r="U234" s="85"/>
    </row>
    <row r="235" spans="1:21" ht="18.75" hidden="1" x14ac:dyDescent="0.25">
      <c r="A235" s="1083"/>
      <c r="B235" s="1082"/>
      <c r="C235" s="1082"/>
      <c r="D235" s="567" t="s">
        <v>88</v>
      </c>
      <c r="E235" s="935"/>
      <c r="F235" s="935"/>
      <c r="G235" s="934"/>
      <c r="H235" s="271" t="s">
        <v>14</v>
      </c>
      <c r="I235" s="939"/>
      <c r="J235" s="939"/>
      <c r="K235" s="938"/>
      <c r="L235" s="74">
        <f ca="1">L246+L257</f>
        <v>21000</v>
      </c>
      <c r="M235" s="85"/>
      <c r="N235" s="75">
        <f>N246+N257</f>
        <v>20120</v>
      </c>
      <c r="O235" s="85"/>
      <c r="P235" s="85"/>
      <c r="Q235" s="71">
        <v>0</v>
      </c>
      <c r="R235" s="72">
        <v>0</v>
      </c>
      <c r="S235" s="72">
        <v>0</v>
      </c>
      <c r="T235" s="85"/>
      <c r="U235" s="85"/>
    </row>
    <row r="236" spans="1:21" ht="18.75" hidden="1" x14ac:dyDescent="0.25">
      <c r="A236" s="1083"/>
      <c r="B236" s="1082"/>
      <c r="C236" s="1082"/>
      <c r="D236" s="265" t="s">
        <v>89</v>
      </c>
      <c r="E236" s="935"/>
      <c r="F236" s="935"/>
      <c r="G236" s="934"/>
      <c r="H236" s="271" t="s">
        <v>14</v>
      </c>
      <c r="I236" s="939"/>
      <c r="J236" s="939"/>
      <c r="K236" s="938"/>
      <c r="L236" s="74">
        <f ca="1">L247+L258</f>
        <v>15500</v>
      </c>
      <c r="M236" s="85"/>
      <c r="N236" s="75">
        <f>N247+N258</f>
        <v>15500</v>
      </c>
      <c r="O236" s="85"/>
      <c r="P236" s="85"/>
      <c r="Q236" s="71">
        <v>0</v>
      </c>
      <c r="R236" s="72">
        <v>0</v>
      </c>
      <c r="S236" s="72">
        <v>0</v>
      </c>
      <c r="T236" s="85"/>
      <c r="U236" s="85"/>
    </row>
    <row r="237" spans="1:21" ht="19.5" hidden="1" x14ac:dyDescent="0.3">
      <c r="A237" s="1079"/>
      <c r="B237" s="1078"/>
      <c r="C237" s="948" t="s">
        <v>18</v>
      </c>
      <c r="D237" s="813" t="s">
        <v>38</v>
      </c>
      <c r="E237" s="1081"/>
      <c r="F237" s="1081"/>
      <c r="G237" s="1080"/>
      <c r="H237" s="1306"/>
      <c r="I237" s="933"/>
      <c r="J237" s="939"/>
      <c r="K237" s="938"/>
      <c r="L237" s="84"/>
      <c r="M237" s="85"/>
      <c r="N237" s="85"/>
      <c r="O237" s="227"/>
      <c r="P237" s="227"/>
      <c r="Q237" s="85"/>
      <c r="R237" s="85"/>
      <c r="S237" s="85"/>
      <c r="T237" s="227"/>
      <c r="U237" s="227"/>
    </row>
    <row r="238" spans="1:21" ht="18.75" hidden="1" x14ac:dyDescent="0.25">
      <c r="A238" s="1079"/>
      <c r="B238" s="1078"/>
      <c r="C238" s="1078"/>
      <c r="D238" s="306" t="s">
        <v>108</v>
      </c>
      <c r="E238" s="1077"/>
      <c r="F238" s="1077"/>
      <c r="G238" s="1076"/>
      <c r="H238" s="756" t="s">
        <v>35</v>
      </c>
      <c r="I238" s="570">
        <f ca="1">I249+I260</f>
        <v>15</v>
      </c>
      <c r="J238" s="570">
        <f>J249+J260</f>
        <v>15</v>
      </c>
      <c r="K238" s="75">
        <f ca="1">IF(I238&gt;0,J238*100/I238,0)</f>
        <v>100</v>
      </c>
      <c r="L238" s="84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1" ht="18.75" hidden="1" x14ac:dyDescent="0.25">
      <c r="A239" s="1079"/>
      <c r="B239" s="1078"/>
      <c r="C239" s="1078"/>
      <c r="D239" s="947" t="s">
        <v>43</v>
      </c>
      <c r="E239" s="1077"/>
      <c r="F239" s="1077"/>
      <c r="G239" s="1076"/>
      <c r="H239" s="1306"/>
      <c r="I239" s="939"/>
      <c r="J239" s="939"/>
      <c r="K239" s="938"/>
      <c r="L239" s="84"/>
      <c r="M239" s="85"/>
      <c r="N239" s="85"/>
      <c r="O239" s="227"/>
      <c r="P239" s="227"/>
      <c r="Q239" s="85"/>
      <c r="R239" s="85"/>
      <c r="S239" s="85"/>
      <c r="T239" s="227"/>
      <c r="U239" s="227"/>
    </row>
    <row r="240" spans="1:21" ht="18.75" hidden="1" x14ac:dyDescent="0.25">
      <c r="A240" s="1079"/>
      <c r="B240" s="1078"/>
      <c r="C240" s="1078"/>
      <c r="D240" s="1078"/>
      <c r="E240" s="946" t="s">
        <v>109</v>
      </c>
      <c r="F240" s="1077"/>
      <c r="G240" s="1076"/>
      <c r="H240" s="756" t="s">
        <v>35</v>
      </c>
      <c r="I240" s="570">
        <f ca="1">I251+I262</f>
        <v>15</v>
      </c>
      <c r="J240" s="570">
        <f>J251+J262</f>
        <v>15</v>
      </c>
      <c r="K240" s="75">
        <f ca="1">IF(I240&gt;0,J240*100/I240,0)</f>
        <v>100</v>
      </c>
      <c r="L240" s="84"/>
      <c r="M240" s="85"/>
      <c r="N240" s="85"/>
      <c r="O240" s="85"/>
      <c r="P240" s="85"/>
      <c r="Q240" s="85"/>
      <c r="R240" s="85"/>
      <c r="S240" s="85"/>
      <c r="T240" s="85"/>
      <c r="U240" s="85"/>
    </row>
    <row r="241" spans="1:21" ht="18.75" hidden="1" x14ac:dyDescent="0.25">
      <c r="A241" s="1079"/>
      <c r="B241" s="1078"/>
      <c r="C241" s="1078"/>
      <c r="D241" s="1078"/>
      <c r="E241" s="946" t="s">
        <v>110</v>
      </c>
      <c r="F241" s="1077"/>
      <c r="G241" s="1076"/>
      <c r="H241" s="756" t="s">
        <v>61</v>
      </c>
      <c r="I241" s="570">
        <f ca="1">I252+I263</f>
        <v>1</v>
      </c>
      <c r="J241" s="570">
        <f>J252+J263</f>
        <v>1</v>
      </c>
      <c r="K241" s="75">
        <f ca="1">IF(I241&gt;0,J241*100/I241,0)</f>
        <v>100</v>
      </c>
      <c r="L241" s="84"/>
      <c r="M241" s="85"/>
      <c r="N241" s="85"/>
      <c r="O241" s="85"/>
      <c r="P241" s="85"/>
      <c r="Q241" s="85"/>
      <c r="R241" s="85"/>
      <c r="S241" s="85"/>
      <c r="T241" s="85"/>
      <c r="U241" s="85"/>
    </row>
    <row r="242" spans="1:21" ht="19.5" x14ac:dyDescent="0.3">
      <c r="A242" s="368"/>
      <c r="B242" s="369"/>
      <c r="C242" s="1305" t="s">
        <v>344</v>
      </c>
      <c r="D242" s="371"/>
      <c r="E242" s="371"/>
      <c r="F242" s="371"/>
      <c r="G242" s="372"/>
      <c r="H242" s="373" t="s">
        <v>35</v>
      </c>
      <c r="I242" s="374">
        <f ca="1">I249</f>
        <v>15</v>
      </c>
      <c r="J242" s="374">
        <f>J249</f>
        <v>15</v>
      </c>
      <c r="K242" s="375">
        <f ca="1">IF(I242&gt;0,J242*100/I242,0)</f>
        <v>100</v>
      </c>
      <c r="L242" s="377"/>
      <c r="M242" s="378"/>
      <c r="N242" s="378"/>
      <c r="O242" s="378"/>
      <c r="P242" s="378"/>
      <c r="Q242" s="378"/>
      <c r="R242" s="378"/>
      <c r="S242" s="378"/>
      <c r="T242" s="378"/>
      <c r="U242" s="378"/>
    </row>
    <row r="243" spans="1:21" ht="19.5" x14ac:dyDescent="0.3">
      <c r="A243" s="207"/>
      <c r="B243" s="367"/>
      <c r="C243" s="668" t="s">
        <v>18</v>
      </c>
      <c r="D243" s="941" t="s">
        <v>19</v>
      </c>
      <c r="E243" s="65"/>
      <c r="F243" s="65"/>
      <c r="G243" s="67"/>
      <c r="H243" s="380" t="s">
        <v>14</v>
      </c>
      <c r="I243" s="217"/>
      <c r="J243" s="217"/>
      <c r="K243" s="218"/>
      <c r="L243" s="389">
        <f ca="1">L244+L245+L246+L247</f>
        <v>52500</v>
      </c>
      <c r="M243" s="85"/>
      <c r="N243" s="262">
        <f>N244+N245+N246+N247</f>
        <v>38220</v>
      </c>
      <c r="O243" s="262">
        <f ca="1">IF(L243&gt;0,N243*100/L243,0)</f>
        <v>72.8</v>
      </c>
      <c r="P243" s="262">
        <f>IF(M243&gt;0,N243*100/M243,0)</f>
        <v>0</v>
      </c>
      <c r="Q243" s="85"/>
      <c r="R243" s="85"/>
      <c r="S243" s="85"/>
      <c r="T243" s="85"/>
      <c r="U243" s="85"/>
    </row>
    <row r="244" spans="1:21" ht="18.75" x14ac:dyDescent="0.25">
      <c r="A244" s="207"/>
      <c r="B244" s="367"/>
      <c r="C244" s="367"/>
      <c r="D244" s="1303" t="s">
        <v>320</v>
      </c>
      <c r="E244" s="65"/>
      <c r="F244" s="65"/>
      <c r="G244" s="67"/>
      <c r="H244" s="216" t="s">
        <v>14</v>
      </c>
      <c r="I244" s="217"/>
      <c r="J244" s="217"/>
      <c r="K244" s="218"/>
      <c r="L244" s="71">
        <f ca="1">IFERROR(__xludf.DUMMYFUNCTION("IMPORTRANGE(""https://docs.google.com/spreadsheets/d/1eHaY18a8A9IcSdp1K8H6x8fbOy06t2VsZHhMHf-1x7Y/edit?usp=sharing"",""แผน!AX60"")"),14000)</f>
        <v>14000</v>
      </c>
      <c r="M244" s="85"/>
      <c r="N244" s="387">
        <v>2600</v>
      </c>
      <c r="O244" s="85"/>
      <c r="P244" s="85"/>
      <c r="Q244" s="85"/>
      <c r="R244" s="85"/>
      <c r="S244" s="85"/>
      <c r="T244" s="85"/>
      <c r="U244" s="85"/>
    </row>
    <row r="245" spans="1:21" ht="18.75" x14ac:dyDescent="0.25">
      <c r="A245" s="364"/>
      <c r="B245" s="367"/>
      <c r="C245" s="367"/>
      <c r="D245" s="567" t="s">
        <v>317</v>
      </c>
      <c r="E245" s="65"/>
      <c r="F245" s="65"/>
      <c r="G245" s="67"/>
      <c r="H245" s="216" t="s">
        <v>14</v>
      </c>
      <c r="I245" s="69"/>
      <c r="J245" s="69"/>
      <c r="K245" s="70"/>
      <c r="L245" s="71">
        <f ca="1">IFERROR(__xludf.DUMMYFUNCTION("IMPORTRANGE(""https://docs.google.com/spreadsheets/d/1eHaY18a8A9IcSdp1K8H6x8fbOy06t2VsZHhMHf-1x7Y/edit?usp=sharing"",""แผน!AY60"")"),2000)</f>
        <v>2000</v>
      </c>
      <c r="M245" s="85"/>
      <c r="N245" s="387">
        <v>0</v>
      </c>
      <c r="O245" s="85"/>
      <c r="P245" s="85"/>
      <c r="Q245" s="85"/>
      <c r="R245" s="85"/>
      <c r="S245" s="85"/>
      <c r="T245" s="85"/>
      <c r="U245" s="85"/>
    </row>
    <row r="246" spans="1:21" ht="18.75" x14ac:dyDescent="0.25">
      <c r="A246" s="364"/>
      <c r="B246" s="367"/>
      <c r="C246" s="367"/>
      <c r="D246" s="567" t="s">
        <v>88</v>
      </c>
      <c r="E246" s="65"/>
      <c r="F246" s="65"/>
      <c r="G246" s="67"/>
      <c r="H246" s="216" t="s">
        <v>14</v>
      </c>
      <c r="I246" s="69"/>
      <c r="J246" s="69"/>
      <c r="K246" s="70"/>
      <c r="L246" s="71">
        <f ca="1">IFERROR(__xludf.DUMMYFUNCTION("IMPORTRANGE(""https://docs.google.com/spreadsheets/d/1eHaY18a8A9IcSdp1K8H6x8fbOy06t2VsZHhMHf-1x7Y/edit?usp=sharing"",""แผน!AZ60"")"),21000)</f>
        <v>21000</v>
      </c>
      <c r="M246" s="85"/>
      <c r="N246" s="387">
        <v>20120</v>
      </c>
      <c r="O246" s="85"/>
      <c r="P246" s="85"/>
      <c r="Q246" s="85"/>
      <c r="R246" s="85"/>
      <c r="S246" s="85"/>
      <c r="T246" s="85"/>
      <c r="U246" s="85"/>
    </row>
    <row r="247" spans="1:21" ht="18.75" x14ac:dyDescent="0.25">
      <c r="A247" s="364"/>
      <c r="B247" s="367"/>
      <c r="C247" s="367"/>
      <c r="D247" s="265" t="s">
        <v>89</v>
      </c>
      <c r="E247" s="65"/>
      <c r="F247" s="65"/>
      <c r="G247" s="67"/>
      <c r="H247" s="216" t="s">
        <v>14</v>
      </c>
      <c r="I247" s="69"/>
      <c r="J247" s="69"/>
      <c r="K247" s="70"/>
      <c r="L247" s="71">
        <f ca="1">IFERROR(__xludf.DUMMYFUNCTION("IMPORTRANGE(""https://docs.google.com/spreadsheets/d/1eHaY18a8A9IcSdp1K8H6x8fbOy06t2VsZHhMHf-1x7Y/edit?usp=sharing"",""แผน!BA60"")"),15500)</f>
        <v>15500</v>
      </c>
      <c r="M247" s="85"/>
      <c r="N247" s="387">
        <v>15500</v>
      </c>
      <c r="O247" s="85"/>
      <c r="P247" s="85"/>
      <c r="Q247" s="85"/>
      <c r="R247" s="85"/>
      <c r="S247" s="85"/>
      <c r="T247" s="85"/>
      <c r="U247" s="85"/>
    </row>
    <row r="248" spans="1:21" ht="19.5" x14ac:dyDescent="0.3">
      <c r="A248" s="220"/>
      <c r="B248" s="221"/>
      <c r="C248" s="668" t="s">
        <v>18</v>
      </c>
      <c r="D248" s="931" t="s">
        <v>38</v>
      </c>
      <c r="E248" s="223"/>
      <c r="F248" s="223"/>
      <c r="G248" s="224"/>
      <c r="H248" s="314"/>
      <c r="I248" s="217"/>
      <c r="J248" s="69"/>
      <c r="K248" s="70"/>
      <c r="L248" s="84"/>
      <c r="M248" s="85"/>
      <c r="N248" s="85"/>
      <c r="O248" s="227"/>
      <c r="P248" s="227"/>
      <c r="Q248" s="85"/>
      <c r="R248" s="85"/>
      <c r="S248" s="85"/>
      <c r="T248" s="227"/>
      <c r="U248" s="227"/>
    </row>
    <row r="249" spans="1:21" ht="18.75" x14ac:dyDescent="0.25">
      <c r="A249" s="220"/>
      <c r="B249" s="221"/>
      <c r="C249" s="221"/>
      <c r="D249" s="234" t="s">
        <v>108</v>
      </c>
      <c r="E249" s="229"/>
      <c r="F249" s="229"/>
      <c r="G249" s="225"/>
      <c r="H249" s="219" t="s">
        <v>35</v>
      </c>
      <c r="I249" s="237">
        <f ca="1">IFERROR(__xludf.DUMMYFUNCTION("IMPORTRANGE(""https://docs.google.com/spreadsheets/d/1eHaY18a8A9IcSdp1K8H6x8fbOy06t2VsZHhMHf-1x7Y/edit?usp=sharing"",""แผน!BG60"")"),15)</f>
        <v>15</v>
      </c>
      <c r="J249" s="794">
        <v>15</v>
      </c>
      <c r="K249" s="86">
        <f ca="1">IF(I249&gt;0,J249*100/I249,0)</f>
        <v>100</v>
      </c>
      <c r="L249" s="84"/>
      <c r="M249" s="85"/>
      <c r="N249" s="85"/>
      <c r="O249" s="85"/>
      <c r="P249" s="85"/>
      <c r="Q249" s="85"/>
      <c r="R249" s="85"/>
      <c r="S249" s="85"/>
      <c r="T249" s="85"/>
      <c r="U249" s="85"/>
    </row>
    <row r="250" spans="1:21" ht="18.75" x14ac:dyDescent="0.25">
      <c r="A250" s="220"/>
      <c r="B250" s="221"/>
      <c r="C250" s="221"/>
      <c r="D250" s="400" t="s">
        <v>43</v>
      </c>
      <c r="E250" s="229"/>
      <c r="F250" s="229"/>
      <c r="G250" s="225"/>
      <c r="H250" s="314"/>
      <c r="I250" s="69"/>
      <c r="J250" s="69"/>
      <c r="K250" s="70"/>
      <c r="L250" s="84"/>
      <c r="M250" s="85"/>
      <c r="N250" s="85"/>
      <c r="O250" s="227"/>
      <c r="P250" s="227"/>
      <c r="Q250" s="85"/>
      <c r="R250" s="85"/>
      <c r="S250" s="85"/>
      <c r="T250" s="227"/>
      <c r="U250" s="227"/>
    </row>
    <row r="251" spans="1:21" ht="18.75" x14ac:dyDescent="0.25">
      <c r="A251" s="220"/>
      <c r="B251" s="221"/>
      <c r="C251" s="221"/>
      <c r="D251" s="221"/>
      <c r="E251" s="228" t="s">
        <v>343</v>
      </c>
      <c r="F251" s="229"/>
      <c r="G251" s="225"/>
      <c r="H251" s="219" t="s">
        <v>35</v>
      </c>
      <c r="I251" s="237">
        <f ca="1">IFERROR(__xludf.DUMMYFUNCTION("IMPORTRANGE(""https://docs.google.com/spreadsheets/d/1eHaY18a8A9IcSdp1K8H6x8fbOy06t2VsZHhMHf-1x7Y/edit?usp=sharing"",""แผน!KB60"")"),15)</f>
        <v>15</v>
      </c>
      <c r="J251" s="794">
        <v>15</v>
      </c>
      <c r="K251" s="86">
        <f ca="1">IF(I251&gt;0,J251*100/I251,0)</f>
        <v>100</v>
      </c>
      <c r="L251" s="84"/>
      <c r="M251" s="85"/>
      <c r="N251" s="85"/>
      <c r="O251" s="85"/>
      <c r="P251" s="85"/>
      <c r="Q251" s="85"/>
      <c r="R251" s="85"/>
      <c r="S251" s="85"/>
      <c r="T251" s="85"/>
      <c r="U251" s="85"/>
    </row>
    <row r="252" spans="1:21" ht="18.75" x14ac:dyDescent="0.25">
      <c r="A252" s="220"/>
      <c r="B252" s="221"/>
      <c r="C252" s="221"/>
      <c r="D252" s="221"/>
      <c r="E252" s="228" t="s">
        <v>342</v>
      </c>
      <c r="F252" s="229"/>
      <c r="G252" s="225"/>
      <c r="H252" s="219" t="s">
        <v>35</v>
      </c>
      <c r="I252" s="237">
        <f ca="1">IFERROR(__xludf.DUMMYFUNCTION("IMPORTRANGE(""https://docs.google.com/spreadsheets/d/1eHaY18a8A9IcSdp1K8H6x8fbOy06t2VsZHhMHf-1x7Y/edit?usp=sharing"",""แผน!KC60"")"),1)</f>
        <v>1</v>
      </c>
      <c r="J252" s="794">
        <v>1</v>
      </c>
      <c r="K252" s="86">
        <f ca="1">IF(I252&gt;0,J252*100/I252,0)</f>
        <v>100</v>
      </c>
      <c r="L252" s="84"/>
      <c r="M252" s="85"/>
      <c r="N252" s="85"/>
      <c r="O252" s="85"/>
      <c r="P252" s="85"/>
      <c r="Q252" s="85"/>
      <c r="R252" s="85"/>
      <c r="S252" s="85"/>
      <c r="T252" s="85"/>
      <c r="U252" s="85"/>
    </row>
    <row r="253" spans="1:21" ht="19.5" hidden="1" x14ac:dyDescent="0.3">
      <c r="A253" s="532"/>
      <c r="B253" s="534"/>
      <c r="C253" s="1304" t="s">
        <v>112</v>
      </c>
      <c r="D253" s="533"/>
      <c r="E253" s="533"/>
      <c r="F253" s="533"/>
      <c r="G253" s="536"/>
      <c r="H253" s="952" t="s">
        <v>35</v>
      </c>
      <c r="I253" s="951">
        <f ca="1">I260</f>
        <v>0</v>
      </c>
      <c r="J253" s="951">
        <f>J260</f>
        <v>0</v>
      </c>
      <c r="K253" s="950">
        <f ca="1">IF(I253&gt;0,J253*100/I253,0)</f>
        <v>0</v>
      </c>
      <c r="L253" s="377"/>
      <c r="M253" s="378"/>
      <c r="N253" s="378"/>
      <c r="O253" s="378"/>
      <c r="P253" s="378"/>
      <c r="Q253" s="378"/>
      <c r="R253" s="378"/>
      <c r="S253" s="378"/>
      <c r="T253" s="378"/>
      <c r="U253" s="378"/>
    </row>
    <row r="254" spans="1:21" ht="19.5" hidden="1" x14ac:dyDescent="0.3">
      <c r="A254" s="255"/>
      <c r="B254" s="267"/>
      <c r="C254" s="948" t="s">
        <v>18</v>
      </c>
      <c r="D254" s="949" t="s">
        <v>19</v>
      </c>
      <c r="E254" s="256"/>
      <c r="F254" s="256"/>
      <c r="G254" s="259"/>
      <c r="H254" s="753" t="s">
        <v>14</v>
      </c>
      <c r="I254" s="270"/>
      <c r="J254" s="270"/>
      <c r="K254" s="227"/>
      <c r="L254" s="389">
        <f ca="1">L255+L256+L257+L258</f>
        <v>0</v>
      </c>
      <c r="M254" s="85"/>
      <c r="N254" s="262">
        <f>N255+N256+N257+N258</f>
        <v>0</v>
      </c>
      <c r="O254" s="262">
        <f ca="1">IF(L254&gt;0,N254*100/L254,0)</f>
        <v>0</v>
      </c>
      <c r="P254" s="262">
        <f>IF(M254&gt;0,N254*100/M254,0)</f>
        <v>0</v>
      </c>
      <c r="Q254" s="85"/>
      <c r="R254" s="85"/>
      <c r="S254" s="85"/>
      <c r="T254" s="85"/>
      <c r="U254" s="85"/>
    </row>
    <row r="255" spans="1:21" ht="18.75" hidden="1" x14ac:dyDescent="0.25">
      <c r="A255" s="255"/>
      <c r="B255" s="267"/>
      <c r="C255" s="267"/>
      <c r="D255" s="1303" t="s">
        <v>320</v>
      </c>
      <c r="E255" s="256"/>
      <c r="F255" s="256"/>
      <c r="G255" s="259"/>
      <c r="H255" s="271" t="s">
        <v>14</v>
      </c>
      <c r="I255" s="270"/>
      <c r="J255" s="270"/>
      <c r="K255" s="227"/>
      <c r="L255" s="71">
        <f ca="1">IFERROR(__xludf.DUMMYFUNCTION("IMPORTRANGE(""https://docs.google.com/spreadsheets/d/1eHaY18a8A9IcSdp1K8H6x8fbOy06t2VsZHhMHf-1x7Y/edit?usp=sharing"",""แผน!BB60"")"),0)</f>
        <v>0</v>
      </c>
      <c r="M255" s="85"/>
      <c r="N255" s="387">
        <v>0</v>
      </c>
      <c r="O255" s="85"/>
      <c r="P255" s="85"/>
      <c r="Q255" s="85"/>
      <c r="R255" s="85"/>
      <c r="S255" s="85"/>
      <c r="T255" s="85"/>
      <c r="U255" s="85"/>
    </row>
    <row r="256" spans="1:21" ht="18.75" hidden="1" x14ac:dyDescent="0.25">
      <c r="A256" s="529"/>
      <c r="B256" s="267"/>
      <c r="C256" s="267"/>
      <c r="D256" s="567" t="s">
        <v>87</v>
      </c>
      <c r="E256" s="256"/>
      <c r="F256" s="256"/>
      <c r="G256" s="259"/>
      <c r="H256" s="271" t="s">
        <v>14</v>
      </c>
      <c r="I256" s="261"/>
      <c r="J256" s="261"/>
      <c r="K256" s="85"/>
      <c r="L256" s="71">
        <f ca="1">IFERROR(__xludf.DUMMYFUNCTION("IMPORTRANGE(""https://docs.google.com/spreadsheets/d/1eHaY18a8A9IcSdp1K8H6x8fbOy06t2VsZHhMHf-1x7Y/edit?usp=sharing"",""แผน!BC60"")"),0)</f>
        <v>0</v>
      </c>
      <c r="M256" s="85"/>
      <c r="N256" s="387">
        <v>0</v>
      </c>
      <c r="O256" s="85"/>
      <c r="P256" s="85"/>
      <c r="Q256" s="85"/>
      <c r="R256" s="85"/>
      <c r="S256" s="85"/>
      <c r="T256" s="85"/>
      <c r="U256" s="85"/>
    </row>
    <row r="257" spans="1:21" ht="18.75" hidden="1" x14ac:dyDescent="0.25">
      <c r="A257" s="529"/>
      <c r="B257" s="267"/>
      <c r="C257" s="267"/>
      <c r="D257" s="567" t="s">
        <v>88</v>
      </c>
      <c r="E257" s="256"/>
      <c r="F257" s="256"/>
      <c r="G257" s="259"/>
      <c r="H257" s="271" t="s">
        <v>14</v>
      </c>
      <c r="I257" s="261"/>
      <c r="J257" s="261"/>
      <c r="K257" s="85"/>
      <c r="L257" s="71">
        <f ca="1">IFERROR(__xludf.DUMMYFUNCTION("IMPORTRANGE(""https://docs.google.com/spreadsheets/d/1eHaY18a8A9IcSdp1K8H6x8fbOy06t2VsZHhMHf-1x7Y/edit?usp=sharing"",""แผน!BD60"")"),0)</f>
        <v>0</v>
      </c>
      <c r="M257" s="85"/>
      <c r="N257" s="387">
        <v>0</v>
      </c>
      <c r="O257" s="85"/>
      <c r="P257" s="85"/>
      <c r="Q257" s="85"/>
      <c r="R257" s="85"/>
      <c r="S257" s="85"/>
      <c r="T257" s="85"/>
      <c r="U257" s="85"/>
    </row>
    <row r="258" spans="1:21" ht="18.75" hidden="1" x14ac:dyDescent="0.25">
      <c r="A258" s="529"/>
      <c r="B258" s="267"/>
      <c r="C258" s="267"/>
      <c r="D258" s="265" t="s">
        <v>89</v>
      </c>
      <c r="E258" s="256"/>
      <c r="F258" s="256"/>
      <c r="G258" s="259"/>
      <c r="H258" s="271" t="s">
        <v>14</v>
      </c>
      <c r="I258" s="261"/>
      <c r="J258" s="261"/>
      <c r="K258" s="85"/>
      <c r="L258" s="71">
        <f ca="1">IFERROR(__xludf.DUMMYFUNCTION("IMPORTRANGE(""https://docs.google.com/spreadsheets/d/1eHaY18a8A9IcSdp1K8H6x8fbOy06t2VsZHhMHf-1x7Y/edit?usp=sharing"",""แผน!BE60"")"),0)</f>
        <v>0</v>
      </c>
      <c r="M258" s="85"/>
      <c r="N258" s="387">
        <v>0</v>
      </c>
      <c r="O258" s="85"/>
      <c r="P258" s="85"/>
      <c r="Q258" s="85"/>
      <c r="R258" s="85"/>
      <c r="S258" s="85"/>
      <c r="T258" s="85"/>
      <c r="U258" s="85"/>
    </row>
    <row r="259" spans="1:21" ht="19.5" hidden="1" x14ac:dyDescent="0.3">
      <c r="A259" s="274"/>
      <c r="B259" s="275"/>
      <c r="C259" s="948" t="s">
        <v>18</v>
      </c>
      <c r="D259" s="813" t="s">
        <v>38</v>
      </c>
      <c r="E259" s="278"/>
      <c r="F259" s="278"/>
      <c r="G259" s="279"/>
      <c r="H259" s="280"/>
      <c r="I259" s="270"/>
      <c r="J259" s="261"/>
      <c r="K259" s="85"/>
      <c r="L259" s="84"/>
      <c r="M259" s="85"/>
      <c r="N259" s="85"/>
      <c r="O259" s="227"/>
      <c r="P259" s="227"/>
      <c r="Q259" s="85"/>
      <c r="R259" s="85"/>
      <c r="S259" s="85"/>
      <c r="T259" s="227"/>
      <c r="U259" s="227"/>
    </row>
    <row r="260" spans="1:21" ht="18.75" hidden="1" x14ac:dyDescent="0.25">
      <c r="A260" s="274"/>
      <c r="B260" s="275"/>
      <c r="C260" s="275"/>
      <c r="D260" s="306" t="s">
        <v>108</v>
      </c>
      <c r="E260" s="288"/>
      <c r="F260" s="288"/>
      <c r="G260" s="280"/>
      <c r="H260" s="756" t="s">
        <v>35</v>
      </c>
      <c r="I260" s="570">
        <f ca="1">IFERROR(__xludf.DUMMYFUNCTION("IMPORTRANGE(""https://docs.google.com/spreadsheets/d/1eHaY18a8A9IcSdp1K8H6x8fbOy06t2VsZHhMHf-1x7Y/edit?usp=sharing"",""แผน!BH60"")"),0)</f>
        <v>0</v>
      </c>
      <c r="J260" s="832">
        <v>0</v>
      </c>
      <c r="K260" s="75">
        <f ca="1">IF(I260&gt;0,J260*100/I260,0)</f>
        <v>0</v>
      </c>
      <c r="L260" s="84"/>
      <c r="M260" s="85"/>
      <c r="N260" s="85"/>
      <c r="O260" s="85"/>
      <c r="P260" s="85"/>
      <c r="Q260" s="85"/>
      <c r="R260" s="85"/>
      <c r="S260" s="85"/>
      <c r="T260" s="85"/>
      <c r="U260" s="85"/>
    </row>
    <row r="261" spans="1:21" ht="18.75" hidden="1" x14ac:dyDescent="0.25">
      <c r="A261" s="274"/>
      <c r="B261" s="275"/>
      <c r="C261" s="275"/>
      <c r="D261" s="947" t="s">
        <v>43</v>
      </c>
      <c r="E261" s="288"/>
      <c r="F261" s="288"/>
      <c r="G261" s="280"/>
      <c r="H261" s="305"/>
      <c r="I261" s="261"/>
      <c r="J261" s="261"/>
      <c r="K261" s="85"/>
      <c r="L261" s="84"/>
      <c r="M261" s="85"/>
      <c r="N261" s="85"/>
      <c r="O261" s="227"/>
      <c r="P261" s="227"/>
      <c r="Q261" s="85"/>
      <c r="R261" s="85"/>
      <c r="S261" s="85"/>
      <c r="T261" s="227"/>
      <c r="U261" s="227"/>
    </row>
    <row r="262" spans="1:21" ht="18.75" hidden="1" x14ac:dyDescent="0.25">
      <c r="A262" s="274"/>
      <c r="B262" s="275"/>
      <c r="C262" s="275"/>
      <c r="D262" s="275"/>
      <c r="E262" s="946" t="s">
        <v>109</v>
      </c>
      <c r="F262" s="288"/>
      <c r="G262" s="280"/>
      <c r="H262" s="756" t="s">
        <v>35</v>
      </c>
      <c r="I262" s="261"/>
      <c r="J262" s="832">
        <v>0</v>
      </c>
      <c r="K262" s="75">
        <f>IF(I262&gt;0,J262*100/I262,0)</f>
        <v>0</v>
      </c>
      <c r="L262" s="84"/>
      <c r="M262" s="85"/>
      <c r="N262" s="85"/>
      <c r="O262" s="85"/>
      <c r="P262" s="85"/>
      <c r="Q262" s="85"/>
      <c r="R262" s="85"/>
      <c r="S262" s="85"/>
      <c r="T262" s="85"/>
      <c r="U262" s="85"/>
    </row>
    <row r="263" spans="1:21" ht="18.75" hidden="1" x14ac:dyDescent="0.25">
      <c r="A263" s="274"/>
      <c r="B263" s="275"/>
      <c r="C263" s="275"/>
      <c r="D263" s="275"/>
      <c r="E263" s="946" t="s">
        <v>110</v>
      </c>
      <c r="F263" s="288"/>
      <c r="G263" s="280"/>
      <c r="H263" s="756" t="s">
        <v>61</v>
      </c>
      <c r="I263" s="261"/>
      <c r="J263" s="832">
        <v>0</v>
      </c>
      <c r="K263" s="75">
        <f>IF(I263&gt;0,J263*100/I263,0)</f>
        <v>0</v>
      </c>
      <c r="L263" s="84"/>
      <c r="M263" s="85"/>
      <c r="N263" s="85"/>
      <c r="O263" s="85"/>
      <c r="P263" s="85"/>
      <c r="Q263" s="85"/>
      <c r="R263" s="85"/>
      <c r="S263" s="85"/>
      <c r="T263" s="85"/>
      <c r="U263" s="85"/>
    </row>
    <row r="264" spans="1:21" ht="19.5" x14ac:dyDescent="0.3">
      <c r="A264" s="347" t="s">
        <v>113</v>
      </c>
      <c r="B264" s="348"/>
      <c r="C264" s="348"/>
      <c r="D264" s="349"/>
      <c r="E264" s="349"/>
      <c r="F264" s="349"/>
      <c r="G264" s="350"/>
      <c r="H264" s="1301"/>
      <c r="I264" s="351"/>
      <c r="J264" s="351"/>
      <c r="K264" s="352"/>
      <c r="L264" s="944"/>
      <c r="M264" s="352"/>
      <c r="N264" s="352"/>
      <c r="O264" s="352"/>
      <c r="P264" s="352"/>
      <c r="Q264" s="352"/>
      <c r="R264" s="352"/>
      <c r="S264" s="352"/>
      <c r="T264" s="352"/>
      <c r="U264" s="352"/>
    </row>
    <row r="265" spans="1:21" ht="19.5" x14ac:dyDescent="0.3">
      <c r="A265" s="355"/>
      <c r="B265" s="356" t="s">
        <v>114</v>
      </c>
      <c r="C265" s="357"/>
      <c r="D265" s="223"/>
      <c r="E265" s="223"/>
      <c r="F265" s="223"/>
      <c r="G265" s="224"/>
      <c r="H265" s="1300" t="s">
        <v>35</v>
      </c>
      <c r="I265" s="943">
        <f ca="1">I276</f>
        <v>22</v>
      </c>
      <c r="J265" s="943">
        <f>J276</f>
        <v>22</v>
      </c>
      <c r="K265" s="360">
        <f ca="1">IF(I265&gt;0,J265*100/I265,0)</f>
        <v>100</v>
      </c>
      <c r="L265" s="942"/>
      <c r="M265" s="361"/>
      <c r="N265" s="361"/>
      <c r="O265" s="361"/>
      <c r="P265" s="361"/>
      <c r="Q265" s="361"/>
      <c r="R265" s="361"/>
      <c r="S265" s="361"/>
      <c r="T265" s="361"/>
      <c r="U265" s="361"/>
    </row>
    <row r="266" spans="1:21" ht="19.5" x14ac:dyDescent="0.3">
      <c r="A266" s="207"/>
      <c r="B266" s="65"/>
      <c r="C266" s="668" t="s">
        <v>18</v>
      </c>
      <c r="D266" s="941" t="s">
        <v>19</v>
      </c>
      <c r="E266" s="65"/>
      <c r="F266" s="65"/>
      <c r="G266" s="67"/>
      <c r="H266" s="210" t="s">
        <v>14</v>
      </c>
      <c r="I266" s="69"/>
      <c r="J266" s="69"/>
      <c r="K266" s="70"/>
      <c r="L266" s="940">
        <f ca="1">L267+L268</f>
        <v>5000</v>
      </c>
      <c r="M266" s="211">
        <f ca="1">M267+M268</f>
        <v>5000</v>
      </c>
      <c r="N266" s="211">
        <f ca="1">N267+N268</f>
        <v>5000</v>
      </c>
      <c r="O266" s="211">
        <f t="shared" ref="O266:O274" ca="1" si="63">IF(L266&gt;0,N266*100/L266,0)</f>
        <v>100</v>
      </c>
      <c r="P266" s="211">
        <f t="shared" ref="P266:P274" ca="1" si="64">IF(M266&gt;0,N266*100/M266,0)</f>
        <v>100</v>
      </c>
      <c r="Q266" s="211">
        <f ca="1">Q267+Q268</f>
        <v>50660</v>
      </c>
      <c r="R266" s="211">
        <f ca="1">R267+R268</f>
        <v>50660</v>
      </c>
      <c r="S266" s="211">
        <f ca="1">S267+S268</f>
        <v>32590</v>
      </c>
      <c r="T266" s="211">
        <f t="shared" ref="T266:T274" ca="1" si="65">IF(Q266&gt;0,S266*100/Q266,0)</f>
        <v>64.330833004342679</v>
      </c>
      <c r="U266" s="211">
        <f t="shared" ref="U266:U274" ca="1" si="66">IF(R266&gt;0,S266*100/R266,0)</f>
        <v>64.330833004342679</v>
      </c>
    </row>
    <row r="267" spans="1:21" ht="18.75" hidden="1" x14ac:dyDescent="0.25">
      <c r="A267" s="936"/>
      <c r="B267" s="935"/>
      <c r="C267" s="935"/>
      <c r="D267" s="935"/>
      <c r="E267" s="263" t="s">
        <v>20</v>
      </c>
      <c r="F267" s="935"/>
      <c r="G267" s="934"/>
      <c r="H267" s="264" t="s">
        <v>14</v>
      </c>
      <c r="I267" s="939"/>
      <c r="J267" s="939"/>
      <c r="K267" s="938"/>
      <c r="L267" s="74">
        <f t="shared" ref="L267:N268" si="67">L270+L273</f>
        <v>0</v>
      </c>
      <c r="M267" s="75">
        <f t="shared" si="67"/>
        <v>0</v>
      </c>
      <c r="N267" s="75">
        <f t="shared" si="67"/>
        <v>0</v>
      </c>
      <c r="O267" s="75">
        <f t="shared" si="63"/>
        <v>0</v>
      </c>
      <c r="P267" s="75">
        <f t="shared" si="64"/>
        <v>0</v>
      </c>
      <c r="Q267" s="75">
        <f t="shared" ref="Q267:S268" si="68">Q270+Q273</f>
        <v>0</v>
      </c>
      <c r="R267" s="75">
        <f t="shared" si="68"/>
        <v>0</v>
      </c>
      <c r="S267" s="75">
        <f t="shared" si="68"/>
        <v>0</v>
      </c>
      <c r="T267" s="75">
        <f t="shared" si="65"/>
        <v>0</v>
      </c>
      <c r="U267" s="75">
        <f t="shared" si="66"/>
        <v>0</v>
      </c>
    </row>
    <row r="268" spans="1:21" ht="18.75" hidden="1" x14ac:dyDescent="0.25">
      <c r="A268" s="207"/>
      <c r="B268" s="65"/>
      <c r="C268" s="65"/>
      <c r="D268" s="65"/>
      <c r="E268" s="73" t="s">
        <v>21</v>
      </c>
      <c r="F268" s="65"/>
      <c r="G268" s="67"/>
      <c r="H268" s="214" t="s">
        <v>14</v>
      </c>
      <c r="I268" s="69"/>
      <c r="J268" s="69"/>
      <c r="K268" s="70"/>
      <c r="L268" s="685">
        <f t="shared" ca="1" si="67"/>
        <v>5000</v>
      </c>
      <c r="M268" s="86">
        <f t="shared" ca="1" si="67"/>
        <v>5000</v>
      </c>
      <c r="N268" s="86">
        <f t="shared" ca="1" si="67"/>
        <v>5000</v>
      </c>
      <c r="O268" s="86">
        <f t="shared" ca="1" si="63"/>
        <v>100</v>
      </c>
      <c r="P268" s="86">
        <f t="shared" ca="1" si="64"/>
        <v>100</v>
      </c>
      <c r="Q268" s="86">
        <f t="shared" ca="1" si="68"/>
        <v>50660</v>
      </c>
      <c r="R268" s="86">
        <f t="shared" ca="1" si="68"/>
        <v>50660</v>
      </c>
      <c r="S268" s="86">
        <f t="shared" ca="1" si="68"/>
        <v>32590</v>
      </c>
      <c r="T268" s="86">
        <f t="shared" ca="1" si="65"/>
        <v>64.330833004342679</v>
      </c>
      <c r="U268" s="86">
        <f t="shared" ca="1" si="66"/>
        <v>64.330833004342679</v>
      </c>
    </row>
    <row r="269" spans="1:21" ht="18.75" x14ac:dyDescent="0.25">
      <c r="A269" s="207"/>
      <c r="B269" s="367"/>
      <c r="C269" s="65"/>
      <c r="D269" s="937" t="s">
        <v>22</v>
      </c>
      <c r="E269" s="65"/>
      <c r="F269" s="65"/>
      <c r="G269" s="67"/>
      <c r="H269" s="216" t="s">
        <v>14</v>
      </c>
      <c r="I269" s="217"/>
      <c r="J269" s="217"/>
      <c r="K269" s="218"/>
      <c r="L269" s="685">
        <f ca="1">L270+L271</f>
        <v>5000</v>
      </c>
      <c r="M269" s="86">
        <f ca="1">M270+M271</f>
        <v>5000</v>
      </c>
      <c r="N269" s="86">
        <f ca="1">N270+N271</f>
        <v>5000</v>
      </c>
      <c r="O269" s="86">
        <f t="shared" ca="1" si="63"/>
        <v>100</v>
      </c>
      <c r="P269" s="86">
        <f t="shared" ca="1" si="64"/>
        <v>100</v>
      </c>
      <c r="Q269" s="86">
        <f ca="1">Q270+Q271</f>
        <v>50660</v>
      </c>
      <c r="R269" s="86">
        <f ca="1">R270+R271</f>
        <v>50660</v>
      </c>
      <c r="S269" s="86">
        <f ca="1">S270+S271</f>
        <v>32590</v>
      </c>
      <c r="T269" s="86">
        <f t="shared" ca="1" si="65"/>
        <v>64.330833004342679</v>
      </c>
      <c r="U269" s="86">
        <f t="shared" ca="1" si="66"/>
        <v>64.330833004342679</v>
      </c>
    </row>
    <row r="270" spans="1:21" ht="18.75" hidden="1" x14ac:dyDescent="0.25">
      <c r="A270" s="936"/>
      <c r="B270" s="1082"/>
      <c r="C270" s="1082"/>
      <c r="D270" s="935"/>
      <c r="E270" s="263" t="s">
        <v>36</v>
      </c>
      <c r="F270" s="935"/>
      <c r="G270" s="934"/>
      <c r="H270" s="271" t="s">
        <v>14</v>
      </c>
      <c r="I270" s="933"/>
      <c r="J270" s="933"/>
      <c r="K270" s="932"/>
      <c r="L270" s="74">
        <v>0</v>
      </c>
      <c r="M270" s="75">
        <v>0</v>
      </c>
      <c r="N270" s="75">
        <v>0</v>
      </c>
      <c r="O270" s="75">
        <f t="shared" si="63"/>
        <v>0</v>
      </c>
      <c r="P270" s="75">
        <f t="shared" si="64"/>
        <v>0</v>
      </c>
      <c r="Q270" s="75">
        <v>0</v>
      </c>
      <c r="R270" s="75">
        <v>0</v>
      </c>
      <c r="S270" s="75">
        <v>0</v>
      </c>
      <c r="T270" s="75">
        <f t="shared" si="65"/>
        <v>0</v>
      </c>
      <c r="U270" s="75">
        <f t="shared" si="66"/>
        <v>0</v>
      </c>
    </row>
    <row r="271" spans="1:21" ht="18.75" hidden="1" x14ac:dyDescent="0.25">
      <c r="A271" s="207"/>
      <c r="B271" s="367"/>
      <c r="C271" s="367"/>
      <c r="D271" s="65"/>
      <c r="E271" s="73" t="s">
        <v>37</v>
      </c>
      <c r="F271" s="65"/>
      <c r="G271" s="67"/>
      <c r="H271" s="216" t="s">
        <v>14</v>
      </c>
      <c r="I271" s="217"/>
      <c r="J271" s="217"/>
      <c r="K271" s="218"/>
      <c r="L271" s="685">
        <f ca="1">IFERROR(__xludf.DUMMYFUNCTION("IMPORTRANGE(""https://docs.google.com/spreadsheets/d/1-uDff_7J0KD5mKrp0Vvzr7lt3OU09vwQwhkpOPPYv2Y/edit?usp=sharing"",""งบพรบ!DE60"")"),5000)</f>
        <v>5000</v>
      </c>
      <c r="M271" s="86">
        <f ca="1">IFERROR(__xludf.DUMMYFUNCTION("IMPORTRANGE(""https://docs.google.com/spreadsheets/d/1-uDff_7J0KD5mKrp0Vvzr7lt3OU09vwQwhkpOPPYv2Y/edit?usp=sharing"",""งบพรบ!DJ60"")"),5000)</f>
        <v>5000</v>
      </c>
      <c r="N271" s="86">
        <f ca="1">IFERROR(__xludf.DUMMYFUNCTION("IMPORTRANGE(""https://docs.google.com/spreadsheets/d/1-uDff_7J0KD5mKrp0Vvzr7lt3OU09vwQwhkpOPPYv2Y/edit?usp=sharing"",""งบพรบ!DL60"")"),5000)</f>
        <v>5000</v>
      </c>
      <c r="O271" s="86">
        <f t="shared" ca="1" si="63"/>
        <v>100</v>
      </c>
      <c r="P271" s="86">
        <f t="shared" ca="1" si="64"/>
        <v>100</v>
      </c>
      <c r="Q271" s="86">
        <f ca="1">IFERROR(__xludf.DUMMYFUNCTION("IMPORTRANGE(""https://docs.google.com/spreadsheets/d/1ItG2mGa2ceCfYo0BwxsXqNm01IGEUdYcSSLTEv9YCik/edit?usp=sharing"",""เบิกจ่ายกองทุน!AP60"")"),50660)</f>
        <v>50660</v>
      </c>
      <c r="R271" s="86">
        <f ca="1">IFERROR(__xludf.DUMMYFUNCTION("IMPORTRANGE(""https://docs.google.com/spreadsheets/d/1ItG2mGa2ceCfYo0BwxsXqNm01IGEUdYcSSLTEv9YCik/edit?usp=sharing"",""เบิกจ่ายกองทุน!AQ60"")"),50660)</f>
        <v>50660</v>
      </c>
      <c r="S271" s="86">
        <f ca="1">IFERROR(__xludf.DUMMYFUNCTION("IMPORTRANGE(""https://docs.google.com/spreadsheets/d/1ItG2mGa2ceCfYo0BwxsXqNm01IGEUdYcSSLTEv9YCik/edit?usp=sharing"",""เบิกจ่ายกองทุน!AR60"")"),32590)</f>
        <v>32590</v>
      </c>
      <c r="T271" s="86">
        <f t="shared" ca="1" si="65"/>
        <v>64.330833004342679</v>
      </c>
      <c r="U271" s="86">
        <f t="shared" ca="1" si="66"/>
        <v>64.330833004342679</v>
      </c>
    </row>
    <row r="272" spans="1:21" ht="18.75" x14ac:dyDescent="0.25">
      <c r="A272" s="207"/>
      <c r="B272" s="367"/>
      <c r="C272" s="367"/>
      <c r="D272" s="1110" t="s">
        <v>23</v>
      </c>
      <c r="E272" s="65"/>
      <c r="F272" s="65"/>
      <c r="G272" s="67"/>
      <c r="H272" s="219" t="s">
        <v>14</v>
      </c>
      <c r="I272" s="217"/>
      <c r="J272" s="217"/>
      <c r="K272" s="218"/>
      <c r="L272" s="685">
        <f ca="1">L273+L274</f>
        <v>0</v>
      </c>
      <c r="M272" s="86">
        <f ca="1">M273+M274</f>
        <v>0</v>
      </c>
      <c r="N272" s="86">
        <f ca="1">N273+N274</f>
        <v>0</v>
      </c>
      <c r="O272" s="86">
        <f t="shared" ca="1" si="63"/>
        <v>0</v>
      </c>
      <c r="P272" s="86">
        <f t="shared" ca="1" si="64"/>
        <v>0</v>
      </c>
      <c r="Q272" s="86">
        <f>Q273+Q274</f>
        <v>0</v>
      </c>
      <c r="R272" s="86">
        <f>R273+R274</f>
        <v>0</v>
      </c>
      <c r="S272" s="86">
        <f>S273+S274</f>
        <v>0</v>
      </c>
      <c r="T272" s="86">
        <f t="shared" si="65"/>
        <v>0</v>
      </c>
      <c r="U272" s="86">
        <f t="shared" si="66"/>
        <v>0</v>
      </c>
    </row>
    <row r="273" spans="1:21" ht="18.75" hidden="1" x14ac:dyDescent="0.25">
      <c r="A273" s="936"/>
      <c r="B273" s="935"/>
      <c r="C273" s="1082"/>
      <c r="D273" s="935"/>
      <c r="E273" s="263" t="s">
        <v>20</v>
      </c>
      <c r="F273" s="935"/>
      <c r="G273" s="934"/>
      <c r="H273" s="271" t="s">
        <v>14</v>
      </c>
      <c r="I273" s="933"/>
      <c r="J273" s="933"/>
      <c r="K273" s="932"/>
      <c r="L273" s="74">
        <v>0</v>
      </c>
      <c r="M273" s="75">
        <v>0</v>
      </c>
      <c r="N273" s="75">
        <v>0</v>
      </c>
      <c r="O273" s="75">
        <f t="shared" si="63"/>
        <v>0</v>
      </c>
      <c r="P273" s="75">
        <f t="shared" si="64"/>
        <v>0</v>
      </c>
      <c r="Q273" s="75">
        <v>0</v>
      </c>
      <c r="R273" s="75">
        <v>0</v>
      </c>
      <c r="S273" s="75">
        <v>0</v>
      </c>
      <c r="T273" s="75">
        <f t="shared" si="65"/>
        <v>0</v>
      </c>
      <c r="U273" s="75">
        <f t="shared" si="66"/>
        <v>0</v>
      </c>
    </row>
    <row r="274" spans="1:21" ht="18.75" hidden="1" x14ac:dyDescent="0.25">
      <c r="A274" s="207"/>
      <c r="B274" s="65"/>
      <c r="C274" s="65"/>
      <c r="D274" s="367"/>
      <c r="E274" s="73" t="s">
        <v>21</v>
      </c>
      <c r="F274" s="65"/>
      <c r="G274" s="67"/>
      <c r="H274" s="219" t="s">
        <v>14</v>
      </c>
      <c r="I274" s="217"/>
      <c r="J274" s="217"/>
      <c r="K274" s="218"/>
      <c r="L274" s="685">
        <f ca="1">IFERROR(__xludf.DUMMYFUNCTION("IMPORTRANGE(""https://docs.google.com/spreadsheets/d/1-uDff_7J0KD5mKrp0Vvzr7lt3OU09vwQwhkpOPPYv2Y/edit?usp=sharing"",""งบพรบ!DH60"")"),0)</f>
        <v>0</v>
      </c>
      <c r="M274" s="86">
        <f ca="1">IFERROR(__xludf.DUMMYFUNCTION("IMPORTRANGE(""https://docs.google.com/spreadsheets/d/1-uDff_7J0KD5mKrp0Vvzr7lt3OU09vwQwhkpOPPYv2Y/edit?usp=sharing"",""งบพรบ!DK60"")"),0)</f>
        <v>0</v>
      </c>
      <c r="N274" s="86">
        <f ca="1">IFERROR(__xludf.DUMMYFUNCTION("IMPORTRANGE(""https://docs.google.com/spreadsheets/d/1-uDff_7J0KD5mKrp0Vvzr7lt3OU09vwQwhkpOPPYv2Y/edit?usp=sharing"",""งบพรบ!DM60"")"),0)</f>
        <v>0</v>
      </c>
      <c r="O274" s="86">
        <f t="shared" ca="1" si="63"/>
        <v>0</v>
      </c>
      <c r="P274" s="86">
        <f t="shared" ca="1" si="64"/>
        <v>0</v>
      </c>
      <c r="Q274" s="86">
        <v>0</v>
      </c>
      <c r="R274" s="86">
        <v>0</v>
      </c>
      <c r="S274" s="86">
        <v>0</v>
      </c>
      <c r="T274" s="86">
        <f t="shared" si="65"/>
        <v>0</v>
      </c>
      <c r="U274" s="86">
        <f t="shared" si="66"/>
        <v>0</v>
      </c>
    </row>
    <row r="275" spans="1:21" ht="19.5" x14ac:dyDescent="0.3">
      <c r="A275" s="220"/>
      <c r="B275" s="221"/>
      <c r="C275" s="73" t="s">
        <v>18</v>
      </c>
      <c r="D275" s="1109" t="s">
        <v>38</v>
      </c>
      <c r="E275" s="223"/>
      <c r="F275" s="223"/>
      <c r="G275" s="224"/>
      <c r="H275" s="225"/>
      <c r="I275" s="217"/>
      <c r="J275" s="217"/>
      <c r="K275" s="218"/>
      <c r="L275" s="930"/>
      <c r="M275" s="218"/>
      <c r="N275" s="218"/>
      <c r="O275" s="218"/>
      <c r="P275" s="218"/>
      <c r="Q275" s="218"/>
      <c r="R275" s="218"/>
      <c r="S275" s="218"/>
      <c r="T275" s="218"/>
      <c r="U275" s="218"/>
    </row>
    <row r="276" spans="1:21" ht="18.75" x14ac:dyDescent="0.25">
      <c r="A276" s="1144"/>
      <c r="B276" s="1120"/>
      <c r="C276" s="1120"/>
      <c r="D276" s="1119" t="s">
        <v>115</v>
      </c>
      <c r="E276" s="77"/>
      <c r="F276" s="77"/>
      <c r="G276" s="79"/>
      <c r="H276" s="1118" t="s">
        <v>35</v>
      </c>
      <c r="I276" s="319">
        <f ca="1">IFERROR(__xludf.DUMMYFUNCTION("IMPORTRANGE(""https://docs.google.com/spreadsheets/d/1eHaY18a8A9IcSdp1K8H6x8fbOy06t2VsZHhMHf-1x7Y/edit?usp=sharing"",""แผน!EC60"")"),22)</f>
        <v>22</v>
      </c>
      <c r="J276" s="1117">
        <v>22</v>
      </c>
      <c r="K276" s="83">
        <f ca="1">IF(I276&gt;0,J276*100/I276,0)</f>
        <v>100</v>
      </c>
      <c r="L276" s="519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 ht="18.75" hidden="1" x14ac:dyDescent="0.25">
      <c r="A277" s="1116"/>
      <c r="B277" s="1115"/>
      <c r="C277" s="1115"/>
      <c r="D277" s="929" t="s">
        <v>116</v>
      </c>
      <c r="E277" s="1114"/>
      <c r="F277" s="1114"/>
      <c r="G277" s="1113"/>
      <c r="H277" s="1297" t="s">
        <v>35</v>
      </c>
      <c r="I277" s="760">
        <v>0</v>
      </c>
      <c r="J277" s="760">
        <v>0</v>
      </c>
      <c r="K277" s="927">
        <v>0</v>
      </c>
      <c r="L277" s="1112"/>
      <c r="M277" s="1111"/>
      <c r="N277" s="1111"/>
      <c r="O277" s="1111"/>
      <c r="P277" s="1111"/>
      <c r="Q277" s="1111"/>
      <c r="R277" s="1111"/>
      <c r="S277" s="1111"/>
      <c r="T277" s="1111"/>
      <c r="U277" s="1111"/>
    </row>
    <row r="278" spans="1:21" ht="19.5" hidden="1" x14ac:dyDescent="0.3">
      <c r="A278" s="926" t="s">
        <v>117</v>
      </c>
      <c r="B278" s="925"/>
      <c r="C278" s="925"/>
      <c r="D278" s="925"/>
      <c r="E278" s="924"/>
      <c r="F278" s="924"/>
      <c r="G278" s="924"/>
      <c r="H278" s="925"/>
      <c r="I278" s="923"/>
      <c r="J278" s="923"/>
      <c r="K278" s="450"/>
      <c r="L278" s="450"/>
      <c r="M278" s="450"/>
      <c r="N278" s="450"/>
      <c r="O278" s="450"/>
      <c r="P278" s="451"/>
      <c r="Q278" s="450"/>
      <c r="R278" s="450"/>
      <c r="S278" s="450"/>
      <c r="T278" s="450"/>
      <c r="U278" s="451"/>
    </row>
    <row r="279" spans="1:21" ht="19.5" hidden="1" x14ac:dyDescent="0.3">
      <c r="A279" s="922" t="s">
        <v>118</v>
      </c>
      <c r="B279" s="920"/>
      <c r="C279" s="921"/>
      <c r="D279" s="920"/>
      <c r="E279" s="920"/>
      <c r="F279" s="920"/>
      <c r="G279" s="920"/>
      <c r="H279" s="921"/>
      <c r="I279" s="919"/>
      <c r="J279" s="918"/>
      <c r="K279" s="459"/>
      <c r="L279" s="458"/>
      <c r="M279" s="459"/>
      <c r="N279" s="459"/>
      <c r="O279" s="459"/>
      <c r="P279" s="459"/>
      <c r="Q279" s="459"/>
      <c r="R279" s="459"/>
      <c r="S279" s="459"/>
      <c r="T279" s="459"/>
      <c r="U279" s="459"/>
    </row>
    <row r="280" spans="1:21" ht="19.5" hidden="1" x14ac:dyDescent="0.3">
      <c r="A280" s="916"/>
      <c r="B280" s="917" t="s">
        <v>119</v>
      </c>
      <c r="C280" s="914"/>
      <c r="D280" s="915"/>
      <c r="E280" s="914"/>
      <c r="F280" s="914"/>
      <c r="G280" s="913"/>
      <c r="H280" s="1296" t="s">
        <v>35</v>
      </c>
      <c r="I280" s="911">
        <f ca="1">I293</f>
        <v>0</v>
      </c>
      <c r="J280" s="911">
        <f>J293</f>
        <v>0</v>
      </c>
      <c r="K280" s="910">
        <f ca="1">IF(I280&gt;0,J280*100/I280,0)</f>
        <v>0</v>
      </c>
      <c r="L280" s="469"/>
      <c r="M280" s="470"/>
      <c r="N280" s="470"/>
      <c r="O280" s="470"/>
      <c r="P280" s="470"/>
      <c r="Q280" s="470"/>
      <c r="R280" s="470"/>
      <c r="S280" s="470"/>
      <c r="T280" s="470"/>
      <c r="U280" s="470"/>
    </row>
    <row r="281" spans="1:21" ht="19.5" hidden="1" x14ac:dyDescent="0.3">
      <c r="A281" s="916"/>
      <c r="B281" s="914"/>
      <c r="C281" s="914"/>
      <c r="D281" s="915"/>
      <c r="E281" s="914"/>
      <c r="F281" s="914"/>
      <c r="G281" s="913"/>
      <c r="H281" s="1296" t="s">
        <v>46</v>
      </c>
      <c r="I281" s="911">
        <f ca="1">I292</f>
        <v>0</v>
      </c>
      <c r="J281" s="911">
        <f>J292</f>
        <v>0</v>
      </c>
      <c r="K281" s="910">
        <f ca="1">IF(I281&gt;0,J281*100/I281,0)</f>
        <v>0</v>
      </c>
      <c r="L281" s="469"/>
      <c r="M281" s="470"/>
      <c r="N281" s="470"/>
      <c r="O281" s="470"/>
      <c r="P281" s="470"/>
      <c r="Q281" s="470"/>
      <c r="R281" s="470"/>
      <c r="S281" s="470"/>
      <c r="T281" s="470"/>
      <c r="U281" s="470"/>
    </row>
    <row r="282" spans="1:21" ht="19.5" hidden="1" x14ac:dyDescent="0.3">
      <c r="A282" s="255"/>
      <c r="B282" s="256"/>
      <c r="C282" s="257" t="s">
        <v>18</v>
      </c>
      <c r="D282" s="258" t="s">
        <v>19</v>
      </c>
      <c r="E282" s="256"/>
      <c r="F282" s="256"/>
      <c r="G282" s="259"/>
      <c r="H282" s="260" t="s">
        <v>14</v>
      </c>
      <c r="I282" s="261"/>
      <c r="J282" s="261"/>
      <c r="K282" s="85"/>
      <c r="L282" s="389">
        <f ca="1">L283+L284</f>
        <v>0</v>
      </c>
      <c r="M282" s="262">
        <f ca="1">M283+M284</f>
        <v>0</v>
      </c>
      <c r="N282" s="262">
        <f ca="1">N283+N284</f>
        <v>0</v>
      </c>
      <c r="O282" s="262">
        <f t="shared" ref="O282:O290" ca="1" si="69">IF(L282&gt;0,N282*100/L282,0)</f>
        <v>0</v>
      </c>
      <c r="P282" s="262">
        <f t="shared" ref="P282:P290" ca="1" si="70">IF(M282&gt;0,N282*100/M282,0)</f>
        <v>0</v>
      </c>
      <c r="Q282" s="262">
        <f>Q283+Q284</f>
        <v>0</v>
      </c>
      <c r="R282" s="262">
        <f>R283+R284</f>
        <v>0</v>
      </c>
      <c r="S282" s="262">
        <f>S283+S284</f>
        <v>0</v>
      </c>
      <c r="T282" s="262">
        <f t="shared" ref="T282:T290" si="71">IF(Q282&gt;0,S282*100/Q282,0)</f>
        <v>0</v>
      </c>
      <c r="U282" s="262">
        <f t="shared" ref="U282:U290" si="72">IF(R282&gt;0,S282*100/R282,0)</f>
        <v>0</v>
      </c>
    </row>
    <row r="283" spans="1:21" ht="18.75" hidden="1" x14ac:dyDescent="0.25">
      <c r="A283" s="255"/>
      <c r="B283" s="256"/>
      <c r="C283" s="256"/>
      <c r="D283" s="256"/>
      <c r="E283" s="263" t="s">
        <v>20</v>
      </c>
      <c r="F283" s="256"/>
      <c r="G283" s="259"/>
      <c r="H283" s="264" t="s">
        <v>14</v>
      </c>
      <c r="I283" s="261"/>
      <c r="J283" s="261"/>
      <c r="K283" s="85"/>
      <c r="L283" s="74">
        <f t="shared" ref="L283:N284" si="73">L286+L289</f>
        <v>0</v>
      </c>
      <c r="M283" s="75">
        <f t="shared" si="73"/>
        <v>0</v>
      </c>
      <c r="N283" s="75">
        <f t="shared" si="73"/>
        <v>0</v>
      </c>
      <c r="O283" s="75">
        <f t="shared" si="69"/>
        <v>0</v>
      </c>
      <c r="P283" s="75">
        <f t="shared" si="70"/>
        <v>0</v>
      </c>
      <c r="Q283" s="75">
        <f t="shared" ref="Q283:S284" si="74">Q286+Q289</f>
        <v>0</v>
      </c>
      <c r="R283" s="75">
        <f t="shared" si="74"/>
        <v>0</v>
      </c>
      <c r="S283" s="75">
        <f t="shared" si="74"/>
        <v>0</v>
      </c>
      <c r="T283" s="75">
        <f t="shared" si="71"/>
        <v>0</v>
      </c>
      <c r="U283" s="75">
        <f t="shared" si="72"/>
        <v>0</v>
      </c>
    </row>
    <row r="284" spans="1:21" ht="18.75" hidden="1" x14ac:dyDescent="0.25">
      <c r="A284" s="255"/>
      <c r="B284" s="256"/>
      <c r="C284" s="256"/>
      <c r="D284" s="256"/>
      <c r="E284" s="265" t="s">
        <v>21</v>
      </c>
      <c r="F284" s="256"/>
      <c r="G284" s="259"/>
      <c r="H284" s="266" t="s">
        <v>14</v>
      </c>
      <c r="I284" s="261"/>
      <c r="J284" s="261"/>
      <c r="K284" s="85"/>
      <c r="L284" s="71">
        <f t="shared" ca="1" si="73"/>
        <v>0</v>
      </c>
      <c r="M284" s="72">
        <f t="shared" ca="1" si="73"/>
        <v>0</v>
      </c>
      <c r="N284" s="72">
        <f t="shared" ca="1" si="73"/>
        <v>0</v>
      </c>
      <c r="O284" s="72">
        <f t="shared" ca="1" si="69"/>
        <v>0</v>
      </c>
      <c r="P284" s="72">
        <f t="shared" ca="1" si="70"/>
        <v>0</v>
      </c>
      <c r="Q284" s="72">
        <f t="shared" si="74"/>
        <v>0</v>
      </c>
      <c r="R284" s="72">
        <f t="shared" si="74"/>
        <v>0</v>
      </c>
      <c r="S284" s="72">
        <f t="shared" si="74"/>
        <v>0</v>
      </c>
      <c r="T284" s="72">
        <f t="shared" si="71"/>
        <v>0</v>
      </c>
      <c r="U284" s="72">
        <f t="shared" si="72"/>
        <v>0</v>
      </c>
    </row>
    <row r="285" spans="1:21" ht="18.75" hidden="1" x14ac:dyDescent="0.25">
      <c r="A285" s="255"/>
      <c r="B285" s="267"/>
      <c r="C285" s="256"/>
      <c r="D285" s="268" t="s">
        <v>22</v>
      </c>
      <c r="E285" s="256"/>
      <c r="F285" s="256"/>
      <c r="G285" s="259"/>
      <c r="H285" s="269" t="s">
        <v>14</v>
      </c>
      <c r="I285" s="270"/>
      <c r="J285" s="270"/>
      <c r="K285" s="227"/>
      <c r="L285" s="71">
        <f ca="1">L286+L287</f>
        <v>0</v>
      </c>
      <c r="M285" s="72">
        <f ca="1">M286+M287</f>
        <v>0</v>
      </c>
      <c r="N285" s="72">
        <f ca="1">N286+N287</f>
        <v>0</v>
      </c>
      <c r="O285" s="72">
        <f t="shared" ca="1" si="69"/>
        <v>0</v>
      </c>
      <c r="P285" s="72">
        <f t="shared" ca="1" si="70"/>
        <v>0</v>
      </c>
      <c r="Q285" s="72">
        <f>Q286+Q287</f>
        <v>0</v>
      </c>
      <c r="R285" s="72">
        <f>R286+R287</f>
        <v>0</v>
      </c>
      <c r="S285" s="72">
        <f>S286+S287</f>
        <v>0</v>
      </c>
      <c r="T285" s="72">
        <f t="shared" si="71"/>
        <v>0</v>
      </c>
      <c r="U285" s="72">
        <f t="shared" si="72"/>
        <v>0</v>
      </c>
    </row>
    <row r="286" spans="1:21" ht="18.75" hidden="1" x14ac:dyDescent="0.25">
      <c r="A286" s="255"/>
      <c r="B286" s="267"/>
      <c r="C286" s="267"/>
      <c r="D286" s="256"/>
      <c r="E286" s="569" t="s">
        <v>36</v>
      </c>
      <c r="F286" s="256"/>
      <c r="G286" s="259"/>
      <c r="H286" s="271" t="s">
        <v>14</v>
      </c>
      <c r="I286" s="270"/>
      <c r="J286" s="270"/>
      <c r="K286" s="227"/>
      <c r="L286" s="74">
        <v>0</v>
      </c>
      <c r="M286" s="75">
        <v>0</v>
      </c>
      <c r="N286" s="75">
        <v>0</v>
      </c>
      <c r="O286" s="75">
        <f t="shared" si="69"/>
        <v>0</v>
      </c>
      <c r="P286" s="75">
        <f t="shared" si="70"/>
        <v>0</v>
      </c>
      <c r="Q286" s="75">
        <v>0</v>
      </c>
      <c r="R286" s="75">
        <v>0</v>
      </c>
      <c r="S286" s="75">
        <v>0</v>
      </c>
      <c r="T286" s="75">
        <f t="shared" si="71"/>
        <v>0</v>
      </c>
      <c r="U286" s="75">
        <f t="shared" si="72"/>
        <v>0</v>
      </c>
    </row>
    <row r="287" spans="1:21" ht="18.75" hidden="1" x14ac:dyDescent="0.25">
      <c r="A287" s="255"/>
      <c r="B287" s="267"/>
      <c r="C287" s="267"/>
      <c r="D287" s="256"/>
      <c r="E287" s="567" t="s">
        <v>37</v>
      </c>
      <c r="F287" s="256"/>
      <c r="G287" s="259"/>
      <c r="H287" s="269" t="s">
        <v>14</v>
      </c>
      <c r="I287" s="270"/>
      <c r="J287" s="270"/>
      <c r="K287" s="227"/>
      <c r="L287" s="71">
        <f ca="1">IFERROR(__xludf.DUMMYFUNCTION("IMPORTRANGE(""https://docs.google.com/spreadsheets/d/1-uDff_7J0KD5mKrp0Vvzr7lt3OU09vwQwhkpOPPYv2Y/edit?usp=sharing"",""งบพรบ!DO60"")"),0)</f>
        <v>0</v>
      </c>
      <c r="M287" s="72">
        <f ca="1">IFERROR(__xludf.DUMMYFUNCTION("IMPORTRANGE(""https://docs.google.com/spreadsheets/d/1-uDff_7J0KD5mKrp0Vvzr7lt3OU09vwQwhkpOPPYv2Y/edit?usp=sharing"",""งบพรบ!DT60"")"),0)</f>
        <v>0</v>
      </c>
      <c r="N287" s="72">
        <f ca="1">IFERROR(__xludf.DUMMYFUNCTION("IMPORTRANGE(""https://docs.google.com/spreadsheets/d/1-uDff_7J0KD5mKrp0Vvzr7lt3OU09vwQwhkpOPPYv2Y/edit?usp=sharing"",""งบพรบ!DV60"")"),0)</f>
        <v>0</v>
      </c>
      <c r="O287" s="72">
        <f t="shared" ca="1" si="69"/>
        <v>0</v>
      </c>
      <c r="P287" s="72">
        <f t="shared" ca="1" si="70"/>
        <v>0</v>
      </c>
      <c r="Q287" s="72">
        <v>0</v>
      </c>
      <c r="R287" s="72">
        <v>0</v>
      </c>
      <c r="S287" s="72">
        <v>0</v>
      </c>
      <c r="T287" s="75">
        <f t="shared" si="71"/>
        <v>0</v>
      </c>
      <c r="U287" s="75">
        <f t="shared" si="72"/>
        <v>0</v>
      </c>
    </row>
    <row r="288" spans="1:21" ht="18.75" hidden="1" x14ac:dyDescent="0.25">
      <c r="A288" s="255"/>
      <c r="B288" s="267"/>
      <c r="C288" s="267"/>
      <c r="D288" s="268" t="s">
        <v>23</v>
      </c>
      <c r="E288" s="256"/>
      <c r="F288" s="256"/>
      <c r="G288" s="259"/>
      <c r="H288" s="273" t="s">
        <v>14</v>
      </c>
      <c r="I288" s="270"/>
      <c r="J288" s="270"/>
      <c r="K288" s="227"/>
      <c r="L288" s="71">
        <f ca="1">L289+L290</f>
        <v>0</v>
      </c>
      <c r="M288" s="72">
        <f ca="1">M289+M290</f>
        <v>0</v>
      </c>
      <c r="N288" s="72">
        <f ca="1">N289+N290</f>
        <v>0</v>
      </c>
      <c r="O288" s="72">
        <f t="shared" ca="1" si="69"/>
        <v>0</v>
      </c>
      <c r="P288" s="72">
        <f t="shared" ca="1" si="70"/>
        <v>0</v>
      </c>
      <c r="Q288" s="72">
        <f>Q289+Q290</f>
        <v>0</v>
      </c>
      <c r="R288" s="72">
        <f>R289+R290</f>
        <v>0</v>
      </c>
      <c r="S288" s="72">
        <f>S289+S290</f>
        <v>0</v>
      </c>
      <c r="T288" s="72">
        <f t="shared" si="71"/>
        <v>0</v>
      </c>
      <c r="U288" s="72">
        <f t="shared" si="72"/>
        <v>0</v>
      </c>
    </row>
    <row r="289" spans="1:21" ht="18.75" hidden="1" x14ac:dyDescent="0.25">
      <c r="A289" s="255"/>
      <c r="B289" s="267"/>
      <c r="C289" s="267"/>
      <c r="D289" s="256"/>
      <c r="E289" s="263" t="s">
        <v>20</v>
      </c>
      <c r="F289" s="256"/>
      <c r="G289" s="259"/>
      <c r="H289" s="271" t="s">
        <v>14</v>
      </c>
      <c r="I289" s="270"/>
      <c r="J289" s="270"/>
      <c r="K289" s="227"/>
      <c r="L289" s="74">
        <v>0</v>
      </c>
      <c r="M289" s="75">
        <v>0</v>
      </c>
      <c r="N289" s="75">
        <v>0</v>
      </c>
      <c r="O289" s="75">
        <f t="shared" si="69"/>
        <v>0</v>
      </c>
      <c r="P289" s="75">
        <f t="shared" si="70"/>
        <v>0</v>
      </c>
      <c r="Q289" s="75">
        <v>0</v>
      </c>
      <c r="R289" s="75">
        <v>0</v>
      </c>
      <c r="S289" s="75">
        <v>0</v>
      </c>
      <c r="T289" s="75">
        <f t="shared" si="71"/>
        <v>0</v>
      </c>
      <c r="U289" s="75">
        <f t="shared" si="72"/>
        <v>0</v>
      </c>
    </row>
    <row r="290" spans="1:21" ht="18.75" hidden="1" x14ac:dyDescent="0.25">
      <c r="A290" s="255"/>
      <c r="B290" s="267"/>
      <c r="C290" s="267"/>
      <c r="D290" s="256"/>
      <c r="E290" s="265" t="s">
        <v>21</v>
      </c>
      <c r="F290" s="256"/>
      <c r="G290" s="259"/>
      <c r="H290" s="273" t="s">
        <v>14</v>
      </c>
      <c r="I290" s="270"/>
      <c r="J290" s="270"/>
      <c r="K290" s="227"/>
      <c r="L290" s="71">
        <f ca="1">IFERROR(__xludf.DUMMYFUNCTION("IMPORTRANGE(""https://docs.google.com/spreadsheets/d/1-uDff_7J0KD5mKrp0Vvzr7lt3OU09vwQwhkpOPPYv2Y/edit?usp=sharing"",""งบพรบ!DR60"")"),0)</f>
        <v>0</v>
      </c>
      <c r="M290" s="72">
        <f ca="1">IFERROR(__xludf.DUMMYFUNCTION("IMPORTRANGE(""https://docs.google.com/spreadsheets/d/1-uDff_7J0KD5mKrp0Vvzr7lt3OU09vwQwhkpOPPYv2Y/edit?usp=sharing"",""งบพรบ!DU60"")"),0)</f>
        <v>0</v>
      </c>
      <c r="N290" s="72">
        <f ca="1">IFERROR(__xludf.DUMMYFUNCTION("IMPORTRANGE(""https://docs.google.com/spreadsheets/d/1-uDff_7J0KD5mKrp0Vvzr7lt3OU09vwQwhkpOPPYv2Y/edit?usp=sharing"",""งบพรบ!DW60"")"),0)</f>
        <v>0</v>
      </c>
      <c r="O290" s="72">
        <f t="shared" ca="1" si="69"/>
        <v>0</v>
      </c>
      <c r="P290" s="72">
        <f t="shared" ca="1" si="70"/>
        <v>0</v>
      </c>
      <c r="Q290" s="72">
        <v>0</v>
      </c>
      <c r="R290" s="72">
        <v>0</v>
      </c>
      <c r="S290" s="72">
        <v>0</v>
      </c>
      <c r="T290" s="72">
        <f t="shared" si="71"/>
        <v>0</v>
      </c>
      <c r="U290" s="72">
        <f t="shared" si="72"/>
        <v>0</v>
      </c>
    </row>
    <row r="291" spans="1:21" ht="19.5" hidden="1" x14ac:dyDescent="0.3">
      <c r="A291" s="274"/>
      <c r="B291" s="275"/>
      <c r="C291" s="276" t="s">
        <v>18</v>
      </c>
      <c r="D291" s="800" t="s">
        <v>38</v>
      </c>
      <c r="E291" s="278"/>
      <c r="F291" s="278"/>
      <c r="G291" s="279"/>
      <c r="H291" s="280"/>
      <c r="I291" s="270"/>
      <c r="J291" s="270"/>
      <c r="K291" s="227"/>
      <c r="L291" s="226"/>
      <c r="M291" s="227"/>
      <c r="N291" s="227"/>
      <c r="O291" s="227"/>
      <c r="P291" s="227"/>
      <c r="Q291" s="227"/>
      <c r="R291" s="227"/>
      <c r="S291" s="227"/>
      <c r="T291" s="227"/>
      <c r="U291" s="227"/>
    </row>
    <row r="292" spans="1:21" ht="18.75" hidden="1" x14ac:dyDescent="0.25">
      <c r="A292" s="274"/>
      <c r="B292" s="275"/>
      <c r="C292" s="275"/>
      <c r="D292" s="289" t="s">
        <v>120</v>
      </c>
      <c r="E292" s="275"/>
      <c r="F292" s="288"/>
      <c r="G292" s="280"/>
      <c r="H292" s="880" t="s">
        <v>46</v>
      </c>
      <c r="I292" s="291">
        <f ca="1">IFERROR(__xludf.DUMMYFUNCTION("IMPORTRANGE(""https://docs.google.com/spreadsheets/d/1eHaY18a8A9IcSdp1K8H6x8fbOy06t2VsZHhMHf-1x7Y/edit?usp=sharing"",""แผน!EE60"")"),0)</f>
        <v>0</v>
      </c>
      <c r="J292" s="292">
        <v>0</v>
      </c>
      <c r="K292" s="746">
        <f ca="1">IF(I292&gt;0,J292*100/I292,0)</f>
        <v>0</v>
      </c>
      <c r="L292" s="226"/>
      <c r="M292" s="227"/>
      <c r="N292" s="227"/>
      <c r="O292" s="227"/>
      <c r="P292" s="227"/>
      <c r="Q292" s="227"/>
      <c r="R292" s="227"/>
      <c r="S292" s="227"/>
      <c r="T292" s="227"/>
      <c r="U292" s="227"/>
    </row>
    <row r="293" spans="1:21" ht="19.5" hidden="1" x14ac:dyDescent="0.3">
      <c r="A293" s="274"/>
      <c r="B293" s="275"/>
      <c r="C293" s="275"/>
      <c r="D293" s="289" t="s">
        <v>121</v>
      </c>
      <c r="E293" s="275"/>
      <c r="F293" s="288"/>
      <c r="G293" s="280"/>
      <c r="H293" s="909" t="s">
        <v>35</v>
      </c>
      <c r="I293" s="601">
        <f ca="1">IFERROR(__xludf.DUMMYFUNCTION("IMPORTRANGE(""https://docs.google.com/spreadsheets/d/1eHaY18a8A9IcSdp1K8H6x8fbOy06t2VsZHhMHf-1x7Y/edit?usp=sharing"",""แผน!ED60"")"),0)</f>
        <v>0</v>
      </c>
      <c r="J293" s="601">
        <f>J296</f>
        <v>0</v>
      </c>
      <c r="K293" s="908">
        <f ca="1">IF(I293&gt;0,J293*100/I293,0)</f>
        <v>0</v>
      </c>
      <c r="L293" s="226"/>
      <c r="M293" s="227"/>
      <c r="N293" s="227"/>
      <c r="O293" s="227"/>
      <c r="P293" s="227"/>
      <c r="Q293" s="227"/>
      <c r="R293" s="227"/>
      <c r="S293" s="227"/>
      <c r="T293" s="227"/>
      <c r="U293" s="227"/>
    </row>
    <row r="294" spans="1:21" ht="19.5" hidden="1" x14ac:dyDescent="0.3">
      <c r="A294" s="274"/>
      <c r="B294" s="275"/>
      <c r="C294" s="275"/>
      <c r="D294" s="275"/>
      <c r="E294" s="286" t="s">
        <v>314</v>
      </c>
      <c r="F294" s="288"/>
      <c r="G294" s="280"/>
      <c r="H294" s="280"/>
      <c r="I294" s="270"/>
      <c r="J294" s="261"/>
      <c r="K294" s="227"/>
      <c r="L294" s="226"/>
      <c r="M294" s="227"/>
      <c r="N294" s="227"/>
      <c r="O294" s="227"/>
      <c r="P294" s="227"/>
      <c r="Q294" s="227"/>
      <c r="R294" s="227"/>
      <c r="S294" s="227"/>
      <c r="T294" s="227"/>
      <c r="U294" s="227"/>
    </row>
    <row r="295" spans="1:21" ht="19.5" hidden="1" x14ac:dyDescent="0.3">
      <c r="A295" s="274"/>
      <c r="B295" s="275"/>
      <c r="C295" s="275"/>
      <c r="D295" s="288"/>
      <c r="E295" s="289" t="s">
        <v>313</v>
      </c>
      <c r="F295" s="288"/>
      <c r="G295" s="280"/>
      <c r="H295" s="293" t="s">
        <v>35</v>
      </c>
      <c r="I295" s="294">
        <f ca="1">IFERROR(__xludf.DUMMYFUNCTION("IMPORTRANGE(""https://docs.google.com/spreadsheets/d/1eHaY18a8A9IcSdp1K8H6x8fbOy06t2VsZHhMHf-1x7Y/edit?usp=sharing"",""แผน!ED60"")"),0)</f>
        <v>0</v>
      </c>
      <c r="J295" s="292">
        <v>0</v>
      </c>
      <c r="K295" s="746">
        <f ca="1">IF(I295&gt;0,J295*100/I295,0)</f>
        <v>0</v>
      </c>
      <c r="L295" s="226"/>
      <c r="M295" s="227"/>
      <c r="N295" s="227"/>
      <c r="O295" s="227"/>
      <c r="P295" s="227"/>
      <c r="Q295" s="227"/>
      <c r="R295" s="227"/>
      <c r="S295" s="227"/>
      <c r="T295" s="227"/>
      <c r="U295" s="227"/>
    </row>
    <row r="296" spans="1:21" ht="19.5" hidden="1" x14ac:dyDescent="0.3">
      <c r="A296" s="274"/>
      <c r="B296" s="275"/>
      <c r="C296" s="275"/>
      <c r="D296" s="288"/>
      <c r="E296" s="289" t="s">
        <v>312</v>
      </c>
      <c r="F296" s="288"/>
      <c r="G296" s="280"/>
      <c r="H296" s="293" t="s">
        <v>35</v>
      </c>
      <c r="I296" s="294">
        <f ca="1">IFERROR(__xludf.DUMMYFUNCTION("IMPORTRANGE(""https://docs.google.com/spreadsheets/d/1eHaY18a8A9IcSdp1K8H6x8fbOy06t2VsZHhMHf-1x7Y/edit?usp=sharing"",""แผน!ED60"")"),0)</f>
        <v>0</v>
      </c>
      <c r="J296" s="292">
        <v>0</v>
      </c>
      <c r="K296" s="746">
        <f ca="1">IF(I296&gt;0,J296*100/I296,0)</f>
        <v>0</v>
      </c>
      <c r="L296" s="226"/>
      <c r="M296" s="227"/>
      <c r="N296" s="227"/>
      <c r="O296" s="227"/>
      <c r="P296" s="227"/>
      <c r="Q296" s="227"/>
      <c r="R296" s="227"/>
      <c r="S296" s="227"/>
      <c r="T296" s="227"/>
      <c r="U296" s="227"/>
    </row>
    <row r="297" spans="1:21" ht="12.75" hidden="1" x14ac:dyDescent="0.2">
      <c r="A297" s="281"/>
      <c r="B297" s="282"/>
      <c r="C297" s="282"/>
      <c r="D297" s="283"/>
      <c r="E297" s="283"/>
      <c r="F297" s="283"/>
      <c r="G297" s="284"/>
      <c r="H297" s="308"/>
      <c r="I297" s="285"/>
      <c r="J297" s="285"/>
      <c r="K297" s="28"/>
      <c r="L297" s="27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2.75" hidden="1" x14ac:dyDescent="0.2">
      <c r="A298" s="281"/>
      <c r="B298" s="282"/>
      <c r="C298" s="282"/>
      <c r="D298" s="283"/>
      <c r="E298" s="283"/>
      <c r="F298" s="283"/>
      <c r="G298" s="284"/>
      <c r="H298" s="308"/>
      <c r="I298" s="285"/>
      <c r="J298" s="285"/>
      <c r="K298" s="28"/>
      <c r="L298" s="27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2.75" hidden="1" x14ac:dyDescent="0.2">
      <c r="A299" s="907"/>
      <c r="B299" s="906"/>
      <c r="C299" s="906"/>
      <c r="D299" s="905"/>
      <c r="E299" s="905"/>
      <c r="F299" s="905"/>
      <c r="G299" s="904"/>
      <c r="H299" s="1295"/>
      <c r="I299" s="903"/>
      <c r="J299" s="903"/>
      <c r="K299" s="17"/>
      <c r="L299" s="16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484" t="s">
        <v>311</v>
      </c>
      <c r="B300" s="902"/>
      <c r="C300" s="902"/>
      <c r="D300" s="902"/>
      <c r="E300" s="901"/>
      <c r="F300" s="901"/>
      <c r="G300" s="901"/>
      <c r="H300" s="902"/>
      <c r="I300" s="900"/>
      <c r="J300" s="900"/>
      <c r="K300" s="491"/>
      <c r="L300" s="491"/>
      <c r="M300" s="491"/>
      <c r="N300" s="491"/>
      <c r="O300" s="491"/>
      <c r="P300" s="492"/>
      <c r="Q300" s="491"/>
      <c r="R300" s="491"/>
      <c r="S300" s="491"/>
      <c r="T300" s="491"/>
      <c r="U300" s="492"/>
    </row>
    <row r="301" spans="1:21" ht="19.5" hidden="1" x14ac:dyDescent="0.3">
      <c r="A301" s="890" t="s">
        <v>126</v>
      </c>
      <c r="B301" s="889"/>
      <c r="C301" s="889"/>
      <c r="D301" s="888"/>
      <c r="E301" s="888"/>
      <c r="F301" s="888"/>
      <c r="G301" s="899"/>
      <c r="H301" s="1294"/>
      <c r="I301" s="887"/>
      <c r="J301" s="887"/>
      <c r="K301" s="500"/>
      <c r="L301" s="499"/>
      <c r="M301" s="500"/>
      <c r="N301" s="500"/>
      <c r="O301" s="500"/>
      <c r="P301" s="500"/>
      <c r="Q301" s="500"/>
      <c r="R301" s="500"/>
      <c r="S301" s="500"/>
      <c r="T301" s="500"/>
      <c r="U301" s="500"/>
    </row>
    <row r="302" spans="1:21" ht="19.5" hidden="1" x14ac:dyDescent="0.3">
      <c r="A302" s="876"/>
      <c r="B302" s="883" t="s">
        <v>127</v>
      </c>
      <c r="C302" s="585"/>
      <c r="D302" s="585"/>
      <c r="E302" s="585"/>
      <c r="F302" s="585"/>
      <c r="G302" s="586"/>
      <c r="H302" s="587" t="s">
        <v>35</v>
      </c>
      <c r="I302" s="595">
        <f ca="1">I314</f>
        <v>0</v>
      </c>
      <c r="J302" s="595">
        <f>J314</f>
        <v>0</v>
      </c>
      <c r="K302" s="589">
        <f ca="1">IF(I302&gt;0,J302*100/I302,0)</f>
        <v>0</v>
      </c>
      <c r="L302" s="509"/>
      <c r="M302" s="510"/>
      <c r="N302" s="510"/>
      <c r="O302" s="510"/>
      <c r="P302" s="510"/>
      <c r="Q302" s="510"/>
      <c r="R302" s="510"/>
      <c r="S302" s="510"/>
      <c r="T302" s="510"/>
      <c r="U302" s="510"/>
    </row>
    <row r="303" spans="1:21" ht="19.5" hidden="1" x14ac:dyDescent="0.3">
      <c r="A303" s="255"/>
      <c r="B303" s="256"/>
      <c r="C303" s="257" t="s">
        <v>18</v>
      </c>
      <c r="D303" s="258" t="s">
        <v>19</v>
      </c>
      <c r="E303" s="256"/>
      <c r="F303" s="256"/>
      <c r="G303" s="259"/>
      <c r="H303" s="260" t="s">
        <v>14</v>
      </c>
      <c r="I303" s="261"/>
      <c r="J303" s="261"/>
      <c r="K303" s="85"/>
      <c r="L303" s="389">
        <f ca="1">L304+L305</f>
        <v>0</v>
      </c>
      <c r="M303" s="262">
        <f ca="1">M304+M305</f>
        <v>0</v>
      </c>
      <c r="N303" s="262">
        <f ca="1">N304+N305</f>
        <v>0</v>
      </c>
      <c r="O303" s="262">
        <f t="shared" ref="O303:O311" ca="1" si="75">IF(L303&gt;0,N303*100/L303,0)</f>
        <v>0</v>
      </c>
      <c r="P303" s="262">
        <f t="shared" ref="P303:P311" ca="1" si="76">IF(M303&gt;0,N303*100/M303,0)</f>
        <v>0</v>
      </c>
      <c r="Q303" s="262">
        <f ca="1">Q304+Q305</f>
        <v>0</v>
      </c>
      <c r="R303" s="262">
        <f ca="1">R304+R305</f>
        <v>0</v>
      </c>
      <c r="S303" s="262">
        <f ca="1">S304+S305</f>
        <v>0</v>
      </c>
      <c r="T303" s="262">
        <f t="shared" ref="T303:T311" ca="1" si="77">IF(Q303&gt;0,S303*100/Q303,0)</f>
        <v>0</v>
      </c>
      <c r="U303" s="262">
        <f t="shared" ref="U303:U311" ca="1" si="78">IF(R303&gt;0,S303*100/R303,0)</f>
        <v>0</v>
      </c>
    </row>
    <row r="304" spans="1:21" ht="18.75" hidden="1" x14ac:dyDescent="0.25">
      <c r="A304" s="255"/>
      <c r="B304" s="256"/>
      <c r="C304" s="256"/>
      <c r="D304" s="256"/>
      <c r="E304" s="263" t="s">
        <v>20</v>
      </c>
      <c r="F304" s="256"/>
      <c r="G304" s="259"/>
      <c r="H304" s="264" t="s">
        <v>14</v>
      </c>
      <c r="I304" s="261"/>
      <c r="J304" s="261"/>
      <c r="K304" s="85"/>
      <c r="L304" s="74">
        <f t="shared" ref="L304:N305" si="79">L307+L310</f>
        <v>0</v>
      </c>
      <c r="M304" s="75">
        <f t="shared" si="79"/>
        <v>0</v>
      </c>
      <c r="N304" s="75">
        <f t="shared" si="79"/>
        <v>0</v>
      </c>
      <c r="O304" s="75">
        <f t="shared" si="75"/>
        <v>0</v>
      </c>
      <c r="P304" s="75">
        <f t="shared" si="76"/>
        <v>0</v>
      </c>
      <c r="Q304" s="75">
        <f t="shared" ref="Q304:S305" si="80">Q307+Q310</f>
        <v>0</v>
      </c>
      <c r="R304" s="75">
        <f t="shared" si="80"/>
        <v>0</v>
      </c>
      <c r="S304" s="75">
        <f t="shared" si="80"/>
        <v>0</v>
      </c>
      <c r="T304" s="75">
        <f t="shared" si="77"/>
        <v>0</v>
      </c>
      <c r="U304" s="75">
        <f t="shared" si="78"/>
        <v>0</v>
      </c>
    </row>
    <row r="305" spans="1:21" ht="18.75" hidden="1" x14ac:dyDescent="0.25">
      <c r="A305" s="255"/>
      <c r="B305" s="256"/>
      <c r="C305" s="256"/>
      <c r="D305" s="256"/>
      <c r="E305" s="265" t="s">
        <v>21</v>
      </c>
      <c r="F305" s="256"/>
      <c r="G305" s="259"/>
      <c r="H305" s="266" t="s">
        <v>14</v>
      </c>
      <c r="I305" s="261"/>
      <c r="J305" s="261"/>
      <c r="K305" s="85"/>
      <c r="L305" s="71">
        <f t="shared" ca="1" si="79"/>
        <v>0</v>
      </c>
      <c r="M305" s="72">
        <f t="shared" ca="1" si="79"/>
        <v>0</v>
      </c>
      <c r="N305" s="72">
        <f t="shared" ca="1" si="79"/>
        <v>0</v>
      </c>
      <c r="O305" s="72">
        <f t="shared" ca="1" si="75"/>
        <v>0</v>
      </c>
      <c r="P305" s="72">
        <f t="shared" ca="1" si="76"/>
        <v>0</v>
      </c>
      <c r="Q305" s="72">
        <f t="shared" ca="1" si="80"/>
        <v>0</v>
      </c>
      <c r="R305" s="72">
        <f t="shared" ca="1" si="80"/>
        <v>0</v>
      </c>
      <c r="S305" s="72">
        <f t="shared" ca="1" si="80"/>
        <v>0</v>
      </c>
      <c r="T305" s="72">
        <f t="shared" ca="1" si="77"/>
        <v>0</v>
      </c>
      <c r="U305" s="72">
        <f t="shared" ca="1" si="78"/>
        <v>0</v>
      </c>
    </row>
    <row r="306" spans="1:21" ht="18.75" hidden="1" x14ac:dyDescent="0.25">
      <c r="A306" s="255"/>
      <c r="B306" s="267"/>
      <c r="C306" s="256"/>
      <c r="D306" s="268" t="s">
        <v>22</v>
      </c>
      <c r="E306" s="256"/>
      <c r="F306" s="256"/>
      <c r="G306" s="259"/>
      <c r="H306" s="269" t="s">
        <v>14</v>
      </c>
      <c r="I306" s="270"/>
      <c r="J306" s="270"/>
      <c r="K306" s="227"/>
      <c r="L306" s="71">
        <f ca="1">L307+L308</f>
        <v>0</v>
      </c>
      <c r="M306" s="72">
        <f ca="1">M307+M308</f>
        <v>0</v>
      </c>
      <c r="N306" s="72">
        <f ca="1">N307+N308</f>
        <v>0</v>
      </c>
      <c r="O306" s="72">
        <f t="shared" ca="1" si="75"/>
        <v>0</v>
      </c>
      <c r="P306" s="72">
        <f t="shared" ca="1" si="76"/>
        <v>0</v>
      </c>
      <c r="Q306" s="72">
        <f ca="1">Q307+Q308</f>
        <v>0</v>
      </c>
      <c r="R306" s="72">
        <f ca="1">R307+R308</f>
        <v>0</v>
      </c>
      <c r="S306" s="72">
        <f ca="1">S307+S308</f>
        <v>0</v>
      </c>
      <c r="T306" s="72">
        <f t="shared" ca="1" si="77"/>
        <v>0</v>
      </c>
      <c r="U306" s="72">
        <f t="shared" ca="1" si="78"/>
        <v>0</v>
      </c>
    </row>
    <row r="307" spans="1:21" ht="18.75" hidden="1" x14ac:dyDescent="0.25">
      <c r="A307" s="255"/>
      <c r="B307" s="267"/>
      <c r="C307" s="267"/>
      <c r="D307" s="256"/>
      <c r="E307" s="263" t="s">
        <v>36</v>
      </c>
      <c r="F307" s="256"/>
      <c r="G307" s="259"/>
      <c r="H307" s="271" t="s">
        <v>14</v>
      </c>
      <c r="I307" s="270"/>
      <c r="J307" s="270"/>
      <c r="K307" s="227"/>
      <c r="L307" s="74">
        <v>0</v>
      </c>
      <c r="M307" s="75">
        <v>0</v>
      </c>
      <c r="N307" s="75">
        <v>0</v>
      </c>
      <c r="O307" s="75">
        <f t="shared" si="75"/>
        <v>0</v>
      </c>
      <c r="P307" s="75">
        <f t="shared" si="76"/>
        <v>0</v>
      </c>
      <c r="Q307" s="75">
        <v>0</v>
      </c>
      <c r="R307" s="75">
        <v>0</v>
      </c>
      <c r="S307" s="75">
        <v>0</v>
      </c>
      <c r="T307" s="75">
        <f t="shared" si="77"/>
        <v>0</v>
      </c>
      <c r="U307" s="75">
        <f t="shared" si="78"/>
        <v>0</v>
      </c>
    </row>
    <row r="308" spans="1:21" ht="18.75" hidden="1" x14ac:dyDescent="0.25">
      <c r="A308" s="255"/>
      <c r="B308" s="267"/>
      <c r="C308" s="267"/>
      <c r="D308" s="256"/>
      <c r="E308" s="265" t="s">
        <v>37</v>
      </c>
      <c r="F308" s="256"/>
      <c r="G308" s="259"/>
      <c r="H308" s="269" t="s">
        <v>14</v>
      </c>
      <c r="I308" s="270"/>
      <c r="J308" s="270"/>
      <c r="K308" s="227"/>
      <c r="L308" s="71">
        <f ca="1">IFERROR(__xludf.DUMMYFUNCTION("IMPORTRANGE(""https://docs.google.com/spreadsheets/d/1-uDff_7J0KD5mKrp0Vvzr7lt3OU09vwQwhkpOPPYv2Y/edit?usp=sharing"",""งบพรบ!DY60"")"),0)</f>
        <v>0</v>
      </c>
      <c r="M308" s="72">
        <f ca="1">IFERROR(__xludf.DUMMYFUNCTION("IMPORTRANGE(""https://docs.google.com/spreadsheets/d/1-uDff_7J0KD5mKrp0Vvzr7lt3OU09vwQwhkpOPPYv2Y/edit?usp=sharing"",""งบพรบ!ED60"")"),0)</f>
        <v>0</v>
      </c>
      <c r="N308" s="72">
        <f ca="1">IFERROR(__xludf.DUMMYFUNCTION("IMPORTRANGE(""https://docs.google.com/spreadsheets/d/1-uDff_7J0KD5mKrp0Vvzr7lt3OU09vwQwhkpOPPYv2Y/edit?usp=sharing"",""งบพรบ!EF60"")"),0)</f>
        <v>0</v>
      </c>
      <c r="O308" s="72">
        <f t="shared" ca="1" si="75"/>
        <v>0</v>
      </c>
      <c r="P308" s="72">
        <f t="shared" ca="1" si="76"/>
        <v>0</v>
      </c>
      <c r="Q308" s="72">
        <f ca="1">IFERROR(__xludf.DUMMYFUNCTION("IMPORTRANGE(""https://docs.google.com/spreadsheets/d/1ItG2mGa2ceCfYo0BwxsXqNm01IGEUdYcSSLTEv9YCik/edit?usp=sharing"",""เบิกจ่ายกองทุน!BB60"")"),0)</f>
        <v>0</v>
      </c>
      <c r="R308" s="72">
        <f ca="1">IFERROR(__xludf.DUMMYFUNCTION("IMPORTRANGE(""https://docs.google.com/spreadsheets/d/1ItG2mGa2ceCfYo0BwxsXqNm01IGEUdYcSSLTEv9YCik/edit?usp=sharing"",""เบิกจ่ายกองทุน!BC60"")"),0)</f>
        <v>0</v>
      </c>
      <c r="S308" s="72">
        <f ca="1">IFERROR(__xludf.DUMMYFUNCTION("IMPORTRANGE(""https://docs.google.com/spreadsheets/d/1ItG2mGa2ceCfYo0BwxsXqNm01IGEUdYcSSLTEv9YCik/edit?usp=sharing"",""เบิกจ่ายกองทุน!BD60"")"),0)</f>
        <v>0</v>
      </c>
      <c r="T308" s="72">
        <f t="shared" ca="1" si="77"/>
        <v>0</v>
      </c>
      <c r="U308" s="72">
        <f t="shared" ca="1" si="78"/>
        <v>0</v>
      </c>
    </row>
    <row r="309" spans="1:21" ht="18.75" hidden="1" x14ac:dyDescent="0.25">
      <c r="A309" s="255"/>
      <c r="B309" s="267"/>
      <c r="C309" s="267"/>
      <c r="D309" s="268" t="s">
        <v>23</v>
      </c>
      <c r="E309" s="256"/>
      <c r="F309" s="256"/>
      <c r="G309" s="259"/>
      <c r="H309" s="273" t="s">
        <v>14</v>
      </c>
      <c r="I309" s="270"/>
      <c r="J309" s="270"/>
      <c r="K309" s="227"/>
      <c r="L309" s="71">
        <f ca="1">L310+L311</f>
        <v>0</v>
      </c>
      <c r="M309" s="72">
        <f ca="1">M310+M311</f>
        <v>0</v>
      </c>
      <c r="N309" s="72">
        <f ca="1">N310+N311</f>
        <v>0</v>
      </c>
      <c r="O309" s="72">
        <f t="shared" ca="1" si="75"/>
        <v>0</v>
      </c>
      <c r="P309" s="72">
        <f t="shared" ca="1" si="76"/>
        <v>0</v>
      </c>
      <c r="Q309" s="72">
        <f>Q310+Q311</f>
        <v>0</v>
      </c>
      <c r="R309" s="72">
        <f>R310+R311</f>
        <v>0</v>
      </c>
      <c r="S309" s="72">
        <f>S310+S311</f>
        <v>0</v>
      </c>
      <c r="T309" s="72">
        <f t="shared" si="77"/>
        <v>0</v>
      </c>
      <c r="U309" s="72">
        <f t="shared" si="78"/>
        <v>0</v>
      </c>
    </row>
    <row r="310" spans="1:21" ht="18.75" hidden="1" x14ac:dyDescent="0.25">
      <c r="A310" s="255"/>
      <c r="B310" s="267"/>
      <c r="C310" s="267"/>
      <c r="D310" s="256"/>
      <c r="E310" s="263" t="s">
        <v>20</v>
      </c>
      <c r="F310" s="256"/>
      <c r="G310" s="259"/>
      <c r="H310" s="271" t="s">
        <v>14</v>
      </c>
      <c r="I310" s="270"/>
      <c r="J310" s="270"/>
      <c r="K310" s="227"/>
      <c r="L310" s="74">
        <v>0</v>
      </c>
      <c r="M310" s="75">
        <v>0</v>
      </c>
      <c r="N310" s="75">
        <v>0</v>
      </c>
      <c r="O310" s="75">
        <f t="shared" si="75"/>
        <v>0</v>
      </c>
      <c r="P310" s="75">
        <f t="shared" si="76"/>
        <v>0</v>
      </c>
      <c r="Q310" s="75">
        <v>0</v>
      </c>
      <c r="R310" s="75">
        <v>0</v>
      </c>
      <c r="S310" s="75">
        <v>0</v>
      </c>
      <c r="T310" s="75">
        <f t="shared" si="77"/>
        <v>0</v>
      </c>
      <c r="U310" s="75">
        <f t="shared" si="78"/>
        <v>0</v>
      </c>
    </row>
    <row r="311" spans="1:21" ht="18.75" hidden="1" x14ac:dyDescent="0.25">
      <c r="A311" s="255"/>
      <c r="B311" s="267"/>
      <c r="C311" s="267"/>
      <c r="D311" s="256"/>
      <c r="E311" s="265" t="s">
        <v>21</v>
      </c>
      <c r="F311" s="256"/>
      <c r="G311" s="259"/>
      <c r="H311" s="273" t="s">
        <v>14</v>
      </c>
      <c r="I311" s="270"/>
      <c r="J311" s="270"/>
      <c r="K311" s="227"/>
      <c r="L311" s="71">
        <f ca="1">IFERROR(__xludf.DUMMYFUNCTION("IMPORTRANGE(""https://docs.google.com/spreadsheets/d/1-uDff_7J0KD5mKrp0Vvzr7lt3OU09vwQwhkpOPPYv2Y/edit?usp=sharing"",""งบพรบ!EB60"")"),0)</f>
        <v>0</v>
      </c>
      <c r="M311" s="72">
        <f ca="1">IFERROR(__xludf.DUMMYFUNCTION("IMPORTRANGE(""https://docs.google.com/spreadsheets/d/1-uDff_7J0KD5mKrp0Vvzr7lt3OU09vwQwhkpOPPYv2Y/edit?usp=sharing"",""งบพรบ!EE60"")"),0)</f>
        <v>0</v>
      </c>
      <c r="N311" s="72">
        <f ca="1">IFERROR(__xludf.DUMMYFUNCTION("IMPORTRANGE(""https://docs.google.com/spreadsheets/d/1-uDff_7J0KD5mKrp0Vvzr7lt3OU09vwQwhkpOPPYv2Y/edit?usp=sharing"",""งบพรบ!EG60"")"),0)</f>
        <v>0</v>
      </c>
      <c r="O311" s="72">
        <f t="shared" ca="1" si="75"/>
        <v>0</v>
      </c>
      <c r="P311" s="72">
        <f t="shared" ca="1" si="76"/>
        <v>0</v>
      </c>
      <c r="Q311" s="72">
        <v>0</v>
      </c>
      <c r="R311" s="72">
        <v>0</v>
      </c>
      <c r="S311" s="72">
        <v>0</v>
      </c>
      <c r="T311" s="72">
        <f t="shared" si="77"/>
        <v>0</v>
      </c>
      <c r="U311" s="72">
        <f t="shared" si="78"/>
        <v>0</v>
      </c>
    </row>
    <row r="312" spans="1:21" ht="19.5" hidden="1" x14ac:dyDescent="0.3">
      <c r="A312" s="274"/>
      <c r="B312" s="275"/>
      <c r="C312" s="276" t="s">
        <v>18</v>
      </c>
      <c r="D312" s="800" t="s">
        <v>38</v>
      </c>
      <c r="E312" s="762"/>
      <c r="F312" s="762"/>
      <c r="G312" s="1293"/>
      <c r="H312" s="280"/>
      <c r="I312" s="261"/>
      <c r="J312" s="261"/>
      <c r="K312" s="85"/>
      <c r="L312" s="84"/>
      <c r="M312" s="85"/>
      <c r="N312" s="85"/>
      <c r="O312" s="85"/>
      <c r="P312" s="85"/>
      <c r="Q312" s="85"/>
      <c r="R312" s="85"/>
      <c r="S312" s="85"/>
      <c r="T312" s="85"/>
      <c r="U312" s="85"/>
    </row>
    <row r="313" spans="1:21" ht="18.75" hidden="1" x14ac:dyDescent="0.25">
      <c r="A313" s="281"/>
      <c r="B313" s="282"/>
      <c r="C313" s="282"/>
      <c r="D313" s="1330"/>
      <c r="E313" s="283"/>
      <c r="F313" s="283"/>
      <c r="G313" s="284"/>
      <c r="H313" s="284"/>
      <c r="I313" s="285"/>
      <c r="J313" s="896"/>
      <c r="K313" s="28"/>
      <c r="L313" s="27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8.75" hidden="1" x14ac:dyDescent="0.25">
      <c r="A314" s="274"/>
      <c r="B314" s="275"/>
      <c r="C314" s="275"/>
      <c r="D314" s="289" t="s">
        <v>121</v>
      </c>
      <c r="E314" s="288"/>
      <c r="F314" s="288"/>
      <c r="G314" s="280"/>
      <c r="H314" s="273" t="s">
        <v>35</v>
      </c>
      <c r="I314" s="291">
        <f ca="1">IFERROR(__xludf.DUMMYFUNCTION("IMPORTRANGE(""https://docs.google.com/spreadsheets/d/1eHaY18a8A9IcSdp1K8H6x8fbOy06t2VsZHhMHf-1x7Y/edit?usp=sharing"",""แผน!EF60"")"),0)</f>
        <v>0</v>
      </c>
      <c r="J314" s="292">
        <v>0</v>
      </c>
      <c r="K314" s="72">
        <f ca="1">IF(I314&gt;0,J314*100/I314,0)</f>
        <v>0</v>
      </c>
      <c r="L314" s="84"/>
      <c r="M314" s="85"/>
      <c r="N314" s="85"/>
      <c r="O314" s="85"/>
      <c r="P314" s="85"/>
      <c r="Q314" s="85"/>
      <c r="R314" s="85"/>
      <c r="S314" s="85"/>
      <c r="T314" s="85"/>
      <c r="U314" s="85"/>
    </row>
    <row r="315" spans="1:21" ht="18.75" hidden="1" x14ac:dyDescent="0.25">
      <c r="A315" s="281"/>
      <c r="B315" s="282"/>
      <c r="C315" s="282"/>
      <c r="D315" s="898"/>
      <c r="E315" s="283"/>
      <c r="F315" s="283"/>
      <c r="G315" s="284"/>
      <c r="H315" s="1329"/>
      <c r="I315" s="896"/>
      <c r="J315" s="896"/>
      <c r="K315" s="895"/>
      <c r="L315" s="27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8.75" hidden="1" x14ac:dyDescent="0.25">
      <c r="A316" s="281"/>
      <c r="B316" s="282"/>
      <c r="C316" s="282"/>
      <c r="D316" s="898"/>
      <c r="E316" s="283"/>
      <c r="F316" s="283"/>
      <c r="G316" s="284"/>
      <c r="H316" s="1329"/>
      <c r="I316" s="896"/>
      <c r="J316" s="896"/>
      <c r="K316" s="895"/>
      <c r="L316" s="27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8.75" hidden="1" x14ac:dyDescent="0.25">
      <c r="A317" s="281"/>
      <c r="B317" s="282"/>
      <c r="C317" s="282"/>
      <c r="D317" s="894"/>
      <c r="E317" s="283"/>
      <c r="F317" s="283"/>
      <c r="G317" s="284"/>
      <c r="H317" s="1328"/>
      <c r="I317" s="892"/>
      <c r="J317" s="892"/>
      <c r="K317" s="891"/>
      <c r="L317" s="27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9.5" hidden="1" x14ac:dyDescent="0.3">
      <c r="A318" s="890" t="s">
        <v>131</v>
      </c>
      <c r="B318" s="889"/>
      <c r="C318" s="889"/>
      <c r="D318" s="888"/>
      <c r="E318" s="889"/>
      <c r="F318" s="889"/>
      <c r="G318" s="889"/>
      <c r="H318" s="889"/>
      <c r="I318" s="887"/>
      <c r="J318" s="887"/>
      <c r="K318" s="500"/>
      <c r="L318" s="499"/>
      <c r="M318" s="500"/>
      <c r="N318" s="500"/>
      <c r="O318" s="500"/>
      <c r="P318" s="500"/>
      <c r="Q318" s="500"/>
      <c r="R318" s="500"/>
      <c r="S318" s="500"/>
      <c r="T318" s="500"/>
      <c r="U318" s="500"/>
    </row>
    <row r="319" spans="1:21" ht="19.5" hidden="1" x14ac:dyDescent="0.3">
      <c r="A319" s="581"/>
      <c r="B319" s="883" t="s">
        <v>132</v>
      </c>
      <c r="C319" s="583"/>
      <c r="D319" s="584"/>
      <c r="E319" s="585"/>
      <c r="F319" s="585"/>
      <c r="G319" s="586"/>
      <c r="H319" s="587" t="s">
        <v>133</v>
      </c>
      <c r="I319" s="595">
        <f ca="1">I330</f>
        <v>0</v>
      </c>
      <c r="J319" s="595">
        <f>J330</f>
        <v>0</v>
      </c>
      <c r="K319" s="589">
        <f ca="1">IF(I319&gt;0,J319*100/I319,0)</f>
        <v>0</v>
      </c>
      <c r="L319" s="509"/>
      <c r="M319" s="510"/>
      <c r="N319" s="510"/>
      <c r="O319" s="510"/>
      <c r="P319" s="510"/>
      <c r="Q319" s="510"/>
      <c r="R319" s="510"/>
      <c r="S319" s="510"/>
      <c r="T319" s="510"/>
      <c r="U319" s="510"/>
    </row>
    <row r="320" spans="1:21" ht="19.5" hidden="1" x14ac:dyDescent="0.3">
      <c r="A320" s="255"/>
      <c r="B320" s="256"/>
      <c r="C320" s="257" t="s">
        <v>18</v>
      </c>
      <c r="D320" s="258" t="s">
        <v>19</v>
      </c>
      <c r="E320" s="256"/>
      <c r="F320" s="256"/>
      <c r="G320" s="259"/>
      <c r="H320" s="260" t="s">
        <v>14</v>
      </c>
      <c r="I320" s="261"/>
      <c r="J320" s="261"/>
      <c r="K320" s="85"/>
      <c r="L320" s="389">
        <f ca="1">L321+L322</f>
        <v>0</v>
      </c>
      <c r="M320" s="262">
        <f ca="1">M321+M322</f>
        <v>0</v>
      </c>
      <c r="N320" s="262">
        <f ca="1">N321+N322</f>
        <v>0</v>
      </c>
      <c r="O320" s="262">
        <f t="shared" ref="O320:O328" ca="1" si="81">IF(L320&gt;0,N320*100/L320,0)</f>
        <v>0</v>
      </c>
      <c r="P320" s="262">
        <f t="shared" ref="P320:P328" ca="1" si="82">IF(M320&gt;0,N320*100/M320,0)</f>
        <v>0</v>
      </c>
      <c r="Q320" s="262">
        <f>Q321+Q322</f>
        <v>0</v>
      </c>
      <c r="R320" s="262">
        <f>R321+R322</f>
        <v>0</v>
      </c>
      <c r="S320" s="262">
        <f>S321+S322</f>
        <v>0</v>
      </c>
      <c r="T320" s="262">
        <f t="shared" ref="T320:T328" si="83">IF(Q320&gt;0,S320*100/Q320,0)</f>
        <v>0</v>
      </c>
      <c r="U320" s="262">
        <f t="shared" ref="U320:U328" si="84">IF(R320&gt;0,S320*100/R320,0)</f>
        <v>0</v>
      </c>
    </row>
    <row r="321" spans="1:21" ht="18.75" hidden="1" x14ac:dyDescent="0.25">
      <c r="A321" s="255"/>
      <c r="B321" s="256"/>
      <c r="C321" s="256"/>
      <c r="D321" s="256"/>
      <c r="E321" s="263" t="s">
        <v>20</v>
      </c>
      <c r="F321" s="256"/>
      <c r="G321" s="259"/>
      <c r="H321" s="264" t="s">
        <v>14</v>
      </c>
      <c r="I321" s="261"/>
      <c r="J321" s="261"/>
      <c r="K321" s="85"/>
      <c r="L321" s="74">
        <f t="shared" ref="L321:N322" si="85">L324+L327</f>
        <v>0</v>
      </c>
      <c r="M321" s="75">
        <f t="shared" si="85"/>
        <v>0</v>
      </c>
      <c r="N321" s="75">
        <f t="shared" si="85"/>
        <v>0</v>
      </c>
      <c r="O321" s="75">
        <f t="shared" si="81"/>
        <v>0</v>
      </c>
      <c r="P321" s="75">
        <f t="shared" si="82"/>
        <v>0</v>
      </c>
      <c r="Q321" s="75">
        <f t="shared" ref="Q321:S322" si="86">Q324+Q327</f>
        <v>0</v>
      </c>
      <c r="R321" s="75">
        <f t="shared" si="86"/>
        <v>0</v>
      </c>
      <c r="S321" s="75">
        <f t="shared" si="86"/>
        <v>0</v>
      </c>
      <c r="T321" s="75">
        <f t="shared" si="83"/>
        <v>0</v>
      </c>
      <c r="U321" s="75">
        <f t="shared" si="84"/>
        <v>0</v>
      </c>
    </row>
    <row r="322" spans="1:21" ht="18.75" hidden="1" x14ac:dyDescent="0.25">
      <c r="A322" s="255"/>
      <c r="B322" s="256"/>
      <c r="C322" s="256"/>
      <c r="D322" s="256"/>
      <c r="E322" s="265" t="s">
        <v>21</v>
      </c>
      <c r="F322" s="256"/>
      <c r="G322" s="259"/>
      <c r="H322" s="266" t="s">
        <v>14</v>
      </c>
      <c r="I322" s="261"/>
      <c r="J322" s="261"/>
      <c r="K322" s="85"/>
      <c r="L322" s="71">
        <f t="shared" ca="1" si="85"/>
        <v>0</v>
      </c>
      <c r="M322" s="72">
        <f t="shared" ca="1" si="85"/>
        <v>0</v>
      </c>
      <c r="N322" s="72">
        <f t="shared" ca="1" si="85"/>
        <v>0</v>
      </c>
      <c r="O322" s="72">
        <f t="shared" ca="1" si="81"/>
        <v>0</v>
      </c>
      <c r="P322" s="72">
        <f t="shared" ca="1" si="82"/>
        <v>0</v>
      </c>
      <c r="Q322" s="72">
        <f t="shared" si="86"/>
        <v>0</v>
      </c>
      <c r="R322" s="72">
        <f t="shared" si="86"/>
        <v>0</v>
      </c>
      <c r="S322" s="72">
        <f t="shared" si="86"/>
        <v>0</v>
      </c>
      <c r="T322" s="72">
        <f t="shared" si="83"/>
        <v>0</v>
      </c>
      <c r="U322" s="72">
        <f t="shared" si="84"/>
        <v>0</v>
      </c>
    </row>
    <row r="323" spans="1:21" ht="18.75" hidden="1" x14ac:dyDescent="0.25">
      <c r="A323" s="255"/>
      <c r="B323" s="267"/>
      <c r="C323" s="256"/>
      <c r="D323" s="268" t="s">
        <v>22</v>
      </c>
      <c r="E323" s="256"/>
      <c r="F323" s="256"/>
      <c r="G323" s="259"/>
      <c r="H323" s="269" t="s">
        <v>14</v>
      </c>
      <c r="I323" s="270"/>
      <c r="J323" s="270"/>
      <c r="K323" s="227"/>
      <c r="L323" s="71">
        <f ca="1">L324+L325</f>
        <v>0</v>
      </c>
      <c r="M323" s="72">
        <f ca="1">M324+M325</f>
        <v>0</v>
      </c>
      <c r="N323" s="72">
        <f ca="1">N324+N325</f>
        <v>0</v>
      </c>
      <c r="O323" s="72">
        <f t="shared" ca="1" si="81"/>
        <v>0</v>
      </c>
      <c r="P323" s="72">
        <f t="shared" ca="1" si="82"/>
        <v>0</v>
      </c>
      <c r="Q323" s="72">
        <f>Q324+Q325</f>
        <v>0</v>
      </c>
      <c r="R323" s="72">
        <f>R324+R325</f>
        <v>0</v>
      </c>
      <c r="S323" s="72">
        <f>S324+S325</f>
        <v>0</v>
      </c>
      <c r="T323" s="72">
        <f t="shared" si="83"/>
        <v>0</v>
      </c>
      <c r="U323" s="72">
        <f t="shared" si="84"/>
        <v>0</v>
      </c>
    </row>
    <row r="324" spans="1:21" ht="18.75" hidden="1" x14ac:dyDescent="0.25">
      <c r="A324" s="255"/>
      <c r="B324" s="267"/>
      <c r="C324" s="267"/>
      <c r="D324" s="256"/>
      <c r="E324" s="263" t="s">
        <v>36</v>
      </c>
      <c r="F324" s="256"/>
      <c r="G324" s="259"/>
      <c r="H324" s="271" t="s">
        <v>14</v>
      </c>
      <c r="I324" s="270"/>
      <c r="J324" s="270"/>
      <c r="K324" s="227"/>
      <c r="L324" s="74">
        <v>0</v>
      </c>
      <c r="M324" s="75">
        <v>0</v>
      </c>
      <c r="N324" s="75">
        <v>0</v>
      </c>
      <c r="O324" s="75">
        <f t="shared" si="81"/>
        <v>0</v>
      </c>
      <c r="P324" s="75">
        <f t="shared" si="82"/>
        <v>0</v>
      </c>
      <c r="Q324" s="75">
        <v>0</v>
      </c>
      <c r="R324" s="75">
        <v>0</v>
      </c>
      <c r="S324" s="75">
        <v>0</v>
      </c>
      <c r="T324" s="75">
        <f t="shared" si="83"/>
        <v>0</v>
      </c>
      <c r="U324" s="75">
        <f t="shared" si="84"/>
        <v>0</v>
      </c>
    </row>
    <row r="325" spans="1:21" ht="18.75" hidden="1" x14ac:dyDescent="0.25">
      <c r="A325" s="255"/>
      <c r="B325" s="267"/>
      <c r="C325" s="267"/>
      <c r="D325" s="256"/>
      <c r="E325" s="567" t="s">
        <v>37</v>
      </c>
      <c r="F325" s="267"/>
      <c r="G325" s="307"/>
      <c r="H325" s="269" t="s">
        <v>14</v>
      </c>
      <c r="I325" s="270"/>
      <c r="J325" s="270"/>
      <c r="K325" s="227"/>
      <c r="L325" s="71">
        <f ca="1">IFERROR(__xludf.DUMMYFUNCTION("IMPORTRANGE(""https://docs.google.com/spreadsheets/d/1-uDff_7J0KD5mKrp0Vvzr7lt3OU09vwQwhkpOPPYv2Y/edit?usp=sharing"",""งบพรบ!EI60"")"),0)</f>
        <v>0</v>
      </c>
      <c r="M325" s="72">
        <f ca="1">IFERROR(__xludf.DUMMYFUNCTION("IMPORTRANGE(""https://docs.google.com/spreadsheets/d/1-uDff_7J0KD5mKrp0Vvzr7lt3OU09vwQwhkpOPPYv2Y/edit?usp=sharing"",""งบพรบ!EN60"")"),0)</f>
        <v>0</v>
      </c>
      <c r="N325" s="72">
        <f ca="1">IFERROR(__xludf.DUMMYFUNCTION("IMPORTRANGE(""https://docs.google.com/spreadsheets/d/1-uDff_7J0KD5mKrp0Vvzr7lt3OU09vwQwhkpOPPYv2Y/edit?usp=sharing"",""งบพรบ!EP60"")"),0)</f>
        <v>0</v>
      </c>
      <c r="O325" s="72">
        <f t="shared" ca="1" si="81"/>
        <v>0</v>
      </c>
      <c r="P325" s="72">
        <f t="shared" ca="1" si="82"/>
        <v>0</v>
      </c>
      <c r="Q325" s="72">
        <v>0</v>
      </c>
      <c r="R325" s="72">
        <v>0</v>
      </c>
      <c r="S325" s="72">
        <v>0</v>
      </c>
      <c r="T325" s="72">
        <f t="shared" si="83"/>
        <v>0</v>
      </c>
      <c r="U325" s="72">
        <f t="shared" si="84"/>
        <v>0</v>
      </c>
    </row>
    <row r="326" spans="1:21" ht="18.75" hidden="1" x14ac:dyDescent="0.25">
      <c r="A326" s="255"/>
      <c r="B326" s="256"/>
      <c r="C326" s="267"/>
      <c r="D326" s="268" t="s">
        <v>23</v>
      </c>
      <c r="E326" s="256"/>
      <c r="F326" s="256"/>
      <c r="G326" s="259"/>
      <c r="H326" s="273" t="s">
        <v>14</v>
      </c>
      <c r="I326" s="270"/>
      <c r="J326" s="270"/>
      <c r="K326" s="227"/>
      <c r="L326" s="71">
        <f ca="1">L327+L328</f>
        <v>0</v>
      </c>
      <c r="M326" s="72">
        <f ca="1">M327+M328</f>
        <v>0</v>
      </c>
      <c r="N326" s="72">
        <f ca="1">N327+N328</f>
        <v>0</v>
      </c>
      <c r="O326" s="72">
        <f t="shared" ca="1" si="81"/>
        <v>0</v>
      </c>
      <c r="P326" s="72">
        <f t="shared" ca="1" si="82"/>
        <v>0</v>
      </c>
      <c r="Q326" s="72">
        <f>Q327+Q328</f>
        <v>0</v>
      </c>
      <c r="R326" s="72">
        <f>R327+R328</f>
        <v>0</v>
      </c>
      <c r="S326" s="72">
        <f>S327+S328</f>
        <v>0</v>
      </c>
      <c r="T326" s="72">
        <f t="shared" si="83"/>
        <v>0</v>
      </c>
      <c r="U326" s="72">
        <f t="shared" si="84"/>
        <v>0</v>
      </c>
    </row>
    <row r="327" spans="1:21" ht="18.75" hidden="1" x14ac:dyDescent="0.25">
      <c r="A327" s="255"/>
      <c r="B327" s="256"/>
      <c r="C327" s="256"/>
      <c r="D327" s="256"/>
      <c r="E327" s="263" t="s">
        <v>20</v>
      </c>
      <c r="F327" s="256"/>
      <c r="G327" s="259"/>
      <c r="H327" s="271" t="s">
        <v>14</v>
      </c>
      <c r="I327" s="270"/>
      <c r="J327" s="270"/>
      <c r="K327" s="227"/>
      <c r="L327" s="74">
        <v>0</v>
      </c>
      <c r="M327" s="75">
        <v>0</v>
      </c>
      <c r="N327" s="75">
        <v>0</v>
      </c>
      <c r="O327" s="75">
        <f t="shared" si="81"/>
        <v>0</v>
      </c>
      <c r="P327" s="75">
        <f t="shared" si="82"/>
        <v>0</v>
      </c>
      <c r="Q327" s="75">
        <v>0</v>
      </c>
      <c r="R327" s="75">
        <v>0</v>
      </c>
      <c r="S327" s="75">
        <v>0</v>
      </c>
      <c r="T327" s="75">
        <f t="shared" si="83"/>
        <v>0</v>
      </c>
      <c r="U327" s="75">
        <f t="shared" si="84"/>
        <v>0</v>
      </c>
    </row>
    <row r="328" spans="1:21" ht="18.75" hidden="1" x14ac:dyDescent="0.25">
      <c r="A328" s="255"/>
      <c r="B328" s="256"/>
      <c r="C328" s="256"/>
      <c r="D328" s="256"/>
      <c r="E328" s="265" t="s">
        <v>21</v>
      </c>
      <c r="F328" s="256"/>
      <c r="G328" s="259"/>
      <c r="H328" s="273" t="s">
        <v>14</v>
      </c>
      <c r="I328" s="270"/>
      <c r="J328" s="270"/>
      <c r="K328" s="227"/>
      <c r="L328" s="71">
        <f ca="1">IFERROR(__xludf.DUMMYFUNCTION("IMPORTRANGE(""https://docs.google.com/spreadsheets/d/1-uDff_7J0KD5mKrp0Vvzr7lt3OU09vwQwhkpOPPYv2Y/edit?usp=sharing"",""งบพรบ!EL60"")"),0)</f>
        <v>0</v>
      </c>
      <c r="M328" s="72">
        <f ca="1">IFERROR(__xludf.DUMMYFUNCTION("IMPORTRANGE(""https://docs.google.com/spreadsheets/d/1-uDff_7J0KD5mKrp0Vvzr7lt3OU09vwQwhkpOPPYv2Y/edit?usp=sharing"",""งบพรบ!EO60"")"),0)</f>
        <v>0</v>
      </c>
      <c r="N328" s="72">
        <f ca="1">IFERROR(__xludf.DUMMYFUNCTION("IMPORTRANGE(""https://docs.google.com/spreadsheets/d/1-uDff_7J0KD5mKrp0Vvzr7lt3OU09vwQwhkpOPPYv2Y/edit?usp=sharing"",""งบพรบ!EQ60"")"),0)</f>
        <v>0</v>
      </c>
      <c r="O328" s="72">
        <f t="shared" ca="1" si="81"/>
        <v>0</v>
      </c>
      <c r="P328" s="72">
        <f t="shared" ca="1" si="82"/>
        <v>0</v>
      </c>
      <c r="Q328" s="72">
        <v>0</v>
      </c>
      <c r="R328" s="72">
        <v>0</v>
      </c>
      <c r="S328" s="72">
        <v>0</v>
      </c>
      <c r="T328" s="72">
        <f t="shared" si="83"/>
        <v>0</v>
      </c>
      <c r="U328" s="72">
        <f t="shared" si="84"/>
        <v>0</v>
      </c>
    </row>
    <row r="329" spans="1:21" ht="19.5" hidden="1" x14ac:dyDescent="0.3">
      <c r="A329" s="274"/>
      <c r="B329" s="275"/>
      <c r="C329" s="257" t="s">
        <v>18</v>
      </c>
      <c r="D329" s="800" t="s">
        <v>38</v>
      </c>
      <c r="E329" s="278"/>
      <c r="F329" s="278"/>
      <c r="G329" s="279"/>
      <c r="H329" s="305"/>
      <c r="I329" s="270"/>
      <c r="J329" s="261"/>
      <c r="K329" s="85"/>
      <c r="L329" s="84"/>
      <c r="M329" s="85"/>
      <c r="N329" s="85"/>
      <c r="O329" s="227"/>
      <c r="P329" s="227"/>
      <c r="Q329" s="85"/>
      <c r="R329" s="85"/>
      <c r="S329" s="85"/>
      <c r="T329" s="227"/>
      <c r="U329" s="227"/>
    </row>
    <row r="330" spans="1:21" ht="18.75" hidden="1" x14ac:dyDescent="0.25">
      <c r="A330" s="274"/>
      <c r="B330" s="275"/>
      <c r="C330" s="275"/>
      <c r="D330" s="745" t="s">
        <v>134</v>
      </c>
      <c r="E330" s="288"/>
      <c r="F330" s="288"/>
      <c r="G330" s="280"/>
      <c r="H330" s="266" t="s">
        <v>133</v>
      </c>
      <c r="I330" s="291">
        <f ca="1">IFERROR(__xludf.DUMMYFUNCTION("IMPORTRANGE(""https://docs.google.com/spreadsheets/d/1eHaY18a8A9IcSdp1K8H6x8fbOy06t2VsZHhMHf-1x7Y/edit?usp=sharing"",""แผน!EJ60"")"),0)</f>
        <v>0</v>
      </c>
      <c r="J330" s="292">
        <v>0</v>
      </c>
      <c r="K330" s="72">
        <f ca="1">IF(I330&gt;0,J330*100/I330,0)</f>
        <v>0</v>
      </c>
      <c r="L330" s="84"/>
      <c r="M330" s="85"/>
      <c r="N330" s="85"/>
      <c r="O330" s="227"/>
      <c r="P330" s="227"/>
      <c r="Q330" s="85"/>
      <c r="R330" s="85"/>
      <c r="S330" s="85"/>
      <c r="T330" s="227"/>
      <c r="U330" s="227"/>
    </row>
    <row r="331" spans="1:21" ht="19.5" x14ac:dyDescent="0.3">
      <c r="A331" s="890" t="s">
        <v>135</v>
      </c>
      <c r="B331" s="889"/>
      <c r="C331" s="889"/>
      <c r="D331" s="888"/>
      <c r="E331" s="889"/>
      <c r="F331" s="889"/>
      <c r="G331" s="889"/>
      <c r="H331" s="889"/>
      <c r="I331" s="887"/>
      <c r="J331" s="887"/>
      <c r="K331" s="500"/>
      <c r="L331" s="499"/>
      <c r="M331" s="500"/>
      <c r="N331" s="500"/>
      <c r="O331" s="500"/>
      <c r="P331" s="500"/>
      <c r="Q331" s="500"/>
      <c r="R331" s="500"/>
      <c r="S331" s="500"/>
      <c r="T331" s="500"/>
      <c r="U331" s="500"/>
    </row>
    <row r="332" spans="1:21" ht="19.5" x14ac:dyDescent="0.3">
      <c r="A332" s="876"/>
      <c r="B332" s="883" t="s">
        <v>136</v>
      </c>
      <c r="C332" s="584"/>
      <c r="D332" s="585"/>
      <c r="E332" s="585"/>
      <c r="F332" s="585"/>
      <c r="G332" s="586"/>
      <c r="H332" s="587" t="s">
        <v>35</v>
      </c>
      <c r="I332" s="514">
        <f ca="1">I344</f>
        <v>140</v>
      </c>
      <c r="J332" s="515" t="e">
        <f ca="1">J344+J347+J348+J349+J353+J354</f>
        <v>#VALUE!</v>
      </c>
      <c r="K332" s="516" t="e">
        <f ca="1">IF(I332&gt;0,J332*100/I332,0)</f>
        <v>#VALUE!</v>
      </c>
      <c r="L332" s="509"/>
      <c r="M332" s="510"/>
      <c r="N332" s="510"/>
      <c r="O332" s="510"/>
      <c r="P332" s="510"/>
      <c r="Q332" s="510"/>
      <c r="R332" s="510"/>
      <c r="S332" s="510"/>
      <c r="T332" s="510"/>
      <c r="U332" s="510"/>
    </row>
    <row r="333" spans="1:21" ht="19.5" x14ac:dyDescent="0.3">
      <c r="A333" s="255"/>
      <c r="B333" s="256"/>
      <c r="C333" s="668" t="s">
        <v>18</v>
      </c>
      <c r="D333" s="258" t="s">
        <v>19</v>
      </c>
      <c r="E333" s="256"/>
      <c r="F333" s="256"/>
      <c r="G333" s="259"/>
      <c r="H333" s="260" t="s">
        <v>14</v>
      </c>
      <c r="I333" s="261"/>
      <c r="J333" s="261"/>
      <c r="K333" s="85"/>
      <c r="L333" s="389">
        <f ca="1">L334+L335</f>
        <v>446300</v>
      </c>
      <c r="M333" s="262">
        <f ca="1">M334+M335</f>
        <v>446300</v>
      </c>
      <c r="N333" s="262">
        <f ca="1">N334+N335</f>
        <v>230678.05</v>
      </c>
      <c r="O333" s="262">
        <f t="shared" ref="O333:O341" ca="1" si="87">IF(L333&gt;0,N333*100/L333,0)</f>
        <v>51.686768989468966</v>
      </c>
      <c r="P333" s="262">
        <f t="shared" ref="P333:P341" ca="1" si="88">IF(M333&gt;0,N333*100/M333,0)</f>
        <v>51.686768989468966</v>
      </c>
      <c r="Q333" s="262">
        <f>Q334+Q335</f>
        <v>0</v>
      </c>
      <c r="R333" s="262">
        <f>R334+R335</f>
        <v>0</v>
      </c>
      <c r="S333" s="262">
        <f>S334+S335</f>
        <v>0</v>
      </c>
      <c r="T333" s="262">
        <f t="shared" ref="T333:T341" si="89">IF(Q333&gt;0,S333*100/Q333,0)</f>
        <v>0</v>
      </c>
      <c r="U333" s="262">
        <f t="shared" ref="U333:U341" si="90">IF(R333&gt;0,S333*100/R333,0)</f>
        <v>0</v>
      </c>
    </row>
    <row r="334" spans="1:21" ht="18.75" hidden="1" x14ac:dyDescent="0.25">
      <c r="A334" s="255"/>
      <c r="B334" s="256"/>
      <c r="C334" s="256"/>
      <c r="D334" s="256"/>
      <c r="E334" s="263" t="s">
        <v>20</v>
      </c>
      <c r="F334" s="256"/>
      <c r="G334" s="259"/>
      <c r="H334" s="264" t="s">
        <v>14</v>
      </c>
      <c r="I334" s="261"/>
      <c r="J334" s="261"/>
      <c r="K334" s="85"/>
      <c r="L334" s="74">
        <f t="shared" ref="L334:N335" si="91">L337+L340</f>
        <v>0</v>
      </c>
      <c r="M334" s="75">
        <f t="shared" si="91"/>
        <v>0</v>
      </c>
      <c r="N334" s="75">
        <f t="shared" si="91"/>
        <v>0</v>
      </c>
      <c r="O334" s="75">
        <f t="shared" si="87"/>
        <v>0</v>
      </c>
      <c r="P334" s="75">
        <f t="shared" si="88"/>
        <v>0</v>
      </c>
      <c r="Q334" s="75">
        <f t="shared" ref="Q334:S335" si="92">Q337+Q340</f>
        <v>0</v>
      </c>
      <c r="R334" s="75">
        <f t="shared" si="92"/>
        <v>0</v>
      </c>
      <c r="S334" s="75">
        <f t="shared" si="92"/>
        <v>0</v>
      </c>
      <c r="T334" s="75">
        <f t="shared" si="89"/>
        <v>0</v>
      </c>
      <c r="U334" s="75">
        <f t="shared" si="90"/>
        <v>0</v>
      </c>
    </row>
    <row r="335" spans="1:21" ht="18.75" hidden="1" x14ac:dyDescent="0.25">
      <c r="A335" s="255"/>
      <c r="B335" s="256"/>
      <c r="C335" s="256"/>
      <c r="D335" s="256"/>
      <c r="E335" s="265" t="s">
        <v>21</v>
      </c>
      <c r="F335" s="256"/>
      <c r="G335" s="259"/>
      <c r="H335" s="266" t="s">
        <v>14</v>
      </c>
      <c r="I335" s="261"/>
      <c r="J335" s="261"/>
      <c r="K335" s="85"/>
      <c r="L335" s="71">
        <f t="shared" ca="1" si="91"/>
        <v>446300</v>
      </c>
      <c r="M335" s="72">
        <f t="shared" ca="1" si="91"/>
        <v>446300</v>
      </c>
      <c r="N335" s="72">
        <f t="shared" ca="1" si="91"/>
        <v>230678.05</v>
      </c>
      <c r="O335" s="72">
        <f t="shared" ca="1" si="87"/>
        <v>51.686768989468966</v>
      </c>
      <c r="P335" s="72">
        <f t="shared" ca="1" si="88"/>
        <v>51.686768989468966</v>
      </c>
      <c r="Q335" s="72">
        <f t="shared" si="92"/>
        <v>0</v>
      </c>
      <c r="R335" s="72">
        <f t="shared" si="92"/>
        <v>0</v>
      </c>
      <c r="S335" s="72">
        <f t="shared" si="92"/>
        <v>0</v>
      </c>
      <c r="T335" s="72">
        <f t="shared" si="89"/>
        <v>0</v>
      </c>
      <c r="U335" s="72">
        <f t="shared" si="90"/>
        <v>0</v>
      </c>
    </row>
    <row r="336" spans="1:21" ht="18.75" x14ac:dyDescent="0.25">
      <c r="A336" s="255"/>
      <c r="B336" s="267"/>
      <c r="C336" s="256"/>
      <c r="D336" s="268" t="s">
        <v>22</v>
      </c>
      <c r="E336" s="256"/>
      <c r="F336" s="256"/>
      <c r="G336" s="259"/>
      <c r="H336" s="269" t="s">
        <v>14</v>
      </c>
      <c r="I336" s="270"/>
      <c r="J336" s="270"/>
      <c r="K336" s="227"/>
      <c r="L336" s="71">
        <f ca="1">L337+L338</f>
        <v>446300</v>
      </c>
      <c r="M336" s="72">
        <f ca="1">M337+M338</f>
        <v>446300</v>
      </c>
      <c r="N336" s="72">
        <f ca="1">N337+N338</f>
        <v>230678.05</v>
      </c>
      <c r="O336" s="72">
        <f t="shared" ca="1" si="87"/>
        <v>51.686768989468966</v>
      </c>
      <c r="P336" s="72">
        <f t="shared" ca="1" si="88"/>
        <v>51.686768989468966</v>
      </c>
      <c r="Q336" s="72">
        <f>Q337+Q338</f>
        <v>0</v>
      </c>
      <c r="R336" s="72">
        <f>R337+R338</f>
        <v>0</v>
      </c>
      <c r="S336" s="72">
        <f>S337+S338</f>
        <v>0</v>
      </c>
      <c r="T336" s="72">
        <f t="shared" si="89"/>
        <v>0</v>
      </c>
      <c r="U336" s="72">
        <f t="shared" si="90"/>
        <v>0</v>
      </c>
    </row>
    <row r="337" spans="1:21" ht="18.75" hidden="1" x14ac:dyDescent="0.25">
      <c r="A337" s="255"/>
      <c r="B337" s="256"/>
      <c r="C337" s="267"/>
      <c r="D337" s="256"/>
      <c r="E337" s="569" t="s">
        <v>36</v>
      </c>
      <c r="F337" s="256"/>
      <c r="G337" s="259"/>
      <c r="H337" s="271" t="s">
        <v>14</v>
      </c>
      <c r="I337" s="270"/>
      <c r="J337" s="270"/>
      <c r="K337" s="227"/>
      <c r="L337" s="74">
        <v>0</v>
      </c>
      <c r="M337" s="75">
        <v>0</v>
      </c>
      <c r="N337" s="75">
        <v>0</v>
      </c>
      <c r="O337" s="75">
        <f t="shared" si="87"/>
        <v>0</v>
      </c>
      <c r="P337" s="75">
        <f t="shared" si="88"/>
        <v>0</v>
      </c>
      <c r="Q337" s="75">
        <v>0</v>
      </c>
      <c r="R337" s="75">
        <v>0</v>
      </c>
      <c r="S337" s="75">
        <v>0</v>
      </c>
      <c r="T337" s="75">
        <f t="shared" si="89"/>
        <v>0</v>
      </c>
      <c r="U337" s="75">
        <f t="shared" si="90"/>
        <v>0</v>
      </c>
    </row>
    <row r="338" spans="1:21" ht="18.75" hidden="1" x14ac:dyDescent="0.25">
      <c r="A338" s="255"/>
      <c r="B338" s="256"/>
      <c r="C338" s="267"/>
      <c r="D338" s="256"/>
      <c r="E338" s="567" t="s">
        <v>37</v>
      </c>
      <c r="F338" s="256"/>
      <c r="G338" s="259"/>
      <c r="H338" s="269" t="s">
        <v>14</v>
      </c>
      <c r="I338" s="270"/>
      <c r="J338" s="270"/>
      <c r="K338" s="227"/>
      <c r="L338" s="71">
        <f ca="1">IFERROR(__xludf.DUMMYFUNCTION("IMPORTRANGE(""https://docs.google.com/spreadsheets/d/1-uDff_7J0KD5mKrp0Vvzr7lt3OU09vwQwhkpOPPYv2Y/edit?usp=sharing"",""งบพรบ!ES60"")"),446300)</f>
        <v>446300</v>
      </c>
      <c r="M338" s="72">
        <f ca="1">IFERROR(__xludf.DUMMYFUNCTION("IMPORTRANGE(""https://docs.google.com/spreadsheets/d/1-uDff_7J0KD5mKrp0Vvzr7lt3OU09vwQwhkpOPPYv2Y/edit?usp=sharing"",""งบพรบ!EX60"")"),446300)</f>
        <v>446300</v>
      </c>
      <c r="N338" s="72">
        <f ca="1">IFERROR(__xludf.DUMMYFUNCTION("IMPORTRANGE(""https://docs.google.com/spreadsheets/d/1-uDff_7J0KD5mKrp0Vvzr7lt3OU09vwQwhkpOPPYv2Y/edit?usp=sharing"",""งบพรบ!EZ60"")"),230678.05)</f>
        <v>230678.05</v>
      </c>
      <c r="O338" s="72">
        <f t="shared" ca="1" si="87"/>
        <v>51.686768989468966</v>
      </c>
      <c r="P338" s="72">
        <f t="shared" ca="1" si="88"/>
        <v>51.686768989468966</v>
      </c>
      <c r="Q338" s="72">
        <v>0</v>
      </c>
      <c r="R338" s="72">
        <v>0</v>
      </c>
      <c r="S338" s="72">
        <v>0</v>
      </c>
      <c r="T338" s="72">
        <f t="shared" si="89"/>
        <v>0</v>
      </c>
      <c r="U338" s="72">
        <f t="shared" si="90"/>
        <v>0</v>
      </c>
    </row>
    <row r="339" spans="1:21" ht="18.75" x14ac:dyDescent="0.25">
      <c r="A339" s="255"/>
      <c r="B339" s="256"/>
      <c r="C339" s="267"/>
      <c r="D339" s="268" t="s">
        <v>23</v>
      </c>
      <c r="E339" s="256"/>
      <c r="F339" s="256"/>
      <c r="G339" s="259"/>
      <c r="H339" s="273" t="s">
        <v>14</v>
      </c>
      <c r="I339" s="270"/>
      <c r="J339" s="270"/>
      <c r="K339" s="227"/>
      <c r="L339" s="71">
        <f ca="1">L340+L341</f>
        <v>0</v>
      </c>
      <c r="M339" s="72">
        <f ca="1">M340+M341</f>
        <v>0</v>
      </c>
      <c r="N339" s="72">
        <f ca="1">N340+N341</f>
        <v>0</v>
      </c>
      <c r="O339" s="72">
        <f t="shared" ca="1" si="87"/>
        <v>0</v>
      </c>
      <c r="P339" s="72">
        <f t="shared" ca="1" si="88"/>
        <v>0</v>
      </c>
      <c r="Q339" s="72">
        <f>Q340+Q341</f>
        <v>0</v>
      </c>
      <c r="R339" s="72">
        <f>R340+R341</f>
        <v>0</v>
      </c>
      <c r="S339" s="72">
        <f>S340+S341</f>
        <v>0</v>
      </c>
      <c r="T339" s="72">
        <f t="shared" si="89"/>
        <v>0</v>
      </c>
      <c r="U339" s="72">
        <f t="shared" si="90"/>
        <v>0</v>
      </c>
    </row>
    <row r="340" spans="1:21" ht="18.75" hidden="1" x14ac:dyDescent="0.25">
      <c r="A340" s="255"/>
      <c r="B340" s="256"/>
      <c r="C340" s="267"/>
      <c r="D340" s="256"/>
      <c r="E340" s="263" t="s">
        <v>20</v>
      </c>
      <c r="F340" s="256"/>
      <c r="G340" s="259"/>
      <c r="H340" s="271" t="s">
        <v>14</v>
      </c>
      <c r="I340" s="270"/>
      <c r="J340" s="270"/>
      <c r="K340" s="227"/>
      <c r="L340" s="74">
        <v>0</v>
      </c>
      <c r="M340" s="75">
        <v>0</v>
      </c>
      <c r="N340" s="75">
        <v>0</v>
      </c>
      <c r="O340" s="75">
        <f t="shared" si="87"/>
        <v>0</v>
      </c>
      <c r="P340" s="75">
        <f t="shared" si="88"/>
        <v>0</v>
      </c>
      <c r="Q340" s="75">
        <v>0</v>
      </c>
      <c r="R340" s="75">
        <v>0</v>
      </c>
      <c r="S340" s="75">
        <v>0</v>
      </c>
      <c r="T340" s="75">
        <f t="shared" si="89"/>
        <v>0</v>
      </c>
      <c r="U340" s="75">
        <f t="shared" si="90"/>
        <v>0</v>
      </c>
    </row>
    <row r="341" spans="1:21" ht="18.75" hidden="1" x14ac:dyDescent="0.25">
      <c r="A341" s="255"/>
      <c r="B341" s="256"/>
      <c r="C341" s="267"/>
      <c r="D341" s="256"/>
      <c r="E341" s="265" t="s">
        <v>21</v>
      </c>
      <c r="F341" s="256"/>
      <c r="G341" s="259"/>
      <c r="H341" s="273" t="s">
        <v>14</v>
      </c>
      <c r="I341" s="270"/>
      <c r="J341" s="270"/>
      <c r="K341" s="227"/>
      <c r="L341" s="71">
        <f ca="1">IFERROR(__xludf.DUMMYFUNCTION("IMPORTRANGE(""https://docs.google.com/spreadsheets/d/1-uDff_7J0KD5mKrp0Vvzr7lt3OU09vwQwhkpOPPYv2Y/edit?usp=sharing"",""งบพรบ!EV60"")"),0)</f>
        <v>0</v>
      </c>
      <c r="M341" s="72">
        <f ca="1">IFERROR(__xludf.DUMMYFUNCTION("IMPORTRANGE(""https://docs.google.com/spreadsheets/d/1-uDff_7J0KD5mKrp0Vvzr7lt3OU09vwQwhkpOPPYv2Y/edit?usp=sharing"",""งบพรบ!EY60"")"),0)</f>
        <v>0</v>
      </c>
      <c r="N341" s="72">
        <f ca="1">IFERROR(__xludf.DUMMYFUNCTION("IMPORTRANGE(""https://docs.google.com/spreadsheets/d/1-uDff_7J0KD5mKrp0Vvzr7lt3OU09vwQwhkpOPPYv2Y/edit?usp=sharing"",""งบพรบ!FA60"")"),0)</f>
        <v>0</v>
      </c>
      <c r="O341" s="72">
        <f t="shared" ca="1" si="87"/>
        <v>0</v>
      </c>
      <c r="P341" s="72">
        <f t="shared" ca="1" si="88"/>
        <v>0</v>
      </c>
      <c r="Q341" s="72">
        <v>0</v>
      </c>
      <c r="R341" s="72">
        <v>0</v>
      </c>
      <c r="S341" s="72">
        <v>0</v>
      </c>
      <c r="T341" s="72">
        <f t="shared" si="89"/>
        <v>0</v>
      </c>
      <c r="U341" s="72">
        <f t="shared" si="90"/>
        <v>0</v>
      </c>
    </row>
    <row r="342" spans="1:21" ht="19.5" x14ac:dyDescent="0.3">
      <c r="A342" s="274"/>
      <c r="B342" s="275"/>
      <c r="C342" s="668" t="s">
        <v>18</v>
      </c>
      <c r="D342" s="885" t="s">
        <v>38</v>
      </c>
      <c r="E342" s="278"/>
      <c r="F342" s="278"/>
      <c r="G342" s="279"/>
      <c r="H342" s="259"/>
      <c r="I342" s="261"/>
      <c r="J342" s="261"/>
      <c r="K342" s="85"/>
      <c r="L342" s="84"/>
      <c r="M342" s="85"/>
      <c r="N342" s="85"/>
      <c r="O342" s="227"/>
      <c r="P342" s="227"/>
      <c r="Q342" s="85"/>
      <c r="R342" s="85"/>
      <c r="S342" s="85"/>
      <c r="T342" s="227"/>
      <c r="U342" s="227"/>
    </row>
    <row r="343" spans="1:21" ht="19.5" x14ac:dyDescent="0.3">
      <c r="A343" s="520"/>
      <c r="B343" s="521"/>
      <c r="C343" s="522"/>
      <c r="D343" s="521"/>
      <c r="E343" s="884" t="s">
        <v>137</v>
      </c>
      <c r="F343" s="521"/>
      <c r="G343" s="524"/>
      <c r="H343" s="525" t="s">
        <v>35</v>
      </c>
      <c r="I343" s="526">
        <v>0</v>
      </c>
      <c r="J343" s="526">
        <f ca="1">J344+J347+J348+J349</f>
        <v>253</v>
      </c>
      <c r="K343" s="527">
        <v>0</v>
      </c>
      <c r="L343" s="377"/>
      <c r="M343" s="378"/>
      <c r="N343" s="378"/>
      <c r="O343" s="378"/>
      <c r="P343" s="378"/>
      <c r="Q343" s="378"/>
      <c r="R343" s="378"/>
      <c r="S343" s="378"/>
      <c r="T343" s="378"/>
      <c r="U343" s="378"/>
    </row>
    <row r="344" spans="1:21" ht="18.75" x14ac:dyDescent="0.25">
      <c r="A344" s="529"/>
      <c r="B344" s="256"/>
      <c r="C344" s="267"/>
      <c r="D344" s="288"/>
      <c r="E344" s="289" t="s">
        <v>138</v>
      </c>
      <c r="F344" s="256"/>
      <c r="G344" s="259"/>
      <c r="H344" s="302" t="s">
        <v>35</v>
      </c>
      <c r="I344" s="291">
        <f ca="1">IFERROR(__xludf.DUMMYFUNCTION("IMPORTRANGE(""https://docs.google.com/spreadsheets/d/1eHaY18a8A9IcSdp1K8H6x8fbOy06t2VsZHhMHf-1x7Y/edit?usp=sharing"",""แผน!EK60"")"),140)</f>
        <v>140</v>
      </c>
      <c r="J344" s="291">
        <f ca="1">IFERROR(__xludf.DUMMYFUNCTION("IMPORTRANGE(""https://docs.google.com/spreadsheets/d/1awYsYK3VOup2i3Pq_Yjnu8DRu_mYwSBnCR2QPthd0rU/edit?usp=sharing"",""ศูนย์ยกเว้นโฉนด!D60"")"),106)</f>
        <v>106</v>
      </c>
      <c r="K344" s="72">
        <f ca="1">IF(I344&gt;0,J344*100/I344,0)</f>
        <v>75.714285714285708</v>
      </c>
      <c r="L344" s="84"/>
      <c r="M344" s="85"/>
      <c r="N344" s="85"/>
      <c r="O344" s="85"/>
      <c r="P344" s="85"/>
      <c r="Q344" s="85"/>
      <c r="R344" s="85"/>
      <c r="S344" s="85"/>
      <c r="T344" s="85"/>
      <c r="U344" s="85"/>
    </row>
    <row r="345" spans="1:21" ht="18.75" x14ac:dyDescent="0.25">
      <c r="A345" s="529"/>
      <c r="B345" s="256"/>
      <c r="C345" s="267"/>
      <c r="D345" s="288"/>
      <c r="E345" s="289" t="s">
        <v>139</v>
      </c>
      <c r="F345" s="256"/>
      <c r="G345" s="259"/>
      <c r="H345" s="307"/>
      <c r="I345" s="261"/>
      <c r="J345" s="261"/>
      <c r="K345" s="85"/>
      <c r="L345" s="84"/>
      <c r="M345" s="85"/>
      <c r="N345" s="85"/>
      <c r="O345" s="85"/>
      <c r="P345" s="85"/>
      <c r="Q345" s="85"/>
      <c r="R345" s="85"/>
      <c r="S345" s="85"/>
      <c r="T345" s="85"/>
      <c r="U345" s="85"/>
    </row>
    <row r="346" spans="1:21" ht="18.75" x14ac:dyDescent="0.25">
      <c r="A346" s="529"/>
      <c r="B346" s="256"/>
      <c r="C346" s="267"/>
      <c r="D346" s="288"/>
      <c r="E346" s="288"/>
      <c r="F346" s="289" t="s">
        <v>140</v>
      </c>
      <c r="G346" s="259"/>
      <c r="H346" s="302" t="s">
        <v>141</v>
      </c>
      <c r="I346" s="291">
        <f ca="1">IFERROR(__xludf.DUMMYFUNCTION("IMPORTRANGE(""https://docs.google.com/spreadsheets/d/1eHaY18a8A9IcSdp1K8H6x8fbOy06t2VsZHhMHf-1x7Y/edit?usp=sharing"",""แผน!EL60"")"),1)</f>
        <v>1</v>
      </c>
      <c r="J346" s="291">
        <f ca="1">IFERROR(__xludf.DUMMYFUNCTION("IMPORTRANGE(""https://docs.google.com/spreadsheets/d/1awYsYK3VOup2i3Pq_Yjnu8DRu_mYwSBnCR2QPthd0rU/edit?usp=sharing"",""ศูนย์รวม!E60"")"),1)</f>
        <v>1</v>
      </c>
      <c r="K346" s="72">
        <f ca="1">IF(I346&gt;0,J346*100/I346,0)</f>
        <v>100</v>
      </c>
      <c r="L346" s="84"/>
      <c r="M346" s="85"/>
      <c r="N346" s="85"/>
      <c r="O346" s="85"/>
      <c r="P346" s="85"/>
      <c r="Q346" s="85"/>
      <c r="R346" s="85"/>
      <c r="S346" s="85"/>
      <c r="T346" s="85"/>
      <c r="U346" s="85"/>
    </row>
    <row r="347" spans="1:21" ht="18.75" x14ac:dyDescent="0.25">
      <c r="A347" s="529"/>
      <c r="B347" s="256"/>
      <c r="C347" s="267"/>
      <c r="D347" s="288"/>
      <c r="E347" s="288"/>
      <c r="F347" s="289" t="s">
        <v>142</v>
      </c>
      <c r="G347" s="259"/>
      <c r="H347" s="302" t="s">
        <v>35</v>
      </c>
      <c r="I347" s="261"/>
      <c r="J347" s="291">
        <f ca="1">IFERROR(__xludf.DUMMYFUNCTION("IMPORTRANGE(""https://docs.google.com/spreadsheets/d/1awYsYK3VOup2i3Pq_Yjnu8DRu_mYwSBnCR2QPthd0rU/edit?usp=sharing"",""ศูนย์ยกเว้นโฉนด!F60"")"),125)</f>
        <v>125</v>
      </c>
      <c r="K347" s="85"/>
      <c r="L347" s="84"/>
      <c r="M347" s="85"/>
      <c r="N347" s="85"/>
      <c r="O347" s="85"/>
      <c r="P347" s="85"/>
      <c r="Q347" s="85"/>
      <c r="R347" s="85"/>
      <c r="S347" s="85"/>
      <c r="T347" s="85"/>
      <c r="U347" s="85"/>
    </row>
    <row r="348" spans="1:21" ht="18.75" x14ac:dyDescent="0.25">
      <c r="A348" s="529"/>
      <c r="B348" s="256"/>
      <c r="C348" s="267"/>
      <c r="D348" s="288"/>
      <c r="E348" s="289" t="s">
        <v>143</v>
      </c>
      <c r="F348" s="288"/>
      <c r="G348" s="259"/>
      <c r="H348" s="302" t="s">
        <v>35</v>
      </c>
      <c r="I348" s="261"/>
      <c r="J348" s="291">
        <f ca="1">IFERROR(__xludf.DUMMYFUNCTION("IMPORTRANGE(""https://docs.google.com/spreadsheets/d/1awYsYK3VOup2i3Pq_Yjnu8DRu_mYwSBnCR2QPthd0rU/edit?usp=sharing"",""ศูนย์ยกเว้นโฉนด!G60"")"),21)</f>
        <v>21</v>
      </c>
      <c r="K348" s="85"/>
      <c r="L348" s="84"/>
      <c r="M348" s="85"/>
      <c r="N348" s="85"/>
      <c r="O348" s="85"/>
      <c r="P348" s="85"/>
      <c r="Q348" s="85"/>
      <c r="R348" s="85"/>
      <c r="S348" s="85"/>
      <c r="T348" s="85"/>
      <c r="U348" s="85"/>
    </row>
    <row r="349" spans="1:21" ht="18.75" x14ac:dyDescent="0.25">
      <c r="A349" s="529"/>
      <c r="B349" s="256"/>
      <c r="C349" s="267"/>
      <c r="D349" s="275"/>
      <c r="E349" s="289" t="s">
        <v>144</v>
      </c>
      <c r="F349" s="288"/>
      <c r="G349" s="259"/>
      <c r="H349" s="302" t="s">
        <v>35</v>
      </c>
      <c r="I349" s="261"/>
      <c r="J349" s="291">
        <f ca="1">IFERROR(__xludf.DUMMYFUNCTION("IMPORTRANGE(""https://docs.google.com/spreadsheets/d/1awYsYK3VOup2i3Pq_Yjnu8DRu_mYwSBnCR2QPthd0rU/edit?usp=sharing"",""ศูนย์ยกเว้นโฉนด!H60"")"),1)</f>
        <v>1</v>
      </c>
      <c r="K349" s="85"/>
      <c r="L349" s="84"/>
      <c r="M349" s="85"/>
      <c r="N349" s="85"/>
      <c r="O349" s="85"/>
      <c r="P349" s="85"/>
      <c r="Q349" s="85"/>
      <c r="R349" s="85"/>
      <c r="S349" s="85"/>
      <c r="T349" s="85"/>
      <c r="U349" s="85"/>
    </row>
    <row r="350" spans="1:21" ht="16.5" x14ac:dyDescent="0.25">
      <c r="A350" s="529"/>
      <c r="B350" s="256"/>
      <c r="C350" s="267"/>
      <c r="D350" s="53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29 มิ.ย. 67 เวลา 18.53 น.]")</f>
        <v xml:space="preserve"> [ข้อมูลจาก ระบบศูนย์บริการประชาชน ข้อมูล ณ 29 มิ.ย. 67 เวลา 18.53 น.]</v>
      </c>
      <c r="E350" s="256"/>
      <c r="F350" s="256"/>
      <c r="G350" s="259"/>
      <c r="H350" s="307"/>
      <c r="I350" s="261"/>
      <c r="J350" s="261"/>
      <c r="K350" s="85"/>
      <c r="L350" s="84"/>
      <c r="M350" s="85"/>
      <c r="N350" s="85"/>
      <c r="O350" s="85"/>
      <c r="P350" s="85"/>
      <c r="Q350" s="85"/>
      <c r="R350" s="85"/>
      <c r="S350" s="85"/>
      <c r="T350" s="85"/>
      <c r="U350" s="85"/>
    </row>
    <row r="351" spans="1:21" ht="19.5" x14ac:dyDescent="0.3">
      <c r="A351" s="532"/>
      <c r="B351" s="533"/>
      <c r="C351" s="534"/>
      <c r="D351" s="533"/>
      <c r="E351" s="882" t="s">
        <v>145</v>
      </c>
      <c r="F351" s="533"/>
      <c r="G351" s="536"/>
      <c r="H351" s="1286" t="s">
        <v>35</v>
      </c>
      <c r="I351" s="538">
        <v>0</v>
      </c>
      <c r="J351" s="538" t="e">
        <f ca="1">J352+J353+J354</f>
        <v>#VALUE!</v>
      </c>
      <c r="K351" s="539">
        <v>0</v>
      </c>
      <c r="L351" s="377"/>
      <c r="M351" s="378"/>
      <c r="N351" s="378"/>
      <c r="O351" s="378"/>
      <c r="P351" s="378"/>
      <c r="Q351" s="378"/>
      <c r="R351" s="378"/>
      <c r="S351" s="378"/>
      <c r="T351" s="378"/>
      <c r="U351" s="378"/>
    </row>
    <row r="352" spans="1:21" ht="18.75" x14ac:dyDescent="0.25">
      <c r="A352" s="529"/>
      <c r="B352" s="256"/>
      <c r="C352" s="267"/>
      <c r="D352" s="288"/>
      <c r="E352" s="289" t="s">
        <v>146</v>
      </c>
      <c r="F352" s="256"/>
      <c r="G352" s="259"/>
      <c r="H352" s="266" t="s">
        <v>35</v>
      </c>
      <c r="I352" s="261"/>
      <c r="J352" s="291" t="str">
        <f ca="1">IFERROR(__xludf.DUMMYFUNCTION("IMPORTRANGE(""https://docs.google.com/spreadsheets/d/1awYsYK3VOup2i3Pq_Yjnu8DRu_mYwSBnCR2QPthd0rU/edit?usp=sharing"",""โฉนดM3!G60"")"),"")</f>
        <v/>
      </c>
      <c r="K352" s="85"/>
      <c r="L352" s="84"/>
      <c r="M352" s="85"/>
      <c r="N352" s="85"/>
      <c r="O352" s="85"/>
      <c r="P352" s="85"/>
      <c r="Q352" s="85"/>
      <c r="R352" s="85"/>
      <c r="S352" s="85"/>
      <c r="T352" s="85"/>
      <c r="U352" s="85"/>
    </row>
    <row r="353" spans="1:21" ht="18.75" x14ac:dyDescent="0.25">
      <c r="A353" s="529"/>
      <c r="B353" s="256"/>
      <c r="C353" s="267"/>
      <c r="D353" s="288"/>
      <c r="E353" s="289" t="s">
        <v>147</v>
      </c>
      <c r="F353" s="256"/>
      <c r="G353" s="259"/>
      <c r="H353" s="266" t="s">
        <v>35</v>
      </c>
      <c r="I353" s="261"/>
      <c r="J353" s="291" t="str">
        <f ca="1">IFERROR(__xludf.DUMMYFUNCTION("IMPORTRANGE(""https://docs.google.com/spreadsheets/d/1awYsYK3VOup2i3Pq_Yjnu8DRu_mYwSBnCR2QPthd0rU/edit?usp=sharing"",""โฉนดM3!H60"")"),"")</f>
        <v/>
      </c>
      <c r="K353" s="85"/>
      <c r="L353" s="84"/>
      <c r="M353" s="85"/>
      <c r="N353" s="85"/>
      <c r="O353" s="85"/>
      <c r="P353" s="85"/>
      <c r="Q353" s="85"/>
      <c r="R353" s="85"/>
      <c r="S353" s="85"/>
      <c r="T353" s="85"/>
      <c r="U353" s="85"/>
    </row>
    <row r="354" spans="1:21" ht="18.75" x14ac:dyDescent="0.25">
      <c r="A354" s="669"/>
      <c r="B354" s="427"/>
      <c r="C354" s="425"/>
      <c r="D354" s="425"/>
      <c r="E354" s="540" t="s">
        <v>148</v>
      </c>
      <c r="F354" s="427"/>
      <c r="G354" s="428"/>
      <c r="H354" s="429" t="s">
        <v>35</v>
      </c>
      <c r="I354" s="541"/>
      <c r="J354" s="431" t="str">
        <f ca="1">IFERROR(__xludf.DUMMYFUNCTION("IMPORTRANGE(""https://docs.google.com/spreadsheets/d/1awYsYK3VOup2i3Pq_Yjnu8DRu_mYwSBnCR2QPthd0rU/edit?usp=sharing"",""โฉนดM3!I60"")"),"")</f>
        <v/>
      </c>
      <c r="K354" s="384"/>
      <c r="L354" s="384"/>
      <c r="M354" s="384"/>
      <c r="N354" s="384"/>
      <c r="O354" s="384"/>
      <c r="P354" s="384"/>
      <c r="Q354" s="384"/>
      <c r="R354" s="384"/>
      <c r="S354" s="384"/>
      <c r="T354" s="384"/>
      <c r="U354" s="384"/>
    </row>
    <row r="355" spans="1:21" ht="19.5" x14ac:dyDescent="0.3">
      <c r="A355" s="876"/>
      <c r="B355" s="883" t="s">
        <v>149</v>
      </c>
      <c r="C355" s="584"/>
      <c r="D355" s="585"/>
      <c r="E355" s="585"/>
      <c r="F355" s="585"/>
      <c r="G355" s="586"/>
      <c r="H355" s="593"/>
      <c r="I355" s="877"/>
      <c r="J355" s="877"/>
      <c r="K355" s="510"/>
      <c r="L355" s="509"/>
      <c r="M355" s="510"/>
      <c r="N355" s="510"/>
      <c r="O355" s="510"/>
      <c r="P355" s="510"/>
      <c r="Q355" s="510"/>
      <c r="R355" s="510"/>
      <c r="S355" s="510"/>
      <c r="T355" s="510"/>
      <c r="U355" s="510"/>
    </row>
    <row r="356" spans="1:21" ht="19.5" x14ac:dyDescent="0.3">
      <c r="A356" s="255"/>
      <c r="B356" s="256"/>
      <c r="C356" s="668" t="s">
        <v>18</v>
      </c>
      <c r="D356" s="258" t="s">
        <v>19</v>
      </c>
      <c r="E356" s="256"/>
      <c r="F356" s="256"/>
      <c r="G356" s="259"/>
      <c r="H356" s="260" t="s">
        <v>14</v>
      </c>
      <c r="I356" s="261"/>
      <c r="J356" s="261"/>
      <c r="K356" s="85"/>
      <c r="L356" s="389">
        <f ca="1">L357+L358</f>
        <v>191110</v>
      </c>
      <c r="M356" s="262">
        <f ca="1">M357+M358</f>
        <v>191110</v>
      </c>
      <c r="N356" s="262">
        <f ca="1">N357+N358</f>
        <v>102700.01</v>
      </c>
      <c r="O356" s="262">
        <f t="shared" ref="O356:O364" ca="1" si="93">IF(L356&gt;0,N356*100/L356,0)</f>
        <v>53.738689759824183</v>
      </c>
      <c r="P356" s="262">
        <f t="shared" ref="P356:P364" ca="1" si="94">IF(M356&gt;0,N356*100/M356,0)</f>
        <v>53.738689759824183</v>
      </c>
      <c r="Q356" s="262">
        <f>Q357+Q358</f>
        <v>0</v>
      </c>
      <c r="R356" s="262">
        <f>R357+R358</f>
        <v>0</v>
      </c>
      <c r="S356" s="262">
        <f>S357+S358</f>
        <v>0</v>
      </c>
      <c r="T356" s="262">
        <f t="shared" ref="T356:T364" si="95">IF(Q356&gt;0,S356*100/Q356,0)</f>
        <v>0</v>
      </c>
      <c r="U356" s="262">
        <f t="shared" ref="U356:U364" si="96">IF(R356&gt;0,S356*100/R356,0)</f>
        <v>0</v>
      </c>
    </row>
    <row r="357" spans="1:21" ht="18.75" hidden="1" x14ac:dyDescent="0.25">
      <c r="A357" s="255"/>
      <c r="B357" s="256"/>
      <c r="C357" s="256"/>
      <c r="D357" s="256"/>
      <c r="E357" s="263" t="s">
        <v>20</v>
      </c>
      <c r="F357" s="256"/>
      <c r="G357" s="259"/>
      <c r="H357" s="264" t="s">
        <v>14</v>
      </c>
      <c r="I357" s="261"/>
      <c r="J357" s="261"/>
      <c r="K357" s="85"/>
      <c r="L357" s="74">
        <f t="shared" ref="L357:N358" si="97">L360+L363</f>
        <v>0</v>
      </c>
      <c r="M357" s="75">
        <f t="shared" si="97"/>
        <v>0</v>
      </c>
      <c r="N357" s="75">
        <f t="shared" si="97"/>
        <v>0</v>
      </c>
      <c r="O357" s="75">
        <f t="shared" si="93"/>
        <v>0</v>
      </c>
      <c r="P357" s="75">
        <f t="shared" si="94"/>
        <v>0</v>
      </c>
      <c r="Q357" s="75">
        <f t="shared" ref="Q357:S358" si="98">Q360+Q363</f>
        <v>0</v>
      </c>
      <c r="R357" s="75">
        <f t="shared" si="98"/>
        <v>0</v>
      </c>
      <c r="S357" s="75">
        <f t="shared" si="98"/>
        <v>0</v>
      </c>
      <c r="T357" s="75">
        <f t="shared" si="95"/>
        <v>0</v>
      </c>
      <c r="U357" s="75">
        <f t="shared" si="96"/>
        <v>0</v>
      </c>
    </row>
    <row r="358" spans="1:21" ht="18.75" hidden="1" x14ac:dyDescent="0.25">
      <c r="A358" s="255"/>
      <c r="B358" s="267"/>
      <c r="C358" s="256"/>
      <c r="D358" s="256"/>
      <c r="E358" s="265" t="s">
        <v>21</v>
      </c>
      <c r="F358" s="256"/>
      <c r="G358" s="259"/>
      <c r="H358" s="266" t="s">
        <v>14</v>
      </c>
      <c r="I358" s="261"/>
      <c r="J358" s="261"/>
      <c r="K358" s="85"/>
      <c r="L358" s="71">
        <f t="shared" ca="1" si="97"/>
        <v>191110</v>
      </c>
      <c r="M358" s="72">
        <f t="shared" ca="1" si="97"/>
        <v>191110</v>
      </c>
      <c r="N358" s="72">
        <f t="shared" ca="1" si="97"/>
        <v>102700.01</v>
      </c>
      <c r="O358" s="72">
        <f t="shared" ca="1" si="93"/>
        <v>53.738689759824183</v>
      </c>
      <c r="P358" s="72">
        <f t="shared" ca="1" si="94"/>
        <v>53.738689759824183</v>
      </c>
      <c r="Q358" s="72">
        <f t="shared" si="98"/>
        <v>0</v>
      </c>
      <c r="R358" s="72">
        <f t="shared" si="98"/>
        <v>0</v>
      </c>
      <c r="S358" s="72">
        <f t="shared" si="98"/>
        <v>0</v>
      </c>
      <c r="T358" s="72">
        <f t="shared" si="95"/>
        <v>0</v>
      </c>
      <c r="U358" s="72">
        <f t="shared" si="96"/>
        <v>0</v>
      </c>
    </row>
    <row r="359" spans="1:21" ht="18.75" x14ac:dyDescent="0.25">
      <c r="A359" s="255"/>
      <c r="B359" s="267"/>
      <c r="C359" s="256"/>
      <c r="D359" s="268" t="s">
        <v>22</v>
      </c>
      <c r="E359" s="256"/>
      <c r="F359" s="256"/>
      <c r="G359" s="259"/>
      <c r="H359" s="269" t="s">
        <v>14</v>
      </c>
      <c r="I359" s="270"/>
      <c r="J359" s="270"/>
      <c r="K359" s="227"/>
      <c r="L359" s="71">
        <f ca="1">L360+L361</f>
        <v>191110</v>
      </c>
      <c r="M359" s="72">
        <f ca="1">M360+M361</f>
        <v>191110</v>
      </c>
      <c r="N359" s="72">
        <f ca="1">N360+N361</f>
        <v>102700.01</v>
      </c>
      <c r="O359" s="72">
        <f t="shared" ca="1" si="93"/>
        <v>53.738689759824183</v>
      </c>
      <c r="P359" s="72">
        <f t="shared" ca="1" si="94"/>
        <v>53.738689759824183</v>
      </c>
      <c r="Q359" s="72">
        <f>Q360+Q361</f>
        <v>0</v>
      </c>
      <c r="R359" s="72">
        <f>R360+R361</f>
        <v>0</v>
      </c>
      <c r="S359" s="72">
        <f>S360+S361</f>
        <v>0</v>
      </c>
      <c r="T359" s="72">
        <f t="shared" si="95"/>
        <v>0</v>
      </c>
      <c r="U359" s="72">
        <f t="shared" si="96"/>
        <v>0</v>
      </c>
    </row>
    <row r="360" spans="1:21" ht="18.75" hidden="1" x14ac:dyDescent="0.25">
      <c r="A360" s="255"/>
      <c r="B360" s="256"/>
      <c r="C360" s="267"/>
      <c r="D360" s="256"/>
      <c r="E360" s="263" t="s">
        <v>36</v>
      </c>
      <c r="F360" s="256"/>
      <c r="G360" s="259"/>
      <c r="H360" s="271" t="s">
        <v>14</v>
      </c>
      <c r="I360" s="270"/>
      <c r="J360" s="270"/>
      <c r="K360" s="227"/>
      <c r="L360" s="74">
        <v>0</v>
      </c>
      <c r="M360" s="75">
        <v>0</v>
      </c>
      <c r="N360" s="75">
        <v>0</v>
      </c>
      <c r="O360" s="75">
        <f t="shared" si="93"/>
        <v>0</v>
      </c>
      <c r="P360" s="75">
        <f t="shared" si="94"/>
        <v>0</v>
      </c>
      <c r="Q360" s="75">
        <v>0</v>
      </c>
      <c r="R360" s="75">
        <v>0</v>
      </c>
      <c r="S360" s="75">
        <v>0</v>
      </c>
      <c r="T360" s="75">
        <f t="shared" si="95"/>
        <v>0</v>
      </c>
      <c r="U360" s="75">
        <f t="shared" si="96"/>
        <v>0</v>
      </c>
    </row>
    <row r="361" spans="1:21" ht="18.75" hidden="1" x14ac:dyDescent="0.25">
      <c r="A361" s="255"/>
      <c r="B361" s="256"/>
      <c r="C361" s="267"/>
      <c r="D361" s="256"/>
      <c r="E361" s="265" t="s">
        <v>37</v>
      </c>
      <c r="F361" s="256"/>
      <c r="G361" s="259"/>
      <c r="H361" s="269" t="s">
        <v>14</v>
      </c>
      <c r="I361" s="270"/>
      <c r="J361" s="270"/>
      <c r="K361" s="227"/>
      <c r="L361" s="71">
        <f ca="1">IFERROR(__xludf.DUMMYFUNCTION("IMPORTRANGE(""https://docs.google.com/spreadsheets/d/1-uDff_7J0KD5mKrp0Vvzr7lt3OU09vwQwhkpOPPYv2Y/edit?usp=sharing"",""งบพรบ!FC60"")"),191110)</f>
        <v>191110</v>
      </c>
      <c r="M361" s="72">
        <f ca="1">IFERROR(__xludf.DUMMYFUNCTION("IMPORTRANGE(""https://docs.google.com/spreadsheets/d/1-uDff_7J0KD5mKrp0Vvzr7lt3OU09vwQwhkpOPPYv2Y/edit?usp=sharing"",""งบพรบ!FH60"")"),191110)</f>
        <v>191110</v>
      </c>
      <c r="N361" s="72">
        <f ca="1">IFERROR(__xludf.DUMMYFUNCTION("IMPORTRANGE(""https://docs.google.com/spreadsheets/d/1-uDff_7J0KD5mKrp0Vvzr7lt3OU09vwQwhkpOPPYv2Y/edit?usp=sharing"",""งบพรบ!FJ60"")"),102700.01)</f>
        <v>102700.01</v>
      </c>
      <c r="O361" s="72">
        <f t="shared" ca="1" si="93"/>
        <v>53.738689759824183</v>
      </c>
      <c r="P361" s="72">
        <f t="shared" ca="1" si="94"/>
        <v>53.738689759824183</v>
      </c>
      <c r="Q361" s="72">
        <v>0</v>
      </c>
      <c r="R361" s="72">
        <v>0</v>
      </c>
      <c r="S361" s="72">
        <v>0</v>
      </c>
      <c r="T361" s="72">
        <f t="shared" si="95"/>
        <v>0</v>
      </c>
      <c r="U361" s="72">
        <f t="shared" si="96"/>
        <v>0</v>
      </c>
    </row>
    <row r="362" spans="1:21" ht="18.75" x14ac:dyDescent="0.25">
      <c r="A362" s="255"/>
      <c r="B362" s="256"/>
      <c r="C362" s="267"/>
      <c r="D362" s="268" t="s">
        <v>23</v>
      </c>
      <c r="E362" s="256"/>
      <c r="F362" s="256"/>
      <c r="G362" s="259"/>
      <c r="H362" s="273" t="s">
        <v>14</v>
      </c>
      <c r="I362" s="270"/>
      <c r="J362" s="270"/>
      <c r="K362" s="227"/>
      <c r="L362" s="71">
        <f ca="1">L363+L364</f>
        <v>0</v>
      </c>
      <c r="M362" s="72">
        <f ca="1">M363+M364</f>
        <v>0</v>
      </c>
      <c r="N362" s="72">
        <f ca="1">N363+N364</f>
        <v>0</v>
      </c>
      <c r="O362" s="72">
        <f t="shared" ca="1" si="93"/>
        <v>0</v>
      </c>
      <c r="P362" s="72">
        <f t="shared" ca="1" si="94"/>
        <v>0</v>
      </c>
      <c r="Q362" s="72">
        <f>Q363+Q364</f>
        <v>0</v>
      </c>
      <c r="R362" s="72">
        <f>R363+R364</f>
        <v>0</v>
      </c>
      <c r="S362" s="72">
        <f>S363+S364</f>
        <v>0</v>
      </c>
      <c r="T362" s="72">
        <f t="shared" si="95"/>
        <v>0</v>
      </c>
      <c r="U362" s="72">
        <f t="shared" si="96"/>
        <v>0</v>
      </c>
    </row>
    <row r="363" spans="1:21" ht="18.75" hidden="1" x14ac:dyDescent="0.25">
      <c r="A363" s="255"/>
      <c r="B363" s="256"/>
      <c r="C363" s="267"/>
      <c r="D363" s="256"/>
      <c r="E363" s="263" t="s">
        <v>20</v>
      </c>
      <c r="F363" s="256"/>
      <c r="G363" s="259"/>
      <c r="H363" s="271" t="s">
        <v>14</v>
      </c>
      <c r="I363" s="270"/>
      <c r="J363" s="270"/>
      <c r="K363" s="227"/>
      <c r="L363" s="74">
        <v>0</v>
      </c>
      <c r="M363" s="75">
        <v>0</v>
      </c>
      <c r="N363" s="75">
        <v>0</v>
      </c>
      <c r="O363" s="75">
        <f t="shared" si="93"/>
        <v>0</v>
      </c>
      <c r="P363" s="75">
        <f t="shared" si="94"/>
        <v>0</v>
      </c>
      <c r="Q363" s="75">
        <v>0</v>
      </c>
      <c r="R363" s="75">
        <v>0</v>
      </c>
      <c r="S363" s="75">
        <v>0</v>
      </c>
      <c r="T363" s="75">
        <f t="shared" si="95"/>
        <v>0</v>
      </c>
      <c r="U363" s="75">
        <f t="shared" si="96"/>
        <v>0</v>
      </c>
    </row>
    <row r="364" spans="1:21" ht="18.75" hidden="1" x14ac:dyDescent="0.25">
      <c r="A364" s="255"/>
      <c r="B364" s="256"/>
      <c r="C364" s="267"/>
      <c r="D364" s="256"/>
      <c r="E364" s="265" t="s">
        <v>21</v>
      </c>
      <c r="F364" s="256"/>
      <c r="G364" s="259"/>
      <c r="H364" s="273" t="s">
        <v>14</v>
      </c>
      <c r="I364" s="270"/>
      <c r="J364" s="270"/>
      <c r="K364" s="227"/>
      <c r="L364" s="71">
        <f ca="1">IFERROR(__xludf.DUMMYFUNCTION("IMPORTRANGE(""https://docs.google.com/spreadsheets/d/1-uDff_7J0KD5mKrp0Vvzr7lt3OU09vwQwhkpOPPYv2Y/edit?usp=sharing"",""งบพรบ!FF60"")"),0)</f>
        <v>0</v>
      </c>
      <c r="M364" s="72">
        <f ca="1">IFERROR(__xludf.DUMMYFUNCTION("IMPORTRANGE(""https://docs.google.com/spreadsheets/d/1-uDff_7J0KD5mKrp0Vvzr7lt3OU09vwQwhkpOPPYv2Y/edit?usp=sharing"",""งบพรบ!FI60"")"),0)</f>
        <v>0</v>
      </c>
      <c r="N364" s="72">
        <f ca="1">IFERROR(__xludf.DUMMYFUNCTION("IMPORTRANGE(""https://docs.google.com/spreadsheets/d/1-uDff_7J0KD5mKrp0Vvzr7lt3OU09vwQwhkpOPPYv2Y/edit?usp=sharing"",""งบพรบ!FK60"")"),0)</f>
        <v>0</v>
      </c>
      <c r="O364" s="72">
        <f t="shared" ca="1" si="93"/>
        <v>0</v>
      </c>
      <c r="P364" s="72">
        <f t="shared" ca="1" si="94"/>
        <v>0</v>
      </c>
      <c r="Q364" s="72">
        <v>0</v>
      </c>
      <c r="R364" s="72">
        <v>0</v>
      </c>
      <c r="S364" s="72">
        <v>0</v>
      </c>
      <c r="T364" s="72">
        <f t="shared" si="95"/>
        <v>0</v>
      </c>
      <c r="U364" s="72">
        <f t="shared" si="96"/>
        <v>0</v>
      </c>
    </row>
    <row r="365" spans="1:21" ht="19.5" hidden="1" x14ac:dyDescent="0.3">
      <c r="A365" s="532"/>
      <c r="B365" s="534"/>
      <c r="C365" s="534"/>
      <c r="D365" s="882" t="s">
        <v>150</v>
      </c>
      <c r="E365" s="533"/>
      <c r="F365" s="533"/>
      <c r="G365" s="536"/>
      <c r="H365" s="881" t="s">
        <v>35</v>
      </c>
      <c r="I365" s="538">
        <f ca="1">I371</f>
        <v>0</v>
      </c>
      <c r="J365" s="538">
        <f ca="1">J371</f>
        <v>0</v>
      </c>
      <c r="K365" s="539">
        <f ca="1">IF(I365&gt;0,J365*100/I365,0)</f>
        <v>0</v>
      </c>
      <c r="L365" s="377"/>
      <c r="M365" s="378"/>
      <c r="N365" s="378"/>
      <c r="O365" s="378"/>
      <c r="P365" s="378"/>
      <c r="Q365" s="378"/>
      <c r="R365" s="378"/>
      <c r="S365" s="378"/>
      <c r="T365" s="378"/>
      <c r="U365" s="378"/>
    </row>
    <row r="366" spans="1:21" ht="19.5" hidden="1" x14ac:dyDescent="0.3">
      <c r="A366" s="274"/>
      <c r="B366" s="275"/>
      <c r="C366" s="276" t="s">
        <v>18</v>
      </c>
      <c r="D366" s="797" t="s">
        <v>38</v>
      </c>
      <c r="E366" s="278"/>
      <c r="F366" s="278"/>
      <c r="G366" s="279"/>
      <c r="H366" s="280"/>
      <c r="I366" s="261"/>
      <c r="J366" s="261"/>
      <c r="K366" s="85"/>
      <c r="L366" s="226"/>
      <c r="M366" s="227"/>
      <c r="N366" s="227"/>
      <c r="O366" s="227"/>
      <c r="P366" s="227"/>
      <c r="Q366" s="227"/>
      <c r="R366" s="227"/>
      <c r="S366" s="227"/>
      <c r="T366" s="227"/>
      <c r="U366" s="227"/>
    </row>
    <row r="367" spans="1:21" ht="18.75" hidden="1" x14ac:dyDescent="0.25">
      <c r="A367" s="274"/>
      <c r="B367" s="275"/>
      <c r="C367" s="275"/>
      <c r="D367" s="288"/>
      <c r="E367" s="954" t="s">
        <v>151</v>
      </c>
      <c r="F367" s="275"/>
      <c r="G367" s="305"/>
      <c r="H367" s="880" t="s">
        <v>35</v>
      </c>
      <c r="I367" s="291">
        <v>0</v>
      </c>
      <c r="J367" s="291">
        <f ca="1">IFERROR(__xludf.DUMMYFUNCTION("IMPORTRANGE(""https://docs.google.com/spreadsheets/d/1tdoBKaGub7dwA3U6UFTqxio9LNnvDCQjHKmttSEBsFQ/edit?usp=sharing"",""จัดที่ดิน!AB60"")"),0)</f>
        <v>0</v>
      </c>
      <c r="K367" s="72">
        <f t="shared" ref="K367:K372" si="99">IF(I367&gt;0,J367*100/I367,0)</f>
        <v>0</v>
      </c>
      <c r="L367" s="226"/>
      <c r="M367" s="227"/>
      <c r="N367" s="227"/>
      <c r="O367" s="227"/>
      <c r="P367" s="227"/>
      <c r="Q367" s="227"/>
      <c r="R367" s="227"/>
      <c r="S367" s="227"/>
      <c r="T367" s="227"/>
      <c r="U367" s="227"/>
    </row>
    <row r="368" spans="1:21" ht="18.75" hidden="1" x14ac:dyDescent="0.25">
      <c r="A368" s="274"/>
      <c r="B368" s="288"/>
      <c r="C368" s="275"/>
      <c r="D368" s="288"/>
      <c r="E368" s="288"/>
      <c r="F368" s="288"/>
      <c r="G368" s="280"/>
      <c r="H368" s="880" t="s">
        <v>46</v>
      </c>
      <c r="I368" s="291">
        <f ca="1">IFERROR(__xludf.DUMMYFUNCTION("IMPORTRANGE(""https://docs.google.com/spreadsheets/d/1eHaY18a8A9IcSdp1K8H6x8fbOy06t2VsZHhMHf-1x7Y/edit?usp=sharing"",""แผน!EW60"")"),0)</f>
        <v>0</v>
      </c>
      <c r="J368" s="879">
        <f ca="1">IFERROR(__xludf.DUMMYFUNCTION("IMPORTRANGE(""https://docs.google.com/spreadsheets/d/1tdoBKaGub7dwA3U6UFTqxio9LNnvDCQjHKmttSEBsFQ/edit?usp=sharing"",""จัดที่ดิน!AC60"")"),0)</f>
        <v>0</v>
      </c>
      <c r="K368" s="72">
        <f t="shared" ca="1" si="99"/>
        <v>0</v>
      </c>
      <c r="L368" s="226"/>
      <c r="M368" s="227"/>
      <c r="N368" s="227"/>
      <c r="O368" s="227"/>
      <c r="P368" s="227"/>
      <c r="Q368" s="227"/>
      <c r="R368" s="227"/>
      <c r="S368" s="227"/>
      <c r="T368" s="227"/>
      <c r="U368" s="227"/>
    </row>
    <row r="369" spans="1:21" ht="18.75" hidden="1" x14ac:dyDescent="0.25">
      <c r="A369" s="274"/>
      <c r="B369" s="288"/>
      <c r="C369" s="275"/>
      <c r="D369" s="288"/>
      <c r="E369" s="745" t="s">
        <v>152</v>
      </c>
      <c r="F369" s="288"/>
      <c r="G369" s="280"/>
      <c r="H369" s="273" t="s">
        <v>35</v>
      </c>
      <c r="I369" s="291">
        <f ca="1">IFERROR(__xludf.DUMMYFUNCTION("IMPORTRANGE(""https://docs.google.com/spreadsheets/d/1eHaY18a8A9IcSdp1K8H6x8fbOy06t2VsZHhMHf-1x7Y/edit?usp=sharing"",""แผน!EX60"")"),0)</f>
        <v>0</v>
      </c>
      <c r="J369" s="291">
        <f ca="1">IFERROR(__xludf.DUMMYFUNCTION("IMPORTRANGE(""https://docs.google.com/spreadsheets/d/1tdoBKaGub7dwA3U6UFTqxio9LNnvDCQjHKmttSEBsFQ/edit?usp=sharing"",""จัดที่ดิน!AD60"")"),0)</f>
        <v>0</v>
      </c>
      <c r="K369" s="72">
        <f t="shared" ca="1" si="99"/>
        <v>0</v>
      </c>
      <c r="L369" s="226"/>
      <c r="M369" s="227"/>
      <c r="N369" s="227"/>
      <c r="O369" s="227"/>
      <c r="P369" s="227"/>
      <c r="Q369" s="227"/>
      <c r="R369" s="227"/>
      <c r="S369" s="227"/>
      <c r="T369" s="227"/>
      <c r="U369" s="227"/>
    </row>
    <row r="370" spans="1:21" ht="18.75" hidden="1" x14ac:dyDescent="0.25">
      <c r="A370" s="274"/>
      <c r="B370" s="288"/>
      <c r="C370" s="275"/>
      <c r="D370" s="288"/>
      <c r="E370" s="288"/>
      <c r="F370" s="288"/>
      <c r="G370" s="280"/>
      <c r="H370" s="273" t="s">
        <v>46</v>
      </c>
      <c r="I370" s="291">
        <v>0</v>
      </c>
      <c r="J370" s="879">
        <f ca="1">IFERROR(__xludf.DUMMYFUNCTION("IMPORTRANGE(""https://docs.google.com/spreadsheets/d/1tdoBKaGub7dwA3U6UFTqxio9LNnvDCQjHKmttSEBsFQ/edit?usp=sharing"",""จัดที่ดิน!AE60"")"),0)</f>
        <v>0</v>
      </c>
      <c r="K370" s="72">
        <f t="shared" si="99"/>
        <v>0</v>
      </c>
      <c r="L370" s="226"/>
      <c r="M370" s="227"/>
      <c r="N370" s="227"/>
      <c r="O370" s="227"/>
      <c r="P370" s="227"/>
      <c r="Q370" s="227"/>
      <c r="R370" s="227"/>
      <c r="S370" s="227"/>
      <c r="T370" s="227"/>
      <c r="U370" s="227"/>
    </row>
    <row r="371" spans="1:21" ht="18.75" hidden="1" x14ac:dyDescent="0.25">
      <c r="A371" s="274"/>
      <c r="B371" s="288"/>
      <c r="C371" s="275"/>
      <c r="D371" s="288"/>
      <c r="E371" s="228" t="s">
        <v>153</v>
      </c>
      <c r="F371" s="288"/>
      <c r="G371" s="280"/>
      <c r="H371" s="273" t="s">
        <v>35</v>
      </c>
      <c r="I371" s="291">
        <f ca="1">IFERROR(__xludf.DUMMYFUNCTION("IMPORTRANGE(""https://docs.google.com/spreadsheets/d/1eHaY18a8A9IcSdp1K8H6x8fbOy06t2VsZHhMHf-1x7Y/edit?usp=sharing"",""แผน!EY60"")"),0)</f>
        <v>0</v>
      </c>
      <c r="J371" s="291">
        <f ca="1">IFERROR(__xludf.DUMMYFUNCTION("IMPORTRANGE(""https://docs.google.com/spreadsheets/d/1tdoBKaGub7dwA3U6UFTqxio9LNnvDCQjHKmttSEBsFQ/edit?usp=sharing"",""จัดที่ดิน!AF60"")"),0)</f>
        <v>0</v>
      </c>
      <c r="K371" s="72">
        <f t="shared" ca="1" si="99"/>
        <v>0</v>
      </c>
      <c r="L371" s="226"/>
      <c r="M371" s="227"/>
      <c r="N371" s="227"/>
      <c r="O371" s="227"/>
      <c r="P371" s="227"/>
      <c r="Q371" s="227"/>
      <c r="R371" s="227"/>
      <c r="S371" s="227"/>
      <c r="T371" s="227"/>
      <c r="U371" s="227"/>
    </row>
    <row r="372" spans="1:21" ht="18.75" hidden="1" x14ac:dyDescent="0.25">
      <c r="A372" s="274"/>
      <c r="B372" s="288"/>
      <c r="C372" s="275"/>
      <c r="D372" s="288"/>
      <c r="E372" s="288"/>
      <c r="F372" s="288"/>
      <c r="G372" s="280"/>
      <c r="H372" s="273" t="s">
        <v>46</v>
      </c>
      <c r="I372" s="291">
        <v>0</v>
      </c>
      <c r="J372" s="879">
        <f ca="1">IFERROR(__xludf.DUMMYFUNCTION("IMPORTRANGE(""https://docs.google.com/spreadsheets/d/1tdoBKaGub7dwA3U6UFTqxio9LNnvDCQjHKmttSEBsFQ/edit?usp=sharing"",""จัดที่ดิน!AG60"")"),0)</f>
        <v>0</v>
      </c>
      <c r="K372" s="72">
        <f t="shared" si="99"/>
        <v>0</v>
      </c>
      <c r="L372" s="226"/>
      <c r="M372" s="227"/>
      <c r="N372" s="227"/>
      <c r="O372" s="227"/>
      <c r="P372" s="227"/>
      <c r="Q372" s="227"/>
      <c r="R372" s="227"/>
      <c r="S372" s="227"/>
      <c r="T372" s="227"/>
      <c r="U372" s="227"/>
    </row>
    <row r="373" spans="1:21" ht="16.5" hidden="1" x14ac:dyDescent="0.25">
      <c r="A373" s="606"/>
      <c r="B373" s="615"/>
      <c r="C373" s="607"/>
      <c r="D373" s="878" t="str">
        <f ca="1">IFERROR(__xludf.DUMMYFUNCTION("IMPORTRANGE(""https://docs.google.com/spreadsheets/d/1gNPQPjxUj63ZZXIIIm2aX4x3w7PhAZpC9JuXdbpWwUQ/edit?usp=sharing"",""Sheet1!b4"")")," [ข้อมูลจาก ระบบ ALRO Land Online ข้อมูล ณ 28 มิ.ย. 67 เวลา 07.27 น.]")</f>
        <v xml:space="preserve"> [ข้อมูลจาก ระบบ ALRO Land Online ข้อมูล ณ 28 มิ.ย. 67 เวลา 07.27 น.]</v>
      </c>
      <c r="E373" s="615"/>
      <c r="F373" s="615"/>
      <c r="G373" s="616"/>
      <c r="H373" s="608"/>
      <c r="I373" s="610"/>
      <c r="J373" s="610"/>
      <c r="K373" s="96"/>
      <c r="L373" s="95"/>
      <c r="M373" s="96"/>
      <c r="N373" s="96"/>
      <c r="O373" s="96"/>
      <c r="P373" s="96"/>
      <c r="Q373" s="96"/>
      <c r="R373" s="96"/>
      <c r="S373" s="96"/>
      <c r="T373" s="96"/>
      <c r="U373" s="96"/>
    </row>
    <row r="374" spans="1:21" ht="19.5" hidden="1" x14ac:dyDescent="0.3">
      <c r="A374" s="556"/>
      <c r="B374" s="557" t="s">
        <v>154</v>
      </c>
      <c r="C374" s="558"/>
      <c r="D374" s="559"/>
      <c r="E374" s="560"/>
      <c r="F374" s="560"/>
      <c r="G374" s="561"/>
      <c r="H374" s="562" t="s">
        <v>46</v>
      </c>
      <c r="I374" s="563">
        <f ca="1">I385</f>
        <v>0</v>
      </c>
      <c r="J374" s="563">
        <f>J385</f>
        <v>0</v>
      </c>
      <c r="K374" s="564">
        <f ca="1">IF(I374&gt;0,J374*100/I374,0)</f>
        <v>0</v>
      </c>
      <c r="L374" s="509"/>
      <c r="M374" s="510"/>
      <c r="N374" s="510"/>
      <c r="O374" s="510"/>
      <c r="P374" s="510"/>
      <c r="Q374" s="510"/>
      <c r="R374" s="510"/>
      <c r="S374" s="510"/>
      <c r="T374" s="510"/>
      <c r="U374" s="510"/>
    </row>
    <row r="375" spans="1:21" ht="19.5" hidden="1" x14ac:dyDescent="0.3">
      <c r="A375" s="255"/>
      <c r="B375" s="267"/>
      <c r="C375" s="276" t="s">
        <v>18</v>
      </c>
      <c r="D375" s="875" t="s">
        <v>19</v>
      </c>
      <c r="E375" s="256"/>
      <c r="F375" s="256"/>
      <c r="G375" s="259"/>
      <c r="H375" s="260" t="s">
        <v>14</v>
      </c>
      <c r="I375" s="261"/>
      <c r="J375" s="261"/>
      <c r="K375" s="85"/>
      <c r="L375" s="389">
        <f ca="1">L376+L377</f>
        <v>0</v>
      </c>
      <c r="M375" s="262">
        <f ca="1">M376+M377</f>
        <v>0</v>
      </c>
      <c r="N375" s="262">
        <f ca="1">N376+N377</f>
        <v>0</v>
      </c>
      <c r="O375" s="262">
        <f t="shared" ref="O375:O383" ca="1" si="100">IF(L375&gt;0,N375*100/L375,0)</f>
        <v>0</v>
      </c>
      <c r="P375" s="262">
        <f t="shared" ref="P375:P383" ca="1" si="101">IF(M375&gt;0,N375*100/M375,0)</f>
        <v>0</v>
      </c>
      <c r="Q375" s="262">
        <f ca="1">Q376+Q377</f>
        <v>0</v>
      </c>
      <c r="R375" s="262">
        <f ca="1">R376+R377</f>
        <v>0</v>
      </c>
      <c r="S375" s="262">
        <f ca="1">S376+S377</f>
        <v>0</v>
      </c>
      <c r="T375" s="262">
        <f t="shared" ref="T375:T383" ca="1" si="102">IF(Q375&gt;0,S375*100/Q375,0)</f>
        <v>0</v>
      </c>
      <c r="U375" s="262">
        <f t="shared" ref="U375:U383" ca="1" si="103">IF(R375&gt;0,S375*100/R375,0)</f>
        <v>0</v>
      </c>
    </row>
    <row r="376" spans="1:21" ht="18.75" hidden="1" x14ac:dyDescent="0.25">
      <c r="A376" s="255"/>
      <c r="B376" s="267"/>
      <c r="C376" s="267"/>
      <c r="D376" s="267"/>
      <c r="E376" s="263" t="s">
        <v>20</v>
      </c>
      <c r="F376" s="256"/>
      <c r="G376" s="259"/>
      <c r="H376" s="264" t="s">
        <v>14</v>
      </c>
      <c r="I376" s="261"/>
      <c r="J376" s="261"/>
      <c r="K376" s="85"/>
      <c r="L376" s="74">
        <f t="shared" ref="L376:N377" si="104">L379+L382</f>
        <v>0</v>
      </c>
      <c r="M376" s="75">
        <f t="shared" si="104"/>
        <v>0</v>
      </c>
      <c r="N376" s="75">
        <f t="shared" si="104"/>
        <v>0</v>
      </c>
      <c r="O376" s="75">
        <f t="shared" si="100"/>
        <v>0</v>
      </c>
      <c r="P376" s="75">
        <f t="shared" si="101"/>
        <v>0</v>
      </c>
      <c r="Q376" s="75">
        <f t="shared" ref="Q376:S377" si="105">Q379+Q382</f>
        <v>0</v>
      </c>
      <c r="R376" s="75">
        <f t="shared" si="105"/>
        <v>0</v>
      </c>
      <c r="S376" s="75">
        <f t="shared" si="105"/>
        <v>0</v>
      </c>
      <c r="T376" s="75">
        <f t="shared" si="102"/>
        <v>0</v>
      </c>
      <c r="U376" s="75">
        <f t="shared" si="103"/>
        <v>0</v>
      </c>
    </row>
    <row r="377" spans="1:21" ht="18.75" hidden="1" x14ac:dyDescent="0.25">
      <c r="A377" s="255"/>
      <c r="B377" s="267"/>
      <c r="C377" s="267"/>
      <c r="D377" s="267"/>
      <c r="E377" s="265" t="s">
        <v>21</v>
      </c>
      <c r="F377" s="256"/>
      <c r="G377" s="259"/>
      <c r="H377" s="266" t="s">
        <v>14</v>
      </c>
      <c r="I377" s="261"/>
      <c r="J377" s="261"/>
      <c r="K377" s="85"/>
      <c r="L377" s="71">
        <f t="shared" ca="1" si="104"/>
        <v>0</v>
      </c>
      <c r="M377" s="72">
        <f t="shared" ca="1" si="104"/>
        <v>0</v>
      </c>
      <c r="N377" s="72">
        <f t="shared" ca="1" si="104"/>
        <v>0</v>
      </c>
      <c r="O377" s="72">
        <f t="shared" ca="1" si="100"/>
        <v>0</v>
      </c>
      <c r="P377" s="72">
        <f t="shared" ca="1" si="101"/>
        <v>0</v>
      </c>
      <c r="Q377" s="72">
        <f t="shared" ca="1" si="105"/>
        <v>0</v>
      </c>
      <c r="R377" s="72">
        <f t="shared" ca="1" si="105"/>
        <v>0</v>
      </c>
      <c r="S377" s="72">
        <f t="shared" ca="1" si="105"/>
        <v>0</v>
      </c>
      <c r="T377" s="72">
        <f t="shared" ca="1" si="102"/>
        <v>0</v>
      </c>
      <c r="U377" s="72">
        <f t="shared" ca="1" si="103"/>
        <v>0</v>
      </c>
    </row>
    <row r="378" spans="1:21" ht="18.75" hidden="1" x14ac:dyDescent="0.25">
      <c r="A378" s="255"/>
      <c r="B378" s="267"/>
      <c r="C378" s="267"/>
      <c r="D378" s="852" t="s">
        <v>22</v>
      </c>
      <c r="E378" s="256"/>
      <c r="F378" s="256"/>
      <c r="G378" s="259"/>
      <c r="H378" s="269" t="s">
        <v>14</v>
      </c>
      <c r="I378" s="270"/>
      <c r="J378" s="270"/>
      <c r="K378" s="227"/>
      <c r="L378" s="71">
        <f ca="1">L379+L380</f>
        <v>0</v>
      </c>
      <c r="M378" s="72">
        <f ca="1">M379+M380</f>
        <v>0</v>
      </c>
      <c r="N378" s="72">
        <f ca="1">N379+N380</f>
        <v>0</v>
      </c>
      <c r="O378" s="72">
        <f t="shared" ca="1" si="100"/>
        <v>0</v>
      </c>
      <c r="P378" s="72">
        <f t="shared" ca="1" si="101"/>
        <v>0</v>
      </c>
      <c r="Q378" s="72">
        <f ca="1">Q379+Q380</f>
        <v>0</v>
      </c>
      <c r="R378" s="72">
        <f ca="1">R379+R380</f>
        <v>0</v>
      </c>
      <c r="S378" s="72">
        <f ca="1">S379+S380</f>
        <v>0</v>
      </c>
      <c r="T378" s="72">
        <f t="shared" ca="1" si="102"/>
        <v>0</v>
      </c>
      <c r="U378" s="72">
        <f t="shared" ca="1" si="103"/>
        <v>0</v>
      </c>
    </row>
    <row r="379" spans="1:21" ht="18.75" hidden="1" x14ac:dyDescent="0.25">
      <c r="A379" s="255"/>
      <c r="B379" s="267"/>
      <c r="C379" s="267"/>
      <c r="D379" s="267"/>
      <c r="E379" s="263" t="s">
        <v>36</v>
      </c>
      <c r="F379" s="256"/>
      <c r="G379" s="259"/>
      <c r="H379" s="271" t="s">
        <v>14</v>
      </c>
      <c r="I379" s="270"/>
      <c r="J379" s="270"/>
      <c r="K379" s="227"/>
      <c r="L379" s="74">
        <v>0</v>
      </c>
      <c r="M379" s="75">
        <v>0</v>
      </c>
      <c r="N379" s="75">
        <v>0</v>
      </c>
      <c r="O379" s="75">
        <f t="shared" si="100"/>
        <v>0</v>
      </c>
      <c r="P379" s="75">
        <f t="shared" si="101"/>
        <v>0</v>
      </c>
      <c r="Q379" s="75">
        <v>0</v>
      </c>
      <c r="R379" s="75">
        <v>0</v>
      </c>
      <c r="S379" s="75">
        <v>0</v>
      </c>
      <c r="T379" s="75">
        <f t="shared" si="102"/>
        <v>0</v>
      </c>
      <c r="U379" s="75">
        <f t="shared" si="103"/>
        <v>0</v>
      </c>
    </row>
    <row r="380" spans="1:21" ht="18.75" hidden="1" x14ac:dyDescent="0.25">
      <c r="A380" s="255"/>
      <c r="B380" s="267"/>
      <c r="C380" s="267"/>
      <c r="D380" s="267"/>
      <c r="E380" s="567" t="s">
        <v>37</v>
      </c>
      <c r="F380" s="267"/>
      <c r="G380" s="307"/>
      <c r="H380" s="269" t="s">
        <v>14</v>
      </c>
      <c r="I380" s="270"/>
      <c r="J380" s="270"/>
      <c r="K380" s="227"/>
      <c r="L380" s="71">
        <f ca="1">IFERROR(__xludf.DUMMYFUNCTION("IMPORTRANGE(""https://docs.google.com/spreadsheets/d/1-uDff_7J0KD5mKrp0Vvzr7lt3OU09vwQwhkpOPPYv2Y/edit?usp=sharing"",""งบพรบ!IE60"")"),0)</f>
        <v>0</v>
      </c>
      <c r="M380" s="72">
        <f ca="1">IFERROR(__xludf.DUMMYFUNCTION("IMPORTRANGE(""https://docs.google.com/spreadsheets/d/1-uDff_7J0KD5mKrp0Vvzr7lt3OU09vwQwhkpOPPYv2Y/edit?usp=sharing"",""งบพรบ!IJ60"")"),0)</f>
        <v>0</v>
      </c>
      <c r="N380" s="72">
        <f ca="1">IFERROR(__xludf.DUMMYFUNCTION("IMPORTRANGE(""https://docs.google.com/spreadsheets/d/1-uDff_7J0KD5mKrp0Vvzr7lt3OU09vwQwhkpOPPYv2Y/edit?usp=sharing"",""งบพรบ!IL60"")"),0)</f>
        <v>0</v>
      </c>
      <c r="O380" s="72">
        <f t="shared" ca="1" si="100"/>
        <v>0</v>
      </c>
      <c r="P380" s="72">
        <f t="shared" ca="1" si="101"/>
        <v>0</v>
      </c>
      <c r="Q380" s="72">
        <f ca="1">IFERROR(__xludf.DUMMYFUNCTION("IMPORTRANGE(""https://docs.google.com/spreadsheets/d/1ItG2mGa2ceCfYo0BwxsXqNm01IGEUdYcSSLTEv9YCik/edit?usp=sharing"",""เบิกจ่ายกองทุน!BW60"")"),0)</f>
        <v>0</v>
      </c>
      <c r="R380" s="72">
        <f ca="1">IFERROR(__xludf.DUMMYFUNCTION("IMPORTRANGE(""https://docs.google.com/spreadsheets/d/1ItG2mGa2ceCfYo0BwxsXqNm01IGEUdYcSSLTEv9YCik/edit?usp=sharing"",""เบิกจ่ายกองทุน!BX60"")"),0)</f>
        <v>0</v>
      </c>
      <c r="S380" s="72">
        <f ca="1">IFERROR(__xludf.DUMMYFUNCTION("IMPORTRANGE(""https://docs.google.com/spreadsheets/d/1ItG2mGa2ceCfYo0BwxsXqNm01IGEUdYcSSLTEv9YCik/edit?usp=sharing"",""เบิกจ่ายกองทุน!BY60"")"),0)</f>
        <v>0</v>
      </c>
      <c r="T380" s="72">
        <f t="shared" ca="1" si="102"/>
        <v>0</v>
      </c>
      <c r="U380" s="72">
        <f t="shared" ca="1" si="103"/>
        <v>0</v>
      </c>
    </row>
    <row r="381" spans="1:21" ht="18.75" hidden="1" x14ac:dyDescent="0.25">
      <c r="A381" s="255"/>
      <c r="B381" s="267"/>
      <c r="C381" s="267"/>
      <c r="D381" s="852" t="s">
        <v>23</v>
      </c>
      <c r="E381" s="256"/>
      <c r="F381" s="256"/>
      <c r="G381" s="259"/>
      <c r="H381" s="273" t="s">
        <v>14</v>
      </c>
      <c r="I381" s="270"/>
      <c r="J381" s="270"/>
      <c r="K381" s="227"/>
      <c r="L381" s="71">
        <f ca="1">L382+L383</f>
        <v>0</v>
      </c>
      <c r="M381" s="72">
        <f ca="1">M382+M383</f>
        <v>0</v>
      </c>
      <c r="N381" s="72">
        <f ca="1">N382+N383</f>
        <v>0</v>
      </c>
      <c r="O381" s="72">
        <f t="shared" ca="1" si="100"/>
        <v>0</v>
      </c>
      <c r="P381" s="72">
        <f t="shared" ca="1" si="101"/>
        <v>0</v>
      </c>
      <c r="Q381" s="72">
        <f>Q382+Q383</f>
        <v>0</v>
      </c>
      <c r="R381" s="72">
        <f>R382+R383</f>
        <v>0</v>
      </c>
      <c r="S381" s="72">
        <f>S382+S383</f>
        <v>0</v>
      </c>
      <c r="T381" s="72">
        <f t="shared" si="102"/>
        <v>0</v>
      </c>
      <c r="U381" s="72">
        <f t="shared" si="103"/>
        <v>0</v>
      </c>
    </row>
    <row r="382" spans="1:21" ht="18.75" hidden="1" x14ac:dyDescent="0.25">
      <c r="A382" s="255"/>
      <c r="B382" s="267"/>
      <c r="C382" s="267"/>
      <c r="D382" s="267"/>
      <c r="E382" s="263" t="s">
        <v>20</v>
      </c>
      <c r="F382" s="256"/>
      <c r="G382" s="259"/>
      <c r="H382" s="271" t="s">
        <v>14</v>
      </c>
      <c r="I382" s="270"/>
      <c r="J382" s="270"/>
      <c r="K382" s="227"/>
      <c r="L382" s="74">
        <v>0</v>
      </c>
      <c r="M382" s="75">
        <v>0</v>
      </c>
      <c r="N382" s="75">
        <v>0</v>
      </c>
      <c r="O382" s="75">
        <f t="shared" si="100"/>
        <v>0</v>
      </c>
      <c r="P382" s="75">
        <f t="shared" si="101"/>
        <v>0</v>
      </c>
      <c r="Q382" s="75">
        <v>0</v>
      </c>
      <c r="R382" s="75">
        <v>0</v>
      </c>
      <c r="S382" s="75">
        <v>0</v>
      </c>
      <c r="T382" s="75">
        <f t="shared" si="102"/>
        <v>0</v>
      </c>
      <c r="U382" s="75">
        <f t="shared" si="103"/>
        <v>0</v>
      </c>
    </row>
    <row r="383" spans="1:21" ht="18.75" hidden="1" x14ac:dyDescent="0.25">
      <c r="A383" s="255"/>
      <c r="B383" s="267"/>
      <c r="C383" s="267"/>
      <c r="D383" s="267"/>
      <c r="E383" s="265" t="s">
        <v>21</v>
      </c>
      <c r="F383" s="256"/>
      <c r="G383" s="259"/>
      <c r="H383" s="273" t="s">
        <v>14</v>
      </c>
      <c r="I383" s="270"/>
      <c r="J383" s="270"/>
      <c r="K383" s="227"/>
      <c r="L383" s="71">
        <f ca="1">IFERROR(__xludf.DUMMYFUNCTION("IMPORTRANGE(""https://docs.google.com/spreadsheets/d/1-uDff_7J0KD5mKrp0Vvzr7lt3OU09vwQwhkpOPPYv2Y/edit?usp=sharing"",""งบพรบ!IH60"")"),0)</f>
        <v>0</v>
      </c>
      <c r="M383" s="72">
        <f ca="1">IFERROR(__xludf.DUMMYFUNCTION("IMPORTRANGE(""https://docs.google.com/spreadsheets/d/1-uDff_7J0KD5mKrp0Vvzr7lt3OU09vwQwhkpOPPYv2Y/edit?usp=sharing"",""งบพรบ!IK60"")"),0)</f>
        <v>0</v>
      </c>
      <c r="N383" s="72">
        <f ca="1">IFERROR(__xludf.DUMMYFUNCTION("IMPORTRANGE(""https://docs.google.com/spreadsheets/d/1-uDff_7J0KD5mKrp0Vvzr7lt3OU09vwQwhkpOPPYv2Y/edit?usp=sharing"",""งบพรบ!IM60"")"),0)</f>
        <v>0</v>
      </c>
      <c r="O383" s="72">
        <f t="shared" ca="1" si="100"/>
        <v>0</v>
      </c>
      <c r="P383" s="72">
        <f t="shared" ca="1" si="101"/>
        <v>0</v>
      </c>
      <c r="Q383" s="72">
        <v>0</v>
      </c>
      <c r="R383" s="72">
        <v>0</v>
      </c>
      <c r="S383" s="72">
        <v>0</v>
      </c>
      <c r="T383" s="72">
        <f t="shared" si="102"/>
        <v>0</v>
      </c>
      <c r="U383" s="72">
        <f t="shared" si="103"/>
        <v>0</v>
      </c>
    </row>
    <row r="384" spans="1:21" ht="19.5" hidden="1" x14ac:dyDescent="0.3">
      <c r="A384" s="274"/>
      <c r="B384" s="275"/>
      <c r="C384" s="276" t="s">
        <v>18</v>
      </c>
      <c r="D384" s="797" t="s">
        <v>38</v>
      </c>
      <c r="E384" s="278"/>
      <c r="F384" s="278"/>
      <c r="G384" s="279"/>
      <c r="H384" s="305"/>
      <c r="I384" s="270"/>
      <c r="J384" s="261"/>
      <c r="K384" s="85"/>
      <c r="L384" s="84"/>
      <c r="M384" s="85"/>
      <c r="N384" s="85"/>
      <c r="O384" s="227"/>
      <c r="P384" s="227"/>
      <c r="Q384" s="85"/>
      <c r="R384" s="85"/>
      <c r="S384" s="85"/>
      <c r="T384" s="227"/>
      <c r="U384" s="227"/>
    </row>
    <row r="385" spans="1:21" ht="18.75" hidden="1" x14ac:dyDescent="0.25">
      <c r="A385" s="529"/>
      <c r="B385" s="267"/>
      <c r="C385" s="267"/>
      <c r="D385" s="267"/>
      <c r="E385" s="265" t="s">
        <v>155</v>
      </c>
      <c r="F385" s="256"/>
      <c r="G385" s="259"/>
      <c r="H385" s="266" t="s">
        <v>34</v>
      </c>
      <c r="I385" s="291">
        <f ca="1">IFERROR(__xludf.DUMMYFUNCTION("IMPORTRANGE(""https://docs.google.com/spreadsheets/d/1eHaY18a8A9IcSdp1K8H6x8fbOy06t2VsZHhMHf-1x7Y/edit?usp=sharing"",""แผน!JQ60"")"),0)</f>
        <v>0</v>
      </c>
      <c r="J385" s="291">
        <v>0</v>
      </c>
      <c r="K385" s="72">
        <f ca="1">IF(I385&gt;0,J385*100/I385,0)</f>
        <v>0</v>
      </c>
      <c r="L385" s="84"/>
      <c r="M385" s="85"/>
      <c r="N385" s="85"/>
      <c r="O385" s="85"/>
      <c r="P385" s="85"/>
      <c r="Q385" s="85"/>
      <c r="R385" s="85"/>
      <c r="S385" s="85"/>
      <c r="T385" s="85"/>
      <c r="U385" s="85"/>
    </row>
    <row r="386" spans="1:21" ht="18.75" hidden="1" x14ac:dyDescent="0.25">
      <c r="A386" s="529"/>
      <c r="B386" s="267"/>
      <c r="C386" s="267"/>
      <c r="D386" s="267"/>
      <c r="E386" s="267"/>
      <c r="F386" s="267"/>
      <c r="G386" s="307"/>
      <c r="H386" s="266" t="s">
        <v>46</v>
      </c>
      <c r="I386" s="291">
        <f ca="1">IFERROR(__xludf.DUMMYFUNCTION("IMPORTRANGE(""https://docs.google.com/spreadsheets/d/1eHaY18a8A9IcSdp1K8H6x8fbOy06t2VsZHhMHf-1x7Y/edit?usp=sharing"",""แผน!JQ60"")"),0)</f>
        <v>0</v>
      </c>
      <c r="J386" s="291">
        <v>0</v>
      </c>
      <c r="K386" s="72">
        <f ca="1">IF(I386&gt;0,J386*100/I386,0)</f>
        <v>0</v>
      </c>
      <c r="L386" s="84"/>
      <c r="M386" s="85"/>
      <c r="N386" s="85"/>
      <c r="O386" s="85"/>
      <c r="P386" s="85"/>
      <c r="Q386" s="85"/>
      <c r="R386" s="85"/>
      <c r="S386" s="85"/>
      <c r="T386" s="85"/>
      <c r="U386" s="85"/>
    </row>
    <row r="387" spans="1:21" ht="18.75" hidden="1" x14ac:dyDescent="0.25">
      <c r="A387" s="529"/>
      <c r="B387" s="267"/>
      <c r="C387" s="267"/>
      <c r="D387" s="267"/>
      <c r="E387" s="569" t="s">
        <v>156</v>
      </c>
      <c r="F387" s="267"/>
      <c r="G387" s="307"/>
      <c r="H387" s="264" t="s">
        <v>34</v>
      </c>
      <c r="I387" s="570">
        <v>0</v>
      </c>
      <c r="J387" s="570">
        <v>0</v>
      </c>
      <c r="K387" s="75">
        <f>IF(I387&gt;0,J387*100/I387,0)</f>
        <v>0</v>
      </c>
      <c r="L387" s="84"/>
      <c r="M387" s="85"/>
      <c r="N387" s="85"/>
      <c r="O387" s="85"/>
      <c r="P387" s="85"/>
      <c r="Q387" s="85"/>
      <c r="R387" s="85"/>
      <c r="S387" s="85"/>
      <c r="T387" s="85"/>
      <c r="U387" s="85"/>
    </row>
    <row r="388" spans="1:21" ht="18.75" hidden="1" x14ac:dyDescent="0.25">
      <c r="A388" s="529"/>
      <c r="B388" s="267"/>
      <c r="C388" s="267"/>
      <c r="D388" s="267"/>
      <c r="E388" s="267"/>
      <c r="F388" s="267"/>
      <c r="G388" s="307"/>
      <c r="H388" s="264" t="s">
        <v>46</v>
      </c>
      <c r="I388" s="570">
        <v>0</v>
      </c>
      <c r="J388" s="570">
        <v>0</v>
      </c>
      <c r="K388" s="75">
        <f>IF(I388&gt;0,J388*100/I388,0)</f>
        <v>0</v>
      </c>
      <c r="L388" s="84"/>
      <c r="M388" s="85"/>
      <c r="N388" s="85"/>
      <c r="O388" s="85"/>
      <c r="P388" s="85"/>
      <c r="Q388" s="85"/>
      <c r="R388" s="85"/>
      <c r="S388" s="85"/>
      <c r="T388" s="85"/>
      <c r="U388" s="85"/>
    </row>
    <row r="389" spans="1:21" ht="12.75" hidden="1" x14ac:dyDescent="0.2">
      <c r="A389" s="590"/>
      <c r="B389" s="571"/>
      <c r="C389" s="571"/>
      <c r="D389" s="571"/>
      <c r="E389" s="571"/>
      <c r="F389" s="571"/>
      <c r="G389" s="572"/>
      <c r="H389" s="572"/>
      <c r="I389" s="573"/>
      <c r="J389" s="573"/>
      <c r="K389" s="574"/>
      <c r="L389" s="575"/>
      <c r="M389" s="574"/>
      <c r="N389" s="574"/>
      <c r="O389" s="574"/>
      <c r="P389" s="574"/>
      <c r="Q389" s="574"/>
      <c r="R389" s="574"/>
      <c r="S389" s="574"/>
      <c r="T389" s="574"/>
      <c r="U389" s="574"/>
    </row>
    <row r="390" spans="1:21" ht="12.75" hidden="1" x14ac:dyDescent="0.2">
      <c r="A390" s="657"/>
      <c r="B390" s="576"/>
      <c r="C390" s="576"/>
      <c r="D390" s="576"/>
      <c r="E390" s="576"/>
      <c r="F390" s="576"/>
      <c r="G390" s="577"/>
      <c r="H390" s="577"/>
      <c r="I390" s="578"/>
      <c r="J390" s="578"/>
      <c r="K390" s="579"/>
      <c r="L390" s="580"/>
      <c r="M390" s="579"/>
      <c r="N390" s="579"/>
      <c r="O390" s="579"/>
      <c r="P390" s="579"/>
      <c r="Q390" s="579"/>
      <c r="R390" s="579"/>
      <c r="S390" s="579"/>
      <c r="T390" s="579"/>
      <c r="U390" s="579"/>
    </row>
    <row r="391" spans="1:21" ht="19.5" hidden="1" x14ac:dyDescent="0.3">
      <c r="A391" s="581"/>
      <c r="B391" s="582" t="s">
        <v>157</v>
      </c>
      <c r="C391" s="583"/>
      <c r="D391" s="584"/>
      <c r="E391" s="585"/>
      <c r="F391" s="585"/>
      <c r="G391" s="586"/>
      <c r="H391" s="587" t="s">
        <v>61</v>
      </c>
      <c r="I391" s="877">
        <f>I402</f>
        <v>0</v>
      </c>
      <c r="J391" s="877">
        <f>J402</f>
        <v>0</v>
      </c>
      <c r="K391" s="589">
        <f>IF(I391&gt;0,J391*100/I391,0)</f>
        <v>0</v>
      </c>
      <c r="L391" s="509"/>
      <c r="M391" s="510"/>
      <c r="N391" s="510"/>
      <c r="O391" s="510"/>
      <c r="P391" s="510"/>
      <c r="Q391" s="510"/>
      <c r="R391" s="510"/>
      <c r="S391" s="510"/>
      <c r="T391" s="510"/>
      <c r="U391" s="510"/>
    </row>
    <row r="392" spans="1:21" ht="19.5" hidden="1" x14ac:dyDescent="0.3">
      <c r="A392" s="255"/>
      <c r="B392" s="267"/>
      <c r="C392" s="276" t="s">
        <v>18</v>
      </c>
      <c r="D392" s="875" t="s">
        <v>19</v>
      </c>
      <c r="E392" s="256"/>
      <c r="F392" s="256"/>
      <c r="G392" s="259"/>
      <c r="H392" s="260" t="s">
        <v>14</v>
      </c>
      <c r="I392" s="261"/>
      <c r="J392" s="261"/>
      <c r="K392" s="85"/>
      <c r="L392" s="389">
        <f>L393+L394</f>
        <v>0</v>
      </c>
      <c r="M392" s="262">
        <f>M393+M394</f>
        <v>0</v>
      </c>
      <c r="N392" s="262">
        <f>N393+N394</f>
        <v>0</v>
      </c>
      <c r="O392" s="262">
        <f t="shared" ref="O392:O400" si="106">IF(L392&gt;0,N392*100/L392,0)</f>
        <v>0</v>
      </c>
      <c r="P392" s="262">
        <f t="shared" ref="P392:P400" si="107">IF(M392&gt;0,N392*100/M392,0)</f>
        <v>0</v>
      </c>
      <c r="Q392" s="262">
        <f ca="1">Q393+Q394</f>
        <v>0</v>
      </c>
      <c r="R392" s="262">
        <f ca="1">R393+R394</f>
        <v>0</v>
      </c>
      <c r="S392" s="262">
        <f ca="1">S393+S394</f>
        <v>0</v>
      </c>
      <c r="T392" s="262">
        <f t="shared" ref="T392:T400" ca="1" si="108">IF(Q392&gt;0,S392*100/Q392,0)</f>
        <v>0</v>
      </c>
      <c r="U392" s="262">
        <f t="shared" ref="U392:U400" ca="1" si="109">IF(R392&gt;0,S392*100/R392,0)</f>
        <v>0</v>
      </c>
    </row>
    <row r="393" spans="1:21" ht="18.75" hidden="1" x14ac:dyDescent="0.25">
      <c r="A393" s="255"/>
      <c r="B393" s="267"/>
      <c r="C393" s="267"/>
      <c r="D393" s="267"/>
      <c r="E393" s="263" t="s">
        <v>20</v>
      </c>
      <c r="F393" s="256"/>
      <c r="G393" s="259"/>
      <c r="H393" s="264" t="s">
        <v>14</v>
      </c>
      <c r="I393" s="261"/>
      <c r="J393" s="261"/>
      <c r="K393" s="85"/>
      <c r="L393" s="74">
        <f t="shared" ref="L393:N394" si="110">L396+L399</f>
        <v>0</v>
      </c>
      <c r="M393" s="75">
        <f t="shared" si="110"/>
        <v>0</v>
      </c>
      <c r="N393" s="75">
        <f t="shared" si="110"/>
        <v>0</v>
      </c>
      <c r="O393" s="75">
        <f t="shared" si="106"/>
        <v>0</v>
      </c>
      <c r="P393" s="75">
        <f t="shared" si="107"/>
        <v>0</v>
      </c>
      <c r="Q393" s="75">
        <f t="shared" ref="Q393:S394" si="111">Q396+Q399</f>
        <v>0</v>
      </c>
      <c r="R393" s="75">
        <f t="shared" si="111"/>
        <v>0</v>
      </c>
      <c r="S393" s="75">
        <f t="shared" si="111"/>
        <v>0</v>
      </c>
      <c r="T393" s="75">
        <f t="shared" si="108"/>
        <v>0</v>
      </c>
      <c r="U393" s="75">
        <f t="shared" si="109"/>
        <v>0</v>
      </c>
    </row>
    <row r="394" spans="1:21" ht="18.75" hidden="1" x14ac:dyDescent="0.25">
      <c r="A394" s="255"/>
      <c r="B394" s="267"/>
      <c r="C394" s="267"/>
      <c r="D394" s="267"/>
      <c r="E394" s="265" t="s">
        <v>21</v>
      </c>
      <c r="F394" s="256"/>
      <c r="G394" s="259"/>
      <c r="H394" s="266" t="s">
        <v>14</v>
      </c>
      <c r="I394" s="261"/>
      <c r="J394" s="261"/>
      <c r="K394" s="85"/>
      <c r="L394" s="71">
        <f t="shared" si="110"/>
        <v>0</v>
      </c>
      <c r="M394" s="72">
        <f t="shared" si="110"/>
        <v>0</v>
      </c>
      <c r="N394" s="72">
        <f t="shared" si="110"/>
        <v>0</v>
      </c>
      <c r="O394" s="72">
        <f t="shared" si="106"/>
        <v>0</v>
      </c>
      <c r="P394" s="72">
        <f t="shared" si="107"/>
        <v>0</v>
      </c>
      <c r="Q394" s="72">
        <f t="shared" ca="1" si="111"/>
        <v>0</v>
      </c>
      <c r="R394" s="72">
        <f t="shared" ca="1" si="111"/>
        <v>0</v>
      </c>
      <c r="S394" s="72">
        <f t="shared" ca="1" si="111"/>
        <v>0</v>
      </c>
      <c r="T394" s="72">
        <f t="shared" ca="1" si="108"/>
        <v>0</v>
      </c>
      <c r="U394" s="72">
        <f t="shared" ca="1" si="109"/>
        <v>0</v>
      </c>
    </row>
    <row r="395" spans="1:21" ht="18.75" hidden="1" x14ac:dyDescent="0.25">
      <c r="A395" s="255"/>
      <c r="B395" s="267"/>
      <c r="C395" s="267"/>
      <c r="D395" s="852" t="s">
        <v>22</v>
      </c>
      <c r="E395" s="256"/>
      <c r="F395" s="256"/>
      <c r="G395" s="259"/>
      <c r="H395" s="269" t="s">
        <v>14</v>
      </c>
      <c r="I395" s="270"/>
      <c r="J395" s="270"/>
      <c r="K395" s="227"/>
      <c r="L395" s="71">
        <f>L396+L397</f>
        <v>0</v>
      </c>
      <c r="M395" s="72">
        <f>M396+M397</f>
        <v>0</v>
      </c>
      <c r="N395" s="72">
        <f>N396+N397</f>
        <v>0</v>
      </c>
      <c r="O395" s="72">
        <f t="shared" si="106"/>
        <v>0</v>
      </c>
      <c r="P395" s="72">
        <f t="shared" si="107"/>
        <v>0</v>
      </c>
      <c r="Q395" s="72">
        <f ca="1">Q396+Q397</f>
        <v>0</v>
      </c>
      <c r="R395" s="72">
        <f ca="1">R396+R397</f>
        <v>0</v>
      </c>
      <c r="S395" s="72">
        <f ca="1">S396+S397</f>
        <v>0</v>
      </c>
      <c r="T395" s="72">
        <f t="shared" ca="1" si="108"/>
        <v>0</v>
      </c>
      <c r="U395" s="72">
        <f t="shared" ca="1" si="109"/>
        <v>0</v>
      </c>
    </row>
    <row r="396" spans="1:21" ht="18.75" hidden="1" x14ac:dyDescent="0.25">
      <c r="A396" s="255"/>
      <c r="B396" s="267"/>
      <c r="C396" s="267"/>
      <c r="D396" s="267"/>
      <c r="E396" s="263" t="s">
        <v>36</v>
      </c>
      <c r="F396" s="256"/>
      <c r="G396" s="259"/>
      <c r="H396" s="271" t="s">
        <v>14</v>
      </c>
      <c r="I396" s="270"/>
      <c r="J396" s="270"/>
      <c r="K396" s="227"/>
      <c r="L396" s="74">
        <v>0</v>
      </c>
      <c r="M396" s="75">
        <v>0</v>
      </c>
      <c r="N396" s="75">
        <v>0</v>
      </c>
      <c r="O396" s="75">
        <f t="shared" si="106"/>
        <v>0</v>
      </c>
      <c r="P396" s="75">
        <f t="shared" si="107"/>
        <v>0</v>
      </c>
      <c r="Q396" s="75">
        <v>0</v>
      </c>
      <c r="R396" s="75">
        <v>0</v>
      </c>
      <c r="S396" s="75">
        <v>0</v>
      </c>
      <c r="T396" s="75">
        <f t="shared" si="108"/>
        <v>0</v>
      </c>
      <c r="U396" s="75">
        <f t="shared" si="109"/>
        <v>0</v>
      </c>
    </row>
    <row r="397" spans="1:21" ht="18.75" hidden="1" x14ac:dyDescent="0.25">
      <c r="A397" s="255"/>
      <c r="B397" s="267"/>
      <c r="C397" s="267"/>
      <c r="D397" s="267"/>
      <c r="E397" s="567" t="s">
        <v>37</v>
      </c>
      <c r="F397" s="267"/>
      <c r="G397" s="307"/>
      <c r="H397" s="269" t="s">
        <v>14</v>
      </c>
      <c r="I397" s="270"/>
      <c r="J397" s="270"/>
      <c r="K397" s="227"/>
      <c r="L397" s="71">
        <v>0</v>
      </c>
      <c r="M397" s="72">
        <v>0</v>
      </c>
      <c r="N397" s="72">
        <v>0</v>
      </c>
      <c r="O397" s="72">
        <f t="shared" si="106"/>
        <v>0</v>
      </c>
      <c r="P397" s="72">
        <f t="shared" si="107"/>
        <v>0</v>
      </c>
      <c r="Q397" s="72">
        <f ca="1">IFERROR(__xludf.DUMMYFUNCTION("IMPORTRANGE(""https://docs.google.com/spreadsheets/d/1ItG2mGa2ceCfYo0BwxsXqNm01IGEUdYcSSLTEv9YCik/edit?usp=sharing"",""เบิกจ่ายกองทุน!CL60"")"),0)</f>
        <v>0</v>
      </c>
      <c r="R397" s="72">
        <f ca="1">IFERROR(__xludf.DUMMYFUNCTION("IMPORTRANGE(""https://docs.google.com/spreadsheets/d/1ItG2mGa2ceCfYo0BwxsXqNm01IGEUdYcSSLTEv9YCik/edit?usp=sharing"",""เบิกจ่ายกองทุน!CM60"")"),0)</f>
        <v>0</v>
      </c>
      <c r="S397" s="72">
        <f ca="1">IFERROR(__xludf.DUMMYFUNCTION("IMPORTRANGE(""https://docs.google.com/spreadsheets/d/1ItG2mGa2ceCfYo0BwxsXqNm01IGEUdYcSSLTEv9YCik/edit?usp=sharing"",""เบิกจ่ายกองทุน!CN60"")"),0)</f>
        <v>0</v>
      </c>
      <c r="T397" s="72">
        <f t="shared" ca="1" si="108"/>
        <v>0</v>
      </c>
      <c r="U397" s="72">
        <f t="shared" ca="1" si="109"/>
        <v>0</v>
      </c>
    </row>
    <row r="398" spans="1:21" ht="18.75" hidden="1" x14ac:dyDescent="0.25">
      <c r="A398" s="255"/>
      <c r="B398" s="267"/>
      <c r="C398" s="267"/>
      <c r="D398" s="852" t="s">
        <v>23</v>
      </c>
      <c r="E398" s="256"/>
      <c r="F398" s="256"/>
      <c r="G398" s="259"/>
      <c r="H398" s="273" t="s">
        <v>14</v>
      </c>
      <c r="I398" s="270"/>
      <c r="J398" s="270"/>
      <c r="K398" s="227"/>
      <c r="L398" s="71">
        <f>L399+L400</f>
        <v>0</v>
      </c>
      <c r="M398" s="72">
        <f>M399+M400</f>
        <v>0</v>
      </c>
      <c r="N398" s="72">
        <f>N399+N400</f>
        <v>0</v>
      </c>
      <c r="O398" s="72">
        <f t="shared" si="106"/>
        <v>0</v>
      </c>
      <c r="P398" s="72">
        <f t="shared" si="107"/>
        <v>0</v>
      </c>
      <c r="Q398" s="72">
        <f>Q399+Q400</f>
        <v>0</v>
      </c>
      <c r="R398" s="72">
        <f>R399+R400</f>
        <v>0</v>
      </c>
      <c r="S398" s="72">
        <f>S399+S400</f>
        <v>0</v>
      </c>
      <c r="T398" s="72">
        <f t="shared" si="108"/>
        <v>0</v>
      </c>
      <c r="U398" s="72">
        <f t="shared" si="109"/>
        <v>0</v>
      </c>
    </row>
    <row r="399" spans="1:21" ht="18.75" hidden="1" x14ac:dyDescent="0.25">
      <c r="A399" s="255"/>
      <c r="B399" s="267"/>
      <c r="C399" s="267"/>
      <c r="D399" s="267"/>
      <c r="E399" s="263" t="s">
        <v>20</v>
      </c>
      <c r="F399" s="256"/>
      <c r="G399" s="259"/>
      <c r="H399" s="271" t="s">
        <v>14</v>
      </c>
      <c r="I399" s="270"/>
      <c r="J399" s="270"/>
      <c r="K399" s="227"/>
      <c r="L399" s="74">
        <v>0</v>
      </c>
      <c r="M399" s="75">
        <v>0</v>
      </c>
      <c r="N399" s="75">
        <v>0</v>
      </c>
      <c r="O399" s="75">
        <f t="shared" si="106"/>
        <v>0</v>
      </c>
      <c r="P399" s="75">
        <f t="shared" si="107"/>
        <v>0</v>
      </c>
      <c r="Q399" s="75">
        <v>0</v>
      </c>
      <c r="R399" s="75">
        <v>0</v>
      </c>
      <c r="S399" s="75">
        <v>0</v>
      </c>
      <c r="T399" s="75">
        <f t="shared" si="108"/>
        <v>0</v>
      </c>
      <c r="U399" s="75">
        <f t="shared" si="109"/>
        <v>0</v>
      </c>
    </row>
    <row r="400" spans="1:21" ht="18.75" hidden="1" x14ac:dyDescent="0.25">
      <c r="A400" s="255"/>
      <c r="B400" s="267"/>
      <c r="C400" s="267"/>
      <c r="D400" s="267"/>
      <c r="E400" s="265" t="s">
        <v>21</v>
      </c>
      <c r="F400" s="256"/>
      <c r="G400" s="259"/>
      <c r="H400" s="273" t="s">
        <v>14</v>
      </c>
      <c r="I400" s="270"/>
      <c r="J400" s="270"/>
      <c r="K400" s="227"/>
      <c r="L400" s="71">
        <v>0</v>
      </c>
      <c r="M400" s="72">
        <v>0</v>
      </c>
      <c r="N400" s="72">
        <v>0</v>
      </c>
      <c r="O400" s="72">
        <f t="shared" si="106"/>
        <v>0</v>
      </c>
      <c r="P400" s="72">
        <f t="shared" si="107"/>
        <v>0</v>
      </c>
      <c r="Q400" s="72">
        <v>0</v>
      </c>
      <c r="R400" s="72">
        <v>0</v>
      </c>
      <c r="S400" s="72">
        <v>0</v>
      </c>
      <c r="T400" s="72">
        <f t="shared" si="108"/>
        <v>0</v>
      </c>
      <c r="U400" s="72">
        <f t="shared" si="109"/>
        <v>0</v>
      </c>
    </row>
    <row r="401" spans="1:21" ht="19.5" hidden="1" x14ac:dyDescent="0.3">
      <c r="A401" s="274"/>
      <c r="B401" s="275"/>
      <c r="C401" s="276" t="s">
        <v>18</v>
      </c>
      <c r="D401" s="797" t="s">
        <v>38</v>
      </c>
      <c r="E401" s="278"/>
      <c r="F401" s="278"/>
      <c r="G401" s="279"/>
      <c r="H401" s="305"/>
      <c r="I401" s="270"/>
      <c r="J401" s="261"/>
      <c r="K401" s="85"/>
      <c r="L401" s="84"/>
      <c r="M401" s="85"/>
      <c r="N401" s="85"/>
      <c r="O401" s="227"/>
      <c r="P401" s="227"/>
      <c r="Q401" s="85"/>
      <c r="R401" s="85"/>
      <c r="S401" s="85"/>
      <c r="T401" s="227"/>
      <c r="U401" s="227"/>
    </row>
    <row r="402" spans="1:21" ht="12.75" hidden="1" x14ac:dyDescent="0.2">
      <c r="A402" s="590"/>
      <c r="B402" s="571"/>
      <c r="C402" s="571"/>
      <c r="D402" s="571"/>
      <c r="E402" s="591"/>
      <c r="F402" s="591"/>
      <c r="G402" s="592"/>
      <c r="H402" s="572"/>
      <c r="I402" s="573"/>
      <c r="J402" s="573"/>
      <c r="K402" s="574"/>
      <c r="L402" s="575"/>
      <c r="M402" s="574"/>
      <c r="N402" s="574"/>
      <c r="O402" s="574"/>
      <c r="P402" s="574"/>
      <c r="Q402" s="574"/>
      <c r="R402" s="574"/>
      <c r="S402" s="574"/>
      <c r="T402" s="574"/>
      <c r="U402" s="574"/>
    </row>
    <row r="403" spans="1:21" ht="12.75" hidden="1" x14ac:dyDescent="0.2">
      <c r="A403" s="590"/>
      <c r="B403" s="571"/>
      <c r="C403" s="571"/>
      <c r="D403" s="571"/>
      <c r="E403" s="571"/>
      <c r="F403" s="571"/>
      <c r="G403" s="572"/>
      <c r="H403" s="572"/>
      <c r="I403" s="573"/>
      <c r="J403" s="573"/>
      <c r="K403" s="574"/>
      <c r="L403" s="575"/>
      <c r="M403" s="574"/>
      <c r="N403" s="574"/>
      <c r="O403" s="574"/>
      <c r="P403" s="574"/>
      <c r="Q403" s="574"/>
      <c r="R403" s="574"/>
      <c r="S403" s="574"/>
      <c r="T403" s="574"/>
      <c r="U403" s="574"/>
    </row>
    <row r="404" spans="1:21" ht="12.75" hidden="1" x14ac:dyDescent="0.2">
      <c r="A404" s="590"/>
      <c r="B404" s="571"/>
      <c r="C404" s="571"/>
      <c r="D404" s="571"/>
      <c r="E404" s="571"/>
      <c r="F404" s="571"/>
      <c r="G404" s="572"/>
      <c r="H404" s="572"/>
      <c r="I404" s="573"/>
      <c r="J404" s="573"/>
      <c r="K404" s="574"/>
      <c r="L404" s="575"/>
      <c r="M404" s="574"/>
      <c r="N404" s="574"/>
      <c r="O404" s="574"/>
      <c r="P404" s="574"/>
      <c r="Q404" s="574"/>
      <c r="R404" s="574"/>
      <c r="S404" s="574"/>
      <c r="T404" s="574"/>
      <c r="U404" s="574"/>
    </row>
    <row r="405" spans="1:21" ht="12.75" hidden="1" x14ac:dyDescent="0.2">
      <c r="A405" s="590"/>
      <c r="B405" s="571"/>
      <c r="C405" s="571"/>
      <c r="D405" s="571"/>
      <c r="E405" s="571"/>
      <c r="F405" s="571"/>
      <c r="G405" s="572"/>
      <c r="H405" s="572"/>
      <c r="I405" s="573"/>
      <c r="J405" s="573"/>
      <c r="K405" s="574"/>
      <c r="L405" s="575"/>
      <c r="M405" s="574"/>
      <c r="N405" s="574"/>
      <c r="O405" s="574"/>
      <c r="P405" s="574"/>
      <c r="Q405" s="574"/>
      <c r="R405" s="574"/>
      <c r="S405" s="574"/>
      <c r="T405" s="574"/>
      <c r="U405" s="574"/>
    </row>
    <row r="406" spans="1:21" ht="12.75" hidden="1" x14ac:dyDescent="0.2">
      <c r="A406" s="590"/>
      <c r="B406" s="571"/>
      <c r="C406" s="571"/>
      <c r="D406" s="571"/>
      <c r="E406" s="571"/>
      <c r="F406" s="571"/>
      <c r="G406" s="572"/>
      <c r="H406" s="572"/>
      <c r="I406" s="573"/>
      <c r="J406" s="573"/>
      <c r="K406" s="574"/>
      <c r="L406" s="575"/>
      <c r="M406" s="574"/>
      <c r="N406" s="574"/>
      <c r="O406" s="574"/>
      <c r="P406" s="574"/>
      <c r="Q406" s="574"/>
      <c r="R406" s="574"/>
      <c r="S406" s="574"/>
      <c r="T406" s="574"/>
      <c r="U406" s="574"/>
    </row>
    <row r="407" spans="1:21" ht="12.75" hidden="1" x14ac:dyDescent="0.2">
      <c r="A407" s="590"/>
      <c r="B407" s="571"/>
      <c r="C407" s="571"/>
      <c r="D407" s="571"/>
      <c r="E407" s="571"/>
      <c r="F407" s="571"/>
      <c r="G407" s="572"/>
      <c r="H407" s="572"/>
      <c r="I407" s="573"/>
      <c r="J407" s="573"/>
      <c r="K407" s="574"/>
      <c r="L407" s="575"/>
      <c r="M407" s="574"/>
      <c r="N407" s="574"/>
      <c r="O407" s="574"/>
      <c r="P407" s="574"/>
      <c r="Q407" s="574"/>
      <c r="R407" s="574"/>
      <c r="S407" s="574"/>
      <c r="T407" s="574"/>
      <c r="U407" s="574"/>
    </row>
    <row r="408" spans="1:21" ht="12.75" hidden="1" x14ac:dyDescent="0.2">
      <c r="A408" s="590"/>
      <c r="B408" s="571"/>
      <c r="C408" s="571"/>
      <c r="D408" s="571"/>
      <c r="E408" s="571"/>
      <c r="F408" s="571"/>
      <c r="G408" s="572"/>
      <c r="H408" s="572"/>
      <c r="I408" s="573"/>
      <c r="J408" s="573"/>
      <c r="K408" s="574"/>
      <c r="L408" s="575"/>
      <c r="M408" s="574"/>
      <c r="N408" s="574"/>
      <c r="O408" s="574"/>
      <c r="P408" s="574"/>
      <c r="Q408" s="574"/>
      <c r="R408" s="574"/>
      <c r="S408" s="574"/>
      <c r="T408" s="574"/>
      <c r="U408" s="574"/>
    </row>
    <row r="409" spans="1:21" ht="12.75" hidden="1" x14ac:dyDescent="0.2">
      <c r="A409" s="590"/>
      <c r="B409" s="571"/>
      <c r="C409" s="571"/>
      <c r="D409" s="571"/>
      <c r="E409" s="571"/>
      <c r="F409" s="571"/>
      <c r="G409" s="572"/>
      <c r="H409" s="572"/>
      <c r="I409" s="573"/>
      <c r="J409" s="573"/>
      <c r="K409" s="574"/>
      <c r="L409" s="575"/>
      <c r="M409" s="574"/>
      <c r="N409" s="574"/>
      <c r="O409" s="574"/>
      <c r="P409" s="574"/>
      <c r="Q409" s="574"/>
      <c r="R409" s="574"/>
      <c r="S409" s="574"/>
      <c r="T409" s="574"/>
      <c r="U409" s="574"/>
    </row>
    <row r="410" spans="1:21" ht="12.75" hidden="1" x14ac:dyDescent="0.2">
      <c r="A410" s="590"/>
      <c r="B410" s="571"/>
      <c r="C410" s="571"/>
      <c r="D410" s="571"/>
      <c r="E410" s="571"/>
      <c r="F410" s="571"/>
      <c r="G410" s="572"/>
      <c r="H410" s="572"/>
      <c r="I410" s="573"/>
      <c r="J410" s="573"/>
      <c r="K410" s="574"/>
      <c r="L410" s="575"/>
      <c r="M410" s="574"/>
      <c r="N410" s="574"/>
      <c r="O410" s="574"/>
      <c r="P410" s="574"/>
      <c r="Q410" s="574"/>
      <c r="R410" s="574"/>
      <c r="S410" s="574"/>
      <c r="T410" s="574"/>
      <c r="U410" s="574"/>
    </row>
    <row r="411" spans="1:21" ht="12.75" hidden="1" x14ac:dyDescent="0.2">
      <c r="A411" s="657"/>
      <c r="B411" s="576"/>
      <c r="C411" s="576"/>
      <c r="D411" s="576"/>
      <c r="E411" s="576"/>
      <c r="F411" s="576"/>
      <c r="G411" s="577"/>
      <c r="H411" s="577"/>
      <c r="I411" s="578"/>
      <c r="J411" s="578"/>
      <c r="K411" s="579"/>
      <c r="L411" s="580"/>
      <c r="M411" s="579"/>
      <c r="N411" s="579"/>
      <c r="O411" s="579"/>
      <c r="P411" s="579"/>
      <c r="Q411" s="579"/>
      <c r="R411" s="579"/>
      <c r="S411" s="579"/>
      <c r="T411" s="579"/>
      <c r="U411" s="579"/>
    </row>
    <row r="412" spans="1:21" ht="19.5" hidden="1" x14ac:dyDescent="0.3">
      <c r="A412" s="876"/>
      <c r="B412" s="582" t="s">
        <v>158</v>
      </c>
      <c r="C412" s="584"/>
      <c r="D412" s="584"/>
      <c r="E412" s="584"/>
      <c r="F412" s="584"/>
      <c r="G412" s="593"/>
      <c r="H412" s="594" t="s">
        <v>46</v>
      </c>
      <c r="I412" s="595">
        <f ca="1">I423</f>
        <v>0</v>
      </c>
      <c r="J412" s="595">
        <f>J423</f>
        <v>0</v>
      </c>
      <c r="K412" s="589">
        <f ca="1">IF(I412&gt;0,J412*100/I412,0)</f>
        <v>0</v>
      </c>
      <c r="L412" s="509"/>
      <c r="M412" s="510"/>
      <c r="N412" s="510"/>
      <c r="O412" s="510"/>
      <c r="P412" s="510"/>
      <c r="Q412" s="510"/>
      <c r="R412" s="510"/>
      <c r="S412" s="510"/>
      <c r="T412" s="510"/>
      <c r="U412" s="510"/>
    </row>
    <row r="413" spans="1:21" ht="19.5" hidden="1" x14ac:dyDescent="0.3">
      <c r="A413" s="255"/>
      <c r="B413" s="267"/>
      <c r="C413" s="596" t="s">
        <v>18</v>
      </c>
      <c r="D413" s="1449" t="s">
        <v>19</v>
      </c>
      <c r="E413" s="1411"/>
      <c r="F413" s="1411"/>
      <c r="G413" s="1412"/>
      <c r="H413" s="597" t="s">
        <v>14</v>
      </c>
      <c r="I413" s="261"/>
      <c r="J413" s="261"/>
      <c r="K413" s="85"/>
      <c r="L413" s="389">
        <f ca="1">L414+L415</f>
        <v>0</v>
      </c>
      <c r="M413" s="262">
        <f ca="1">M414+M415</f>
        <v>0</v>
      </c>
      <c r="N413" s="262">
        <f ca="1">N414+N415</f>
        <v>0</v>
      </c>
      <c r="O413" s="262">
        <f t="shared" ref="O413:O421" ca="1" si="112">IF(L413&gt;0,N413*100/L413,0)</f>
        <v>0</v>
      </c>
      <c r="P413" s="262">
        <f t="shared" ref="P413:P421" ca="1" si="113">IF(M413&gt;0,N413*100/M413,0)</f>
        <v>0</v>
      </c>
      <c r="Q413" s="262">
        <f ca="1">Q414+Q415</f>
        <v>0</v>
      </c>
      <c r="R413" s="262">
        <f ca="1">R414+R415</f>
        <v>0</v>
      </c>
      <c r="S413" s="262">
        <f ca="1">S414+S415</f>
        <v>0</v>
      </c>
      <c r="T413" s="262">
        <f t="shared" ref="T413:T421" ca="1" si="114">IF(Q413&gt;0,S413*100/Q413,0)</f>
        <v>0</v>
      </c>
      <c r="U413" s="262">
        <f t="shared" ref="U413:U421" ca="1" si="115">IF(R413&gt;0,S413*100/R413,0)</f>
        <v>0</v>
      </c>
    </row>
    <row r="414" spans="1:21" ht="18.75" hidden="1" x14ac:dyDescent="0.25">
      <c r="A414" s="255"/>
      <c r="B414" s="267"/>
      <c r="C414" s="267"/>
      <c r="D414" s="267"/>
      <c r="E414" s="569" t="s">
        <v>159</v>
      </c>
      <c r="F414" s="267"/>
      <c r="G414" s="307"/>
      <c r="H414" s="303" t="s">
        <v>14</v>
      </c>
      <c r="I414" s="261"/>
      <c r="J414" s="261"/>
      <c r="K414" s="85"/>
      <c r="L414" s="74">
        <f t="shared" ref="L414:N415" si="116">L417+L420</f>
        <v>0</v>
      </c>
      <c r="M414" s="75">
        <f t="shared" si="116"/>
        <v>0</v>
      </c>
      <c r="N414" s="75">
        <f t="shared" si="116"/>
        <v>0</v>
      </c>
      <c r="O414" s="75">
        <f t="shared" si="112"/>
        <v>0</v>
      </c>
      <c r="P414" s="75">
        <f t="shared" si="113"/>
        <v>0</v>
      </c>
      <c r="Q414" s="75">
        <f t="shared" ref="Q414:S415" si="117">Q417+Q420</f>
        <v>0</v>
      </c>
      <c r="R414" s="75">
        <f t="shared" si="117"/>
        <v>0</v>
      </c>
      <c r="S414" s="75">
        <f t="shared" si="117"/>
        <v>0</v>
      </c>
      <c r="T414" s="75">
        <f t="shared" si="114"/>
        <v>0</v>
      </c>
      <c r="U414" s="75">
        <f t="shared" si="115"/>
        <v>0</v>
      </c>
    </row>
    <row r="415" spans="1:21" ht="18.75" hidden="1" x14ac:dyDescent="0.25">
      <c r="A415" s="255"/>
      <c r="B415" s="267"/>
      <c r="C415" s="267"/>
      <c r="D415" s="267"/>
      <c r="E415" s="567" t="s">
        <v>160</v>
      </c>
      <c r="F415" s="267"/>
      <c r="G415" s="307"/>
      <c r="H415" s="302" t="s">
        <v>14</v>
      </c>
      <c r="I415" s="261"/>
      <c r="J415" s="261"/>
      <c r="K415" s="85"/>
      <c r="L415" s="71">
        <f t="shared" ca="1" si="116"/>
        <v>0</v>
      </c>
      <c r="M415" s="72">
        <f t="shared" ca="1" si="116"/>
        <v>0</v>
      </c>
      <c r="N415" s="72">
        <f t="shared" ca="1" si="116"/>
        <v>0</v>
      </c>
      <c r="O415" s="72">
        <f t="shared" ca="1" si="112"/>
        <v>0</v>
      </c>
      <c r="P415" s="72">
        <f t="shared" ca="1" si="113"/>
        <v>0</v>
      </c>
      <c r="Q415" s="72">
        <f t="shared" ca="1" si="117"/>
        <v>0</v>
      </c>
      <c r="R415" s="72">
        <f t="shared" ca="1" si="117"/>
        <v>0</v>
      </c>
      <c r="S415" s="72">
        <f t="shared" ca="1" si="117"/>
        <v>0</v>
      </c>
      <c r="T415" s="72">
        <f t="shared" ca="1" si="114"/>
        <v>0</v>
      </c>
      <c r="U415" s="72">
        <f t="shared" ca="1" si="115"/>
        <v>0</v>
      </c>
    </row>
    <row r="416" spans="1:21" ht="19.5" hidden="1" x14ac:dyDescent="0.3">
      <c r="A416" s="255"/>
      <c r="B416" s="267"/>
      <c r="C416" s="267"/>
      <c r="D416" s="875" t="s">
        <v>22</v>
      </c>
      <c r="E416" s="267"/>
      <c r="F416" s="267"/>
      <c r="G416" s="307"/>
      <c r="H416" s="597" t="s">
        <v>14</v>
      </c>
      <c r="I416" s="261"/>
      <c r="J416" s="261"/>
      <c r="K416" s="85"/>
      <c r="L416" s="71">
        <f ca="1">L417+L418</f>
        <v>0</v>
      </c>
      <c r="M416" s="72">
        <f ca="1">M417+M418</f>
        <v>0</v>
      </c>
      <c r="N416" s="72">
        <f ca="1">N417+N418</f>
        <v>0</v>
      </c>
      <c r="O416" s="72">
        <f t="shared" ca="1" si="112"/>
        <v>0</v>
      </c>
      <c r="P416" s="72">
        <f t="shared" ca="1" si="113"/>
        <v>0</v>
      </c>
      <c r="Q416" s="72">
        <f ca="1">Q417+Q418</f>
        <v>0</v>
      </c>
      <c r="R416" s="72">
        <f ca="1">R417+R418</f>
        <v>0</v>
      </c>
      <c r="S416" s="72">
        <f ca="1">S417+S418</f>
        <v>0</v>
      </c>
      <c r="T416" s="72">
        <f t="shared" ca="1" si="114"/>
        <v>0</v>
      </c>
      <c r="U416" s="72">
        <f t="shared" ca="1" si="115"/>
        <v>0</v>
      </c>
    </row>
    <row r="417" spans="1:21" ht="18.75" hidden="1" x14ac:dyDescent="0.25">
      <c r="A417" s="255"/>
      <c r="B417" s="267"/>
      <c r="C417" s="267"/>
      <c r="D417" s="267"/>
      <c r="E417" s="569" t="s">
        <v>159</v>
      </c>
      <c r="F417" s="267"/>
      <c r="G417" s="307"/>
      <c r="H417" s="303" t="s">
        <v>14</v>
      </c>
      <c r="I417" s="261"/>
      <c r="J417" s="261"/>
      <c r="K417" s="85"/>
      <c r="L417" s="74">
        <v>0</v>
      </c>
      <c r="M417" s="75">
        <v>0</v>
      </c>
      <c r="N417" s="75">
        <v>0</v>
      </c>
      <c r="O417" s="75">
        <f t="shared" si="112"/>
        <v>0</v>
      </c>
      <c r="P417" s="75">
        <f t="shared" si="113"/>
        <v>0</v>
      </c>
      <c r="Q417" s="75">
        <v>0</v>
      </c>
      <c r="R417" s="75">
        <v>0</v>
      </c>
      <c r="S417" s="75">
        <v>0</v>
      </c>
      <c r="T417" s="75">
        <f t="shared" si="114"/>
        <v>0</v>
      </c>
      <c r="U417" s="75">
        <f t="shared" si="115"/>
        <v>0</v>
      </c>
    </row>
    <row r="418" spans="1:21" ht="18.75" hidden="1" x14ac:dyDescent="0.25">
      <c r="A418" s="255"/>
      <c r="B418" s="267"/>
      <c r="C418" s="267"/>
      <c r="D418" s="267"/>
      <c r="E418" s="567" t="s">
        <v>160</v>
      </c>
      <c r="F418" s="267"/>
      <c r="G418" s="307"/>
      <c r="H418" s="302" t="s">
        <v>14</v>
      </c>
      <c r="I418" s="261"/>
      <c r="J418" s="261"/>
      <c r="K418" s="85"/>
      <c r="L418" s="71">
        <f ca="1">IFERROR(__xludf.DUMMYFUNCTION("IMPORTRANGE(""https://docs.google.com/spreadsheets/d/1-uDff_7J0KD5mKrp0Vvzr7lt3OU09vwQwhkpOPPYv2Y/edit?usp=sharing"",""งบพรบ!IO60"")"),0)</f>
        <v>0</v>
      </c>
      <c r="M418" s="72">
        <f ca="1">IFERROR(__xludf.DUMMYFUNCTION("IMPORTRANGE(""https://docs.google.com/spreadsheets/d/1-uDff_7J0KD5mKrp0Vvzr7lt3OU09vwQwhkpOPPYv2Y/edit?usp=sharing"",""งบพรบ!IT60"")"),0)</f>
        <v>0</v>
      </c>
      <c r="N418" s="72">
        <f ca="1">IFERROR(__xludf.DUMMYFUNCTION("IMPORTRANGE(""https://docs.google.com/spreadsheets/d/1-uDff_7J0KD5mKrp0Vvzr7lt3OU09vwQwhkpOPPYv2Y/edit?usp=sharing"",""งบพรบ!IV60"")"),0)</f>
        <v>0</v>
      </c>
      <c r="O418" s="72">
        <f t="shared" ca="1" si="112"/>
        <v>0</v>
      </c>
      <c r="P418" s="72">
        <f t="shared" ca="1" si="113"/>
        <v>0</v>
      </c>
      <c r="Q418" s="72">
        <f ca="1">IFERROR(__xludf.DUMMYFUNCTION("IMPORTRANGE(""https://docs.google.com/spreadsheets/d/1ItG2mGa2ceCfYo0BwxsXqNm01IGEUdYcSSLTEv9YCik/edit?usp=sharing"",""เบิกจ่ายกองทุน!BZ60"")"),0)</f>
        <v>0</v>
      </c>
      <c r="R418" s="72">
        <f ca="1">IFERROR(__xludf.DUMMYFUNCTION("IMPORTRANGE(""https://docs.google.com/spreadsheets/d/1ItG2mGa2ceCfYo0BwxsXqNm01IGEUdYcSSLTEv9YCik/edit?usp=sharing"",""เบิกจ่ายกองทุน!CA60"")"),0)</f>
        <v>0</v>
      </c>
      <c r="S418" s="72">
        <f ca="1">IFERROR(__xludf.DUMMYFUNCTION("IMPORTRANGE(""https://docs.google.com/spreadsheets/d/1ItG2mGa2ceCfYo0BwxsXqNm01IGEUdYcSSLTEv9YCik/edit?usp=sharing"",""เบิกจ่ายกองทุน!CB60"")"),0)</f>
        <v>0</v>
      </c>
      <c r="T418" s="72">
        <f t="shared" ca="1" si="114"/>
        <v>0</v>
      </c>
      <c r="U418" s="72">
        <f t="shared" ca="1" si="115"/>
        <v>0</v>
      </c>
    </row>
    <row r="419" spans="1:21" ht="19.5" hidden="1" x14ac:dyDescent="0.3">
      <c r="A419" s="255"/>
      <c r="B419" s="267"/>
      <c r="C419" s="267"/>
      <c r="D419" s="875" t="s">
        <v>23</v>
      </c>
      <c r="E419" s="267"/>
      <c r="F419" s="267"/>
      <c r="G419" s="307"/>
      <c r="H419" s="260" t="s">
        <v>14</v>
      </c>
      <c r="I419" s="261"/>
      <c r="J419" s="261"/>
      <c r="K419" s="85"/>
      <c r="L419" s="71">
        <f ca="1">L420+L421</f>
        <v>0</v>
      </c>
      <c r="M419" s="72">
        <f ca="1">M420+M421</f>
        <v>0</v>
      </c>
      <c r="N419" s="72">
        <f ca="1">N420+N421</f>
        <v>0</v>
      </c>
      <c r="O419" s="72">
        <f t="shared" ca="1" si="112"/>
        <v>0</v>
      </c>
      <c r="P419" s="72">
        <f t="shared" ca="1" si="113"/>
        <v>0</v>
      </c>
      <c r="Q419" s="72">
        <f>Q420+Q421</f>
        <v>0</v>
      </c>
      <c r="R419" s="72">
        <f>R420+R421</f>
        <v>0</v>
      </c>
      <c r="S419" s="72">
        <f>S420+S421</f>
        <v>0</v>
      </c>
      <c r="T419" s="72">
        <f t="shared" si="114"/>
        <v>0</v>
      </c>
      <c r="U419" s="72">
        <f t="shared" si="115"/>
        <v>0</v>
      </c>
    </row>
    <row r="420" spans="1:21" ht="18.75" hidden="1" x14ac:dyDescent="0.25">
      <c r="A420" s="255"/>
      <c r="B420" s="267"/>
      <c r="C420" s="267"/>
      <c r="D420" s="267"/>
      <c r="E420" s="569" t="s">
        <v>20</v>
      </c>
      <c r="F420" s="267"/>
      <c r="G420" s="307"/>
      <c r="H420" s="303" t="s">
        <v>14</v>
      </c>
      <c r="I420" s="261"/>
      <c r="J420" s="261"/>
      <c r="K420" s="85"/>
      <c r="L420" s="74">
        <v>0</v>
      </c>
      <c r="M420" s="75">
        <v>0</v>
      </c>
      <c r="N420" s="75">
        <v>0</v>
      </c>
      <c r="O420" s="75">
        <f t="shared" si="112"/>
        <v>0</v>
      </c>
      <c r="P420" s="75">
        <f t="shared" si="113"/>
        <v>0</v>
      </c>
      <c r="Q420" s="75">
        <v>0</v>
      </c>
      <c r="R420" s="75">
        <v>0</v>
      </c>
      <c r="S420" s="75">
        <v>0</v>
      </c>
      <c r="T420" s="75">
        <f t="shared" si="114"/>
        <v>0</v>
      </c>
      <c r="U420" s="75">
        <f t="shared" si="115"/>
        <v>0</v>
      </c>
    </row>
    <row r="421" spans="1:21" ht="18.75" hidden="1" x14ac:dyDescent="0.25">
      <c r="A421" s="255"/>
      <c r="B421" s="267"/>
      <c r="C421" s="267"/>
      <c r="D421" s="267"/>
      <c r="E421" s="567" t="s">
        <v>21</v>
      </c>
      <c r="F421" s="267"/>
      <c r="G421" s="307"/>
      <c r="H421" s="266" t="s">
        <v>14</v>
      </c>
      <c r="I421" s="261"/>
      <c r="J421" s="261"/>
      <c r="K421" s="85"/>
      <c r="L421" s="71">
        <f ca="1">IFERROR(__xludf.DUMMYFUNCTION("IMPORTRANGE(""https://docs.google.com/spreadsheets/d/1-uDff_7J0KD5mKrp0Vvzr7lt3OU09vwQwhkpOPPYv2Y/edit?usp=sharing"",""งบพรบ!IR60"")"),0)</f>
        <v>0</v>
      </c>
      <c r="M421" s="72">
        <f ca="1">IFERROR(__xludf.DUMMYFUNCTION("IMPORTRANGE(""https://docs.google.com/spreadsheets/d/1-uDff_7J0KD5mKrp0Vvzr7lt3OU09vwQwhkpOPPYv2Y/edit?usp=sharing"",""งบพรบ!IU60"")"),0)</f>
        <v>0</v>
      </c>
      <c r="N421" s="72">
        <f ca="1">IFERROR(__xludf.DUMMYFUNCTION("IMPORTRANGE(""https://docs.google.com/spreadsheets/d/1-uDff_7J0KD5mKrp0Vvzr7lt3OU09vwQwhkpOPPYv2Y/edit?usp=sharing"",""งบพรบ!IW60"")"),0)</f>
        <v>0</v>
      </c>
      <c r="O421" s="72">
        <f t="shared" ca="1" si="112"/>
        <v>0</v>
      </c>
      <c r="P421" s="72">
        <f t="shared" ca="1" si="113"/>
        <v>0</v>
      </c>
      <c r="Q421" s="72">
        <v>0</v>
      </c>
      <c r="R421" s="72">
        <v>0</v>
      </c>
      <c r="S421" s="72">
        <v>0</v>
      </c>
      <c r="T421" s="72">
        <f t="shared" si="114"/>
        <v>0</v>
      </c>
      <c r="U421" s="72">
        <f t="shared" si="115"/>
        <v>0</v>
      </c>
    </row>
    <row r="422" spans="1:21" ht="19.5" hidden="1" x14ac:dyDescent="0.3">
      <c r="A422" s="529"/>
      <c r="B422" s="267"/>
      <c r="C422" s="596" t="s">
        <v>18</v>
      </c>
      <c r="D422" s="874" t="s">
        <v>38</v>
      </c>
      <c r="E422" s="267"/>
      <c r="F422" s="267"/>
      <c r="G422" s="307"/>
      <c r="H422" s="307"/>
      <c r="I422" s="261"/>
      <c r="J422" s="261"/>
      <c r="K422" s="85"/>
      <c r="L422" s="84"/>
      <c r="M422" s="85"/>
      <c r="N422" s="85"/>
      <c r="O422" s="85"/>
      <c r="P422" s="85"/>
      <c r="Q422" s="85"/>
      <c r="R422" s="85"/>
      <c r="S422" s="85"/>
      <c r="T422" s="85"/>
      <c r="U422" s="85"/>
    </row>
    <row r="423" spans="1:21" ht="19.5" hidden="1" x14ac:dyDescent="0.3">
      <c r="A423" s="802"/>
      <c r="B423" s="715" t="s">
        <v>161</v>
      </c>
      <c r="C423" s="714"/>
      <c r="D423" s="714"/>
      <c r="E423" s="714"/>
      <c r="F423" s="714"/>
      <c r="G423" s="726"/>
      <c r="H423" s="871" t="s">
        <v>46</v>
      </c>
      <c r="I423" s="719">
        <f ca="1">I440</f>
        <v>0</v>
      </c>
      <c r="J423" s="873">
        <f>J440</f>
        <v>0</v>
      </c>
      <c r="K423" s="720">
        <f ca="1">IF(I423&gt;0,J423*100/I423,0)</f>
        <v>0</v>
      </c>
      <c r="L423" s="722"/>
      <c r="M423" s="721"/>
      <c r="N423" s="721"/>
      <c r="O423" s="721"/>
      <c r="P423" s="721"/>
      <c r="Q423" s="721"/>
      <c r="R423" s="721"/>
      <c r="S423" s="721"/>
      <c r="T423" s="721"/>
      <c r="U423" s="721"/>
    </row>
    <row r="424" spans="1:21" ht="19.5" hidden="1" x14ac:dyDescent="0.3">
      <c r="A424" s="529"/>
      <c r="B424" s="267"/>
      <c r="C424" s="276" t="s">
        <v>162</v>
      </c>
      <c r="D424" s="267"/>
      <c r="E424" s="267"/>
      <c r="F424" s="267"/>
      <c r="G424" s="307"/>
      <c r="H424" s="260" t="s">
        <v>46</v>
      </c>
      <c r="I424" s="601">
        <f ca="1">IFERROR(__xludf.DUMMYFUNCTION("IMPORTRANGE(""https://docs.google.com/spreadsheets/d/1eHaY18a8A9IcSdp1K8H6x8fbOy06t2VsZHhMHf-1x7Y/edit?usp=sharing"",""แผน!HJ60"")"),0)</f>
        <v>0</v>
      </c>
      <c r="J424" s="870">
        <f>J426+J428+J430</f>
        <v>0</v>
      </c>
      <c r="K424" s="262">
        <f ca="1">IF(I424&gt;0,J424*100/I424,0)</f>
        <v>0</v>
      </c>
      <c r="L424" s="84"/>
      <c r="M424" s="85"/>
      <c r="N424" s="85"/>
      <c r="O424" s="85"/>
      <c r="P424" s="85"/>
      <c r="Q424" s="85"/>
      <c r="R424" s="85"/>
      <c r="S424" s="85"/>
      <c r="T424" s="85"/>
      <c r="U424" s="85"/>
    </row>
    <row r="425" spans="1:21" ht="19.5" hidden="1" x14ac:dyDescent="0.3">
      <c r="A425" s="529"/>
      <c r="B425" s="267"/>
      <c r="C425" s="267"/>
      <c r="D425" s="267"/>
      <c r="E425" s="267"/>
      <c r="F425" s="267"/>
      <c r="G425" s="307"/>
      <c r="H425" s="260" t="s">
        <v>34</v>
      </c>
      <c r="I425" s="601">
        <f ca="1">IFERROR(__xludf.DUMMYFUNCTION("IMPORTRANGE(""https://docs.google.com/spreadsheets/d/1eHaY18a8A9IcSdp1K8H6x8fbOy06t2VsZHhMHf-1x7Y/edit?usp=sharing"",""แผน!HK60"")"),0)</f>
        <v>0</v>
      </c>
      <c r="J425" s="870">
        <f>J427+J429+J431</f>
        <v>0</v>
      </c>
      <c r="K425" s="262">
        <f ca="1">IF(I425&gt;0,J425*100/I425,0)</f>
        <v>0</v>
      </c>
      <c r="L425" s="84"/>
      <c r="M425" s="85"/>
      <c r="N425" s="85"/>
      <c r="O425" s="85"/>
      <c r="P425" s="85"/>
      <c r="Q425" s="85"/>
      <c r="R425" s="85"/>
      <c r="S425" s="85"/>
      <c r="T425" s="85"/>
      <c r="U425" s="85"/>
    </row>
    <row r="426" spans="1:21" ht="18.75" hidden="1" x14ac:dyDescent="0.25">
      <c r="A426" s="529"/>
      <c r="B426" s="267"/>
      <c r="C426" s="267"/>
      <c r="D426" s="567" t="s">
        <v>163</v>
      </c>
      <c r="E426" s="267"/>
      <c r="F426" s="267"/>
      <c r="G426" s="307"/>
      <c r="H426" s="266" t="s">
        <v>46</v>
      </c>
      <c r="I426" s="261"/>
      <c r="J426" s="854">
        <v>0</v>
      </c>
      <c r="K426" s="85"/>
      <c r="L426" s="84"/>
      <c r="M426" s="85"/>
      <c r="N426" s="85"/>
      <c r="O426" s="85"/>
      <c r="P426" s="85"/>
      <c r="Q426" s="85"/>
      <c r="R426" s="85"/>
      <c r="S426" s="85"/>
      <c r="T426" s="85"/>
      <c r="U426" s="85"/>
    </row>
    <row r="427" spans="1:21" ht="18.75" hidden="1" x14ac:dyDescent="0.25">
      <c r="A427" s="529"/>
      <c r="B427" s="267"/>
      <c r="C427" s="267"/>
      <c r="D427" s="267"/>
      <c r="E427" s="267"/>
      <c r="F427" s="267"/>
      <c r="G427" s="307"/>
      <c r="H427" s="266" t="s">
        <v>34</v>
      </c>
      <c r="I427" s="261"/>
      <c r="J427" s="854">
        <v>0</v>
      </c>
      <c r="K427" s="85"/>
      <c r="L427" s="84"/>
      <c r="M427" s="85"/>
      <c r="N427" s="85"/>
      <c r="O427" s="85"/>
      <c r="P427" s="85"/>
      <c r="Q427" s="85"/>
      <c r="R427" s="85"/>
      <c r="S427" s="85"/>
      <c r="T427" s="85"/>
      <c r="U427" s="85"/>
    </row>
    <row r="428" spans="1:21" ht="18.75" hidden="1" x14ac:dyDescent="0.25">
      <c r="A428" s="529"/>
      <c r="B428" s="267"/>
      <c r="C428" s="267"/>
      <c r="D428" s="567" t="s">
        <v>164</v>
      </c>
      <c r="E428" s="267"/>
      <c r="F428" s="267"/>
      <c r="G428" s="307"/>
      <c r="H428" s="266" t="s">
        <v>46</v>
      </c>
      <c r="I428" s="261"/>
      <c r="J428" s="854">
        <v>0</v>
      </c>
      <c r="K428" s="85"/>
      <c r="L428" s="84"/>
      <c r="M428" s="85"/>
      <c r="N428" s="85"/>
      <c r="O428" s="85"/>
      <c r="P428" s="85"/>
      <c r="Q428" s="85"/>
      <c r="R428" s="85"/>
      <c r="S428" s="85"/>
      <c r="T428" s="85"/>
      <c r="U428" s="85"/>
    </row>
    <row r="429" spans="1:21" ht="18.75" hidden="1" x14ac:dyDescent="0.25">
      <c r="A429" s="529"/>
      <c r="B429" s="267"/>
      <c r="C429" s="267"/>
      <c r="D429" s="267"/>
      <c r="E429" s="267"/>
      <c r="F429" s="267"/>
      <c r="G429" s="307"/>
      <c r="H429" s="266" t="s">
        <v>34</v>
      </c>
      <c r="I429" s="261"/>
      <c r="J429" s="854">
        <v>0</v>
      </c>
      <c r="K429" s="85"/>
      <c r="L429" s="84"/>
      <c r="M429" s="85"/>
      <c r="N429" s="85"/>
      <c r="O429" s="85"/>
      <c r="P429" s="85"/>
      <c r="Q429" s="85"/>
      <c r="R429" s="85"/>
      <c r="S429" s="85"/>
      <c r="T429" s="85"/>
      <c r="U429" s="85"/>
    </row>
    <row r="430" spans="1:21" ht="18.75" hidden="1" x14ac:dyDescent="0.25">
      <c r="A430" s="529"/>
      <c r="B430" s="267"/>
      <c r="C430" s="267"/>
      <c r="D430" s="567" t="s">
        <v>165</v>
      </c>
      <c r="E430" s="267"/>
      <c r="F430" s="267"/>
      <c r="G430" s="307"/>
      <c r="H430" s="266" t="s">
        <v>46</v>
      </c>
      <c r="I430" s="261"/>
      <c r="J430" s="854">
        <v>0</v>
      </c>
      <c r="K430" s="85"/>
      <c r="L430" s="84"/>
      <c r="M430" s="85"/>
      <c r="N430" s="85"/>
      <c r="O430" s="85"/>
      <c r="P430" s="85"/>
      <c r="Q430" s="85"/>
      <c r="R430" s="85"/>
      <c r="S430" s="85"/>
      <c r="T430" s="85"/>
      <c r="U430" s="85"/>
    </row>
    <row r="431" spans="1:21" ht="18.75" hidden="1" x14ac:dyDescent="0.25">
      <c r="A431" s="529"/>
      <c r="B431" s="267"/>
      <c r="C431" s="267"/>
      <c r="D431" s="267"/>
      <c r="E431" s="267"/>
      <c r="F431" s="267"/>
      <c r="G431" s="307"/>
      <c r="H431" s="266" t="s">
        <v>34</v>
      </c>
      <c r="I431" s="261"/>
      <c r="J431" s="854">
        <v>0</v>
      </c>
      <c r="K431" s="85"/>
      <c r="L431" s="84"/>
      <c r="M431" s="85"/>
      <c r="N431" s="85"/>
      <c r="O431" s="85"/>
      <c r="P431" s="85"/>
      <c r="Q431" s="85"/>
      <c r="R431" s="85"/>
      <c r="S431" s="85"/>
      <c r="T431" s="85"/>
      <c r="U431" s="85"/>
    </row>
    <row r="432" spans="1:21" ht="19.5" hidden="1" x14ac:dyDescent="0.3">
      <c r="A432" s="529"/>
      <c r="B432" s="267"/>
      <c r="C432" s="276" t="s">
        <v>166</v>
      </c>
      <c r="D432" s="267"/>
      <c r="E432" s="267"/>
      <c r="F432" s="267"/>
      <c r="G432" s="307"/>
      <c r="H432" s="260" t="s">
        <v>46</v>
      </c>
      <c r="I432" s="601">
        <f ca="1">IFERROR(__xludf.DUMMYFUNCTION("IMPORTRANGE(""https://docs.google.com/spreadsheets/d/1eHaY18a8A9IcSdp1K8H6x8fbOy06t2VsZHhMHf-1x7Y/edit?usp=sharing"",""แผน!HJ60"")"),0)</f>
        <v>0</v>
      </c>
      <c r="J432" s="870">
        <f>J434+J436+J438</f>
        <v>0</v>
      </c>
      <c r="K432" s="262">
        <f ca="1">IF(I432&gt;0,J432*100/I432,0)</f>
        <v>0</v>
      </c>
      <c r="L432" s="84"/>
      <c r="M432" s="85"/>
      <c r="N432" s="85"/>
      <c r="O432" s="85"/>
      <c r="P432" s="85"/>
      <c r="Q432" s="85"/>
      <c r="R432" s="85"/>
      <c r="S432" s="85"/>
      <c r="T432" s="85"/>
      <c r="U432" s="85"/>
    </row>
    <row r="433" spans="1:21" ht="19.5" hidden="1" x14ac:dyDescent="0.3">
      <c r="A433" s="529"/>
      <c r="B433" s="267"/>
      <c r="C433" s="267"/>
      <c r="D433" s="267"/>
      <c r="E433" s="267"/>
      <c r="F433" s="267"/>
      <c r="G433" s="307"/>
      <c r="H433" s="260" t="s">
        <v>34</v>
      </c>
      <c r="I433" s="601">
        <f ca="1">IFERROR(__xludf.DUMMYFUNCTION("IMPORTRANGE(""https://docs.google.com/spreadsheets/d/1eHaY18a8A9IcSdp1K8H6x8fbOy06t2VsZHhMHf-1x7Y/edit?usp=sharing"",""แผน!HK60"")"),0)</f>
        <v>0</v>
      </c>
      <c r="J433" s="870">
        <f>J435+J437+J439</f>
        <v>0</v>
      </c>
      <c r="K433" s="262">
        <f ca="1">IF(I433&gt;0,J433*100/I433,0)</f>
        <v>0</v>
      </c>
      <c r="L433" s="84"/>
      <c r="M433" s="85"/>
      <c r="N433" s="85"/>
      <c r="O433" s="85"/>
      <c r="P433" s="85"/>
      <c r="Q433" s="85"/>
      <c r="R433" s="85"/>
      <c r="S433" s="85"/>
      <c r="T433" s="85"/>
      <c r="U433" s="85"/>
    </row>
    <row r="434" spans="1:21" ht="18.75" hidden="1" x14ac:dyDescent="0.25">
      <c r="A434" s="529"/>
      <c r="B434" s="267"/>
      <c r="C434" s="267"/>
      <c r="D434" s="567" t="s">
        <v>167</v>
      </c>
      <c r="E434" s="267"/>
      <c r="F434" s="267"/>
      <c r="G434" s="307"/>
      <c r="H434" s="266" t="s">
        <v>46</v>
      </c>
      <c r="I434" s="261"/>
      <c r="J434" s="854">
        <v>0</v>
      </c>
      <c r="K434" s="85"/>
      <c r="L434" s="84"/>
      <c r="M434" s="85"/>
      <c r="N434" s="85"/>
      <c r="O434" s="85"/>
      <c r="P434" s="85"/>
      <c r="Q434" s="85"/>
      <c r="R434" s="85"/>
      <c r="S434" s="85"/>
      <c r="T434" s="85"/>
      <c r="U434" s="85"/>
    </row>
    <row r="435" spans="1:21" ht="18.75" hidden="1" x14ac:dyDescent="0.25">
      <c r="A435" s="529"/>
      <c r="B435" s="267"/>
      <c r="C435" s="267"/>
      <c r="D435" s="267"/>
      <c r="E435" s="267"/>
      <c r="F435" s="267"/>
      <c r="G435" s="307"/>
      <c r="H435" s="266" t="s">
        <v>34</v>
      </c>
      <c r="I435" s="261"/>
      <c r="J435" s="854">
        <v>0</v>
      </c>
      <c r="K435" s="85"/>
      <c r="L435" s="84"/>
      <c r="M435" s="85"/>
      <c r="N435" s="85"/>
      <c r="O435" s="85"/>
      <c r="P435" s="85"/>
      <c r="Q435" s="85"/>
      <c r="R435" s="85"/>
      <c r="S435" s="85"/>
      <c r="T435" s="85"/>
      <c r="U435" s="85"/>
    </row>
    <row r="436" spans="1:21" ht="18.75" hidden="1" x14ac:dyDescent="0.25">
      <c r="A436" s="529"/>
      <c r="B436" s="267"/>
      <c r="C436" s="267"/>
      <c r="D436" s="567" t="s">
        <v>168</v>
      </c>
      <c r="E436" s="267"/>
      <c r="F436" s="267"/>
      <c r="G436" s="307"/>
      <c r="H436" s="266" t="s">
        <v>46</v>
      </c>
      <c r="I436" s="261"/>
      <c r="J436" s="854">
        <v>0</v>
      </c>
      <c r="K436" s="85"/>
      <c r="L436" s="84"/>
      <c r="M436" s="85"/>
      <c r="N436" s="85"/>
      <c r="O436" s="85"/>
      <c r="P436" s="85"/>
      <c r="Q436" s="85"/>
      <c r="R436" s="85"/>
      <c r="S436" s="85"/>
      <c r="T436" s="85"/>
      <c r="U436" s="85"/>
    </row>
    <row r="437" spans="1:21" ht="18.75" hidden="1" x14ac:dyDescent="0.25">
      <c r="A437" s="529"/>
      <c r="B437" s="267"/>
      <c r="C437" s="267"/>
      <c r="D437" s="267"/>
      <c r="E437" s="267"/>
      <c r="F437" s="267"/>
      <c r="G437" s="307"/>
      <c r="H437" s="266" t="s">
        <v>34</v>
      </c>
      <c r="I437" s="261"/>
      <c r="J437" s="854">
        <v>0</v>
      </c>
      <c r="K437" s="85"/>
      <c r="L437" s="84"/>
      <c r="M437" s="85"/>
      <c r="N437" s="85"/>
      <c r="O437" s="85"/>
      <c r="P437" s="85"/>
      <c r="Q437" s="85"/>
      <c r="R437" s="85"/>
      <c r="S437" s="85"/>
      <c r="T437" s="85"/>
      <c r="U437" s="85"/>
    </row>
    <row r="438" spans="1:21" ht="18.75" hidden="1" x14ac:dyDescent="0.25">
      <c r="A438" s="529"/>
      <c r="B438" s="267"/>
      <c r="C438" s="267"/>
      <c r="D438" s="567" t="s">
        <v>169</v>
      </c>
      <c r="E438" s="267"/>
      <c r="F438" s="267"/>
      <c r="G438" s="307"/>
      <c r="H438" s="266" t="s">
        <v>46</v>
      </c>
      <c r="I438" s="261"/>
      <c r="J438" s="854">
        <v>0</v>
      </c>
      <c r="K438" s="85"/>
      <c r="L438" s="84"/>
      <c r="M438" s="85"/>
      <c r="N438" s="85"/>
      <c r="O438" s="85"/>
      <c r="P438" s="85"/>
      <c r="Q438" s="85"/>
      <c r="R438" s="85"/>
      <c r="S438" s="85"/>
      <c r="T438" s="85"/>
      <c r="U438" s="85"/>
    </row>
    <row r="439" spans="1:21" ht="18.75" hidden="1" x14ac:dyDescent="0.25">
      <c r="A439" s="529"/>
      <c r="B439" s="267"/>
      <c r="C439" s="267"/>
      <c r="D439" s="267"/>
      <c r="E439" s="267"/>
      <c r="F439" s="267"/>
      <c r="G439" s="307"/>
      <c r="H439" s="266" t="s">
        <v>34</v>
      </c>
      <c r="I439" s="261"/>
      <c r="J439" s="854">
        <v>0</v>
      </c>
      <c r="K439" s="85"/>
      <c r="L439" s="84"/>
      <c r="M439" s="85"/>
      <c r="N439" s="85"/>
      <c r="O439" s="85"/>
      <c r="P439" s="85"/>
      <c r="Q439" s="85"/>
      <c r="R439" s="85"/>
      <c r="S439" s="85"/>
      <c r="T439" s="85"/>
      <c r="U439" s="85"/>
    </row>
    <row r="440" spans="1:21" ht="19.5" hidden="1" x14ac:dyDescent="0.3">
      <c r="A440" s="529"/>
      <c r="B440" s="267"/>
      <c r="C440" s="276" t="s">
        <v>170</v>
      </c>
      <c r="D440" s="267"/>
      <c r="E440" s="267"/>
      <c r="F440" s="267"/>
      <c r="G440" s="307"/>
      <c r="H440" s="260" t="s">
        <v>46</v>
      </c>
      <c r="I440" s="601">
        <f ca="1">IFERROR(__xludf.DUMMYFUNCTION("IMPORTRANGE(""https://docs.google.com/spreadsheets/d/1eHaY18a8A9IcSdp1K8H6x8fbOy06t2VsZHhMHf-1x7Y/edit?usp=sharing"",""แผน!HJ60"")"),0)</f>
        <v>0</v>
      </c>
      <c r="J440" s="870">
        <f>J442+J444+J446+J452+J454</f>
        <v>0</v>
      </c>
      <c r="K440" s="262">
        <f ca="1">IF(I440&gt;0,J440*100/I440,0)</f>
        <v>0</v>
      </c>
      <c r="L440" s="84"/>
      <c r="M440" s="85"/>
      <c r="N440" s="85"/>
      <c r="O440" s="85"/>
      <c r="P440" s="85"/>
      <c r="Q440" s="85"/>
      <c r="R440" s="85"/>
      <c r="S440" s="85"/>
      <c r="T440" s="85"/>
      <c r="U440" s="85"/>
    </row>
    <row r="441" spans="1:21" ht="19.5" hidden="1" x14ac:dyDescent="0.3">
      <c r="A441" s="529"/>
      <c r="B441" s="267"/>
      <c r="C441" s="267"/>
      <c r="D441" s="267"/>
      <c r="E441" s="267"/>
      <c r="F441" s="267"/>
      <c r="G441" s="307"/>
      <c r="H441" s="260" t="s">
        <v>34</v>
      </c>
      <c r="I441" s="601">
        <f ca="1">IFERROR(__xludf.DUMMYFUNCTION("IMPORTRANGE(""https://docs.google.com/spreadsheets/d/1eHaY18a8A9IcSdp1K8H6x8fbOy06t2VsZHhMHf-1x7Y/edit?usp=sharing"",""แผน!HK60"")"),0)</f>
        <v>0</v>
      </c>
      <c r="J441" s="870">
        <f>J443+J445+J447+J453+J455</f>
        <v>0</v>
      </c>
      <c r="K441" s="262">
        <f ca="1">IF(I441&gt;0,J441*100/I441,0)</f>
        <v>0</v>
      </c>
      <c r="L441" s="84"/>
      <c r="M441" s="85"/>
      <c r="N441" s="85"/>
      <c r="O441" s="85"/>
      <c r="P441" s="85"/>
      <c r="Q441" s="85"/>
      <c r="R441" s="85"/>
      <c r="S441" s="85"/>
      <c r="T441" s="85"/>
      <c r="U441" s="85"/>
    </row>
    <row r="442" spans="1:21" ht="18.75" hidden="1" x14ac:dyDescent="0.25">
      <c r="A442" s="529"/>
      <c r="B442" s="267"/>
      <c r="C442" s="267"/>
      <c r="D442" s="567" t="s">
        <v>171</v>
      </c>
      <c r="E442" s="267"/>
      <c r="F442" s="267"/>
      <c r="G442" s="307"/>
      <c r="H442" s="266" t="s">
        <v>46</v>
      </c>
      <c r="I442" s="261"/>
      <c r="J442" s="854">
        <v>0</v>
      </c>
      <c r="K442" s="85"/>
      <c r="L442" s="84"/>
      <c r="M442" s="85"/>
      <c r="N442" s="85"/>
      <c r="O442" s="85"/>
      <c r="P442" s="85"/>
      <c r="Q442" s="85"/>
      <c r="R442" s="85"/>
      <c r="S442" s="85"/>
      <c r="T442" s="85"/>
      <c r="U442" s="85"/>
    </row>
    <row r="443" spans="1:21" ht="18.75" hidden="1" x14ac:dyDescent="0.25">
      <c r="A443" s="529"/>
      <c r="B443" s="267"/>
      <c r="C443" s="267"/>
      <c r="D443" s="267"/>
      <c r="E443" s="267"/>
      <c r="F443" s="267"/>
      <c r="G443" s="307"/>
      <c r="H443" s="266" t="s">
        <v>34</v>
      </c>
      <c r="I443" s="261"/>
      <c r="J443" s="854">
        <v>0</v>
      </c>
      <c r="K443" s="85"/>
      <c r="L443" s="84"/>
      <c r="M443" s="85"/>
      <c r="N443" s="85"/>
      <c r="O443" s="85"/>
      <c r="P443" s="85"/>
      <c r="Q443" s="85"/>
      <c r="R443" s="85"/>
      <c r="S443" s="85"/>
      <c r="T443" s="85"/>
      <c r="U443" s="85"/>
    </row>
    <row r="444" spans="1:21" ht="18.75" hidden="1" x14ac:dyDescent="0.25">
      <c r="A444" s="529"/>
      <c r="B444" s="267"/>
      <c r="C444" s="267"/>
      <c r="D444" s="567" t="s">
        <v>172</v>
      </c>
      <c r="E444" s="267"/>
      <c r="F444" s="267"/>
      <c r="G444" s="307"/>
      <c r="H444" s="266" t="s">
        <v>46</v>
      </c>
      <c r="I444" s="261"/>
      <c r="J444" s="854">
        <v>0</v>
      </c>
      <c r="K444" s="85"/>
      <c r="L444" s="84"/>
      <c r="M444" s="85"/>
      <c r="N444" s="85"/>
      <c r="O444" s="85"/>
      <c r="P444" s="85"/>
      <c r="Q444" s="85"/>
      <c r="R444" s="85"/>
      <c r="S444" s="85"/>
      <c r="T444" s="85"/>
      <c r="U444" s="85"/>
    </row>
    <row r="445" spans="1:21" ht="18.75" hidden="1" x14ac:dyDescent="0.25">
      <c r="A445" s="529"/>
      <c r="B445" s="267"/>
      <c r="C445" s="267"/>
      <c r="D445" s="267"/>
      <c r="E445" s="267"/>
      <c r="F445" s="267"/>
      <c r="G445" s="307"/>
      <c r="H445" s="266" t="s">
        <v>34</v>
      </c>
      <c r="I445" s="261"/>
      <c r="J445" s="854">
        <v>0</v>
      </c>
      <c r="K445" s="85"/>
      <c r="L445" s="84"/>
      <c r="M445" s="85"/>
      <c r="N445" s="85"/>
      <c r="O445" s="85"/>
      <c r="P445" s="85"/>
      <c r="Q445" s="85"/>
      <c r="R445" s="85"/>
      <c r="S445" s="85"/>
      <c r="T445" s="85"/>
      <c r="U445" s="85"/>
    </row>
    <row r="446" spans="1:21" ht="19.5" hidden="1" x14ac:dyDescent="0.3">
      <c r="A446" s="529"/>
      <c r="B446" s="267"/>
      <c r="C446" s="267"/>
      <c r="D446" s="567" t="s">
        <v>173</v>
      </c>
      <c r="E446" s="267"/>
      <c r="F446" s="267"/>
      <c r="G446" s="307"/>
      <c r="H446" s="266" t="s">
        <v>46</v>
      </c>
      <c r="I446" s="261"/>
      <c r="J446" s="870">
        <f>J448+J450</f>
        <v>0</v>
      </c>
      <c r="K446" s="85"/>
      <c r="L446" s="84"/>
      <c r="M446" s="85"/>
      <c r="N446" s="85"/>
      <c r="O446" s="85"/>
      <c r="P446" s="85"/>
      <c r="Q446" s="85"/>
      <c r="R446" s="85"/>
      <c r="S446" s="85"/>
      <c r="T446" s="85"/>
      <c r="U446" s="85"/>
    </row>
    <row r="447" spans="1:21" ht="19.5" hidden="1" x14ac:dyDescent="0.3">
      <c r="A447" s="529"/>
      <c r="B447" s="267"/>
      <c r="C447" s="267"/>
      <c r="D447" s="267"/>
      <c r="E447" s="267"/>
      <c r="F447" s="267"/>
      <c r="G447" s="307"/>
      <c r="H447" s="266" t="s">
        <v>34</v>
      </c>
      <c r="I447" s="261"/>
      <c r="J447" s="870">
        <f>J449+J451</f>
        <v>0</v>
      </c>
      <c r="K447" s="85"/>
      <c r="L447" s="84"/>
      <c r="M447" s="85"/>
      <c r="N447" s="85"/>
      <c r="O447" s="85"/>
      <c r="P447" s="85"/>
      <c r="Q447" s="85"/>
      <c r="R447" s="85"/>
      <c r="S447" s="85"/>
      <c r="T447" s="85"/>
      <c r="U447" s="85"/>
    </row>
    <row r="448" spans="1:21" ht="18.75" hidden="1" x14ac:dyDescent="0.25">
      <c r="A448" s="529"/>
      <c r="B448" s="267"/>
      <c r="C448" s="267"/>
      <c r="D448" s="267"/>
      <c r="E448" s="567" t="s">
        <v>174</v>
      </c>
      <c r="F448" s="267"/>
      <c r="G448" s="307"/>
      <c r="H448" s="266" t="s">
        <v>46</v>
      </c>
      <c r="I448" s="261"/>
      <c r="J448" s="854">
        <v>0</v>
      </c>
      <c r="K448" s="85"/>
      <c r="L448" s="84"/>
      <c r="M448" s="85"/>
      <c r="N448" s="85"/>
      <c r="O448" s="85"/>
      <c r="P448" s="85"/>
      <c r="Q448" s="85"/>
      <c r="R448" s="85"/>
      <c r="S448" s="85"/>
      <c r="T448" s="85"/>
      <c r="U448" s="85"/>
    </row>
    <row r="449" spans="1:21" ht="18.75" hidden="1" x14ac:dyDescent="0.25">
      <c r="A449" s="529"/>
      <c r="B449" s="267"/>
      <c r="C449" s="267"/>
      <c r="D449" s="267"/>
      <c r="E449" s="267"/>
      <c r="F449" s="267"/>
      <c r="G449" s="307"/>
      <c r="H449" s="266" t="s">
        <v>34</v>
      </c>
      <c r="I449" s="261"/>
      <c r="J449" s="854">
        <v>0</v>
      </c>
      <c r="K449" s="85"/>
      <c r="L449" s="84"/>
      <c r="M449" s="85"/>
      <c r="N449" s="85"/>
      <c r="O449" s="85"/>
      <c r="P449" s="85"/>
      <c r="Q449" s="85"/>
      <c r="R449" s="85"/>
      <c r="S449" s="85"/>
      <c r="T449" s="85"/>
      <c r="U449" s="85"/>
    </row>
    <row r="450" spans="1:21" ht="18.75" hidden="1" x14ac:dyDescent="0.25">
      <c r="A450" s="529"/>
      <c r="B450" s="267"/>
      <c r="C450" s="267"/>
      <c r="D450" s="267"/>
      <c r="E450" s="567" t="s">
        <v>175</v>
      </c>
      <c r="F450" s="267"/>
      <c r="G450" s="307"/>
      <c r="H450" s="266" t="s">
        <v>46</v>
      </c>
      <c r="I450" s="261"/>
      <c r="J450" s="854">
        <v>0</v>
      </c>
      <c r="K450" s="85"/>
      <c r="L450" s="84"/>
      <c r="M450" s="85"/>
      <c r="N450" s="85"/>
      <c r="O450" s="85"/>
      <c r="P450" s="85"/>
      <c r="Q450" s="85"/>
      <c r="R450" s="85"/>
      <c r="S450" s="85"/>
      <c r="T450" s="85"/>
      <c r="U450" s="85"/>
    </row>
    <row r="451" spans="1:21" ht="18.75" hidden="1" x14ac:dyDescent="0.25">
      <c r="A451" s="529"/>
      <c r="B451" s="267"/>
      <c r="C451" s="267"/>
      <c r="D451" s="267"/>
      <c r="E451" s="267"/>
      <c r="F451" s="267"/>
      <c r="G451" s="307"/>
      <c r="H451" s="266" t="s">
        <v>34</v>
      </c>
      <c r="I451" s="261"/>
      <c r="J451" s="854">
        <v>0</v>
      </c>
      <c r="K451" s="85"/>
      <c r="L451" s="84"/>
      <c r="M451" s="85"/>
      <c r="N451" s="85"/>
      <c r="O451" s="85"/>
      <c r="P451" s="85"/>
      <c r="Q451" s="85"/>
      <c r="R451" s="85"/>
      <c r="S451" s="85"/>
      <c r="T451" s="85"/>
      <c r="U451" s="85"/>
    </row>
    <row r="452" spans="1:21" ht="18.75" hidden="1" x14ac:dyDescent="0.25">
      <c r="A452" s="529"/>
      <c r="B452" s="267"/>
      <c r="C452" s="267"/>
      <c r="D452" s="567" t="s">
        <v>176</v>
      </c>
      <c r="E452" s="267"/>
      <c r="F452" s="267"/>
      <c r="G452" s="307"/>
      <c r="H452" s="266" t="s">
        <v>46</v>
      </c>
      <c r="I452" s="261"/>
      <c r="J452" s="854">
        <v>0</v>
      </c>
      <c r="K452" s="85"/>
      <c r="L452" s="84"/>
      <c r="M452" s="85"/>
      <c r="N452" s="85"/>
      <c r="O452" s="85"/>
      <c r="P452" s="85"/>
      <c r="Q452" s="85"/>
      <c r="R452" s="85"/>
      <c r="S452" s="85"/>
      <c r="T452" s="85"/>
      <c r="U452" s="85"/>
    </row>
    <row r="453" spans="1:21" ht="18.75" hidden="1" x14ac:dyDescent="0.25">
      <c r="A453" s="529"/>
      <c r="B453" s="267"/>
      <c r="C453" s="267"/>
      <c r="D453" s="267"/>
      <c r="E453" s="267"/>
      <c r="F453" s="267"/>
      <c r="G453" s="307"/>
      <c r="H453" s="266" t="s">
        <v>34</v>
      </c>
      <c r="I453" s="261"/>
      <c r="J453" s="854">
        <v>0</v>
      </c>
      <c r="K453" s="85"/>
      <c r="L453" s="84"/>
      <c r="M453" s="85"/>
      <c r="N453" s="85"/>
      <c r="O453" s="85"/>
      <c r="P453" s="85"/>
      <c r="Q453" s="85"/>
      <c r="R453" s="85"/>
      <c r="S453" s="85"/>
      <c r="T453" s="85"/>
      <c r="U453" s="85"/>
    </row>
    <row r="454" spans="1:21" ht="18.75" hidden="1" x14ac:dyDescent="0.25">
      <c r="A454" s="529"/>
      <c r="B454" s="267"/>
      <c r="C454" s="267"/>
      <c r="D454" s="567" t="s">
        <v>177</v>
      </c>
      <c r="E454" s="267"/>
      <c r="F454" s="267"/>
      <c r="G454" s="307"/>
      <c r="H454" s="266" t="s">
        <v>46</v>
      </c>
      <c r="I454" s="261"/>
      <c r="J454" s="872">
        <v>0</v>
      </c>
      <c r="K454" s="85"/>
      <c r="L454" s="84"/>
      <c r="M454" s="85"/>
      <c r="N454" s="85"/>
      <c r="O454" s="85"/>
      <c r="P454" s="85"/>
      <c r="Q454" s="85"/>
      <c r="R454" s="85"/>
      <c r="S454" s="85"/>
      <c r="T454" s="85"/>
      <c r="U454" s="85"/>
    </row>
    <row r="455" spans="1:21" ht="18.75" hidden="1" x14ac:dyDescent="0.25">
      <c r="A455" s="529"/>
      <c r="B455" s="267"/>
      <c r="C455" s="267"/>
      <c r="D455" s="267"/>
      <c r="E455" s="267"/>
      <c r="F455" s="267"/>
      <c r="G455" s="307"/>
      <c r="H455" s="266" t="s">
        <v>34</v>
      </c>
      <c r="I455" s="261"/>
      <c r="J455" s="854">
        <v>0</v>
      </c>
      <c r="K455" s="85"/>
      <c r="L455" s="84"/>
      <c r="M455" s="85"/>
      <c r="N455" s="85"/>
      <c r="O455" s="85"/>
      <c r="P455" s="85"/>
      <c r="Q455" s="85"/>
      <c r="R455" s="85"/>
      <c r="S455" s="85"/>
      <c r="T455" s="85"/>
      <c r="U455" s="85"/>
    </row>
    <row r="456" spans="1:21" ht="19.5" hidden="1" x14ac:dyDescent="0.3">
      <c r="A456" s="802"/>
      <c r="B456" s="715" t="s">
        <v>178</v>
      </c>
      <c r="C456" s="714"/>
      <c r="D456" s="714"/>
      <c r="E456" s="714"/>
      <c r="F456" s="714"/>
      <c r="G456" s="726"/>
      <c r="H456" s="871" t="s">
        <v>46</v>
      </c>
      <c r="I456" s="719">
        <f ca="1">I457</f>
        <v>0</v>
      </c>
      <c r="J456" s="868">
        <f>J457</f>
        <v>0</v>
      </c>
      <c r="K456" s="720">
        <f ca="1">IF(I456&gt;0,J456*100/I456,0)</f>
        <v>0</v>
      </c>
      <c r="L456" s="722"/>
      <c r="M456" s="721"/>
      <c r="N456" s="721"/>
      <c r="O456" s="721"/>
      <c r="P456" s="721"/>
      <c r="Q456" s="721"/>
      <c r="R456" s="721"/>
      <c r="S456" s="721"/>
      <c r="T456" s="721"/>
      <c r="U456" s="721"/>
    </row>
    <row r="457" spans="1:21" ht="19.5" hidden="1" x14ac:dyDescent="0.3">
      <c r="A457" s="529"/>
      <c r="B457" s="267"/>
      <c r="C457" s="276" t="s">
        <v>179</v>
      </c>
      <c r="D457" s="267"/>
      <c r="E457" s="267"/>
      <c r="F457" s="267"/>
      <c r="G457" s="307"/>
      <c r="H457" s="260" t="s">
        <v>46</v>
      </c>
      <c r="I457" s="601">
        <f ca="1">IFERROR(__xludf.DUMMYFUNCTION("IMPORTRANGE(""https://docs.google.com/spreadsheets/d/1eHaY18a8A9IcSdp1K8H6x8fbOy06t2VsZHhMHf-1x7Y/edit?usp=sharing"",""แผน!HL60"")"),0)</f>
        <v>0</v>
      </c>
      <c r="J457" s="870">
        <f>J459+J467+J473</f>
        <v>0</v>
      </c>
      <c r="K457" s="262">
        <f ca="1">IF(I457&gt;0,J457*100/I457,0)</f>
        <v>0</v>
      </c>
      <c r="L457" s="84"/>
      <c r="M457" s="85"/>
      <c r="N457" s="85"/>
      <c r="O457" s="85"/>
      <c r="P457" s="85"/>
      <c r="Q457" s="85"/>
      <c r="R457" s="85"/>
      <c r="S457" s="85"/>
      <c r="T457" s="85"/>
      <c r="U457" s="85"/>
    </row>
    <row r="458" spans="1:21" ht="19.5" hidden="1" x14ac:dyDescent="0.3">
      <c r="A458" s="529"/>
      <c r="B458" s="267"/>
      <c r="C458" s="267"/>
      <c r="D458" s="267"/>
      <c r="E458" s="267"/>
      <c r="F458" s="267"/>
      <c r="G458" s="307"/>
      <c r="H458" s="260" t="s">
        <v>34</v>
      </c>
      <c r="I458" s="601">
        <f ca="1">IFERROR(__xludf.DUMMYFUNCTION("IMPORTRANGE(""https://docs.google.com/spreadsheets/d/1eHaY18a8A9IcSdp1K8H6x8fbOy06t2VsZHhMHf-1x7Y/edit?usp=sharing"",""แผน!HM60"")"),0)</f>
        <v>0</v>
      </c>
      <c r="J458" s="870">
        <f>J460+J468+J474</f>
        <v>0</v>
      </c>
      <c r="K458" s="262">
        <f ca="1">IF(I458&gt;0,J458*100/I458,0)</f>
        <v>0</v>
      </c>
      <c r="L458" s="84"/>
      <c r="M458" s="85"/>
      <c r="N458" s="85"/>
      <c r="O458" s="85"/>
      <c r="P458" s="85"/>
      <c r="Q458" s="85"/>
      <c r="R458" s="85"/>
      <c r="S458" s="85"/>
      <c r="T458" s="85"/>
      <c r="U458" s="85"/>
    </row>
    <row r="459" spans="1:21" ht="18.75" hidden="1" x14ac:dyDescent="0.25">
      <c r="A459" s="529"/>
      <c r="B459" s="267"/>
      <c r="C459" s="567" t="s">
        <v>180</v>
      </c>
      <c r="D459" s="267"/>
      <c r="E459" s="267"/>
      <c r="F459" s="267"/>
      <c r="G459" s="307"/>
      <c r="H459" s="266" t="s">
        <v>46</v>
      </c>
      <c r="I459" s="261"/>
      <c r="J459" s="866">
        <f>J461+J463</f>
        <v>0</v>
      </c>
      <c r="K459" s="85"/>
      <c r="L459" s="84"/>
      <c r="M459" s="85"/>
      <c r="N459" s="85"/>
      <c r="O459" s="85"/>
      <c r="P459" s="85"/>
      <c r="Q459" s="85"/>
      <c r="R459" s="85"/>
      <c r="S459" s="85"/>
      <c r="T459" s="85"/>
      <c r="U459" s="85"/>
    </row>
    <row r="460" spans="1:21" ht="18.75" hidden="1" x14ac:dyDescent="0.25">
      <c r="A460" s="529"/>
      <c r="B460" s="267"/>
      <c r="C460" s="267"/>
      <c r="D460" s="267"/>
      <c r="E460" s="267"/>
      <c r="F460" s="267"/>
      <c r="G460" s="307"/>
      <c r="H460" s="266" t="s">
        <v>34</v>
      </c>
      <c r="I460" s="261"/>
      <c r="J460" s="866">
        <f>J462+J464</f>
        <v>0</v>
      </c>
      <c r="K460" s="85"/>
      <c r="L460" s="84"/>
      <c r="M460" s="85"/>
      <c r="N460" s="85"/>
      <c r="O460" s="85"/>
      <c r="P460" s="85"/>
      <c r="Q460" s="85"/>
      <c r="R460" s="85"/>
      <c r="S460" s="85"/>
      <c r="T460" s="85"/>
      <c r="U460" s="85"/>
    </row>
    <row r="461" spans="1:21" ht="18.75" hidden="1" x14ac:dyDescent="0.25">
      <c r="A461" s="529"/>
      <c r="B461" s="267"/>
      <c r="C461" s="267"/>
      <c r="D461" s="604" t="s">
        <v>181</v>
      </c>
      <c r="E461" s="267"/>
      <c r="F461" s="267"/>
      <c r="G461" s="307"/>
      <c r="H461" s="266" t="s">
        <v>46</v>
      </c>
      <c r="I461" s="261"/>
      <c r="J461" s="854">
        <v>0</v>
      </c>
      <c r="K461" s="85"/>
      <c r="L461" s="84"/>
      <c r="M461" s="85"/>
      <c r="N461" s="85"/>
      <c r="O461" s="85"/>
      <c r="P461" s="85"/>
      <c r="Q461" s="85"/>
      <c r="R461" s="85"/>
      <c r="S461" s="85"/>
      <c r="T461" s="85"/>
      <c r="U461" s="85"/>
    </row>
    <row r="462" spans="1:21" ht="18.75" hidden="1" x14ac:dyDescent="0.25">
      <c r="A462" s="529"/>
      <c r="B462" s="267"/>
      <c r="C462" s="267"/>
      <c r="D462" s="267"/>
      <c r="E462" s="267"/>
      <c r="F462" s="267"/>
      <c r="G462" s="307"/>
      <c r="H462" s="266" t="s">
        <v>34</v>
      </c>
      <c r="I462" s="261"/>
      <c r="J462" s="854">
        <v>0</v>
      </c>
      <c r="K462" s="85"/>
      <c r="L462" s="84"/>
      <c r="M462" s="85"/>
      <c r="N462" s="85"/>
      <c r="O462" s="85"/>
      <c r="P462" s="85"/>
      <c r="Q462" s="85"/>
      <c r="R462" s="85"/>
      <c r="S462" s="85"/>
      <c r="T462" s="85"/>
      <c r="U462" s="85"/>
    </row>
    <row r="463" spans="1:21" ht="18.75" hidden="1" x14ac:dyDescent="0.25">
      <c r="A463" s="529"/>
      <c r="B463" s="267"/>
      <c r="C463" s="267"/>
      <c r="D463" s="604" t="s">
        <v>182</v>
      </c>
      <c r="E463" s="267"/>
      <c r="F463" s="267"/>
      <c r="G463" s="307"/>
      <c r="H463" s="266" t="s">
        <v>46</v>
      </c>
      <c r="I463" s="261"/>
      <c r="J463" s="854">
        <v>0</v>
      </c>
      <c r="K463" s="85"/>
      <c r="L463" s="84"/>
      <c r="M463" s="85"/>
      <c r="N463" s="85"/>
      <c r="O463" s="85"/>
      <c r="P463" s="85"/>
      <c r="Q463" s="85"/>
      <c r="R463" s="85"/>
      <c r="S463" s="85"/>
      <c r="T463" s="85"/>
      <c r="U463" s="85"/>
    </row>
    <row r="464" spans="1:21" ht="18.75" hidden="1" x14ac:dyDescent="0.25">
      <c r="A464" s="529"/>
      <c r="B464" s="267"/>
      <c r="C464" s="267"/>
      <c r="D464" s="267"/>
      <c r="E464" s="267"/>
      <c r="F464" s="267"/>
      <c r="G464" s="307"/>
      <c r="H464" s="266" t="s">
        <v>34</v>
      </c>
      <c r="I464" s="261"/>
      <c r="J464" s="854">
        <v>0</v>
      </c>
      <c r="K464" s="85"/>
      <c r="L464" s="84"/>
      <c r="M464" s="85"/>
      <c r="N464" s="85"/>
      <c r="O464" s="85"/>
      <c r="P464" s="85"/>
      <c r="Q464" s="85"/>
      <c r="R464" s="85"/>
      <c r="S464" s="85"/>
      <c r="T464" s="85"/>
      <c r="U464" s="85"/>
    </row>
    <row r="465" spans="1:21" ht="18.75" hidden="1" x14ac:dyDescent="0.25">
      <c r="A465" s="529"/>
      <c r="B465" s="267"/>
      <c r="C465" s="267"/>
      <c r="D465" s="604" t="s">
        <v>183</v>
      </c>
      <c r="E465" s="267"/>
      <c r="F465" s="267"/>
      <c r="G465" s="307"/>
      <c r="H465" s="266" t="s">
        <v>46</v>
      </c>
      <c r="I465" s="261"/>
      <c r="J465" s="854">
        <v>0</v>
      </c>
      <c r="K465" s="85"/>
      <c r="L465" s="84"/>
      <c r="M465" s="85"/>
      <c r="N465" s="85"/>
      <c r="O465" s="85"/>
      <c r="P465" s="85"/>
      <c r="Q465" s="85"/>
      <c r="R465" s="85"/>
      <c r="S465" s="85"/>
      <c r="T465" s="85"/>
      <c r="U465" s="85"/>
    </row>
    <row r="466" spans="1:21" ht="18.75" hidden="1" x14ac:dyDescent="0.25">
      <c r="A466" s="529"/>
      <c r="B466" s="267"/>
      <c r="C466" s="267"/>
      <c r="D466" s="267"/>
      <c r="E466" s="267"/>
      <c r="F466" s="267"/>
      <c r="G466" s="307"/>
      <c r="H466" s="266" t="s">
        <v>34</v>
      </c>
      <c r="I466" s="261"/>
      <c r="J466" s="854">
        <v>0</v>
      </c>
      <c r="K466" s="85"/>
      <c r="L466" s="84"/>
      <c r="M466" s="85"/>
      <c r="N466" s="85"/>
      <c r="O466" s="85"/>
      <c r="P466" s="85"/>
      <c r="Q466" s="85"/>
      <c r="R466" s="85"/>
      <c r="S466" s="85"/>
      <c r="T466" s="85"/>
      <c r="U466" s="85"/>
    </row>
    <row r="467" spans="1:21" ht="18.75" hidden="1" x14ac:dyDescent="0.25">
      <c r="A467" s="529"/>
      <c r="B467" s="267"/>
      <c r="C467" s="604" t="s">
        <v>184</v>
      </c>
      <c r="D467" s="267"/>
      <c r="E467" s="267"/>
      <c r="F467" s="267"/>
      <c r="G467" s="307"/>
      <c r="H467" s="266" t="s">
        <v>46</v>
      </c>
      <c r="I467" s="261"/>
      <c r="J467" s="866">
        <f>J469+J471</f>
        <v>0</v>
      </c>
      <c r="K467" s="85"/>
      <c r="L467" s="84"/>
      <c r="M467" s="85"/>
      <c r="N467" s="85"/>
      <c r="O467" s="85"/>
      <c r="P467" s="85"/>
      <c r="Q467" s="85"/>
      <c r="R467" s="85"/>
      <c r="S467" s="85"/>
      <c r="T467" s="85"/>
      <c r="U467" s="85"/>
    </row>
    <row r="468" spans="1:21" ht="18.75" hidden="1" x14ac:dyDescent="0.25">
      <c r="A468" s="529"/>
      <c r="B468" s="267"/>
      <c r="C468" s="267"/>
      <c r="D468" s="267"/>
      <c r="E468" s="267"/>
      <c r="F468" s="267"/>
      <c r="G468" s="307"/>
      <c r="H468" s="266" t="s">
        <v>34</v>
      </c>
      <c r="I468" s="261"/>
      <c r="J468" s="866">
        <f>J470+J472</f>
        <v>0</v>
      </c>
      <c r="K468" s="85"/>
      <c r="L468" s="84"/>
      <c r="M468" s="85"/>
      <c r="N468" s="85"/>
      <c r="O468" s="85"/>
      <c r="P468" s="85"/>
      <c r="Q468" s="85"/>
      <c r="R468" s="85"/>
      <c r="S468" s="85"/>
      <c r="T468" s="85"/>
      <c r="U468" s="85"/>
    </row>
    <row r="469" spans="1:21" ht="18.75" hidden="1" x14ac:dyDescent="0.25">
      <c r="A469" s="529"/>
      <c r="B469" s="267"/>
      <c r="C469" s="267"/>
      <c r="D469" s="604" t="s">
        <v>185</v>
      </c>
      <c r="E469" s="267"/>
      <c r="F469" s="267"/>
      <c r="G469" s="307"/>
      <c r="H469" s="266" t="s">
        <v>46</v>
      </c>
      <c r="I469" s="261"/>
      <c r="J469" s="854">
        <v>0</v>
      </c>
      <c r="K469" s="85"/>
      <c r="L469" s="84"/>
      <c r="M469" s="85"/>
      <c r="N469" s="85"/>
      <c r="O469" s="85"/>
      <c r="P469" s="85"/>
      <c r="Q469" s="85"/>
      <c r="R469" s="85"/>
      <c r="S469" s="85"/>
      <c r="T469" s="85"/>
      <c r="U469" s="85"/>
    </row>
    <row r="470" spans="1:21" ht="18.75" hidden="1" x14ac:dyDescent="0.25">
      <c r="A470" s="529"/>
      <c r="B470" s="267"/>
      <c r="C470" s="267"/>
      <c r="D470" s="267"/>
      <c r="E470" s="267"/>
      <c r="F470" s="267"/>
      <c r="G470" s="307"/>
      <c r="H470" s="266" t="s">
        <v>34</v>
      </c>
      <c r="I470" s="261"/>
      <c r="J470" s="854">
        <v>0</v>
      </c>
      <c r="K470" s="85"/>
      <c r="L470" s="84"/>
      <c r="M470" s="85"/>
      <c r="N470" s="85"/>
      <c r="O470" s="85"/>
      <c r="P470" s="85"/>
      <c r="Q470" s="85"/>
      <c r="R470" s="85"/>
      <c r="S470" s="85"/>
      <c r="T470" s="85"/>
      <c r="U470" s="85"/>
    </row>
    <row r="471" spans="1:21" ht="18.75" hidden="1" x14ac:dyDescent="0.25">
      <c r="A471" s="529"/>
      <c r="B471" s="267"/>
      <c r="C471" s="267"/>
      <c r="D471" s="604" t="s">
        <v>186</v>
      </c>
      <c r="E471" s="267"/>
      <c r="F471" s="267"/>
      <c r="G471" s="307"/>
      <c r="H471" s="266" t="s">
        <v>46</v>
      </c>
      <c r="I471" s="261"/>
      <c r="J471" s="854">
        <v>0</v>
      </c>
      <c r="K471" s="85"/>
      <c r="L471" s="84"/>
      <c r="M471" s="85"/>
      <c r="N471" s="85"/>
      <c r="O471" s="85"/>
      <c r="P471" s="85"/>
      <c r="Q471" s="85"/>
      <c r="R471" s="85"/>
      <c r="S471" s="85"/>
      <c r="T471" s="85"/>
      <c r="U471" s="85"/>
    </row>
    <row r="472" spans="1:21" ht="18.75" hidden="1" x14ac:dyDescent="0.25">
      <c r="A472" s="529"/>
      <c r="B472" s="267"/>
      <c r="C472" s="267"/>
      <c r="D472" s="267"/>
      <c r="E472" s="267"/>
      <c r="F472" s="267"/>
      <c r="G472" s="307"/>
      <c r="H472" s="266" t="s">
        <v>34</v>
      </c>
      <c r="I472" s="261"/>
      <c r="J472" s="854">
        <v>0</v>
      </c>
      <c r="K472" s="85"/>
      <c r="L472" s="84"/>
      <c r="M472" s="85"/>
      <c r="N472" s="85"/>
      <c r="O472" s="85"/>
      <c r="P472" s="85"/>
      <c r="Q472" s="85"/>
      <c r="R472" s="85"/>
      <c r="S472" s="85"/>
      <c r="T472" s="85"/>
      <c r="U472" s="85"/>
    </row>
    <row r="473" spans="1:21" ht="18.75" hidden="1" x14ac:dyDescent="0.25">
      <c r="A473" s="529"/>
      <c r="B473" s="267"/>
      <c r="C473" s="567" t="s">
        <v>187</v>
      </c>
      <c r="D473" s="267"/>
      <c r="E473" s="267"/>
      <c r="F473" s="267"/>
      <c r="G473" s="307"/>
      <c r="H473" s="266" t="s">
        <v>46</v>
      </c>
      <c r="I473" s="261"/>
      <c r="J473" s="854">
        <v>0</v>
      </c>
      <c r="K473" s="85"/>
      <c r="L473" s="84"/>
      <c r="M473" s="85"/>
      <c r="N473" s="85"/>
      <c r="O473" s="85"/>
      <c r="P473" s="85"/>
      <c r="Q473" s="85"/>
      <c r="R473" s="85"/>
      <c r="S473" s="85"/>
      <c r="T473" s="85"/>
      <c r="U473" s="85"/>
    </row>
    <row r="474" spans="1:21" ht="18.75" hidden="1" x14ac:dyDescent="0.25">
      <c r="A474" s="529"/>
      <c r="B474" s="267"/>
      <c r="C474" s="267"/>
      <c r="D474" s="267"/>
      <c r="E474" s="267"/>
      <c r="F474" s="267"/>
      <c r="G474" s="307"/>
      <c r="H474" s="266" t="s">
        <v>34</v>
      </c>
      <c r="I474" s="261"/>
      <c r="J474" s="854">
        <v>0</v>
      </c>
      <c r="K474" s="85"/>
      <c r="L474" s="84"/>
      <c r="M474" s="85"/>
      <c r="N474" s="85"/>
      <c r="O474" s="85"/>
      <c r="P474" s="85"/>
      <c r="Q474" s="85"/>
      <c r="R474" s="85"/>
      <c r="S474" s="85"/>
      <c r="T474" s="85"/>
      <c r="U474" s="85"/>
    </row>
    <row r="475" spans="1:21" ht="19.5" hidden="1" x14ac:dyDescent="0.3">
      <c r="A475" s="802"/>
      <c r="B475" s="869" t="s">
        <v>188</v>
      </c>
      <c r="C475" s="714"/>
      <c r="D475" s="714"/>
      <c r="E475" s="714"/>
      <c r="F475" s="714"/>
      <c r="G475" s="726"/>
      <c r="H475" s="718" t="s">
        <v>46</v>
      </c>
      <c r="I475" s="719">
        <v>0</v>
      </c>
      <c r="J475" s="868">
        <f>J478+J480</f>
        <v>0</v>
      </c>
      <c r="K475" s="720">
        <f>IF(I475&gt;0,J475*100/I475,0)</f>
        <v>0</v>
      </c>
      <c r="L475" s="722"/>
      <c r="M475" s="721"/>
      <c r="N475" s="721"/>
      <c r="O475" s="721"/>
      <c r="P475" s="721"/>
      <c r="Q475" s="721"/>
      <c r="R475" s="721"/>
      <c r="S475" s="721"/>
      <c r="T475" s="721"/>
      <c r="U475" s="721"/>
    </row>
    <row r="476" spans="1:21" ht="19.5" hidden="1" x14ac:dyDescent="0.3">
      <c r="A476" s="864"/>
      <c r="B476" s="862"/>
      <c r="C476" s="865" t="s">
        <v>189</v>
      </c>
      <c r="D476" s="862"/>
      <c r="E476" s="862"/>
      <c r="F476" s="862"/>
      <c r="G476" s="861"/>
      <c r="H476" s="860" t="s">
        <v>46</v>
      </c>
      <c r="I476" s="867">
        <v>0</v>
      </c>
      <c r="J476" s="858">
        <f>J478+J480</f>
        <v>0</v>
      </c>
      <c r="K476" s="857">
        <f>IF(I476&gt;0,J476*100/I476,0)</f>
        <v>0</v>
      </c>
      <c r="L476" s="856"/>
      <c r="M476" s="855"/>
      <c r="N476" s="855"/>
      <c r="O476" s="855"/>
      <c r="P476" s="855"/>
      <c r="Q476" s="855"/>
      <c r="R476" s="855"/>
      <c r="S476" s="855"/>
      <c r="T476" s="855"/>
      <c r="U476" s="855"/>
    </row>
    <row r="477" spans="1:21" ht="19.5" hidden="1" x14ac:dyDescent="0.3">
      <c r="A477" s="864"/>
      <c r="B477" s="862"/>
      <c r="C477" s="863" t="s">
        <v>190</v>
      </c>
      <c r="D477" s="862"/>
      <c r="E477" s="862"/>
      <c r="F477" s="862"/>
      <c r="G477" s="861"/>
      <c r="H477" s="860" t="s">
        <v>34</v>
      </c>
      <c r="I477" s="867">
        <v>0</v>
      </c>
      <c r="J477" s="858">
        <f>J479+J481</f>
        <v>0</v>
      </c>
      <c r="K477" s="857">
        <f>IF(I477&gt;0,J477*100/I477,0)</f>
        <v>0</v>
      </c>
      <c r="L477" s="856"/>
      <c r="M477" s="855"/>
      <c r="N477" s="855"/>
      <c r="O477" s="855"/>
      <c r="P477" s="855"/>
      <c r="Q477" s="855"/>
      <c r="R477" s="855"/>
      <c r="S477" s="855"/>
      <c r="T477" s="855"/>
      <c r="U477" s="855"/>
    </row>
    <row r="478" spans="1:21" ht="18.75" hidden="1" x14ac:dyDescent="0.25">
      <c r="A478" s="529"/>
      <c r="B478" s="267"/>
      <c r="C478" s="267"/>
      <c r="D478" s="567" t="s">
        <v>191</v>
      </c>
      <c r="E478" s="267"/>
      <c r="F478" s="267"/>
      <c r="G478" s="307"/>
      <c r="H478" s="266" t="s">
        <v>46</v>
      </c>
      <c r="I478" s="261"/>
      <c r="J478" s="866">
        <v>0</v>
      </c>
      <c r="K478" s="85"/>
      <c r="L478" s="84"/>
      <c r="M478" s="85"/>
      <c r="N478" s="85"/>
      <c r="O478" s="85"/>
      <c r="P478" s="85"/>
      <c r="Q478" s="85"/>
      <c r="R478" s="85"/>
      <c r="S478" s="85"/>
      <c r="T478" s="85"/>
      <c r="U478" s="85"/>
    </row>
    <row r="479" spans="1:21" ht="18.75" hidden="1" x14ac:dyDescent="0.25">
      <c r="A479" s="529"/>
      <c r="B479" s="267"/>
      <c r="C479" s="267"/>
      <c r="D479" s="267"/>
      <c r="E479" s="267"/>
      <c r="F479" s="267"/>
      <c r="G479" s="307"/>
      <c r="H479" s="266" t="s">
        <v>34</v>
      </c>
      <c r="I479" s="261"/>
      <c r="J479" s="866">
        <v>0</v>
      </c>
      <c r="K479" s="85"/>
      <c r="L479" s="84"/>
      <c r="M479" s="85"/>
      <c r="N479" s="85"/>
      <c r="O479" s="85"/>
      <c r="P479" s="85"/>
      <c r="Q479" s="85"/>
      <c r="R479" s="85"/>
      <c r="S479" s="85"/>
      <c r="T479" s="85"/>
      <c r="U479" s="85"/>
    </row>
    <row r="480" spans="1:21" ht="18.75" hidden="1" x14ac:dyDescent="0.25">
      <c r="A480" s="529"/>
      <c r="B480" s="267"/>
      <c r="C480" s="267"/>
      <c r="D480" s="604" t="s">
        <v>192</v>
      </c>
      <c r="E480" s="267"/>
      <c r="F480" s="267"/>
      <c r="G480" s="307"/>
      <c r="H480" s="266" t="s">
        <v>46</v>
      </c>
      <c r="I480" s="261"/>
      <c r="J480" s="866">
        <v>0</v>
      </c>
      <c r="K480" s="85"/>
      <c r="L480" s="84"/>
      <c r="M480" s="85"/>
      <c r="N480" s="85"/>
      <c r="O480" s="85"/>
      <c r="P480" s="85"/>
      <c r="Q480" s="85"/>
      <c r="R480" s="85"/>
      <c r="S480" s="85"/>
      <c r="T480" s="85"/>
      <c r="U480" s="85"/>
    </row>
    <row r="481" spans="1:21" ht="18.75" hidden="1" x14ac:dyDescent="0.25">
      <c r="A481" s="529"/>
      <c r="B481" s="267"/>
      <c r="C481" s="267"/>
      <c r="D481" s="267"/>
      <c r="E481" s="267"/>
      <c r="F481" s="267"/>
      <c r="G481" s="307"/>
      <c r="H481" s="266" t="s">
        <v>34</v>
      </c>
      <c r="I481" s="261"/>
      <c r="J481" s="866">
        <v>0</v>
      </c>
      <c r="K481" s="85"/>
      <c r="L481" s="84"/>
      <c r="M481" s="85"/>
      <c r="N481" s="85"/>
      <c r="O481" s="85"/>
      <c r="P481" s="85"/>
      <c r="Q481" s="85"/>
      <c r="R481" s="85"/>
      <c r="S481" s="85"/>
      <c r="T481" s="85"/>
      <c r="U481" s="85"/>
    </row>
    <row r="482" spans="1:21" ht="18.75" hidden="1" x14ac:dyDescent="0.25">
      <c r="A482" s="529"/>
      <c r="B482" s="267"/>
      <c r="C482" s="267"/>
      <c r="D482" s="604" t="s">
        <v>193</v>
      </c>
      <c r="E482" s="267"/>
      <c r="F482" s="267"/>
      <c r="G482" s="307"/>
      <c r="H482" s="266" t="s">
        <v>46</v>
      </c>
      <c r="I482" s="261"/>
      <c r="J482" s="866">
        <f ca="1">IFERROR(__xludf.DUMMYFUNCTION("IMPORTRANGE(""https://docs.google.com/spreadsheets/d/1eHaY18a8A9IcSdp1K8H6x8fbOy06t2VsZHhMHf-1x7Y/edit?usp=sharing"",""แผน!HN53"")"),100)</f>
        <v>100</v>
      </c>
      <c r="K482" s="85"/>
      <c r="L482" s="84"/>
      <c r="M482" s="85"/>
      <c r="N482" s="85"/>
      <c r="O482" s="85"/>
      <c r="P482" s="85"/>
      <c r="Q482" s="85"/>
      <c r="R482" s="85"/>
      <c r="S482" s="85"/>
      <c r="T482" s="85"/>
      <c r="U482" s="85"/>
    </row>
    <row r="483" spans="1:21" ht="18.75" hidden="1" x14ac:dyDescent="0.25">
      <c r="A483" s="529"/>
      <c r="B483" s="267"/>
      <c r="C483" s="267"/>
      <c r="D483" s="267"/>
      <c r="E483" s="267"/>
      <c r="F483" s="267"/>
      <c r="G483" s="307"/>
      <c r="H483" s="266" t="s">
        <v>34</v>
      </c>
      <c r="I483" s="261"/>
      <c r="J483" s="866">
        <f ca="1">IFERROR(__xludf.DUMMYFUNCTION("IMPORTRANGE(""https://docs.google.com/spreadsheets/d/1eHaY18a8A9IcSdp1K8H6x8fbOy06t2VsZHhMHf-1x7Y/edit?usp=sharing"",""แผน!HO53"")"),2409)</f>
        <v>2409</v>
      </c>
      <c r="K483" s="85"/>
      <c r="L483" s="84"/>
      <c r="M483" s="85"/>
      <c r="N483" s="85"/>
      <c r="O483" s="85"/>
      <c r="P483" s="85"/>
      <c r="Q483" s="85"/>
      <c r="R483" s="85"/>
      <c r="S483" s="85"/>
      <c r="T483" s="85"/>
      <c r="U483" s="85"/>
    </row>
    <row r="484" spans="1:21" ht="19.5" hidden="1" x14ac:dyDescent="0.3">
      <c r="A484" s="864"/>
      <c r="B484" s="862"/>
      <c r="C484" s="865" t="s">
        <v>194</v>
      </c>
      <c r="D484" s="862"/>
      <c r="E484" s="862"/>
      <c r="F484" s="862"/>
      <c r="G484" s="861"/>
      <c r="H484" s="860" t="s">
        <v>46</v>
      </c>
      <c r="I484" s="859">
        <f>J480</f>
        <v>0</v>
      </c>
      <c r="J484" s="858">
        <f>J486+J488+J490</f>
        <v>0</v>
      </c>
      <c r="K484" s="857">
        <f>IF(I484&gt;0,J484*100/I484,0)</f>
        <v>0</v>
      </c>
      <c r="L484" s="856"/>
      <c r="M484" s="855"/>
      <c r="N484" s="855"/>
      <c r="O484" s="855"/>
      <c r="P484" s="855"/>
      <c r="Q484" s="855"/>
      <c r="R484" s="855"/>
      <c r="S484" s="855"/>
      <c r="T484" s="855"/>
      <c r="U484" s="855"/>
    </row>
    <row r="485" spans="1:21" ht="19.5" hidden="1" x14ac:dyDescent="0.3">
      <c r="A485" s="864"/>
      <c r="B485" s="862"/>
      <c r="C485" s="863" t="s">
        <v>195</v>
      </c>
      <c r="D485" s="862"/>
      <c r="E485" s="862"/>
      <c r="F485" s="862"/>
      <c r="G485" s="861"/>
      <c r="H485" s="860" t="s">
        <v>34</v>
      </c>
      <c r="I485" s="859">
        <f>J481</f>
        <v>0</v>
      </c>
      <c r="J485" s="858">
        <f>J487+J489+J491</f>
        <v>0</v>
      </c>
      <c r="K485" s="857">
        <f>IF(I485&gt;0,J485*100/I485,0)</f>
        <v>0</v>
      </c>
      <c r="L485" s="856"/>
      <c r="M485" s="855"/>
      <c r="N485" s="855"/>
      <c r="O485" s="855"/>
      <c r="P485" s="855"/>
      <c r="Q485" s="855"/>
      <c r="R485" s="855"/>
      <c r="S485" s="855"/>
      <c r="T485" s="855"/>
      <c r="U485" s="855"/>
    </row>
    <row r="486" spans="1:21" ht="18.75" hidden="1" x14ac:dyDescent="0.25">
      <c r="A486" s="529"/>
      <c r="B486" s="267"/>
      <c r="C486" s="267"/>
      <c r="D486" s="604" t="s">
        <v>196</v>
      </c>
      <c r="E486" s="267"/>
      <c r="F486" s="267"/>
      <c r="G486" s="307"/>
      <c r="H486" s="266" t="s">
        <v>46</v>
      </c>
      <c r="I486" s="261"/>
      <c r="J486" s="854">
        <v>0</v>
      </c>
      <c r="K486" s="85"/>
      <c r="L486" s="84"/>
      <c r="M486" s="85"/>
      <c r="N486" s="85"/>
      <c r="O486" s="85"/>
      <c r="P486" s="85"/>
      <c r="Q486" s="85"/>
      <c r="R486" s="85"/>
      <c r="S486" s="85"/>
      <c r="T486" s="85"/>
      <c r="U486" s="85"/>
    </row>
    <row r="487" spans="1:21" ht="18.75" hidden="1" x14ac:dyDescent="0.25">
      <c r="A487" s="529"/>
      <c r="B487" s="267"/>
      <c r="C487" s="267"/>
      <c r="D487" s="267"/>
      <c r="E487" s="267"/>
      <c r="F487" s="267"/>
      <c r="G487" s="307"/>
      <c r="H487" s="266" t="s">
        <v>34</v>
      </c>
      <c r="I487" s="261"/>
      <c r="J487" s="854">
        <v>0</v>
      </c>
      <c r="K487" s="85"/>
      <c r="L487" s="84"/>
      <c r="M487" s="85"/>
      <c r="N487" s="85"/>
      <c r="O487" s="85"/>
      <c r="P487" s="85"/>
      <c r="Q487" s="85"/>
      <c r="R487" s="85"/>
      <c r="S487" s="85"/>
      <c r="T487" s="85"/>
      <c r="U487" s="85"/>
    </row>
    <row r="488" spans="1:21" ht="18.75" hidden="1" x14ac:dyDescent="0.25">
      <c r="A488" s="529"/>
      <c r="B488" s="267"/>
      <c r="C488" s="267"/>
      <c r="D488" s="604" t="s">
        <v>197</v>
      </c>
      <c r="E488" s="267"/>
      <c r="F488" s="267"/>
      <c r="G488" s="307"/>
      <c r="H488" s="266" t="s">
        <v>46</v>
      </c>
      <c r="I488" s="261"/>
      <c r="J488" s="854">
        <v>0</v>
      </c>
      <c r="K488" s="85"/>
      <c r="L488" s="84"/>
      <c r="M488" s="85"/>
      <c r="N488" s="85"/>
      <c r="O488" s="85"/>
      <c r="P488" s="85"/>
      <c r="Q488" s="85"/>
      <c r="R488" s="85"/>
      <c r="S488" s="85"/>
      <c r="T488" s="85"/>
      <c r="U488" s="85"/>
    </row>
    <row r="489" spans="1:21" ht="18.75" hidden="1" x14ac:dyDescent="0.25">
      <c r="A489" s="529"/>
      <c r="B489" s="267"/>
      <c r="C489" s="267"/>
      <c r="D489" s="267"/>
      <c r="E489" s="267"/>
      <c r="F489" s="267"/>
      <c r="G489" s="307"/>
      <c r="H489" s="266" t="s">
        <v>34</v>
      </c>
      <c r="I489" s="261"/>
      <c r="J489" s="854">
        <v>0</v>
      </c>
      <c r="K489" s="85"/>
      <c r="L489" s="84"/>
      <c r="M489" s="85"/>
      <c r="N489" s="85"/>
      <c r="O489" s="85"/>
      <c r="P489" s="85"/>
      <c r="Q489" s="85"/>
      <c r="R489" s="85"/>
      <c r="S489" s="85"/>
      <c r="T489" s="85"/>
      <c r="U489" s="85"/>
    </row>
    <row r="490" spans="1:21" ht="18.75" hidden="1" x14ac:dyDescent="0.25">
      <c r="A490" s="529"/>
      <c r="B490" s="267"/>
      <c r="C490" s="267"/>
      <c r="D490" s="604" t="s">
        <v>198</v>
      </c>
      <c r="E490" s="267"/>
      <c r="F490" s="267"/>
      <c r="G490" s="307"/>
      <c r="H490" s="266" t="s">
        <v>46</v>
      </c>
      <c r="I490" s="261"/>
      <c r="J490" s="854">
        <v>0</v>
      </c>
      <c r="K490" s="85"/>
      <c r="L490" s="84"/>
      <c r="M490" s="85"/>
      <c r="N490" s="85"/>
      <c r="O490" s="85"/>
      <c r="P490" s="85"/>
      <c r="Q490" s="85"/>
      <c r="R490" s="85"/>
      <c r="S490" s="85"/>
      <c r="T490" s="85"/>
      <c r="U490" s="85"/>
    </row>
    <row r="491" spans="1:21" ht="18.75" hidden="1" x14ac:dyDescent="0.25">
      <c r="A491" s="606"/>
      <c r="B491" s="607"/>
      <c r="C491" s="607"/>
      <c r="D491" s="607"/>
      <c r="E491" s="607"/>
      <c r="F491" s="607"/>
      <c r="G491" s="608"/>
      <c r="H491" s="609" t="s">
        <v>34</v>
      </c>
      <c r="I491" s="610"/>
      <c r="J491" s="853">
        <v>0</v>
      </c>
      <c r="K491" s="96"/>
      <c r="L491" s="95"/>
      <c r="M491" s="96"/>
      <c r="N491" s="96"/>
      <c r="O491" s="96"/>
      <c r="P491" s="96"/>
      <c r="Q491" s="96"/>
      <c r="R491" s="96"/>
      <c r="S491" s="96"/>
      <c r="T491" s="96"/>
      <c r="U491" s="96"/>
    </row>
    <row r="492" spans="1:21" ht="19.5" hidden="1" x14ac:dyDescent="0.3">
      <c r="A492" s="1347"/>
      <c r="B492" s="582" t="s">
        <v>199</v>
      </c>
      <c r="C492" s="584"/>
      <c r="D492" s="584"/>
      <c r="E492" s="585"/>
      <c r="F492" s="585"/>
      <c r="G492" s="586"/>
      <c r="H492" s="594" t="s">
        <v>35</v>
      </c>
      <c r="I492" s="595">
        <f ca="1">I503</f>
        <v>0</v>
      </c>
      <c r="J492" s="595">
        <f ca="1">J503</f>
        <v>0</v>
      </c>
      <c r="K492" s="589">
        <f ca="1">IF(I492&gt;0,J492*100/I492,0)</f>
        <v>0</v>
      </c>
      <c r="L492" s="509"/>
      <c r="M492" s="510"/>
      <c r="N492" s="510"/>
      <c r="O492" s="510"/>
      <c r="P492" s="510"/>
      <c r="Q492" s="510"/>
      <c r="R492" s="510"/>
      <c r="S492" s="510"/>
      <c r="T492" s="510"/>
      <c r="U492" s="510"/>
    </row>
    <row r="493" spans="1:21" ht="19.5" hidden="1" x14ac:dyDescent="0.3">
      <c r="A493" s="255"/>
      <c r="B493" s="267"/>
      <c r="C493" s="304" t="s">
        <v>18</v>
      </c>
      <c r="D493" s="1449" t="s">
        <v>19</v>
      </c>
      <c r="E493" s="1411"/>
      <c r="F493" s="1411"/>
      <c r="G493" s="259"/>
      <c r="H493" s="612" t="s">
        <v>14</v>
      </c>
      <c r="I493" s="261"/>
      <c r="J493" s="261"/>
      <c r="K493" s="85"/>
      <c r="L493" s="389">
        <f ca="1">L494+L495</f>
        <v>0</v>
      </c>
      <c r="M493" s="262">
        <f ca="1">M494+M495</f>
        <v>0</v>
      </c>
      <c r="N493" s="262">
        <f ca="1">N494+N495</f>
        <v>0</v>
      </c>
      <c r="O493" s="262">
        <f t="shared" ref="O493:O501" ca="1" si="118">IF(L493&gt;0,N493*100/L493,0)</f>
        <v>0</v>
      </c>
      <c r="P493" s="262">
        <f t="shared" ref="P493:P501" ca="1" si="119">IF(M493&gt;0,N493*100/M493,0)</f>
        <v>0</v>
      </c>
      <c r="Q493" s="262">
        <f ca="1">Q494+Q495</f>
        <v>0</v>
      </c>
      <c r="R493" s="262">
        <f ca="1">R494+R495</f>
        <v>0</v>
      </c>
      <c r="S493" s="262">
        <f ca="1">S494+S495</f>
        <v>0</v>
      </c>
      <c r="T493" s="262">
        <f t="shared" ref="T493:T501" ca="1" si="120">IF(Q493&gt;0,S493*100/Q493,0)</f>
        <v>0</v>
      </c>
      <c r="U493" s="262">
        <f t="shared" ref="U493:U501" ca="1" si="121">IF(R493&gt;0,S493*100/R493,0)</f>
        <v>0</v>
      </c>
    </row>
    <row r="494" spans="1:21" ht="18.75" hidden="1" x14ac:dyDescent="0.25">
      <c r="A494" s="255"/>
      <c r="B494" s="267"/>
      <c r="C494" s="267"/>
      <c r="D494" s="275"/>
      <c r="E494" s="263" t="s">
        <v>159</v>
      </c>
      <c r="F494" s="256"/>
      <c r="G494" s="259"/>
      <c r="H494" s="271" t="s">
        <v>14</v>
      </c>
      <c r="I494" s="261"/>
      <c r="J494" s="261"/>
      <c r="K494" s="85"/>
      <c r="L494" s="74">
        <f t="shared" ref="L494:N495" si="122">L497+L500</f>
        <v>0</v>
      </c>
      <c r="M494" s="75">
        <f t="shared" si="122"/>
        <v>0</v>
      </c>
      <c r="N494" s="75">
        <f t="shared" si="122"/>
        <v>0</v>
      </c>
      <c r="O494" s="75">
        <f t="shared" si="118"/>
        <v>0</v>
      </c>
      <c r="P494" s="75">
        <f t="shared" si="119"/>
        <v>0</v>
      </c>
      <c r="Q494" s="75">
        <f t="shared" ref="Q494:S495" si="123">Q497+Q500</f>
        <v>0</v>
      </c>
      <c r="R494" s="75">
        <f t="shared" si="123"/>
        <v>0</v>
      </c>
      <c r="S494" s="75">
        <f t="shared" si="123"/>
        <v>0</v>
      </c>
      <c r="T494" s="75">
        <f t="shared" si="120"/>
        <v>0</v>
      </c>
      <c r="U494" s="75">
        <f t="shared" si="121"/>
        <v>0</v>
      </c>
    </row>
    <row r="495" spans="1:21" ht="18.75" hidden="1" x14ac:dyDescent="0.25">
      <c r="A495" s="255"/>
      <c r="B495" s="267"/>
      <c r="C495" s="267"/>
      <c r="D495" s="275"/>
      <c r="E495" s="265" t="s">
        <v>160</v>
      </c>
      <c r="F495" s="256"/>
      <c r="G495" s="259"/>
      <c r="H495" s="269" t="s">
        <v>14</v>
      </c>
      <c r="I495" s="261"/>
      <c r="J495" s="261"/>
      <c r="K495" s="85"/>
      <c r="L495" s="71">
        <f t="shared" ca="1" si="122"/>
        <v>0</v>
      </c>
      <c r="M495" s="72">
        <f t="shared" ca="1" si="122"/>
        <v>0</v>
      </c>
      <c r="N495" s="72">
        <f t="shared" ca="1" si="122"/>
        <v>0</v>
      </c>
      <c r="O495" s="72">
        <f t="shared" ca="1" si="118"/>
        <v>0</v>
      </c>
      <c r="P495" s="72">
        <f t="shared" ca="1" si="119"/>
        <v>0</v>
      </c>
      <c r="Q495" s="72">
        <f t="shared" ca="1" si="123"/>
        <v>0</v>
      </c>
      <c r="R495" s="72">
        <f t="shared" ca="1" si="123"/>
        <v>0</v>
      </c>
      <c r="S495" s="72">
        <f t="shared" ca="1" si="123"/>
        <v>0</v>
      </c>
      <c r="T495" s="72">
        <f t="shared" ca="1" si="120"/>
        <v>0</v>
      </c>
      <c r="U495" s="72">
        <f t="shared" ca="1" si="121"/>
        <v>0</v>
      </c>
    </row>
    <row r="496" spans="1:21" ht="18.75" hidden="1" x14ac:dyDescent="0.25">
      <c r="A496" s="255"/>
      <c r="B496" s="267"/>
      <c r="C496" s="267"/>
      <c r="D496" s="852" t="s">
        <v>22</v>
      </c>
      <c r="E496" s="256"/>
      <c r="F496" s="256"/>
      <c r="G496" s="259"/>
      <c r="H496" s="269" t="s">
        <v>14</v>
      </c>
      <c r="I496" s="270"/>
      <c r="J496" s="270"/>
      <c r="K496" s="227"/>
      <c r="L496" s="71">
        <f ca="1">L497+L498</f>
        <v>0</v>
      </c>
      <c r="M496" s="72">
        <f ca="1">M497+M498</f>
        <v>0</v>
      </c>
      <c r="N496" s="72">
        <f ca="1">N497+N498</f>
        <v>0</v>
      </c>
      <c r="O496" s="72">
        <f t="shared" ca="1" si="118"/>
        <v>0</v>
      </c>
      <c r="P496" s="72">
        <f t="shared" ca="1" si="119"/>
        <v>0</v>
      </c>
      <c r="Q496" s="72">
        <f ca="1">Q497+Q498</f>
        <v>0</v>
      </c>
      <c r="R496" s="72">
        <f ca="1">R497+R498</f>
        <v>0</v>
      </c>
      <c r="S496" s="72">
        <f ca="1">S497+S498</f>
        <v>0</v>
      </c>
      <c r="T496" s="72">
        <f t="shared" ca="1" si="120"/>
        <v>0</v>
      </c>
      <c r="U496" s="72">
        <f t="shared" ca="1" si="121"/>
        <v>0</v>
      </c>
    </row>
    <row r="497" spans="1:21" ht="18.75" hidden="1" x14ac:dyDescent="0.25">
      <c r="A497" s="255"/>
      <c r="B497" s="267"/>
      <c r="C497" s="267"/>
      <c r="D497" s="275"/>
      <c r="E497" s="263" t="s">
        <v>159</v>
      </c>
      <c r="F497" s="256"/>
      <c r="G497" s="259"/>
      <c r="H497" s="271" t="s">
        <v>14</v>
      </c>
      <c r="I497" s="261"/>
      <c r="J497" s="261"/>
      <c r="K497" s="85"/>
      <c r="L497" s="74">
        <v>0</v>
      </c>
      <c r="M497" s="75">
        <v>0</v>
      </c>
      <c r="N497" s="75">
        <v>0</v>
      </c>
      <c r="O497" s="75">
        <f t="shared" si="118"/>
        <v>0</v>
      </c>
      <c r="P497" s="75">
        <f t="shared" si="119"/>
        <v>0</v>
      </c>
      <c r="Q497" s="75">
        <v>0</v>
      </c>
      <c r="R497" s="75">
        <v>0</v>
      </c>
      <c r="S497" s="75">
        <v>0</v>
      </c>
      <c r="T497" s="75">
        <f t="shared" si="120"/>
        <v>0</v>
      </c>
      <c r="U497" s="75">
        <f t="shared" si="121"/>
        <v>0</v>
      </c>
    </row>
    <row r="498" spans="1:21" ht="18.75" hidden="1" x14ac:dyDescent="0.25">
      <c r="A498" s="255"/>
      <c r="B498" s="267"/>
      <c r="C498" s="267"/>
      <c r="D498" s="275"/>
      <c r="E498" s="265" t="s">
        <v>160</v>
      </c>
      <c r="F498" s="256"/>
      <c r="G498" s="259"/>
      <c r="H498" s="269" t="s">
        <v>14</v>
      </c>
      <c r="I498" s="261"/>
      <c r="J498" s="261"/>
      <c r="K498" s="85"/>
      <c r="L498" s="71">
        <f ca="1">IFERROR(__xludf.DUMMYFUNCTION("IMPORTRANGE(""https://docs.google.com/spreadsheets/d/1-uDff_7J0KD5mKrp0Vvzr7lt3OU09vwQwhkpOPPYv2Y/edit?usp=sharing"",""งบพรบ!HU60"")"),0)</f>
        <v>0</v>
      </c>
      <c r="M498" s="72">
        <f ca="1">IFERROR(__xludf.DUMMYFUNCTION("IMPORTRANGE(""https://docs.google.com/spreadsheets/d/1-uDff_7J0KD5mKrp0Vvzr7lt3OU09vwQwhkpOPPYv2Y/edit?usp=sharing"",""งบพรบ!HZ60"")"),0)</f>
        <v>0</v>
      </c>
      <c r="N498" s="72">
        <f ca="1">IFERROR(__xludf.DUMMYFUNCTION("IMPORTRANGE(""https://docs.google.com/spreadsheets/d/1-uDff_7J0KD5mKrp0Vvzr7lt3OU09vwQwhkpOPPYv2Y/edit?usp=sharing"",""งบพรบ!IB60"")"),0)</f>
        <v>0</v>
      </c>
      <c r="O498" s="72">
        <f t="shared" ca="1" si="118"/>
        <v>0</v>
      </c>
      <c r="P498" s="72">
        <f t="shared" ca="1" si="119"/>
        <v>0</v>
      </c>
      <c r="Q498" s="72">
        <f ca="1">IFERROR(__xludf.DUMMYFUNCTION("IMPORTRANGE(""https://docs.google.com/spreadsheets/d/1ItG2mGa2ceCfYo0BwxsXqNm01IGEUdYcSSLTEv9YCik/edit?usp=sharing"",""เบิกจ่ายกองทุน!AD60"")"),0)</f>
        <v>0</v>
      </c>
      <c r="R498" s="72">
        <f ca="1">IFERROR(__xludf.DUMMYFUNCTION("IMPORTRANGE(""https://docs.google.com/spreadsheets/d/1ItG2mGa2ceCfYo0BwxsXqNm01IGEUdYcSSLTEv9YCik/edit?usp=sharing"",""เบิกจ่ายกองทุน!AE60"")"),0)</f>
        <v>0</v>
      </c>
      <c r="S498" s="72">
        <f ca="1">IFERROR(__xludf.DUMMYFUNCTION("IMPORTRANGE(""https://docs.google.com/spreadsheets/d/1ItG2mGa2ceCfYo0BwxsXqNm01IGEUdYcSSLTEv9YCik/edit?usp=sharing"",""เบิกจ่ายกองทุน!AF60"")"),0)</f>
        <v>0</v>
      </c>
      <c r="T498" s="72">
        <f t="shared" ca="1" si="120"/>
        <v>0</v>
      </c>
      <c r="U498" s="72">
        <f t="shared" ca="1" si="121"/>
        <v>0</v>
      </c>
    </row>
    <row r="499" spans="1:21" ht="18.75" hidden="1" x14ac:dyDescent="0.25">
      <c r="A499" s="255"/>
      <c r="B499" s="267"/>
      <c r="C499" s="267"/>
      <c r="D499" s="852" t="s">
        <v>23</v>
      </c>
      <c r="E499" s="256"/>
      <c r="F499" s="256"/>
      <c r="G499" s="259"/>
      <c r="H499" s="273" t="s">
        <v>14</v>
      </c>
      <c r="I499" s="270"/>
      <c r="J499" s="270"/>
      <c r="K499" s="227"/>
      <c r="L499" s="71">
        <f ca="1">L500+L501</f>
        <v>0</v>
      </c>
      <c r="M499" s="72">
        <f ca="1">M500+M501</f>
        <v>0</v>
      </c>
      <c r="N499" s="72">
        <f ca="1">N500+N501</f>
        <v>0</v>
      </c>
      <c r="O499" s="72">
        <f t="shared" ca="1" si="118"/>
        <v>0</v>
      </c>
      <c r="P499" s="72">
        <f t="shared" ca="1" si="119"/>
        <v>0</v>
      </c>
      <c r="Q499" s="72">
        <f>Q500+Q501</f>
        <v>0</v>
      </c>
      <c r="R499" s="72">
        <f>R500+R501</f>
        <v>0</v>
      </c>
      <c r="S499" s="72">
        <f>S500+S501</f>
        <v>0</v>
      </c>
      <c r="T499" s="72">
        <f t="shared" si="120"/>
        <v>0</v>
      </c>
      <c r="U499" s="72">
        <f t="shared" si="121"/>
        <v>0</v>
      </c>
    </row>
    <row r="500" spans="1:21" ht="18.75" hidden="1" x14ac:dyDescent="0.25">
      <c r="A500" s="255"/>
      <c r="B500" s="267"/>
      <c r="C500" s="267"/>
      <c r="D500" s="267"/>
      <c r="E500" s="263" t="s">
        <v>20</v>
      </c>
      <c r="F500" s="256"/>
      <c r="G500" s="259"/>
      <c r="H500" s="271" t="s">
        <v>14</v>
      </c>
      <c r="I500" s="270"/>
      <c r="J500" s="270"/>
      <c r="K500" s="227"/>
      <c r="L500" s="74">
        <v>0</v>
      </c>
      <c r="M500" s="75">
        <v>0</v>
      </c>
      <c r="N500" s="75">
        <v>0</v>
      </c>
      <c r="O500" s="75">
        <f t="shared" si="118"/>
        <v>0</v>
      </c>
      <c r="P500" s="75">
        <f t="shared" si="119"/>
        <v>0</v>
      </c>
      <c r="Q500" s="75">
        <v>0</v>
      </c>
      <c r="R500" s="75">
        <v>0</v>
      </c>
      <c r="S500" s="75">
        <v>0</v>
      </c>
      <c r="T500" s="75">
        <f t="shared" si="120"/>
        <v>0</v>
      </c>
      <c r="U500" s="75">
        <f t="shared" si="121"/>
        <v>0</v>
      </c>
    </row>
    <row r="501" spans="1:21" ht="18.75" hidden="1" x14ac:dyDescent="0.25">
      <c r="A501" s="255"/>
      <c r="B501" s="267"/>
      <c r="C501" s="267"/>
      <c r="D501" s="267"/>
      <c r="E501" s="265" t="s">
        <v>21</v>
      </c>
      <c r="F501" s="256"/>
      <c r="G501" s="259"/>
      <c r="H501" s="273" t="s">
        <v>14</v>
      </c>
      <c r="I501" s="270"/>
      <c r="J501" s="270"/>
      <c r="K501" s="227"/>
      <c r="L501" s="71">
        <f ca="1">IFERROR(__xludf.DUMMYFUNCTION("IMPORTRANGE(""https://docs.google.com/spreadsheets/d/1-uDff_7J0KD5mKrp0Vvzr7lt3OU09vwQwhkpOPPYv2Y/edit?usp=sharing"",""งบพรบ!HX60"")"),0)</f>
        <v>0</v>
      </c>
      <c r="M501" s="72">
        <f ca="1">IFERROR(__xludf.DUMMYFUNCTION("IMPORTRANGE(""https://docs.google.com/spreadsheets/d/1-uDff_7J0KD5mKrp0Vvzr7lt3OU09vwQwhkpOPPYv2Y/edit?usp=sharing"",""งบพรบ!IA60"")"),0)</f>
        <v>0</v>
      </c>
      <c r="N501" s="72">
        <f ca="1">IFERROR(__xludf.DUMMYFUNCTION("IMPORTRANGE(""https://docs.google.com/spreadsheets/d/1-uDff_7J0KD5mKrp0Vvzr7lt3OU09vwQwhkpOPPYv2Y/edit?usp=sharing"",""งบพรบ!IC60"")"),0)</f>
        <v>0</v>
      </c>
      <c r="O501" s="72">
        <f t="shared" ca="1" si="118"/>
        <v>0</v>
      </c>
      <c r="P501" s="72">
        <f t="shared" ca="1" si="119"/>
        <v>0</v>
      </c>
      <c r="Q501" s="72">
        <v>0</v>
      </c>
      <c r="R501" s="72">
        <v>0</v>
      </c>
      <c r="S501" s="72">
        <v>0</v>
      </c>
      <c r="T501" s="72">
        <f t="shared" si="120"/>
        <v>0</v>
      </c>
      <c r="U501" s="72">
        <f t="shared" si="121"/>
        <v>0</v>
      </c>
    </row>
    <row r="502" spans="1:21" ht="19.5" hidden="1" x14ac:dyDescent="0.3">
      <c r="A502" s="274"/>
      <c r="B502" s="275"/>
      <c r="C502" s="304" t="s">
        <v>18</v>
      </c>
      <c r="D502" s="797" t="s">
        <v>38</v>
      </c>
      <c r="E502" s="278"/>
      <c r="F502" s="278"/>
      <c r="G502" s="279"/>
      <c r="H502" s="305"/>
      <c r="I502" s="270"/>
      <c r="J502" s="270"/>
      <c r="K502" s="227"/>
      <c r="L502" s="226"/>
      <c r="M502" s="227"/>
      <c r="N502" s="227"/>
      <c r="O502" s="227"/>
      <c r="P502" s="227"/>
      <c r="Q502" s="227"/>
      <c r="R502" s="227"/>
      <c r="S502" s="227"/>
      <c r="T502" s="227"/>
      <c r="U502" s="227"/>
    </row>
    <row r="503" spans="1:21" ht="19.5" hidden="1" x14ac:dyDescent="0.3">
      <c r="A503" s="529"/>
      <c r="B503" s="267"/>
      <c r="C503" s="267"/>
      <c r="D503" s="276" t="s">
        <v>200</v>
      </c>
      <c r="E503" s="256"/>
      <c r="F503" s="256"/>
      <c r="G503" s="259"/>
      <c r="H503" s="266" t="s">
        <v>35</v>
      </c>
      <c r="I503" s="601">
        <f ca="1">IFERROR(__xludf.DUMMYFUNCTION("IMPORTRANGE(""https://docs.google.com/spreadsheets/d/1eHaY18a8A9IcSdp1K8H6x8fbOy06t2VsZHhMHf-1x7Y/edit?usp=sharing"",""แผน!GX60"")"),0)</f>
        <v>0</v>
      </c>
      <c r="J503" s="601">
        <f ca="1">IF(AND(J504=I504,J505=I505,J506=I506,J507=I507),I503,0)</f>
        <v>0</v>
      </c>
      <c r="K503" s="262">
        <f t="shared" ref="K503:K509" ca="1" si="124">IF(I503&gt;0,J503*100/I503,0)</f>
        <v>0</v>
      </c>
      <c r="L503" s="84"/>
      <c r="M503" s="85"/>
      <c r="N503" s="85"/>
      <c r="O503" s="85"/>
      <c r="P503" s="85"/>
      <c r="Q503" s="85"/>
      <c r="R503" s="85"/>
      <c r="S503" s="85"/>
      <c r="T503" s="85"/>
      <c r="U503" s="85"/>
    </row>
    <row r="504" spans="1:21" ht="18.75" hidden="1" x14ac:dyDescent="0.25">
      <c r="A504" s="529"/>
      <c r="B504" s="267"/>
      <c r="C504" s="267"/>
      <c r="D504" s="267"/>
      <c r="E504" s="265" t="s">
        <v>201</v>
      </c>
      <c r="F504" s="256"/>
      <c r="G504" s="259"/>
      <c r="H504" s="266" t="s">
        <v>35</v>
      </c>
      <c r="I504" s="291">
        <f ca="1">IFERROR(__xludf.DUMMYFUNCTION("IMPORTRANGE(""https://docs.google.com/spreadsheets/d/1eHaY18a8A9IcSdp1K8H6x8fbOy06t2VsZHhMHf-1x7Y/edit?usp=sharing"",""แผน!GY60"")"),0)</f>
        <v>0</v>
      </c>
      <c r="J504" s="292">
        <v>0</v>
      </c>
      <c r="K504" s="72">
        <f t="shared" ca="1" si="124"/>
        <v>0</v>
      </c>
      <c r="L504" s="84"/>
      <c r="M504" s="85"/>
      <c r="N504" s="85"/>
      <c r="O504" s="85"/>
      <c r="P504" s="85"/>
      <c r="Q504" s="85"/>
      <c r="R504" s="85"/>
      <c r="S504" s="85"/>
      <c r="T504" s="85"/>
      <c r="U504" s="85"/>
    </row>
    <row r="505" spans="1:21" ht="18.75" hidden="1" x14ac:dyDescent="0.25">
      <c r="A505" s="529"/>
      <c r="B505" s="267"/>
      <c r="C505" s="267"/>
      <c r="D505" s="267"/>
      <c r="E505" s="265" t="s">
        <v>202</v>
      </c>
      <c r="F505" s="256"/>
      <c r="G505" s="259"/>
      <c r="H505" s="266" t="s">
        <v>35</v>
      </c>
      <c r="I505" s="291">
        <f ca="1">IFERROR(__xludf.DUMMYFUNCTION("IMPORTRANGE(""https://docs.google.com/spreadsheets/d/1eHaY18a8A9IcSdp1K8H6x8fbOy06t2VsZHhMHf-1x7Y/edit?usp=sharing"",""แผน!GZ60"")"),0)</f>
        <v>0</v>
      </c>
      <c r="J505" s="292">
        <v>0</v>
      </c>
      <c r="K505" s="72">
        <f t="shared" ca="1" si="124"/>
        <v>0</v>
      </c>
      <c r="L505" s="84"/>
      <c r="M505" s="85"/>
      <c r="N505" s="85"/>
      <c r="O505" s="85"/>
      <c r="P505" s="85"/>
      <c r="Q505" s="85"/>
      <c r="R505" s="85"/>
      <c r="S505" s="85"/>
      <c r="T505" s="85"/>
      <c r="U505" s="85"/>
    </row>
    <row r="506" spans="1:21" ht="18.75" hidden="1" x14ac:dyDescent="0.25">
      <c r="A506" s="529"/>
      <c r="B506" s="267"/>
      <c r="C506" s="267"/>
      <c r="D506" s="267"/>
      <c r="E506" s="265" t="s">
        <v>203</v>
      </c>
      <c r="F506" s="256"/>
      <c r="G506" s="259"/>
      <c r="H506" s="266" t="s">
        <v>35</v>
      </c>
      <c r="I506" s="291">
        <f ca="1">IFERROR(__xludf.DUMMYFUNCTION("IMPORTRANGE(""https://docs.google.com/spreadsheets/d/1eHaY18a8A9IcSdp1K8H6x8fbOy06t2VsZHhMHf-1x7Y/edit?usp=sharing"",""แผน!HA60"")"),0)</f>
        <v>0</v>
      </c>
      <c r="J506" s="292">
        <v>0</v>
      </c>
      <c r="K506" s="72">
        <f t="shared" ca="1" si="124"/>
        <v>0</v>
      </c>
      <c r="L506" s="84"/>
      <c r="M506" s="85"/>
      <c r="N506" s="85"/>
      <c r="O506" s="85"/>
      <c r="P506" s="85"/>
      <c r="Q506" s="85"/>
      <c r="R506" s="85"/>
      <c r="S506" s="85"/>
      <c r="T506" s="85"/>
      <c r="U506" s="85"/>
    </row>
    <row r="507" spans="1:21" ht="18.75" hidden="1" x14ac:dyDescent="0.25">
      <c r="A507" s="529"/>
      <c r="B507" s="267"/>
      <c r="C507" s="267"/>
      <c r="D507" s="267"/>
      <c r="E507" s="613" t="s">
        <v>204</v>
      </c>
      <c r="F507" s="256"/>
      <c r="G507" s="259"/>
      <c r="H507" s="266" t="s">
        <v>35</v>
      </c>
      <c r="I507" s="291">
        <f ca="1">IFERROR(__xludf.DUMMYFUNCTION("IMPORTRANGE(""https://docs.google.com/spreadsheets/d/1eHaY18a8A9IcSdp1K8H6x8fbOy06t2VsZHhMHf-1x7Y/edit?usp=sharing"",""แผน!HB60"")"),0)</f>
        <v>0</v>
      </c>
      <c r="J507" s="292">
        <v>0</v>
      </c>
      <c r="K507" s="72">
        <f t="shared" ca="1" si="124"/>
        <v>0</v>
      </c>
      <c r="L507" s="84"/>
      <c r="M507" s="85"/>
      <c r="N507" s="85"/>
      <c r="O507" s="85"/>
      <c r="P507" s="85"/>
      <c r="Q507" s="85"/>
      <c r="R507" s="85"/>
      <c r="S507" s="85"/>
      <c r="T507" s="85"/>
      <c r="U507" s="85"/>
    </row>
    <row r="508" spans="1:21" ht="18.75" hidden="1" x14ac:dyDescent="0.25">
      <c r="A508" s="529"/>
      <c r="B508" s="267"/>
      <c r="C508" s="267"/>
      <c r="D508" s="267"/>
      <c r="E508" s="265" t="s">
        <v>205</v>
      </c>
      <c r="F508" s="256"/>
      <c r="G508" s="259"/>
      <c r="H508" s="266" t="s">
        <v>35</v>
      </c>
      <c r="I508" s="291">
        <v>0</v>
      </c>
      <c r="J508" s="291">
        <v>0</v>
      </c>
      <c r="K508" s="72">
        <f t="shared" si="124"/>
        <v>0</v>
      </c>
      <c r="L508" s="84"/>
      <c r="M508" s="85"/>
      <c r="N508" s="85"/>
      <c r="O508" s="85"/>
      <c r="P508" s="85"/>
      <c r="Q508" s="85"/>
      <c r="R508" s="85"/>
      <c r="S508" s="85"/>
      <c r="T508" s="85"/>
      <c r="U508" s="85"/>
    </row>
    <row r="509" spans="1:21" ht="19.5" hidden="1" x14ac:dyDescent="0.3">
      <c r="A509" s="1346"/>
      <c r="B509" s="607"/>
      <c r="C509" s="607"/>
      <c r="D509" s="614" t="s">
        <v>50</v>
      </c>
      <c r="E509" s="615"/>
      <c r="F509" s="615"/>
      <c r="G509" s="616"/>
      <c r="H509" s="609" t="s">
        <v>35</v>
      </c>
      <c r="I509" s="773">
        <f ca="1">IFERROR(__xludf.DUMMYFUNCTION("IMPORTRANGE(""https://docs.google.com/spreadsheets/d/1eHaY18a8A9IcSdp1K8H6x8fbOy06t2VsZHhMHf-1x7Y/edit?usp=sharing"",""แผน!HC60"")"),0)</f>
        <v>0</v>
      </c>
      <c r="J509" s="739">
        <v>0</v>
      </c>
      <c r="K509" s="181">
        <f t="shared" ca="1" si="124"/>
        <v>0</v>
      </c>
      <c r="L509" s="95"/>
      <c r="M509" s="96"/>
      <c r="N509" s="96"/>
      <c r="O509" s="96"/>
      <c r="P509" s="96"/>
      <c r="Q509" s="96"/>
      <c r="R509" s="96"/>
      <c r="S509" s="96"/>
      <c r="T509" s="96"/>
      <c r="U509" s="96"/>
    </row>
    <row r="510" spans="1:21" ht="19.5" hidden="1" x14ac:dyDescent="0.3">
      <c r="A510" s="851" t="s">
        <v>206</v>
      </c>
      <c r="B510" s="850"/>
      <c r="C510" s="850"/>
      <c r="D510" s="850"/>
      <c r="E510" s="849"/>
      <c r="F510" s="849"/>
      <c r="G510" s="849"/>
      <c r="H510" s="850"/>
      <c r="I510" s="848"/>
      <c r="J510" s="848"/>
      <c r="K510" s="847"/>
      <c r="L510" s="623"/>
      <c r="M510" s="624"/>
      <c r="N510" s="624"/>
      <c r="O510" s="624"/>
      <c r="P510" s="624"/>
      <c r="Q510" s="624"/>
      <c r="R510" s="624"/>
      <c r="S510" s="624"/>
      <c r="T510" s="624"/>
      <c r="U510" s="624"/>
    </row>
    <row r="511" spans="1:21" ht="19.5" hidden="1" x14ac:dyDescent="0.3">
      <c r="A511" s="846" t="s">
        <v>207</v>
      </c>
      <c r="B511" s="844"/>
      <c r="C511" s="844"/>
      <c r="D511" s="845"/>
      <c r="E511" s="844"/>
      <c r="F511" s="844"/>
      <c r="G511" s="844"/>
      <c r="H511" s="1280"/>
      <c r="I511" s="842"/>
      <c r="J511" s="842"/>
      <c r="K511" s="841"/>
      <c r="L511" s="631"/>
      <c r="M511" s="632"/>
      <c r="N511" s="632"/>
      <c r="O511" s="632"/>
      <c r="P511" s="632"/>
      <c r="Q511" s="632"/>
      <c r="R511" s="632"/>
      <c r="S511" s="632"/>
      <c r="T511" s="632"/>
      <c r="U511" s="632"/>
    </row>
    <row r="512" spans="1:21" ht="19.5" hidden="1" x14ac:dyDescent="0.3">
      <c r="A512" s="660"/>
      <c r="B512" s="840" t="s">
        <v>208</v>
      </c>
      <c r="C512" s="662"/>
      <c r="D512" s="663"/>
      <c r="E512" s="663"/>
      <c r="F512" s="663"/>
      <c r="G512" s="664"/>
      <c r="H512" s="1139" t="s">
        <v>61</v>
      </c>
      <c r="I512" s="838">
        <f>I524</f>
        <v>0</v>
      </c>
      <c r="J512" s="838">
        <f>J524</f>
        <v>0</v>
      </c>
      <c r="K512" s="837">
        <f>IF(I512&gt;0,J512*100/I512,0)</f>
        <v>0</v>
      </c>
      <c r="L512" s="642"/>
      <c r="M512" s="643"/>
      <c r="N512" s="643"/>
      <c r="O512" s="643"/>
      <c r="P512" s="643"/>
      <c r="Q512" s="643"/>
      <c r="R512" s="643"/>
      <c r="S512" s="643"/>
      <c r="T512" s="643"/>
      <c r="U512" s="643"/>
    </row>
    <row r="513" spans="1:21" ht="19.5" hidden="1" x14ac:dyDescent="0.3">
      <c r="A513" s="255"/>
      <c r="B513" s="256"/>
      <c r="C513" s="834" t="s">
        <v>18</v>
      </c>
      <c r="D513" s="799" t="s">
        <v>19</v>
      </c>
      <c r="E513" s="256"/>
      <c r="F513" s="256"/>
      <c r="G513" s="259"/>
      <c r="H513" s="836" t="s">
        <v>14</v>
      </c>
      <c r="I513" s="261"/>
      <c r="J513" s="261"/>
      <c r="K513" s="85"/>
      <c r="L513" s="389">
        <f ca="1">L514+L515</f>
        <v>0</v>
      </c>
      <c r="M513" s="262">
        <f ca="1">M514+M515</f>
        <v>0</v>
      </c>
      <c r="N513" s="262">
        <f ca="1">N514+N515</f>
        <v>0</v>
      </c>
      <c r="O513" s="262">
        <f t="shared" ref="O513:O521" ca="1" si="125">IF(L513&gt;0,N513*100/L513,0)</f>
        <v>0</v>
      </c>
      <c r="P513" s="262">
        <f t="shared" ref="P513:P521" ca="1" si="126">IF(M513&gt;0,N513*100/M513,0)</f>
        <v>0</v>
      </c>
      <c r="Q513" s="262">
        <f>Q514+Q515</f>
        <v>0</v>
      </c>
      <c r="R513" s="262">
        <f>R514+R515</f>
        <v>0</v>
      </c>
      <c r="S513" s="262">
        <f>S514+S515</f>
        <v>0</v>
      </c>
      <c r="T513" s="262">
        <f t="shared" ref="T513:T521" si="127">IF(Q513&gt;0,S513*100/Q513,0)</f>
        <v>0</v>
      </c>
      <c r="U513" s="262">
        <f t="shared" ref="U513:U521" si="128">IF(R513&gt;0,S513*100/R513,0)</f>
        <v>0</v>
      </c>
    </row>
    <row r="514" spans="1:21" ht="18.75" hidden="1" x14ac:dyDescent="0.25">
      <c r="A514" s="255"/>
      <c r="B514" s="267"/>
      <c r="C514" s="256"/>
      <c r="D514" s="256"/>
      <c r="E514" s="263" t="s">
        <v>20</v>
      </c>
      <c r="F514" s="256"/>
      <c r="G514" s="259"/>
      <c r="H514" s="264" t="s">
        <v>14</v>
      </c>
      <c r="I514" s="261"/>
      <c r="J514" s="261"/>
      <c r="K514" s="85"/>
      <c r="L514" s="74">
        <f t="shared" ref="L514:N515" si="129">L517+L520</f>
        <v>0</v>
      </c>
      <c r="M514" s="75">
        <f t="shared" si="129"/>
        <v>0</v>
      </c>
      <c r="N514" s="75">
        <f t="shared" si="129"/>
        <v>0</v>
      </c>
      <c r="O514" s="75">
        <f t="shared" si="125"/>
        <v>0</v>
      </c>
      <c r="P514" s="75">
        <f t="shared" si="126"/>
        <v>0</v>
      </c>
      <c r="Q514" s="75">
        <f t="shared" ref="Q514:S515" si="130">Q517+Q520</f>
        <v>0</v>
      </c>
      <c r="R514" s="75">
        <f t="shared" si="130"/>
        <v>0</v>
      </c>
      <c r="S514" s="75">
        <f t="shared" si="130"/>
        <v>0</v>
      </c>
      <c r="T514" s="75">
        <f t="shared" si="127"/>
        <v>0</v>
      </c>
      <c r="U514" s="75">
        <f t="shared" si="128"/>
        <v>0</v>
      </c>
    </row>
    <row r="515" spans="1:21" ht="18.75" hidden="1" x14ac:dyDescent="0.25">
      <c r="A515" s="255"/>
      <c r="B515" s="256"/>
      <c r="C515" s="267"/>
      <c r="D515" s="256"/>
      <c r="E515" s="569" t="s">
        <v>21</v>
      </c>
      <c r="F515" s="256"/>
      <c r="G515" s="259"/>
      <c r="H515" s="264" t="s">
        <v>14</v>
      </c>
      <c r="I515" s="261"/>
      <c r="J515" s="261"/>
      <c r="K515" s="85"/>
      <c r="L515" s="71">
        <f t="shared" ca="1" si="129"/>
        <v>0</v>
      </c>
      <c r="M515" s="72">
        <f t="shared" ca="1" si="129"/>
        <v>0</v>
      </c>
      <c r="N515" s="72">
        <f t="shared" ca="1" si="129"/>
        <v>0</v>
      </c>
      <c r="O515" s="72">
        <f t="shared" ca="1" si="125"/>
        <v>0</v>
      </c>
      <c r="P515" s="72">
        <f t="shared" ca="1" si="126"/>
        <v>0</v>
      </c>
      <c r="Q515" s="72">
        <f t="shared" si="130"/>
        <v>0</v>
      </c>
      <c r="R515" s="72">
        <f t="shared" si="130"/>
        <v>0</v>
      </c>
      <c r="S515" s="72">
        <f t="shared" si="130"/>
        <v>0</v>
      </c>
      <c r="T515" s="72">
        <f t="shared" si="127"/>
        <v>0</v>
      </c>
      <c r="U515" s="72">
        <f t="shared" si="128"/>
        <v>0</v>
      </c>
    </row>
    <row r="516" spans="1:21" ht="18.75" hidden="1" x14ac:dyDescent="0.25">
      <c r="A516" s="255"/>
      <c r="B516" s="256"/>
      <c r="C516" s="267"/>
      <c r="D516" s="835" t="s">
        <v>22</v>
      </c>
      <c r="E516" s="267"/>
      <c r="F516" s="256"/>
      <c r="G516" s="259"/>
      <c r="H516" s="271" t="s">
        <v>14</v>
      </c>
      <c r="I516" s="270"/>
      <c r="J516" s="270"/>
      <c r="K516" s="227"/>
      <c r="L516" s="71">
        <f ca="1">L517+L518</f>
        <v>0</v>
      </c>
      <c r="M516" s="72">
        <f ca="1">M517+M518</f>
        <v>0</v>
      </c>
      <c r="N516" s="72">
        <f ca="1">N517+N518</f>
        <v>0</v>
      </c>
      <c r="O516" s="72">
        <f t="shared" ca="1" si="125"/>
        <v>0</v>
      </c>
      <c r="P516" s="72">
        <f t="shared" ca="1" si="126"/>
        <v>0</v>
      </c>
      <c r="Q516" s="72">
        <f>Q517+Q518</f>
        <v>0</v>
      </c>
      <c r="R516" s="72">
        <f>R517+R518</f>
        <v>0</v>
      </c>
      <c r="S516" s="72">
        <f>S517+S518</f>
        <v>0</v>
      </c>
      <c r="T516" s="72">
        <f t="shared" si="127"/>
        <v>0</v>
      </c>
      <c r="U516" s="72">
        <f t="shared" si="128"/>
        <v>0</v>
      </c>
    </row>
    <row r="517" spans="1:21" ht="18.75" hidden="1" x14ac:dyDescent="0.25">
      <c r="A517" s="255"/>
      <c r="B517" s="256"/>
      <c r="C517" s="256"/>
      <c r="D517" s="256"/>
      <c r="E517" s="263" t="s">
        <v>36</v>
      </c>
      <c r="F517" s="256"/>
      <c r="G517" s="259"/>
      <c r="H517" s="271" t="s">
        <v>14</v>
      </c>
      <c r="I517" s="270"/>
      <c r="J517" s="270"/>
      <c r="K517" s="227"/>
      <c r="L517" s="74">
        <v>0</v>
      </c>
      <c r="M517" s="75">
        <v>0</v>
      </c>
      <c r="N517" s="75">
        <v>0</v>
      </c>
      <c r="O517" s="75">
        <f t="shared" si="125"/>
        <v>0</v>
      </c>
      <c r="P517" s="75">
        <f t="shared" si="126"/>
        <v>0</v>
      </c>
      <c r="Q517" s="75">
        <v>0</v>
      </c>
      <c r="R517" s="75">
        <v>0</v>
      </c>
      <c r="S517" s="75">
        <v>0</v>
      </c>
      <c r="T517" s="75">
        <f t="shared" si="127"/>
        <v>0</v>
      </c>
      <c r="U517" s="75">
        <f t="shared" si="128"/>
        <v>0</v>
      </c>
    </row>
    <row r="518" spans="1:21" ht="18.75" hidden="1" x14ac:dyDescent="0.25">
      <c r="A518" s="255"/>
      <c r="B518" s="256"/>
      <c r="C518" s="256"/>
      <c r="D518" s="256"/>
      <c r="E518" s="263" t="s">
        <v>37</v>
      </c>
      <c r="F518" s="256"/>
      <c r="G518" s="259"/>
      <c r="H518" s="271" t="s">
        <v>14</v>
      </c>
      <c r="I518" s="270"/>
      <c r="J518" s="270"/>
      <c r="K518" s="227"/>
      <c r="L518" s="71">
        <f ca="1">IFERROR(__xludf.DUMMYFUNCTION("IMPORTRANGE(""https://docs.google.com/spreadsheets/d/1-uDff_7J0KD5mKrp0Vvzr7lt3OU09vwQwhkpOPPYv2Y/edit?usp=sharing"",""งบพรบ!FM60"")"),0)</f>
        <v>0</v>
      </c>
      <c r="M518" s="72">
        <f ca="1">IFERROR(__xludf.DUMMYFUNCTION("IMPORTRANGE(""https://docs.google.com/spreadsheets/d/1-uDff_7J0KD5mKrp0Vvzr7lt3OU09vwQwhkpOPPYv2Y/edit?usp=sharing"",""งบพรบ!FR60"")"),0)</f>
        <v>0</v>
      </c>
      <c r="N518" s="72">
        <f ca="1">IFERROR(__xludf.DUMMYFUNCTION("IMPORTRANGE(""https://docs.google.com/spreadsheets/d/1-uDff_7J0KD5mKrp0Vvzr7lt3OU09vwQwhkpOPPYv2Y/edit?usp=sharing"",""งบพรบ!FT60"")"),0)</f>
        <v>0</v>
      </c>
      <c r="O518" s="72">
        <f t="shared" ca="1" si="125"/>
        <v>0</v>
      </c>
      <c r="P518" s="72">
        <f t="shared" ca="1" si="126"/>
        <v>0</v>
      </c>
      <c r="Q518" s="72">
        <v>0</v>
      </c>
      <c r="R518" s="72">
        <v>0</v>
      </c>
      <c r="S518" s="72">
        <v>0</v>
      </c>
      <c r="T518" s="72">
        <f t="shared" si="127"/>
        <v>0</v>
      </c>
      <c r="U518" s="72">
        <f t="shared" si="128"/>
        <v>0</v>
      </c>
    </row>
    <row r="519" spans="1:21" ht="18.75" hidden="1" x14ac:dyDescent="0.25">
      <c r="A519" s="255"/>
      <c r="B519" s="256"/>
      <c r="C519" s="256"/>
      <c r="D519" s="835" t="s">
        <v>23</v>
      </c>
      <c r="E519" s="256"/>
      <c r="F519" s="256"/>
      <c r="G519" s="259"/>
      <c r="H519" s="756" t="s">
        <v>14</v>
      </c>
      <c r="I519" s="270"/>
      <c r="J519" s="270"/>
      <c r="K519" s="227"/>
      <c r="L519" s="71">
        <f ca="1">L520+L521</f>
        <v>0</v>
      </c>
      <c r="M519" s="72">
        <f ca="1">M520+M521</f>
        <v>0</v>
      </c>
      <c r="N519" s="72">
        <f ca="1">N520+N521</f>
        <v>0</v>
      </c>
      <c r="O519" s="72">
        <f t="shared" ca="1" si="125"/>
        <v>0</v>
      </c>
      <c r="P519" s="72">
        <f t="shared" ca="1" si="126"/>
        <v>0</v>
      </c>
      <c r="Q519" s="72">
        <f>Q520+Q521</f>
        <v>0</v>
      </c>
      <c r="R519" s="72">
        <f>R520+R521</f>
        <v>0</v>
      </c>
      <c r="S519" s="72">
        <f>S520+S521</f>
        <v>0</v>
      </c>
      <c r="T519" s="72">
        <f t="shared" si="127"/>
        <v>0</v>
      </c>
      <c r="U519" s="72">
        <f t="shared" si="128"/>
        <v>0</v>
      </c>
    </row>
    <row r="520" spans="1:21" ht="18.75" hidden="1" x14ac:dyDescent="0.25">
      <c r="A520" s="255"/>
      <c r="B520" s="256"/>
      <c r="C520" s="256"/>
      <c r="D520" s="256"/>
      <c r="E520" s="263" t="s">
        <v>20</v>
      </c>
      <c r="F520" s="256"/>
      <c r="G520" s="259"/>
      <c r="H520" s="271" t="s">
        <v>14</v>
      </c>
      <c r="I520" s="270"/>
      <c r="J520" s="270"/>
      <c r="K520" s="227"/>
      <c r="L520" s="74">
        <v>0</v>
      </c>
      <c r="M520" s="75">
        <v>0</v>
      </c>
      <c r="N520" s="75">
        <v>0</v>
      </c>
      <c r="O520" s="75">
        <f t="shared" si="125"/>
        <v>0</v>
      </c>
      <c r="P520" s="75">
        <f t="shared" si="126"/>
        <v>0</v>
      </c>
      <c r="Q520" s="75">
        <v>0</v>
      </c>
      <c r="R520" s="75">
        <v>0</v>
      </c>
      <c r="S520" s="75">
        <v>0</v>
      </c>
      <c r="T520" s="75">
        <f t="shared" si="127"/>
        <v>0</v>
      </c>
      <c r="U520" s="75">
        <f t="shared" si="128"/>
        <v>0</v>
      </c>
    </row>
    <row r="521" spans="1:21" ht="18.75" hidden="1" x14ac:dyDescent="0.25">
      <c r="A521" s="255"/>
      <c r="B521" s="256"/>
      <c r="C521" s="256"/>
      <c r="D521" s="256"/>
      <c r="E521" s="263" t="s">
        <v>21</v>
      </c>
      <c r="F521" s="256"/>
      <c r="G521" s="259"/>
      <c r="H521" s="756" t="s">
        <v>14</v>
      </c>
      <c r="I521" s="270"/>
      <c r="J521" s="270"/>
      <c r="K521" s="227"/>
      <c r="L521" s="71">
        <f ca="1">IFERROR(__xludf.DUMMYFUNCTION("IMPORTRANGE(""https://docs.google.com/spreadsheets/d/1-uDff_7J0KD5mKrp0Vvzr7lt3OU09vwQwhkpOPPYv2Y/edit?usp=sharing"",""งบพรบ!FP60"")"),0)</f>
        <v>0</v>
      </c>
      <c r="M521" s="72">
        <f ca="1">IFERROR(__xludf.DUMMYFUNCTION("IMPORTRANGE(""https://docs.google.com/spreadsheets/d/1-uDff_7J0KD5mKrp0Vvzr7lt3OU09vwQwhkpOPPYv2Y/edit?usp=sharing"",""งบพรบ!FS60"")"),0)</f>
        <v>0</v>
      </c>
      <c r="N521" s="72">
        <f ca="1">IFERROR(__xludf.DUMMYFUNCTION("IMPORTRANGE(""https://docs.google.com/spreadsheets/d/1-uDff_7J0KD5mKrp0Vvzr7lt3OU09vwQwhkpOPPYv2Y/edit?usp=sharing"",""งบพรบ!FU60"")"),0)</f>
        <v>0</v>
      </c>
      <c r="O521" s="72">
        <f t="shared" ca="1" si="125"/>
        <v>0</v>
      </c>
      <c r="P521" s="72">
        <f t="shared" ca="1" si="126"/>
        <v>0</v>
      </c>
      <c r="Q521" s="72">
        <v>0</v>
      </c>
      <c r="R521" s="72">
        <v>0</v>
      </c>
      <c r="S521" s="72">
        <v>0</v>
      </c>
      <c r="T521" s="72">
        <f t="shared" si="127"/>
        <v>0</v>
      </c>
      <c r="U521" s="72">
        <f t="shared" si="128"/>
        <v>0</v>
      </c>
    </row>
    <row r="522" spans="1:21" ht="19.5" hidden="1" x14ac:dyDescent="0.3">
      <c r="A522" s="274"/>
      <c r="B522" s="275"/>
      <c r="C522" s="834" t="s">
        <v>18</v>
      </c>
      <c r="D522" s="813" t="s">
        <v>38</v>
      </c>
      <c r="E522" s="278"/>
      <c r="F522" s="278"/>
      <c r="G522" s="279"/>
      <c r="H522" s="280"/>
      <c r="I522" s="270"/>
      <c r="J522" s="261"/>
      <c r="K522" s="85"/>
      <c r="L522" s="84"/>
      <c r="M522" s="85"/>
      <c r="N522" s="85"/>
      <c r="O522" s="227"/>
      <c r="P522" s="227"/>
      <c r="Q522" s="85"/>
      <c r="R522" s="85"/>
      <c r="S522" s="85"/>
      <c r="T522" s="227"/>
      <c r="U522" s="227"/>
    </row>
    <row r="523" spans="1:21" ht="18.75" hidden="1" x14ac:dyDescent="0.25">
      <c r="A523" s="529"/>
      <c r="B523" s="256"/>
      <c r="C523" s="267"/>
      <c r="D523" s="306" t="s">
        <v>209</v>
      </c>
      <c r="E523" s="275"/>
      <c r="F523" s="256"/>
      <c r="G523" s="259"/>
      <c r="H523" s="833" t="s">
        <v>11</v>
      </c>
      <c r="I523" s="570">
        <v>0</v>
      </c>
      <c r="J523" s="832">
        <v>0</v>
      </c>
      <c r="K523" s="75">
        <f>IF(I523&gt;0,J523*100/I523,0)</f>
        <v>0</v>
      </c>
      <c r="L523" s="84"/>
      <c r="M523" s="85"/>
      <c r="N523" s="85"/>
      <c r="O523" s="85"/>
      <c r="P523" s="85"/>
      <c r="Q523" s="85"/>
      <c r="R523" s="85"/>
      <c r="S523" s="85"/>
      <c r="T523" s="85"/>
      <c r="U523" s="85"/>
    </row>
    <row r="524" spans="1:21" ht="18.75" hidden="1" x14ac:dyDescent="0.25">
      <c r="A524" s="606"/>
      <c r="B524" s="615"/>
      <c r="C524" s="607"/>
      <c r="D524" s="831" t="s">
        <v>210</v>
      </c>
      <c r="E524" s="735"/>
      <c r="F524" s="615"/>
      <c r="G524" s="616"/>
      <c r="H524" s="830" t="s">
        <v>61</v>
      </c>
      <c r="I524" s="760">
        <v>0</v>
      </c>
      <c r="J524" s="829">
        <v>0</v>
      </c>
      <c r="K524" s="828">
        <f>IF(I524&gt;0,J524*100/I524,0)</f>
        <v>0</v>
      </c>
      <c r="L524" s="84"/>
      <c r="M524" s="85"/>
      <c r="N524" s="85"/>
      <c r="O524" s="85"/>
      <c r="P524" s="85"/>
      <c r="Q524" s="85"/>
      <c r="R524" s="85"/>
      <c r="S524" s="85"/>
      <c r="T524" s="85"/>
      <c r="U524" s="85"/>
    </row>
    <row r="525" spans="1:21" ht="12.75" hidden="1" x14ac:dyDescent="0.2">
      <c r="A525" s="650"/>
      <c r="B525" s="651"/>
      <c r="C525" s="651"/>
      <c r="D525" s="652"/>
      <c r="E525" s="652"/>
      <c r="F525" s="652"/>
      <c r="G525" s="653"/>
      <c r="H525" s="654"/>
      <c r="I525" s="655"/>
      <c r="J525" s="655"/>
      <c r="K525" s="656"/>
      <c r="L525" s="575"/>
      <c r="M525" s="574"/>
      <c r="N525" s="574"/>
      <c r="O525" s="574"/>
      <c r="P525" s="574"/>
      <c r="Q525" s="574"/>
      <c r="R525" s="574"/>
      <c r="S525" s="574"/>
      <c r="T525" s="574"/>
      <c r="U525" s="574"/>
    </row>
    <row r="526" spans="1:21" ht="12.75" hidden="1" x14ac:dyDescent="0.2">
      <c r="A526" s="590"/>
      <c r="B526" s="571"/>
      <c r="C526" s="571"/>
      <c r="D526" s="591"/>
      <c r="E526" s="591"/>
      <c r="F526" s="591"/>
      <c r="G526" s="592"/>
      <c r="H526" s="572"/>
      <c r="I526" s="573"/>
      <c r="J526" s="573"/>
      <c r="K526" s="574"/>
      <c r="L526" s="575"/>
      <c r="M526" s="574"/>
      <c r="N526" s="574"/>
      <c r="O526" s="574"/>
      <c r="P526" s="574"/>
      <c r="Q526" s="574"/>
      <c r="R526" s="574"/>
      <c r="S526" s="574"/>
      <c r="T526" s="574"/>
      <c r="U526" s="574"/>
    </row>
    <row r="527" spans="1:21" ht="12.75" hidden="1" x14ac:dyDescent="0.2">
      <c r="A527" s="590"/>
      <c r="B527" s="571"/>
      <c r="C527" s="571"/>
      <c r="D527" s="591"/>
      <c r="E527" s="591"/>
      <c r="F527" s="591"/>
      <c r="G527" s="592"/>
      <c r="H527" s="572"/>
      <c r="I527" s="573"/>
      <c r="J527" s="573"/>
      <c r="K527" s="574"/>
      <c r="L527" s="575"/>
      <c r="M527" s="574"/>
      <c r="N527" s="574"/>
      <c r="O527" s="574"/>
      <c r="P527" s="574"/>
      <c r="Q527" s="574"/>
      <c r="R527" s="574"/>
      <c r="S527" s="574"/>
      <c r="T527" s="574"/>
      <c r="U527" s="574"/>
    </row>
    <row r="528" spans="1:21" ht="12.75" hidden="1" x14ac:dyDescent="0.2">
      <c r="A528" s="590"/>
      <c r="B528" s="571"/>
      <c r="C528" s="571"/>
      <c r="D528" s="591"/>
      <c r="E528" s="591"/>
      <c r="F528" s="591"/>
      <c r="G528" s="592"/>
      <c r="H528" s="572"/>
      <c r="I528" s="573"/>
      <c r="J528" s="573"/>
      <c r="K528" s="574"/>
      <c r="L528" s="575"/>
      <c r="M528" s="574"/>
      <c r="N528" s="574"/>
      <c r="O528" s="574"/>
      <c r="P528" s="574"/>
      <c r="Q528" s="574"/>
      <c r="R528" s="574"/>
      <c r="S528" s="574"/>
      <c r="T528" s="574"/>
      <c r="U528" s="574"/>
    </row>
    <row r="529" spans="1:21" ht="12.75" hidden="1" x14ac:dyDescent="0.2">
      <c r="A529" s="590"/>
      <c r="B529" s="571"/>
      <c r="C529" s="571"/>
      <c r="D529" s="591"/>
      <c r="E529" s="591"/>
      <c r="F529" s="591"/>
      <c r="G529" s="592"/>
      <c r="H529" s="572"/>
      <c r="I529" s="573"/>
      <c r="J529" s="573"/>
      <c r="K529" s="574"/>
      <c r="L529" s="575"/>
      <c r="M529" s="574"/>
      <c r="N529" s="574"/>
      <c r="O529" s="574"/>
      <c r="P529" s="574"/>
      <c r="Q529" s="574"/>
      <c r="R529" s="574"/>
      <c r="S529" s="574"/>
      <c r="T529" s="574"/>
      <c r="U529" s="574"/>
    </row>
    <row r="530" spans="1:21" ht="12.75" hidden="1" x14ac:dyDescent="0.2">
      <c r="A530" s="590"/>
      <c r="B530" s="571"/>
      <c r="C530" s="571"/>
      <c r="D530" s="591"/>
      <c r="E530" s="591"/>
      <c r="F530" s="591"/>
      <c r="G530" s="592"/>
      <c r="H530" s="572"/>
      <c r="I530" s="573"/>
      <c r="J530" s="573"/>
      <c r="K530" s="574"/>
      <c r="L530" s="575"/>
      <c r="M530" s="574"/>
      <c r="N530" s="574"/>
      <c r="O530" s="574"/>
      <c r="P530" s="574"/>
      <c r="Q530" s="574"/>
      <c r="R530" s="574"/>
      <c r="S530" s="574"/>
      <c r="T530" s="574"/>
      <c r="U530" s="574"/>
    </row>
    <row r="531" spans="1:21" ht="12.75" hidden="1" x14ac:dyDescent="0.2">
      <c r="A531" s="590"/>
      <c r="B531" s="571"/>
      <c r="C531" s="571"/>
      <c r="D531" s="591"/>
      <c r="E531" s="591"/>
      <c r="F531" s="591"/>
      <c r="G531" s="592"/>
      <c r="H531" s="572"/>
      <c r="I531" s="573"/>
      <c r="J531" s="573"/>
      <c r="K531" s="574"/>
      <c r="L531" s="575"/>
      <c r="M531" s="574"/>
      <c r="N531" s="574"/>
      <c r="O531" s="574"/>
      <c r="P531" s="574"/>
      <c r="Q531" s="574"/>
      <c r="R531" s="574"/>
      <c r="S531" s="574"/>
      <c r="T531" s="574"/>
      <c r="U531" s="574"/>
    </row>
    <row r="532" spans="1:21" ht="12.75" hidden="1" x14ac:dyDescent="0.2">
      <c r="A532" s="657"/>
      <c r="B532" s="576"/>
      <c r="C532" s="576"/>
      <c r="D532" s="658"/>
      <c r="E532" s="658"/>
      <c r="F532" s="658"/>
      <c r="G532" s="659"/>
      <c r="H532" s="577"/>
      <c r="I532" s="578"/>
      <c r="J532" s="578"/>
      <c r="K532" s="579"/>
      <c r="L532" s="580"/>
      <c r="M532" s="579"/>
      <c r="N532" s="579"/>
      <c r="O532" s="579"/>
      <c r="P532" s="579"/>
      <c r="Q532" s="579"/>
      <c r="R532" s="579"/>
      <c r="S532" s="579"/>
      <c r="T532" s="579"/>
      <c r="U532" s="579"/>
    </row>
    <row r="533" spans="1:21" ht="19.5" hidden="1" x14ac:dyDescent="0.3">
      <c r="A533" s="660"/>
      <c r="B533" s="661" t="s">
        <v>211</v>
      </c>
      <c r="C533" s="662"/>
      <c r="D533" s="663"/>
      <c r="E533" s="663"/>
      <c r="F533" s="663"/>
      <c r="G533" s="664"/>
      <c r="H533" s="665" t="s">
        <v>61</v>
      </c>
      <c r="I533" s="827">
        <f>I545</f>
        <v>0</v>
      </c>
      <c r="J533" s="827">
        <f>J545</f>
        <v>0</v>
      </c>
      <c r="K533" s="667">
        <f>IF(I533&gt;0,J533*100/I533,0)</f>
        <v>0</v>
      </c>
      <c r="L533" s="642"/>
      <c r="M533" s="643"/>
      <c r="N533" s="643"/>
      <c r="O533" s="643"/>
      <c r="P533" s="643"/>
      <c r="Q533" s="643"/>
      <c r="R533" s="643"/>
      <c r="S533" s="643"/>
      <c r="T533" s="643"/>
      <c r="U533" s="643"/>
    </row>
    <row r="534" spans="1:21" ht="19.5" hidden="1" x14ac:dyDescent="0.3">
      <c r="A534" s="255"/>
      <c r="B534" s="256"/>
      <c r="C534" s="257" t="s">
        <v>18</v>
      </c>
      <c r="D534" s="258" t="s">
        <v>19</v>
      </c>
      <c r="E534" s="256"/>
      <c r="F534" s="256"/>
      <c r="G534" s="259"/>
      <c r="H534" s="260" t="s">
        <v>14</v>
      </c>
      <c r="I534" s="261"/>
      <c r="J534" s="261"/>
      <c r="K534" s="85"/>
      <c r="L534" s="389">
        <f ca="1">L535+L536</f>
        <v>0</v>
      </c>
      <c r="M534" s="262">
        <f ca="1">M535+M536</f>
        <v>0</v>
      </c>
      <c r="N534" s="262">
        <f ca="1">N535+N536</f>
        <v>0</v>
      </c>
      <c r="O534" s="262">
        <f t="shared" ref="O534:O542" ca="1" si="131">IF(L534&gt;0,N534*100/L534,0)</f>
        <v>0</v>
      </c>
      <c r="P534" s="262">
        <f t="shared" ref="P534:P542" ca="1" si="132">IF(M534&gt;0,N534*100/M534,0)</f>
        <v>0</v>
      </c>
      <c r="Q534" s="262">
        <f>Q535+Q536</f>
        <v>0</v>
      </c>
      <c r="R534" s="262">
        <f>R535+R536</f>
        <v>0</v>
      </c>
      <c r="S534" s="262">
        <f>S535+S536</f>
        <v>0</v>
      </c>
      <c r="T534" s="262">
        <f t="shared" ref="T534:T542" si="133">IF(Q534&gt;0,S534*100/Q534,0)</f>
        <v>0</v>
      </c>
      <c r="U534" s="262">
        <f t="shared" ref="U534:U542" si="134">IF(R534&gt;0,S534*100/R534,0)</f>
        <v>0</v>
      </c>
    </row>
    <row r="535" spans="1:21" ht="18.75" hidden="1" x14ac:dyDescent="0.25">
      <c r="A535" s="255"/>
      <c r="B535" s="267"/>
      <c r="C535" s="256"/>
      <c r="D535" s="256"/>
      <c r="E535" s="263" t="s">
        <v>20</v>
      </c>
      <c r="F535" s="256"/>
      <c r="G535" s="259"/>
      <c r="H535" s="264" t="s">
        <v>14</v>
      </c>
      <c r="I535" s="261"/>
      <c r="J535" s="261"/>
      <c r="K535" s="85"/>
      <c r="L535" s="74">
        <f t="shared" ref="L535:N536" si="135">L538+L541</f>
        <v>0</v>
      </c>
      <c r="M535" s="75">
        <f t="shared" si="135"/>
        <v>0</v>
      </c>
      <c r="N535" s="75">
        <f t="shared" si="135"/>
        <v>0</v>
      </c>
      <c r="O535" s="75">
        <f t="shared" si="131"/>
        <v>0</v>
      </c>
      <c r="P535" s="75">
        <f t="shared" si="132"/>
        <v>0</v>
      </c>
      <c r="Q535" s="75">
        <f t="shared" ref="Q535:S536" si="136">Q538+Q541</f>
        <v>0</v>
      </c>
      <c r="R535" s="75">
        <f t="shared" si="136"/>
        <v>0</v>
      </c>
      <c r="S535" s="75">
        <f t="shared" si="136"/>
        <v>0</v>
      </c>
      <c r="T535" s="75">
        <f t="shared" si="133"/>
        <v>0</v>
      </c>
      <c r="U535" s="75">
        <f t="shared" si="134"/>
        <v>0</v>
      </c>
    </row>
    <row r="536" spans="1:21" ht="18.75" hidden="1" x14ac:dyDescent="0.25">
      <c r="A536" s="255"/>
      <c r="B536" s="256"/>
      <c r="C536" s="267"/>
      <c r="D536" s="256"/>
      <c r="E536" s="567" t="s">
        <v>21</v>
      </c>
      <c r="F536" s="256"/>
      <c r="G536" s="259"/>
      <c r="H536" s="266" t="s">
        <v>14</v>
      </c>
      <c r="I536" s="261"/>
      <c r="J536" s="261"/>
      <c r="K536" s="85"/>
      <c r="L536" s="71">
        <f t="shared" ca="1" si="135"/>
        <v>0</v>
      </c>
      <c r="M536" s="72">
        <f t="shared" ca="1" si="135"/>
        <v>0</v>
      </c>
      <c r="N536" s="72">
        <f t="shared" ca="1" si="135"/>
        <v>0</v>
      </c>
      <c r="O536" s="72">
        <f t="shared" ca="1" si="131"/>
        <v>0</v>
      </c>
      <c r="P536" s="72">
        <f t="shared" ca="1" si="132"/>
        <v>0</v>
      </c>
      <c r="Q536" s="72">
        <f t="shared" si="136"/>
        <v>0</v>
      </c>
      <c r="R536" s="72">
        <f t="shared" si="136"/>
        <v>0</v>
      </c>
      <c r="S536" s="72">
        <f t="shared" si="136"/>
        <v>0</v>
      </c>
      <c r="T536" s="72">
        <f t="shared" si="133"/>
        <v>0</v>
      </c>
      <c r="U536" s="72">
        <f t="shared" si="134"/>
        <v>0</v>
      </c>
    </row>
    <row r="537" spans="1:21" ht="18.75" hidden="1" x14ac:dyDescent="0.25">
      <c r="A537" s="255"/>
      <c r="B537" s="256"/>
      <c r="C537" s="267"/>
      <c r="D537" s="268" t="s">
        <v>22</v>
      </c>
      <c r="E537" s="267"/>
      <c r="F537" s="256"/>
      <c r="G537" s="259"/>
      <c r="H537" s="269" t="s">
        <v>14</v>
      </c>
      <c r="I537" s="270"/>
      <c r="J537" s="270"/>
      <c r="K537" s="227"/>
      <c r="L537" s="71">
        <f ca="1">L538+L539</f>
        <v>0</v>
      </c>
      <c r="M537" s="72">
        <f ca="1">M538+M539</f>
        <v>0</v>
      </c>
      <c r="N537" s="72">
        <f ca="1">N538+N539</f>
        <v>0</v>
      </c>
      <c r="O537" s="72">
        <f t="shared" ca="1" si="131"/>
        <v>0</v>
      </c>
      <c r="P537" s="72">
        <f t="shared" ca="1" si="132"/>
        <v>0</v>
      </c>
      <c r="Q537" s="72">
        <f>Q538+Q539</f>
        <v>0</v>
      </c>
      <c r="R537" s="72">
        <f>R538+R539</f>
        <v>0</v>
      </c>
      <c r="S537" s="72">
        <f>S538+S539</f>
        <v>0</v>
      </c>
      <c r="T537" s="72">
        <f t="shared" si="133"/>
        <v>0</v>
      </c>
      <c r="U537" s="72">
        <f t="shared" si="134"/>
        <v>0</v>
      </c>
    </row>
    <row r="538" spans="1:21" ht="18.75" hidden="1" x14ac:dyDescent="0.25">
      <c r="A538" s="255"/>
      <c r="B538" s="256"/>
      <c r="C538" s="256"/>
      <c r="D538" s="256"/>
      <c r="E538" s="263" t="s">
        <v>36</v>
      </c>
      <c r="F538" s="256"/>
      <c r="G538" s="259"/>
      <c r="H538" s="271" t="s">
        <v>14</v>
      </c>
      <c r="I538" s="270"/>
      <c r="J538" s="270"/>
      <c r="K538" s="227"/>
      <c r="L538" s="74">
        <v>0</v>
      </c>
      <c r="M538" s="75">
        <v>0</v>
      </c>
      <c r="N538" s="75">
        <v>0</v>
      </c>
      <c r="O538" s="75">
        <f t="shared" si="131"/>
        <v>0</v>
      </c>
      <c r="P538" s="75">
        <f t="shared" si="132"/>
        <v>0</v>
      </c>
      <c r="Q538" s="75">
        <v>0</v>
      </c>
      <c r="R538" s="75">
        <v>0</v>
      </c>
      <c r="S538" s="75">
        <v>0</v>
      </c>
      <c r="T538" s="75">
        <f t="shared" si="133"/>
        <v>0</v>
      </c>
      <c r="U538" s="75">
        <f t="shared" si="134"/>
        <v>0</v>
      </c>
    </row>
    <row r="539" spans="1:21" ht="18.75" hidden="1" x14ac:dyDescent="0.25">
      <c r="A539" s="255"/>
      <c r="B539" s="256"/>
      <c r="C539" s="256"/>
      <c r="D539" s="256"/>
      <c r="E539" s="265" t="s">
        <v>37</v>
      </c>
      <c r="F539" s="256"/>
      <c r="G539" s="259"/>
      <c r="H539" s="269" t="s">
        <v>14</v>
      </c>
      <c r="I539" s="270"/>
      <c r="J539" s="270"/>
      <c r="K539" s="227"/>
      <c r="L539" s="71">
        <f ca="1">IFERROR(__xludf.DUMMYFUNCTION("IMPORTRANGE(""https://docs.google.com/spreadsheets/d/1-uDff_7J0KD5mKrp0Vvzr7lt3OU09vwQwhkpOPPYv2Y/edit?usp=sharing"",""งบพรบ!FW60"")"),0)</f>
        <v>0</v>
      </c>
      <c r="M539" s="72">
        <f ca="1">IFERROR(__xludf.DUMMYFUNCTION("IMPORTRANGE(""https://docs.google.com/spreadsheets/d/1-uDff_7J0KD5mKrp0Vvzr7lt3OU09vwQwhkpOPPYv2Y/edit?usp=sharing"",""งบพรบ!GB60"")"),0)</f>
        <v>0</v>
      </c>
      <c r="N539" s="72">
        <f ca="1">IFERROR(__xludf.DUMMYFUNCTION("IMPORTRANGE(""https://docs.google.com/spreadsheets/d/1-uDff_7J0KD5mKrp0Vvzr7lt3OU09vwQwhkpOPPYv2Y/edit?usp=sharing"",""งบพรบ!GD60"")"),0)</f>
        <v>0</v>
      </c>
      <c r="O539" s="72">
        <f t="shared" ca="1" si="131"/>
        <v>0</v>
      </c>
      <c r="P539" s="72">
        <f t="shared" ca="1" si="132"/>
        <v>0</v>
      </c>
      <c r="Q539" s="72">
        <v>0</v>
      </c>
      <c r="R539" s="72">
        <v>0</v>
      </c>
      <c r="S539" s="72">
        <v>0</v>
      </c>
      <c r="T539" s="72">
        <f t="shared" si="133"/>
        <v>0</v>
      </c>
      <c r="U539" s="72">
        <f t="shared" si="134"/>
        <v>0</v>
      </c>
    </row>
    <row r="540" spans="1:21" ht="18.75" hidden="1" x14ac:dyDescent="0.25">
      <c r="A540" s="255"/>
      <c r="B540" s="256"/>
      <c r="C540" s="256"/>
      <c r="D540" s="268" t="s">
        <v>23</v>
      </c>
      <c r="E540" s="256"/>
      <c r="F540" s="256"/>
      <c r="G540" s="259"/>
      <c r="H540" s="273" t="s">
        <v>14</v>
      </c>
      <c r="I540" s="270"/>
      <c r="J540" s="270"/>
      <c r="K540" s="227"/>
      <c r="L540" s="71">
        <f ca="1">L541+L542</f>
        <v>0</v>
      </c>
      <c r="M540" s="72">
        <f ca="1">M541+M542</f>
        <v>0</v>
      </c>
      <c r="N540" s="72">
        <f ca="1">N541+N542</f>
        <v>0</v>
      </c>
      <c r="O540" s="72">
        <f t="shared" ca="1" si="131"/>
        <v>0</v>
      </c>
      <c r="P540" s="72">
        <f t="shared" ca="1" si="132"/>
        <v>0</v>
      </c>
      <c r="Q540" s="72">
        <f>Q541+Q542</f>
        <v>0</v>
      </c>
      <c r="R540" s="72">
        <f>R541+R542</f>
        <v>0</v>
      </c>
      <c r="S540" s="72">
        <f>S541+S542</f>
        <v>0</v>
      </c>
      <c r="T540" s="72">
        <f t="shared" si="133"/>
        <v>0</v>
      </c>
      <c r="U540" s="72">
        <f t="shared" si="134"/>
        <v>0</v>
      </c>
    </row>
    <row r="541" spans="1:21" ht="18.75" hidden="1" x14ac:dyDescent="0.25">
      <c r="A541" s="255"/>
      <c r="B541" s="256"/>
      <c r="C541" s="256"/>
      <c r="D541" s="256"/>
      <c r="E541" s="263" t="s">
        <v>20</v>
      </c>
      <c r="F541" s="256"/>
      <c r="G541" s="259"/>
      <c r="H541" s="271" t="s">
        <v>14</v>
      </c>
      <c r="I541" s="270"/>
      <c r="J541" s="270"/>
      <c r="K541" s="227"/>
      <c r="L541" s="74">
        <v>0</v>
      </c>
      <c r="M541" s="75">
        <v>0</v>
      </c>
      <c r="N541" s="75">
        <v>0</v>
      </c>
      <c r="O541" s="75">
        <f t="shared" si="131"/>
        <v>0</v>
      </c>
      <c r="P541" s="75">
        <f t="shared" si="132"/>
        <v>0</v>
      </c>
      <c r="Q541" s="75">
        <v>0</v>
      </c>
      <c r="R541" s="75">
        <v>0</v>
      </c>
      <c r="S541" s="75">
        <v>0</v>
      </c>
      <c r="T541" s="75">
        <f t="shared" si="133"/>
        <v>0</v>
      </c>
      <c r="U541" s="75">
        <f t="shared" si="134"/>
        <v>0</v>
      </c>
    </row>
    <row r="542" spans="1:21" ht="18.75" hidden="1" x14ac:dyDescent="0.25">
      <c r="A542" s="255"/>
      <c r="B542" s="256"/>
      <c r="C542" s="256"/>
      <c r="D542" s="256"/>
      <c r="E542" s="265" t="s">
        <v>21</v>
      </c>
      <c r="F542" s="256"/>
      <c r="G542" s="259"/>
      <c r="H542" s="273" t="s">
        <v>14</v>
      </c>
      <c r="I542" s="270"/>
      <c r="J542" s="270"/>
      <c r="K542" s="227"/>
      <c r="L542" s="71">
        <f ca="1">IFERROR(__xludf.DUMMYFUNCTION("IMPORTRANGE(""https://docs.google.com/spreadsheets/d/1-uDff_7J0KD5mKrp0Vvzr7lt3OU09vwQwhkpOPPYv2Y/edit?usp=sharing"",""งบพรบ!FZ60"")"),0)</f>
        <v>0</v>
      </c>
      <c r="M542" s="72">
        <f ca="1">IFERROR(__xludf.DUMMYFUNCTION("IMPORTRANGE(""https://docs.google.com/spreadsheets/d/1-uDff_7J0KD5mKrp0Vvzr7lt3OU09vwQwhkpOPPYv2Y/edit?usp=sharing"",""งบพรบ!GC60"")"),0)</f>
        <v>0</v>
      </c>
      <c r="N542" s="72">
        <f ca="1">IFERROR(__xludf.DUMMYFUNCTION("IMPORTRANGE(""https://docs.google.com/spreadsheets/d/1-uDff_7J0KD5mKrp0Vvzr7lt3OU09vwQwhkpOPPYv2Y/edit?usp=sharing"",""งบพรบ!GE60"")"),0)</f>
        <v>0</v>
      </c>
      <c r="O542" s="72">
        <f t="shared" ca="1" si="131"/>
        <v>0</v>
      </c>
      <c r="P542" s="72">
        <f t="shared" ca="1" si="132"/>
        <v>0</v>
      </c>
      <c r="Q542" s="72">
        <v>0</v>
      </c>
      <c r="R542" s="72">
        <v>0</v>
      </c>
      <c r="S542" s="72">
        <v>0</v>
      </c>
      <c r="T542" s="72">
        <f t="shared" si="133"/>
        <v>0</v>
      </c>
      <c r="U542" s="72">
        <f t="shared" si="134"/>
        <v>0</v>
      </c>
    </row>
    <row r="543" spans="1:21" ht="19.5" hidden="1" x14ac:dyDescent="0.3">
      <c r="A543" s="274"/>
      <c r="B543" s="275"/>
      <c r="C543" s="668" t="s">
        <v>18</v>
      </c>
      <c r="D543" s="800" t="s">
        <v>38</v>
      </c>
      <c r="E543" s="278"/>
      <c r="F543" s="278"/>
      <c r="G543" s="279"/>
      <c r="H543" s="280"/>
      <c r="I543" s="270"/>
      <c r="J543" s="261"/>
      <c r="K543" s="85"/>
      <c r="L543" s="84"/>
      <c r="M543" s="85"/>
      <c r="N543" s="85"/>
      <c r="O543" s="227"/>
      <c r="P543" s="227"/>
      <c r="Q543" s="85"/>
      <c r="R543" s="85"/>
      <c r="S543" s="85"/>
      <c r="T543" s="227"/>
      <c r="U543" s="227"/>
    </row>
    <row r="544" spans="1:21" ht="12.75" hidden="1" x14ac:dyDescent="0.2">
      <c r="A544" s="590"/>
      <c r="B544" s="591"/>
      <c r="C544" s="571"/>
      <c r="D544" s="591"/>
      <c r="E544" s="571"/>
      <c r="F544" s="591"/>
      <c r="G544" s="592"/>
      <c r="H544" s="592"/>
      <c r="I544" s="573"/>
      <c r="J544" s="573"/>
      <c r="K544" s="574"/>
      <c r="L544" s="575"/>
      <c r="M544" s="574"/>
      <c r="N544" s="574"/>
      <c r="O544" s="574"/>
      <c r="P544" s="574"/>
      <c r="Q544" s="574"/>
      <c r="R544" s="574"/>
      <c r="S544" s="574"/>
      <c r="T544" s="574"/>
      <c r="U544" s="574"/>
    </row>
    <row r="545" spans="1:21" ht="12.75" hidden="1" x14ac:dyDescent="0.2">
      <c r="A545" s="590"/>
      <c r="B545" s="591"/>
      <c r="C545" s="571"/>
      <c r="D545" s="591"/>
      <c r="E545" s="571"/>
      <c r="F545" s="591"/>
      <c r="G545" s="592"/>
      <c r="H545" s="592"/>
      <c r="I545" s="573"/>
      <c r="J545" s="573"/>
      <c r="K545" s="574"/>
      <c r="L545" s="575"/>
      <c r="M545" s="574"/>
      <c r="N545" s="574"/>
      <c r="O545" s="574"/>
      <c r="P545" s="574"/>
      <c r="Q545" s="574"/>
      <c r="R545" s="574"/>
      <c r="S545" s="574"/>
      <c r="T545" s="574"/>
      <c r="U545" s="574"/>
    </row>
    <row r="546" spans="1:21" ht="12.75" hidden="1" x14ac:dyDescent="0.2">
      <c r="A546" s="590"/>
      <c r="B546" s="571"/>
      <c r="C546" s="571"/>
      <c r="D546" s="591"/>
      <c r="E546" s="591"/>
      <c r="F546" s="591"/>
      <c r="G546" s="592"/>
      <c r="H546" s="572"/>
      <c r="I546" s="573"/>
      <c r="J546" s="573"/>
      <c r="K546" s="574"/>
      <c r="L546" s="575"/>
      <c r="M546" s="574"/>
      <c r="N546" s="574"/>
      <c r="O546" s="574"/>
      <c r="P546" s="574"/>
      <c r="Q546" s="574"/>
      <c r="R546" s="574"/>
      <c r="S546" s="574"/>
      <c r="T546" s="574"/>
      <c r="U546" s="574"/>
    </row>
    <row r="547" spans="1:21" ht="12.75" hidden="1" x14ac:dyDescent="0.2">
      <c r="A547" s="590"/>
      <c r="B547" s="571"/>
      <c r="C547" s="571"/>
      <c r="D547" s="591"/>
      <c r="E547" s="591"/>
      <c r="F547" s="591"/>
      <c r="G547" s="592"/>
      <c r="H547" s="572"/>
      <c r="I547" s="573"/>
      <c r="J547" s="573"/>
      <c r="K547" s="574"/>
      <c r="L547" s="575"/>
      <c r="M547" s="574"/>
      <c r="N547" s="574"/>
      <c r="O547" s="574"/>
      <c r="P547" s="574"/>
      <c r="Q547" s="574"/>
      <c r="R547" s="574"/>
      <c r="S547" s="574"/>
      <c r="T547" s="574"/>
      <c r="U547" s="574"/>
    </row>
    <row r="548" spans="1:21" ht="12.75" hidden="1" x14ac:dyDescent="0.2">
      <c r="A548" s="590"/>
      <c r="B548" s="571"/>
      <c r="C548" s="571"/>
      <c r="D548" s="591"/>
      <c r="E548" s="591"/>
      <c r="F548" s="591"/>
      <c r="G548" s="592"/>
      <c r="H548" s="572"/>
      <c r="I548" s="573"/>
      <c r="J548" s="573"/>
      <c r="K548" s="574"/>
      <c r="L548" s="575"/>
      <c r="M548" s="574"/>
      <c r="N548" s="574"/>
      <c r="O548" s="574"/>
      <c r="P548" s="574"/>
      <c r="Q548" s="574"/>
      <c r="R548" s="574"/>
      <c r="S548" s="574"/>
      <c r="T548" s="574"/>
      <c r="U548" s="574"/>
    </row>
    <row r="549" spans="1:21" ht="12.75" hidden="1" x14ac:dyDescent="0.2">
      <c r="A549" s="590"/>
      <c r="B549" s="571"/>
      <c r="C549" s="571"/>
      <c r="D549" s="591"/>
      <c r="E549" s="591"/>
      <c r="F549" s="591"/>
      <c r="G549" s="592"/>
      <c r="H549" s="572"/>
      <c r="I549" s="573"/>
      <c r="J549" s="573"/>
      <c r="K549" s="574"/>
      <c r="L549" s="575"/>
      <c r="M549" s="574"/>
      <c r="N549" s="574"/>
      <c r="O549" s="574"/>
      <c r="P549" s="574"/>
      <c r="Q549" s="574"/>
      <c r="R549" s="574"/>
      <c r="S549" s="574"/>
      <c r="T549" s="574"/>
      <c r="U549" s="574"/>
    </row>
    <row r="550" spans="1:21" ht="12.75" hidden="1" x14ac:dyDescent="0.2">
      <c r="A550" s="590"/>
      <c r="B550" s="571"/>
      <c r="C550" s="571"/>
      <c r="D550" s="591"/>
      <c r="E550" s="591"/>
      <c r="F550" s="591"/>
      <c r="G550" s="592"/>
      <c r="H550" s="572"/>
      <c r="I550" s="573"/>
      <c r="J550" s="573"/>
      <c r="K550" s="574"/>
      <c r="L550" s="575"/>
      <c r="M550" s="574"/>
      <c r="N550" s="574"/>
      <c r="O550" s="574"/>
      <c r="P550" s="574"/>
      <c r="Q550" s="574"/>
      <c r="R550" s="574"/>
      <c r="S550" s="574"/>
      <c r="T550" s="574"/>
      <c r="U550" s="574"/>
    </row>
    <row r="551" spans="1:21" ht="12.75" hidden="1" x14ac:dyDescent="0.2">
      <c r="A551" s="590"/>
      <c r="B551" s="571"/>
      <c r="C551" s="571"/>
      <c r="D551" s="591"/>
      <c r="E551" s="591"/>
      <c r="F551" s="591"/>
      <c r="G551" s="592"/>
      <c r="H551" s="572"/>
      <c r="I551" s="573"/>
      <c r="J551" s="573"/>
      <c r="K551" s="574"/>
      <c r="L551" s="575"/>
      <c r="M551" s="574"/>
      <c r="N551" s="574"/>
      <c r="O551" s="574"/>
      <c r="P551" s="574"/>
      <c r="Q551" s="574"/>
      <c r="R551" s="574"/>
      <c r="S551" s="574"/>
      <c r="T551" s="574"/>
      <c r="U551" s="574"/>
    </row>
    <row r="552" spans="1:21" ht="12.75" hidden="1" x14ac:dyDescent="0.2">
      <c r="A552" s="590"/>
      <c r="B552" s="571"/>
      <c r="C552" s="571"/>
      <c r="D552" s="591"/>
      <c r="E552" s="591"/>
      <c r="F552" s="591"/>
      <c r="G552" s="592"/>
      <c r="H552" s="572"/>
      <c r="I552" s="573"/>
      <c r="J552" s="573"/>
      <c r="K552" s="574"/>
      <c r="L552" s="575"/>
      <c r="M552" s="574"/>
      <c r="N552" s="574"/>
      <c r="O552" s="574"/>
      <c r="P552" s="574"/>
      <c r="Q552" s="574"/>
      <c r="R552" s="574"/>
      <c r="S552" s="574"/>
      <c r="T552" s="574"/>
      <c r="U552" s="574"/>
    </row>
    <row r="553" spans="1:21" ht="12.75" hidden="1" x14ac:dyDescent="0.2">
      <c r="A553" s="657"/>
      <c r="B553" s="576"/>
      <c r="C553" s="576"/>
      <c r="D553" s="658"/>
      <c r="E553" s="658"/>
      <c r="F553" s="658"/>
      <c r="G553" s="659"/>
      <c r="H553" s="577"/>
      <c r="I553" s="578"/>
      <c r="J553" s="578"/>
      <c r="K553" s="579"/>
      <c r="L553" s="580"/>
      <c r="M553" s="579"/>
      <c r="N553" s="579"/>
      <c r="O553" s="579"/>
      <c r="P553" s="579"/>
      <c r="Q553" s="579"/>
      <c r="R553" s="579"/>
      <c r="S553" s="579"/>
      <c r="T553" s="579"/>
      <c r="U553" s="579"/>
    </row>
    <row r="554" spans="1:21" ht="19.5" hidden="1" x14ac:dyDescent="0.3">
      <c r="A554" s="660"/>
      <c r="B554" s="661" t="s">
        <v>212</v>
      </c>
      <c r="C554" s="662"/>
      <c r="D554" s="663"/>
      <c r="E554" s="663"/>
      <c r="F554" s="663"/>
      <c r="G554" s="664"/>
      <c r="H554" s="665" t="s">
        <v>61</v>
      </c>
      <c r="I554" s="827">
        <f>I566</f>
        <v>0</v>
      </c>
      <c r="J554" s="827">
        <f>J566</f>
        <v>0</v>
      </c>
      <c r="K554" s="667">
        <f>IF(I554&gt;0,J554*100/I554,0)</f>
        <v>0</v>
      </c>
      <c r="L554" s="642"/>
      <c r="M554" s="643"/>
      <c r="N554" s="643"/>
      <c r="O554" s="643"/>
      <c r="P554" s="643"/>
      <c r="Q554" s="643"/>
      <c r="R554" s="643"/>
      <c r="S554" s="643"/>
      <c r="T554" s="643"/>
      <c r="U554" s="643"/>
    </row>
    <row r="555" spans="1:21" ht="19.5" hidden="1" x14ac:dyDescent="0.3">
      <c r="A555" s="255"/>
      <c r="B555" s="256"/>
      <c r="C555" s="257" t="s">
        <v>18</v>
      </c>
      <c r="D555" s="258" t="s">
        <v>19</v>
      </c>
      <c r="E555" s="256"/>
      <c r="F555" s="256"/>
      <c r="G555" s="259"/>
      <c r="H555" s="260" t="s">
        <v>14</v>
      </c>
      <c r="I555" s="261"/>
      <c r="J555" s="261"/>
      <c r="K555" s="85"/>
      <c r="L555" s="389">
        <f ca="1">L556+L557</f>
        <v>0</v>
      </c>
      <c r="M555" s="262">
        <f ca="1">M556+M557</f>
        <v>0</v>
      </c>
      <c r="N555" s="262">
        <f ca="1">N556+N557</f>
        <v>0</v>
      </c>
      <c r="O555" s="262">
        <f t="shared" ref="O555:O563" ca="1" si="137">IF(L555&gt;0,N555*100/L555,0)</f>
        <v>0</v>
      </c>
      <c r="P555" s="262">
        <f t="shared" ref="P555:P563" ca="1" si="138">IF(M555&gt;0,N555*100/M555,0)</f>
        <v>0</v>
      </c>
      <c r="Q555" s="262">
        <f>Q556+Q557</f>
        <v>0</v>
      </c>
      <c r="R555" s="262">
        <f>R556+R557</f>
        <v>0</v>
      </c>
      <c r="S555" s="262">
        <f>S556+S557</f>
        <v>0</v>
      </c>
      <c r="T555" s="262">
        <f t="shared" ref="T555:T563" si="139">IF(Q555&gt;0,S555*100/Q555,0)</f>
        <v>0</v>
      </c>
      <c r="U555" s="262">
        <f t="shared" ref="U555:U563" si="140">IF(R555&gt;0,S555*100/R555,0)</f>
        <v>0</v>
      </c>
    </row>
    <row r="556" spans="1:21" ht="18.75" hidden="1" x14ac:dyDescent="0.25">
      <c r="A556" s="255"/>
      <c r="B556" s="267"/>
      <c r="C556" s="256"/>
      <c r="D556" s="256"/>
      <c r="E556" s="263" t="s">
        <v>20</v>
      </c>
      <c r="F556" s="256"/>
      <c r="G556" s="259"/>
      <c r="H556" s="264" t="s">
        <v>14</v>
      </c>
      <c r="I556" s="261"/>
      <c r="J556" s="261"/>
      <c r="K556" s="85"/>
      <c r="L556" s="74">
        <f t="shared" ref="L556:N557" si="141">L559+L562</f>
        <v>0</v>
      </c>
      <c r="M556" s="75">
        <f t="shared" si="141"/>
        <v>0</v>
      </c>
      <c r="N556" s="75">
        <f t="shared" si="141"/>
        <v>0</v>
      </c>
      <c r="O556" s="75">
        <f t="shared" si="137"/>
        <v>0</v>
      </c>
      <c r="P556" s="75">
        <f t="shared" si="138"/>
        <v>0</v>
      </c>
      <c r="Q556" s="75">
        <f t="shared" ref="Q556:S557" si="142">Q559+Q562</f>
        <v>0</v>
      </c>
      <c r="R556" s="75">
        <f t="shared" si="142"/>
        <v>0</v>
      </c>
      <c r="S556" s="75">
        <f t="shared" si="142"/>
        <v>0</v>
      </c>
      <c r="T556" s="75">
        <f t="shared" si="139"/>
        <v>0</v>
      </c>
      <c r="U556" s="75">
        <f t="shared" si="140"/>
        <v>0</v>
      </c>
    </row>
    <row r="557" spans="1:21" ht="18.75" hidden="1" x14ac:dyDescent="0.25">
      <c r="A557" s="255"/>
      <c r="B557" s="256"/>
      <c r="C557" s="267"/>
      <c r="D557" s="256"/>
      <c r="E557" s="567" t="s">
        <v>21</v>
      </c>
      <c r="F557" s="256"/>
      <c r="G557" s="259"/>
      <c r="H557" s="266" t="s">
        <v>14</v>
      </c>
      <c r="I557" s="261"/>
      <c r="J557" s="261"/>
      <c r="K557" s="85"/>
      <c r="L557" s="71">
        <f t="shared" ca="1" si="141"/>
        <v>0</v>
      </c>
      <c r="M557" s="72">
        <f t="shared" ca="1" si="141"/>
        <v>0</v>
      </c>
      <c r="N557" s="72">
        <f t="shared" ca="1" si="141"/>
        <v>0</v>
      </c>
      <c r="O557" s="72">
        <f t="shared" ca="1" si="137"/>
        <v>0</v>
      </c>
      <c r="P557" s="72">
        <f t="shared" ca="1" si="138"/>
        <v>0</v>
      </c>
      <c r="Q557" s="72">
        <f t="shared" si="142"/>
        <v>0</v>
      </c>
      <c r="R557" s="72">
        <f t="shared" si="142"/>
        <v>0</v>
      </c>
      <c r="S557" s="72">
        <f t="shared" si="142"/>
        <v>0</v>
      </c>
      <c r="T557" s="72">
        <f t="shared" si="139"/>
        <v>0</v>
      </c>
      <c r="U557" s="72">
        <f t="shared" si="140"/>
        <v>0</v>
      </c>
    </row>
    <row r="558" spans="1:21" ht="18.75" hidden="1" x14ac:dyDescent="0.25">
      <c r="A558" s="255"/>
      <c r="B558" s="256"/>
      <c r="C558" s="267"/>
      <c r="D558" s="268" t="s">
        <v>22</v>
      </c>
      <c r="E558" s="267"/>
      <c r="F558" s="256"/>
      <c r="G558" s="259"/>
      <c r="H558" s="269" t="s">
        <v>14</v>
      </c>
      <c r="I558" s="270"/>
      <c r="J558" s="270"/>
      <c r="K558" s="227"/>
      <c r="L558" s="71">
        <f ca="1">L559+L560</f>
        <v>0</v>
      </c>
      <c r="M558" s="72">
        <f ca="1">M559+M560</f>
        <v>0</v>
      </c>
      <c r="N558" s="72">
        <f ca="1">N559+N560</f>
        <v>0</v>
      </c>
      <c r="O558" s="72">
        <f t="shared" ca="1" si="137"/>
        <v>0</v>
      </c>
      <c r="P558" s="72">
        <f t="shared" ca="1" si="138"/>
        <v>0</v>
      </c>
      <c r="Q558" s="72">
        <f>Q559+Q560</f>
        <v>0</v>
      </c>
      <c r="R558" s="72">
        <f>R559+R560</f>
        <v>0</v>
      </c>
      <c r="S558" s="72">
        <f>S559+S560</f>
        <v>0</v>
      </c>
      <c r="T558" s="72">
        <f t="shared" si="139"/>
        <v>0</v>
      </c>
      <c r="U558" s="72">
        <f t="shared" si="140"/>
        <v>0</v>
      </c>
    </row>
    <row r="559" spans="1:21" ht="18.75" hidden="1" x14ac:dyDescent="0.25">
      <c r="A559" s="255"/>
      <c r="B559" s="256"/>
      <c r="C559" s="256"/>
      <c r="D559" s="256"/>
      <c r="E559" s="263" t="s">
        <v>36</v>
      </c>
      <c r="F559" s="256"/>
      <c r="G559" s="259"/>
      <c r="H559" s="271" t="s">
        <v>14</v>
      </c>
      <c r="I559" s="270"/>
      <c r="J559" s="270"/>
      <c r="K559" s="227"/>
      <c r="L559" s="74">
        <v>0</v>
      </c>
      <c r="M559" s="75">
        <v>0</v>
      </c>
      <c r="N559" s="75">
        <v>0</v>
      </c>
      <c r="O559" s="75">
        <f t="shared" si="137"/>
        <v>0</v>
      </c>
      <c r="P559" s="75">
        <f t="shared" si="138"/>
        <v>0</v>
      </c>
      <c r="Q559" s="75">
        <v>0</v>
      </c>
      <c r="R559" s="75">
        <v>0</v>
      </c>
      <c r="S559" s="75">
        <v>0</v>
      </c>
      <c r="T559" s="75">
        <f t="shared" si="139"/>
        <v>0</v>
      </c>
      <c r="U559" s="75">
        <f t="shared" si="140"/>
        <v>0</v>
      </c>
    </row>
    <row r="560" spans="1:21" ht="18.75" hidden="1" x14ac:dyDescent="0.25">
      <c r="A560" s="255"/>
      <c r="B560" s="256"/>
      <c r="C560" s="256"/>
      <c r="D560" s="256"/>
      <c r="E560" s="265" t="s">
        <v>37</v>
      </c>
      <c r="F560" s="256"/>
      <c r="G560" s="259"/>
      <c r="H560" s="269" t="s">
        <v>14</v>
      </c>
      <c r="I560" s="270"/>
      <c r="J560" s="270"/>
      <c r="K560" s="227"/>
      <c r="L560" s="71">
        <f ca="1">IFERROR(__xludf.DUMMYFUNCTION("IMPORTRANGE(""https://docs.google.com/spreadsheets/d/1-uDff_7J0KD5mKrp0Vvzr7lt3OU09vwQwhkpOPPYv2Y/edit?usp=sharing"",""งบพรบ!GG60"")"),0)</f>
        <v>0</v>
      </c>
      <c r="M560" s="72">
        <f ca="1">IFERROR(__xludf.DUMMYFUNCTION("IMPORTRANGE(""https://docs.google.com/spreadsheets/d/1-uDff_7J0KD5mKrp0Vvzr7lt3OU09vwQwhkpOPPYv2Y/edit?usp=sharing"",""งบพรบ!GL60"")"),0)</f>
        <v>0</v>
      </c>
      <c r="N560" s="72">
        <f ca="1">IFERROR(__xludf.DUMMYFUNCTION("IMPORTRANGE(""https://docs.google.com/spreadsheets/d/1-uDff_7J0KD5mKrp0Vvzr7lt3OU09vwQwhkpOPPYv2Y/edit?usp=sharing"",""งบพรบ!GN60"")"),0)</f>
        <v>0</v>
      </c>
      <c r="O560" s="72">
        <f t="shared" ca="1" si="137"/>
        <v>0</v>
      </c>
      <c r="P560" s="72">
        <f t="shared" ca="1" si="138"/>
        <v>0</v>
      </c>
      <c r="Q560" s="72">
        <v>0</v>
      </c>
      <c r="R560" s="72">
        <v>0</v>
      </c>
      <c r="S560" s="72">
        <v>0</v>
      </c>
      <c r="T560" s="72">
        <f t="shared" si="139"/>
        <v>0</v>
      </c>
      <c r="U560" s="72">
        <f t="shared" si="140"/>
        <v>0</v>
      </c>
    </row>
    <row r="561" spans="1:21" ht="18.75" hidden="1" x14ac:dyDescent="0.25">
      <c r="A561" s="255"/>
      <c r="B561" s="256"/>
      <c r="C561" s="256"/>
      <c r="D561" s="268" t="s">
        <v>23</v>
      </c>
      <c r="E561" s="256"/>
      <c r="F561" s="256"/>
      <c r="G561" s="259"/>
      <c r="H561" s="273" t="s">
        <v>14</v>
      </c>
      <c r="I561" s="270"/>
      <c r="J561" s="270"/>
      <c r="K561" s="227"/>
      <c r="L561" s="71">
        <f ca="1">L562+L563</f>
        <v>0</v>
      </c>
      <c r="M561" s="72">
        <f ca="1">M562+M563</f>
        <v>0</v>
      </c>
      <c r="N561" s="72">
        <f ca="1">N562+N563</f>
        <v>0</v>
      </c>
      <c r="O561" s="72">
        <f t="shared" ca="1" si="137"/>
        <v>0</v>
      </c>
      <c r="P561" s="72">
        <f t="shared" ca="1" si="138"/>
        <v>0</v>
      </c>
      <c r="Q561" s="72">
        <f>Q562+Q563</f>
        <v>0</v>
      </c>
      <c r="R561" s="72">
        <f>R562+R563</f>
        <v>0</v>
      </c>
      <c r="S561" s="72">
        <f>S562+S563</f>
        <v>0</v>
      </c>
      <c r="T561" s="72">
        <f t="shared" si="139"/>
        <v>0</v>
      </c>
      <c r="U561" s="72">
        <f t="shared" si="140"/>
        <v>0</v>
      </c>
    </row>
    <row r="562" spans="1:21" ht="18.75" hidden="1" x14ac:dyDescent="0.25">
      <c r="A562" s="255"/>
      <c r="B562" s="256"/>
      <c r="C562" s="256"/>
      <c r="D562" s="256"/>
      <c r="E562" s="263" t="s">
        <v>20</v>
      </c>
      <c r="F562" s="256"/>
      <c r="G562" s="259"/>
      <c r="H562" s="271" t="s">
        <v>14</v>
      </c>
      <c r="I562" s="270"/>
      <c r="J562" s="270"/>
      <c r="K562" s="227"/>
      <c r="L562" s="74">
        <v>0</v>
      </c>
      <c r="M562" s="75">
        <v>0</v>
      </c>
      <c r="N562" s="75">
        <v>0</v>
      </c>
      <c r="O562" s="75">
        <f t="shared" si="137"/>
        <v>0</v>
      </c>
      <c r="P562" s="75">
        <f t="shared" si="138"/>
        <v>0</v>
      </c>
      <c r="Q562" s="75">
        <v>0</v>
      </c>
      <c r="R562" s="75">
        <v>0</v>
      </c>
      <c r="S562" s="75">
        <v>0</v>
      </c>
      <c r="T562" s="75">
        <f t="shared" si="139"/>
        <v>0</v>
      </c>
      <c r="U562" s="75">
        <f t="shared" si="140"/>
        <v>0</v>
      </c>
    </row>
    <row r="563" spans="1:21" ht="18.75" hidden="1" x14ac:dyDescent="0.25">
      <c r="A563" s="255"/>
      <c r="B563" s="256"/>
      <c r="C563" s="256"/>
      <c r="D563" s="256"/>
      <c r="E563" s="265" t="s">
        <v>21</v>
      </c>
      <c r="F563" s="256"/>
      <c r="G563" s="259"/>
      <c r="H563" s="273" t="s">
        <v>14</v>
      </c>
      <c r="I563" s="270"/>
      <c r="J563" s="270"/>
      <c r="K563" s="227"/>
      <c r="L563" s="71">
        <f ca="1">IFERROR(__xludf.DUMMYFUNCTION("IMPORTRANGE(""https://docs.google.com/spreadsheets/d/1-uDff_7J0KD5mKrp0Vvzr7lt3OU09vwQwhkpOPPYv2Y/edit?usp=sharing"",""งบพรบ!GJ60"")"),0)</f>
        <v>0</v>
      </c>
      <c r="M563" s="72">
        <f ca="1">IFERROR(__xludf.DUMMYFUNCTION("IMPORTRANGE(""https://docs.google.com/spreadsheets/d/1-uDff_7J0KD5mKrp0Vvzr7lt3OU09vwQwhkpOPPYv2Y/edit?usp=sharing"",""งบพรบ!GM60"")"),0)</f>
        <v>0</v>
      </c>
      <c r="N563" s="72">
        <f ca="1">IFERROR(__xludf.DUMMYFUNCTION("IMPORTRANGE(""https://docs.google.com/spreadsheets/d/1-uDff_7J0KD5mKrp0Vvzr7lt3OU09vwQwhkpOPPYv2Y/edit?usp=sharing"",""งบพรบ!GO60"")"),0)</f>
        <v>0</v>
      </c>
      <c r="O563" s="72">
        <f t="shared" ca="1" si="137"/>
        <v>0</v>
      </c>
      <c r="P563" s="72">
        <f t="shared" ca="1" si="138"/>
        <v>0</v>
      </c>
      <c r="Q563" s="72">
        <v>0</v>
      </c>
      <c r="R563" s="72">
        <v>0</v>
      </c>
      <c r="S563" s="72">
        <v>0</v>
      </c>
      <c r="T563" s="72">
        <f t="shared" si="139"/>
        <v>0</v>
      </c>
      <c r="U563" s="72">
        <f t="shared" si="140"/>
        <v>0</v>
      </c>
    </row>
    <row r="564" spans="1:21" ht="19.5" hidden="1" x14ac:dyDescent="0.3">
      <c r="A564" s="274"/>
      <c r="B564" s="275"/>
      <c r="C564" s="668" t="s">
        <v>18</v>
      </c>
      <c r="D564" s="800" t="s">
        <v>38</v>
      </c>
      <c r="E564" s="278"/>
      <c r="F564" s="278"/>
      <c r="G564" s="279"/>
      <c r="H564" s="280"/>
      <c r="I564" s="270"/>
      <c r="J564" s="261"/>
      <c r="K564" s="85"/>
      <c r="L564" s="84"/>
      <c r="M564" s="85"/>
      <c r="N564" s="85"/>
      <c r="O564" s="227"/>
      <c r="P564" s="227"/>
      <c r="Q564" s="85"/>
      <c r="R564" s="85"/>
      <c r="S564" s="85"/>
      <c r="T564" s="227"/>
      <c r="U564" s="227"/>
    </row>
    <row r="565" spans="1:21" ht="12.75" hidden="1" x14ac:dyDescent="0.2">
      <c r="A565" s="590"/>
      <c r="B565" s="591"/>
      <c r="C565" s="571"/>
      <c r="D565" s="591"/>
      <c r="E565" s="571"/>
      <c r="F565" s="591"/>
      <c r="G565" s="592"/>
      <c r="H565" s="592"/>
      <c r="I565" s="573"/>
      <c r="J565" s="573"/>
      <c r="K565" s="574"/>
      <c r="L565" s="575"/>
      <c r="M565" s="574"/>
      <c r="N565" s="574"/>
      <c r="O565" s="574"/>
      <c r="P565" s="574"/>
      <c r="Q565" s="574"/>
      <c r="R565" s="574"/>
      <c r="S565" s="574"/>
      <c r="T565" s="574"/>
      <c r="U565" s="574"/>
    </row>
    <row r="566" spans="1:21" ht="12.75" hidden="1" x14ac:dyDescent="0.2">
      <c r="A566" s="590"/>
      <c r="B566" s="591"/>
      <c r="C566" s="571"/>
      <c r="D566" s="591"/>
      <c r="E566" s="571"/>
      <c r="F566" s="591"/>
      <c r="G566" s="592"/>
      <c r="H566" s="592"/>
      <c r="I566" s="573"/>
      <c r="J566" s="573"/>
      <c r="K566" s="574"/>
      <c r="L566" s="575"/>
      <c r="M566" s="574"/>
      <c r="N566" s="574"/>
      <c r="O566" s="574"/>
      <c r="P566" s="574"/>
      <c r="Q566" s="574"/>
      <c r="R566" s="574"/>
      <c r="S566" s="574"/>
      <c r="T566" s="574"/>
      <c r="U566" s="574"/>
    </row>
    <row r="567" spans="1:21" ht="12.75" hidden="1" x14ac:dyDescent="0.2">
      <c r="A567" s="590"/>
      <c r="B567" s="571"/>
      <c r="C567" s="571"/>
      <c r="D567" s="591"/>
      <c r="E567" s="591"/>
      <c r="F567" s="591"/>
      <c r="G567" s="592"/>
      <c r="H567" s="572"/>
      <c r="I567" s="573"/>
      <c r="J567" s="573"/>
      <c r="K567" s="574"/>
      <c r="L567" s="575"/>
      <c r="M567" s="574"/>
      <c r="N567" s="574"/>
      <c r="O567" s="574"/>
      <c r="P567" s="574"/>
      <c r="Q567" s="574"/>
      <c r="R567" s="574"/>
      <c r="S567" s="574"/>
      <c r="T567" s="574"/>
      <c r="U567" s="574"/>
    </row>
    <row r="568" spans="1:21" ht="12.75" hidden="1" x14ac:dyDescent="0.2">
      <c r="A568" s="590"/>
      <c r="B568" s="571"/>
      <c r="C568" s="571"/>
      <c r="D568" s="591"/>
      <c r="E568" s="591"/>
      <c r="F568" s="591"/>
      <c r="G568" s="592"/>
      <c r="H568" s="572"/>
      <c r="I568" s="573"/>
      <c r="J568" s="573"/>
      <c r="K568" s="574"/>
      <c r="L568" s="575"/>
      <c r="M568" s="574"/>
      <c r="N568" s="574"/>
      <c r="O568" s="574"/>
      <c r="P568" s="574"/>
      <c r="Q568" s="574"/>
      <c r="R568" s="574"/>
      <c r="S568" s="574"/>
      <c r="T568" s="574"/>
      <c r="U568" s="574"/>
    </row>
    <row r="569" spans="1:21" ht="12.75" hidden="1" x14ac:dyDescent="0.2">
      <c r="A569" s="590"/>
      <c r="B569" s="571"/>
      <c r="C569" s="571"/>
      <c r="D569" s="591"/>
      <c r="E569" s="591"/>
      <c r="F569" s="591"/>
      <c r="G569" s="592"/>
      <c r="H569" s="572"/>
      <c r="I569" s="573"/>
      <c r="J569" s="573"/>
      <c r="K569" s="574"/>
      <c r="L569" s="575"/>
      <c r="M569" s="574"/>
      <c r="N569" s="574"/>
      <c r="O569" s="574"/>
      <c r="P569" s="574"/>
      <c r="Q569" s="574"/>
      <c r="R569" s="574"/>
      <c r="S569" s="574"/>
      <c r="T569" s="574"/>
      <c r="U569" s="574"/>
    </row>
    <row r="570" spans="1:21" ht="12.75" hidden="1" x14ac:dyDescent="0.2">
      <c r="A570" s="590"/>
      <c r="B570" s="571"/>
      <c r="C570" s="571"/>
      <c r="D570" s="591"/>
      <c r="E570" s="591"/>
      <c r="F570" s="591"/>
      <c r="G570" s="592"/>
      <c r="H570" s="572"/>
      <c r="I570" s="573"/>
      <c r="J570" s="573"/>
      <c r="K570" s="574"/>
      <c r="L570" s="575"/>
      <c r="M570" s="574"/>
      <c r="N570" s="574"/>
      <c r="O570" s="574"/>
      <c r="P570" s="574"/>
      <c r="Q570" s="574"/>
      <c r="R570" s="574"/>
      <c r="S570" s="574"/>
      <c r="T570" s="574"/>
      <c r="U570" s="574"/>
    </row>
    <row r="571" spans="1:21" ht="12.75" hidden="1" x14ac:dyDescent="0.2">
      <c r="A571" s="590"/>
      <c r="B571" s="571"/>
      <c r="C571" s="571"/>
      <c r="D571" s="591"/>
      <c r="E571" s="591"/>
      <c r="F571" s="591"/>
      <c r="G571" s="592"/>
      <c r="H571" s="572"/>
      <c r="I571" s="573"/>
      <c r="J571" s="573"/>
      <c r="K571" s="574"/>
      <c r="L571" s="575"/>
      <c r="M571" s="574"/>
      <c r="N571" s="574"/>
      <c r="O571" s="574"/>
      <c r="P571" s="574"/>
      <c r="Q571" s="574"/>
      <c r="R571" s="574"/>
      <c r="S571" s="574"/>
      <c r="T571" s="574"/>
      <c r="U571" s="574"/>
    </row>
    <row r="572" spans="1:21" ht="12.75" hidden="1" x14ac:dyDescent="0.2">
      <c r="A572" s="590"/>
      <c r="B572" s="571"/>
      <c r="C572" s="571"/>
      <c r="D572" s="591"/>
      <c r="E572" s="591"/>
      <c r="F572" s="591"/>
      <c r="G572" s="592"/>
      <c r="H572" s="572"/>
      <c r="I572" s="573"/>
      <c r="J572" s="573"/>
      <c r="K572" s="574"/>
      <c r="L572" s="575"/>
      <c r="M572" s="574"/>
      <c r="N572" s="574"/>
      <c r="O572" s="574"/>
      <c r="P572" s="574"/>
      <c r="Q572" s="574"/>
      <c r="R572" s="574"/>
      <c r="S572" s="574"/>
      <c r="T572" s="574"/>
      <c r="U572" s="574"/>
    </row>
    <row r="573" spans="1:21" ht="12.75" hidden="1" x14ac:dyDescent="0.2">
      <c r="A573" s="590"/>
      <c r="B573" s="571"/>
      <c r="C573" s="571"/>
      <c r="D573" s="591"/>
      <c r="E573" s="591"/>
      <c r="F573" s="591"/>
      <c r="G573" s="592"/>
      <c r="H573" s="572"/>
      <c r="I573" s="573"/>
      <c r="J573" s="573"/>
      <c r="K573" s="574"/>
      <c r="L573" s="575"/>
      <c r="M573" s="574"/>
      <c r="N573" s="574"/>
      <c r="O573" s="574"/>
      <c r="P573" s="574"/>
      <c r="Q573" s="574"/>
      <c r="R573" s="574"/>
      <c r="S573" s="574"/>
      <c r="T573" s="574"/>
      <c r="U573" s="574"/>
    </row>
    <row r="574" spans="1:21" ht="12.75" hidden="1" x14ac:dyDescent="0.2">
      <c r="A574" s="657"/>
      <c r="B574" s="576"/>
      <c r="C574" s="576"/>
      <c r="D574" s="658"/>
      <c r="E574" s="658"/>
      <c r="F574" s="658"/>
      <c r="G574" s="659"/>
      <c r="H574" s="577"/>
      <c r="I574" s="578"/>
      <c r="J574" s="578"/>
      <c r="K574" s="579"/>
      <c r="L574" s="580"/>
      <c r="M574" s="579"/>
      <c r="N574" s="579"/>
      <c r="O574" s="579"/>
      <c r="P574" s="579"/>
      <c r="Q574" s="579"/>
      <c r="R574" s="579"/>
      <c r="S574" s="579"/>
      <c r="T574" s="579"/>
      <c r="U574" s="579"/>
    </row>
    <row r="575" spans="1:21" ht="19.5" hidden="1" x14ac:dyDescent="0.3">
      <c r="A575" s="660"/>
      <c r="B575" s="661" t="s">
        <v>214</v>
      </c>
      <c r="C575" s="662"/>
      <c r="D575" s="663"/>
      <c r="E575" s="663"/>
      <c r="F575" s="663"/>
      <c r="G575" s="664"/>
      <c r="H575" s="665" t="s">
        <v>61</v>
      </c>
      <c r="I575" s="827">
        <f>I587</f>
        <v>0</v>
      </c>
      <c r="J575" s="827">
        <f>J587</f>
        <v>0</v>
      </c>
      <c r="K575" s="667">
        <f>IF(I575&gt;0,J575*100/I575,0)</f>
        <v>0</v>
      </c>
      <c r="L575" s="642"/>
      <c r="M575" s="643"/>
      <c r="N575" s="643"/>
      <c r="O575" s="643"/>
      <c r="P575" s="643"/>
      <c r="Q575" s="643"/>
      <c r="R575" s="643"/>
      <c r="S575" s="643"/>
      <c r="T575" s="643"/>
      <c r="U575" s="643"/>
    </row>
    <row r="576" spans="1:21" ht="19.5" hidden="1" x14ac:dyDescent="0.3">
      <c r="A576" s="255"/>
      <c r="B576" s="256"/>
      <c r="C576" s="257" t="s">
        <v>18</v>
      </c>
      <c r="D576" s="258" t="s">
        <v>19</v>
      </c>
      <c r="E576" s="256"/>
      <c r="F576" s="256"/>
      <c r="G576" s="259"/>
      <c r="H576" s="260" t="s">
        <v>14</v>
      </c>
      <c r="I576" s="261"/>
      <c r="J576" s="261"/>
      <c r="K576" s="85"/>
      <c r="L576" s="389">
        <f ca="1">L577+L578</f>
        <v>0</v>
      </c>
      <c r="M576" s="262">
        <f ca="1">M577+M578</f>
        <v>0</v>
      </c>
      <c r="N576" s="262">
        <f ca="1">N577+N578</f>
        <v>0</v>
      </c>
      <c r="O576" s="262">
        <f t="shared" ref="O576:O584" ca="1" si="143">IF(L576&gt;0,N576*100/L576,0)</f>
        <v>0</v>
      </c>
      <c r="P576" s="262">
        <f t="shared" ref="P576:P584" ca="1" si="144">IF(M576&gt;0,N576*100/M576,0)</f>
        <v>0</v>
      </c>
      <c r="Q576" s="262">
        <f>Q577+Q578</f>
        <v>0</v>
      </c>
      <c r="R576" s="262">
        <f>R577+R578</f>
        <v>0</v>
      </c>
      <c r="S576" s="262">
        <f>S577+S578</f>
        <v>0</v>
      </c>
      <c r="T576" s="262">
        <f t="shared" ref="T576:T584" si="145">IF(Q576&gt;0,S576*100/Q576,0)</f>
        <v>0</v>
      </c>
      <c r="U576" s="262">
        <f t="shared" ref="U576:U584" si="146">IF(R576&gt;0,S576*100/R576,0)</f>
        <v>0</v>
      </c>
    </row>
    <row r="577" spans="1:21" ht="18.75" hidden="1" x14ac:dyDescent="0.25">
      <c r="A577" s="255"/>
      <c r="B577" s="267"/>
      <c r="C577" s="256"/>
      <c r="D577" s="256"/>
      <c r="E577" s="263" t="s">
        <v>20</v>
      </c>
      <c r="F577" s="256"/>
      <c r="G577" s="259"/>
      <c r="H577" s="264" t="s">
        <v>14</v>
      </c>
      <c r="I577" s="261"/>
      <c r="J577" s="261"/>
      <c r="K577" s="85"/>
      <c r="L577" s="74">
        <f t="shared" ref="L577:N578" si="147">L580+L583</f>
        <v>0</v>
      </c>
      <c r="M577" s="75">
        <f t="shared" si="147"/>
        <v>0</v>
      </c>
      <c r="N577" s="75">
        <f t="shared" si="147"/>
        <v>0</v>
      </c>
      <c r="O577" s="75">
        <f t="shared" si="143"/>
        <v>0</v>
      </c>
      <c r="P577" s="75">
        <f t="shared" si="144"/>
        <v>0</v>
      </c>
      <c r="Q577" s="75">
        <f t="shared" ref="Q577:S578" si="148">Q580+Q583</f>
        <v>0</v>
      </c>
      <c r="R577" s="75">
        <f t="shared" si="148"/>
        <v>0</v>
      </c>
      <c r="S577" s="75">
        <f t="shared" si="148"/>
        <v>0</v>
      </c>
      <c r="T577" s="75">
        <f t="shared" si="145"/>
        <v>0</v>
      </c>
      <c r="U577" s="75">
        <f t="shared" si="146"/>
        <v>0</v>
      </c>
    </row>
    <row r="578" spans="1:21" ht="18.75" hidden="1" x14ac:dyDescent="0.25">
      <c r="A578" s="255"/>
      <c r="B578" s="256"/>
      <c r="C578" s="267"/>
      <c r="D578" s="256"/>
      <c r="E578" s="567" t="s">
        <v>21</v>
      </c>
      <c r="F578" s="256"/>
      <c r="G578" s="259"/>
      <c r="H578" s="266" t="s">
        <v>14</v>
      </c>
      <c r="I578" s="261"/>
      <c r="J578" s="261"/>
      <c r="K578" s="85"/>
      <c r="L578" s="71">
        <f t="shared" ca="1" si="147"/>
        <v>0</v>
      </c>
      <c r="M578" s="72">
        <f t="shared" ca="1" si="147"/>
        <v>0</v>
      </c>
      <c r="N578" s="72">
        <f t="shared" ca="1" si="147"/>
        <v>0</v>
      </c>
      <c r="O578" s="72">
        <f t="shared" ca="1" si="143"/>
        <v>0</v>
      </c>
      <c r="P578" s="72">
        <f t="shared" ca="1" si="144"/>
        <v>0</v>
      </c>
      <c r="Q578" s="72">
        <f t="shared" si="148"/>
        <v>0</v>
      </c>
      <c r="R578" s="72">
        <f t="shared" si="148"/>
        <v>0</v>
      </c>
      <c r="S578" s="72">
        <f t="shared" si="148"/>
        <v>0</v>
      </c>
      <c r="T578" s="72">
        <f t="shared" si="145"/>
        <v>0</v>
      </c>
      <c r="U578" s="72">
        <f t="shared" si="146"/>
        <v>0</v>
      </c>
    </row>
    <row r="579" spans="1:21" ht="18.75" hidden="1" x14ac:dyDescent="0.25">
      <c r="A579" s="255"/>
      <c r="B579" s="256"/>
      <c r="C579" s="267"/>
      <c r="D579" s="268" t="s">
        <v>22</v>
      </c>
      <c r="E579" s="267"/>
      <c r="F579" s="256"/>
      <c r="G579" s="259"/>
      <c r="H579" s="269" t="s">
        <v>14</v>
      </c>
      <c r="I579" s="270"/>
      <c r="J579" s="270"/>
      <c r="K579" s="227"/>
      <c r="L579" s="71">
        <f ca="1">L580+L581</f>
        <v>0</v>
      </c>
      <c r="M579" s="72">
        <f ca="1">M580+M581</f>
        <v>0</v>
      </c>
      <c r="N579" s="72">
        <f ca="1">N580+N581</f>
        <v>0</v>
      </c>
      <c r="O579" s="72">
        <f t="shared" ca="1" si="143"/>
        <v>0</v>
      </c>
      <c r="P579" s="72">
        <f t="shared" ca="1" si="144"/>
        <v>0</v>
      </c>
      <c r="Q579" s="72">
        <f>Q580+Q581</f>
        <v>0</v>
      </c>
      <c r="R579" s="72">
        <f>R580+R581</f>
        <v>0</v>
      </c>
      <c r="S579" s="72">
        <f>S580+S581</f>
        <v>0</v>
      </c>
      <c r="T579" s="72">
        <f t="shared" si="145"/>
        <v>0</v>
      </c>
      <c r="U579" s="72">
        <f t="shared" si="146"/>
        <v>0</v>
      </c>
    </row>
    <row r="580" spans="1:21" ht="18.75" hidden="1" x14ac:dyDescent="0.25">
      <c r="A580" s="255"/>
      <c r="B580" s="256"/>
      <c r="C580" s="256"/>
      <c r="D580" s="256"/>
      <c r="E580" s="263" t="s">
        <v>36</v>
      </c>
      <c r="F580" s="256"/>
      <c r="G580" s="259"/>
      <c r="H580" s="271" t="s">
        <v>14</v>
      </c>
      <c r="I580" s="270"/>
      <c r="J580" s="270"/>
      <c r="K580" s="227"/>
      <c r="L580" s="74">
        <v>0</v>
      </c>
      <c r="M580" s="75">
        <v>0</v>
      </c>
      <c r="N580" s="75">
        <v>0</v>
      </c>
      <c r="O580" s="75">
        <f t="shared" si="143"/>
        <v>0</v>
      </c>
      <c r="P580" s="75">
        <f t="shared" si="144"/>
        <v>0</v>
      </c>
      <c r="Q580" s="75">
        <v>0</v>
      </c>
      <c r="R580" s="75">
        <v>0</v>
      </c>
      <c r="S580" s="75">
        <v>0</v>
      </c>
      <c r="T580" s="75">
        <f t="shared" si="145"/>
        <v>0</v>
      </c>
      <c r="U580" s="75">
        <f t="shared" si="146"/>
        <v>0</v>
      </c>
    </row>
    <row r="581" spans="1:21" ht="18.75" hidden="1" x14ac:dyDescent="0.25">
      <c r="A581" s="255"/>
      <c r="B581" s="256"/>
      <c r="C581" s="256"/>
      <c r="D581" s="256"/>
      <c r="E581" s="265" t="s">
        <v>37</v>
      </c>
      <c r="F581" s="256"/>
      <c r="G581" s="259"/>
      <c r="H581" s="269" t="s">
        <v>14</v>
      </c>
      <c r="I581" s="270"/>
      <c r="J581" s="270"/>
      <c r="K581" s="227"/>
      <c r="L581" s="71">
        <f ca="1">IFERROR(__xludf.DUMMYFUNCTION("IMPORTRANGE(""https://docs.google.com/spreadsheets/d/1-uDff_7J0KD5mKrp0Vvzr7lt3OU09vwQwhkpOPPYv2Y/edit?usp=sharing"",""งบพรบ!GQ60"")"),0)</f>
        <v>0</v>
      </c>
      <c r="M581" s="72">
        <f ca="1">IFERROR(__xludf.DUMMYFUNCTION("IMPORTRANGE(""https://docs.google.com/spreadsheets/d/1-uDff_7J0KD5mKrp0Vvzr7lt3OU09vwQwhkpOPPYv2Y/edit?usp=sharing"",""งบพรบ!GV60"")"),0)</f>
        <v>0</v>
      </c>
      <c r="N581" s="72">
        <f ca="1">IFERROR(__xludf.DUMMYFUNCTION("IMPORTRANGE(""https://docs.google.com/spreadsheets/d/1-uDff_7J0KD5mKrp0Vvzr7lt3OU09vwQwhkpOPPYv2Y/edit?usp=sharing"",""งบพรบ!GX60"")"),0)</f>
        <v>0</v>
      </c>
      <c r="O581" s="72">
        <f t="shared" ca="1" si="143"/>
        <v>0</v>
      </c>
      <c r="P581" s="72">
        <f t="shared" ca="1" si="144"/>
        <v>0</v>
      </c>
      <c r="Q581" s="72">
        <v>0</v>
      </c>
      <c r="R581" s="72">
        <v>0</v>
      </c>
      <c r="S581" s="72">
        <v>0</v>
      </c>
      <c r="T581" s="72">
        <f t="shared" si="145"/>
        <v>0</v>
      </c>
      <c r="U581" s="72">
        <f t="shared" si="146"/>
        <v>0</v>
      </c>
    </row>
    <row r="582" spans="1:21" ht="18.75" hidden="1" x14ac:dyDescent="0.25">
      <c r="A582" s="255"/>
      <c r="B582" s="256"/>
      <c r="C582" s="256"/>
      <c r="D582" s="268" t="s">
        <v>23</v>
      </c>
      <c r="E582" s="256"/>
      <c r="F582" s="256"/>
      <c r="G582" s="259"/>
      <c r="H582" s="273" t="s">
        <v>14</v>
      </c>
      <c r="I582" s="270"/>
      <c r="J582" s="270"/>
      <c r="K582" s="227"/>
      <c r="L582" s="71">
        <f ca="1">L583+L584</f>
        <v>0</v>
      </c>
      <c r="M582" s="72">
        <f ca="1">M583+M584</f>
        <v>0</v>
      </c>
      <c r="N582" s="72">
        <f ca="1">N583+N584</f>
        <v>0</v>
      </c>
      <c r="O582" s="72">
        <f t="shared" ca="1" si="143"/>
        <v>0</v>
      </c>
      <c r="P582" s="72">
        <f t="shared" ca="1" si="144"/>
        <v>0</v>
      </c>
      <c r="Q582" s="72">
        <f>Q583+Q584</f>
        <v>0</v>
      </c>
      <c r="R582" s="72">
        <f>R583+R584</f>
        <v>0</v>
      </c>
      <c r="S582" s="72">
        <f>S583+S584</f>
        <v>0</v>
      </c>
      <c r="T582" s="72">
        <f t="shared" si="145"/>
        <v>0</v>
      </c>
      <c r="U582" s="72">
        <f t="shared" si="146"/>
        <v>0</v>
      </c>
    </row>
    <row r="583" spans="1:21" ht="18.75" hidden="1" x14ac:dyDescent="0.25">
      <c r="A583" s="255"/>
      <c r="B583" s="256"/>
      <c r="C583" s="256"/>
      <c r="D583" s="256"/>
      <c r="E583" s="263" t="s">
        <v>20</v>
      </c>
      <c r="F583" s="256"/>
      <c r="G583" s="259"/>
      <c r="H583" s="271" t="s">
        <v>14</v>
      </c>
      <c r="I583" s="270"/>
      <c r="J583" s="270"/>
      <c r="K583" s="227"/>
      <c r="L583" s="74">
        <v>0</v>
      </c>
      <c r="M583" s="75">
        <v>0</v>
      </c>
      <c r="N583" s="75">
        <v>0</v>
      </c>
      <c r="O583" s="75">
        <f t="shared" si="143"/>
        <v>0</v>
      </c>
      <c r="P583" s="75">
        <f t="shared" si="144"/>
        <v>0</v>
      </c>
      <c r="Q583" s="75">
        <v>0</v>
      </c>
      <c r="R583" s="75">
        <v>0</v>
      </c>
      <c r="S583" s="75">
        <v>0</v>
      </c>
      <c r="T583" s="75">
        <f t="shared" si="145"/>
        <v>0</v>
      </c>
      <c r="U583" s="75">
        <f t="shared" si="146"/>
        <v>0</v>
      </c>
    </row>
    <row r="584" spans="1:21" ht="18.75" hidden="1" x14ac:dyDescent="0.25">
      <c r="A584" s="255"/>
      <c r="B584" s="256"/>
      <c r="C584" s="256"/>
      <c r="D584" s="256"/>
      <c r="E584" s="265" t="s">
        <v>21</v>
      </c>
      <c r="F584" s="256"/>
      <c r="G584" s="259"/>
      <c r="H584" s="273" t="s">
        <v>14</v>
      </c>
      <c r="I584" s="270"/>
      <c r="J584" s="270"/>
      <c r="K584" s="227"/>
      <c r="L584" s="71">
        <f ca="1">IFERROR(__xludf.DUMMYFUNCTION("IMPORTRANGE(""https://docs.google.com/spreadsheets/d/1-uDff_7J0KD5mKrp0Vvzr7lt3OU09vwQwhkpOPPYv2Y/edit?usp=sharing"",""งบพรบ!GT60"")"),0)</f>
        <v>0</v>
      </c>
      <c r="M584" s="72">
        <f ca="1">IFERROR(__xludf.DUMMYFUNCTION("IMPORTRANGE(""https://docs.google.com/spreadsheets/d/1-uDff_7J0KD5mKrp0Vvzr7lt3OU09vwQwhkpOPPYv2Y/edit?usp=sharing"",""งบพรบ!GW60"")"),0)</f>
        <v>0</v>
      </c>
      <c r="N584" s="72">
        <f ca="1">IFERROR(__xludf.DUMMYFUNCTION("IMPORTRANGE(""https://docs.google.com/spreadsheets/d/1-uDff_7J0KD5mKrp0Vvzr7lt3OU09vwQwhkpOPPYv2Y/edit?usp=sharing"",""งบพรบ!GY60"")"),0)</f>
        <v>0</v>
      </c>
      <c r="O584" s="72">
        <f t="shared" ca="1" si="143"/>
        <v>0</v>
      </c>
      <c r="P584" s="72">
        <f t="shared" ca="1" si="144"/>
        <v>0</v>
      </c>
      <c r="Q584" s="72">
        <v>0</v>
      </c>
      <c r="R584" s="72">
        <v>0</v>
      </c>
      <c r="S584" s="72">
        <v>0</v>
      </c>
      <c r="T584" s="72">
        <f t="shared" si="145"/>
        <v>0</v>
      </c>
      <c r="U584" s="72">
        <f t="shared" si="146"/>
        <v>0</v>
      </c>
    </row>
    <row r="585" spans="1:21" ht="19.5" hidden="1" x14ac:dyDescent="0.3">
      <c r="A585" s="274"/>
      <c r="B585" s="275"/>
      <c r="C585" s="668" t="s">
        <v>18</v>
      </c>
      <c r="D585" s="800" t="s">
        <v>38</v>
      </c>
      <c r="E585" s="278"/>
      <c r="F585" s="278"/>
      <c r="G585" s="279"/>
      <c r="H585" s="280"/>
      <c r="I585" s="270"/>
      <c r="J585" s="261"/>
      <c r="K585" s="85"/>
      <c r="L585" s="84"/>
      <c r="M585" s="85"/>
      <c r="N585" s="85"/>
      <c r="O585" s="227"/>
      <c r="P585" s="227"/>
      <c r="Q585" s="85"/>
      <c r="R585" s="85"/>
      <c r="S585" s="85"/>
      <c r="T585" s="227"/>
      <c r="U585" s="227"/>
    </row>
    <row r="586" spans="1:21" ht="12.75" hidden="1" x14ac:dyDescent="0.2">
      <c r="A586" s="590"/>
      <c r="B586" s="591"/>
      <c r="C586" s="571"/>
      <c r="D586" s="591"/>
      <c r="E586" s="571"/>
      <c r="F586" s="591"/>
      <c r="G586" s="592"/>
      <c r="H586" s="592"/>
      <c r="I586" s="573"/>
      <c r="J586" s="573"/>
      <c r="K586" s="574"/>
      <c r="L586" s="575"/>
      <c r="M586" s="574"/>
      <c r="N586" s="574"/>
      <c r="O586" s="574"/>
      <c r="P586" s="574"/>
      <c r="Q586" s="574"/>
      <c r="R586" s="574"/>
      <c r="S586" s="574"/>
      <c r="T586" s="574"/>
      <c r="U586" s="574"/>
    </row>
    <row r="587" spans="1:21" ht="12.75" hidden="1" x14ac:dyDescent="0.2">
      <c r="A587" s="590"/>
      <c r="B587" s="591"/>
      <c r="C587" s="571"/>
      <c r="D587" s="591"/>
      <c r="E587" s="571"/>
      <c r="F587" s="591"/>
      <c r="G587" s="592"/>
      <c r="H587" s="592"/>
      <c r="I587" s="573"/>
      <c r="J587" s="573"/>
      <c r="K587" s="574"/>
      <c r="L587" s="575"/>
      <c r="M587" s="574"/>
      <c r="N587" s="574"/>
      <c r="O587" s="574"/>
      <c r="P587" s="574"/>
      <c r="Q587" s="574"/>
      <c r="R587" s="574"/>
      <c r="S587" s="574"/>
      <c r="T587" s="574"/>
      <c r="U587" s="574"/>
    </row>
    <row r="588" spans="1:21" ht="12.75" hidden="1" x14ac:dyDescent="0.2">
      <c r="A588" s="590"/>
      <c r="B588" s="571"/>
      <c r="C588" s="571"/>
      <c r="D588" s="591"/>
      <c r="E588" s="591"/>
      <c r="F588" s="591"/>
      <c r="G588" s="592"/>
      <c r="H588" s="572"/>
      <c r="I588" s="573"/>
      <c r="J588" s="573"/>
      <c r="K588" s="574"/>
      <c r="L588" s="575"/>
      <c r="M588" s="574"/>
      <c r="N588" s="574"/>
      <c r="O588" s="574"/>
      <c r="P588" s="574"/>
      <c r="Q588" s="574"/>
      <c r="R588" s="574"/>
      <c r="S588" s="574"/>
      <c r="T588" s="574"/>
      <c r="U588" s="574"/>
    </row>
    <row r="589" spans="1:21" ht="12.75" hidden="1" x14ac:dyDescent="0.2">
      <c r="A589" s="590"/>
      <c r="B589" s="571"/>
      <c r="C589" s="571"/>
      <c r="D589" s="591"/>
      <c r="E589" s="591"/>
      <c r="F589" s="591"/>
      <c r="G589" s="592"/>
      <c r="H589" s="572"/>
      <c r="I589" s="573"/>
      <c r="J589" s="573"/>
      <c r="K589" s="574"/>
      <c r="L589" s="575"/>
      <c r="M589" s="574"/>
      <c r="N589" s="574"/>
      <c r="O589" s="574"/>
      <c r="P589" s="574"/>
      <c r="Q589" s="574"/>
      <c r="R589" s="574"/>
      <c r="S589" s="574"/>
      <c r="T589" s="574"/>
      <c r="U589" s="574"/>
    </row>
    <row r="590" spans="1:21" ht="12.75" hidden="1" x14ac:dyDescent="0.2">
      <c r="A590" s="590"/>
      <c r="B590" s="571"/>
      <c r="C590" s="571"/>
      <c r="D590" s="591"/>
      <c r="E590" s="591"/>
      <c r="F590" s="591"/>
      <c r="G590" s="592"/>
      <c r="H590" s="572"/>
      <c r="I590" s="573"/>
      <c r="J590" s="573"/>
      <c r="K590" s="574"/>
      <c r="L590" s="575"/>
      <c r="M590" s="574"/>
      <c r="N590" s="574"/>
      <c r="O590" s="574"/>
      <c r="P590" s="574"/>
      <c r="Q590" s="574"/>
      <c r="R590" s="574"/>
      <c r="S590" s="574"/>
      <c r="T590" s="574"/>
      <c r="U590" s="574"/>
    </row>
    <row r="591" spans="1:21" ht="12.75" hidden="1" x14ac:dyDescent="0.2">
      <c r="A591" s="590"/>
      <c r="B591" s="571"/>
      <c r="C591" s="571"/>
      <c r="D591" s="591"/>
      <c r="E591" s="591"/>
      <c r="F591" s="591"/>
      <c r="G591" s="592"/>
      <c r="H591" s="572"/>
      <c r="I591" s="573"/>
      <c r="J591" s="573"/>
      <c r="K591" s="574"/>
      <c r="L591" s="575"/>
      <c r="M591" s="574"/>
      <c r="N591" s="574"/>
      <c r="O591" s="574"/>
      <c r="P591" s="574"/>
      <c r="Q591" s="574"/>
      <c r="R591" s="574"/>
      <c r="S591" s="574"/>
      <c r="T591" s="574"/>
      <c r="U591" s="574"/>
    </row>
    <row r="592" spans="1:21" ht="12.75" hidden="1" x14ac:dyDescent="0.2">
      <c r="A592" s="590"/>
      <c r="B592" s="571"/>
      <c r="C592" s="571"/>
      <c r="D592" s="591"/>
      <c r="E592" s="591"/>
      <c r="F592" s="591"/>
      <c r="G592" s="592"/>
      <c r="H592" s="572"/>
      <c r="I592" s="573"/>
      <c r="J592" s="573"/>
      <c r="K592" s="574"/>
      <c r="L592" s="575"/>
      <c r="M592" s="574"/>
      <c r="N592" s="574"/>
      <c r="O592" s="574"/>
      <c r="P592" s="574"/>
      <c r="Q592" s="574"/>
      <c r="R592" s="574"/>
      <c r="S592" s="574"/>
      <c r="T592" s="574"/>
      <c r="U592" s="574"/>
    </row>
    <row r="593" spans="1:21" ht="12.75" hidden="1" x14ac:dyDescent="0.2">
      <c r="A593" s="590"/>
      <c r="B593" s="571"/>
      <c r="C593" s="571"/>
      <c r="D593" s="591"/>
      <c r="E593" s="591"/>
      <c r="F593" s="591"/>
      <c r="G593" s="592"/>
      <c r="H593" s="572"/>
      <c r="I593" s="573"/>
      <c r="J593" s="573"/>
      <c r="K593" s="574"/>
      <c r="L593" s="575"/>
      <c r="M593" s="574"/>
      <c r="N593" s="574"/>
      <c r="O593" s="574"/>
      <c r="P593" s="574"/>
      <c r="Q593" s="574"/>
      <c r="R593" s="574"/>
      <c r="S593" s="574"/>
      <c r="T593" s="574"/>
      <c r="U593" s="574"/>
    </row>
    <row r="594" spans="1:21" ht="12.75" hidden="1" x14ac:dyDescent="0.2">
      <c r="A594" s="590"/>
      <c r="B594" s="571"/>
      <c r="C594" s="571"/>
      <c r="D594" s="591"/>
      <c r="E594" s="591"/>
      <c r="F594" s="591"/>
      <c r="G594" s="592"/>
      <c r="H594" s="572"/>
      <c r="I594" s="573"/>
      <c r="J594" s="573"/>
      <c r="K594" s="574"/>
      <c r="L594" s="575"/>
      <c r="M594" s="574"/>
      <c r="N594" s="574"/>
      <c r="O594" s="574"/>
      <c r="P594" s="574"/>
      <c r="Q594" s="574"/>
      <c r="R594" s="574"/>
      <c r="S594" s="574"/>
      <c r="T594" s="574"/>
      <c r="U594" s="574"/>
    </row>
    <row r="595" spans="1:21" ht="12.75" hidden="1" x14ac:dyDescent="0.2">
      <c r="A595" s="657"/>
      <c r="B595" s="576"/>
      <c r="C595" s="576"/>
      <c r="D595" s="658"/>
      <c r="E595" s="658"/>
      <c r="F595" s="658"/>
      <c r="G595" s="659"/>
      <c r="H595" s="577"/>
      <c r="I595" s="578"/>
      <c r="J595" s="578"/>
      <c r="K595" s="579"/>
      <c r="L595" s="580"/>
      <c r="M595" s="579"/>
      <c r="N595" s="579"/>
      <c r="O595" s="579"/>
      <c r="P595" s="579"/>
      <c r="Q595" s="579"/>
      <c r="R595" s="579"/>
      <c r="S595" s="579"/>
      <c r="T595" s="579"/>
      <c r="U595" s="579"/>
    </row>
    <row r="596" spans="1:21" ht="19.5" x14ac:dyDescent="0.3">
      <c r="A596" s="192" t="s">
        <v>217</v>
      </c>
      <c r="B596" s="193"/>
      <c r="C596" s="309"/>
      <c r="D596" s="193"/>
      <c r="E596" s="193"/>
      <c r="F596" s="193"/>
      <c r="G596" s="193"/>
      <c r="H596" s="194"/>
      <c r="I596" s="310"/>
      <c r="J596" s="310"/>
      <c r="K596" s="311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</row>
    <row r="597" spans="1:21" ht="19.5" x14ac:dyDescent="0.3">
      <c r="A597" s="200"/>
      <c r="B597" s="48" t="s">
        <v>218</v>
      </c>
      <c r="C597" s="312"/>
      <c r="D597" s="201"/>
      <c r="E597" s="47"/>
      <c r="F597" s="47"/>
      <c r="G597" s="47"/>
      <c r="H597" s="675" t="s">
        <v>99</v>
      </c>
      <c r="I597" s="676"/>
      <c r="J597" s="52"/>
      <c r="K597" s="53"/>
      <c r="L597" s="677"/>
      <c r="M597" s="53"/>
      <c r="N597" s="53"/>
      <c r="O597" s="53"/>
      <c r="P597" s="53"/>
      <c r="Q597" s="53"/>
      <c r="R597" s="53"/>
      <c r="S597" s="53"/>
      <c r="T597" s="53"/>
      <c r="U597" s="53"/>
    </row>
    <row r="598" spans="1:21" ht="19.5" x14ac:dyDescent="0.3">
      <c r="A598" s="678"/>
      <c r="B598" s="679" t="s">
        <v>219</v>
      </c>
      <c r="C598" s="201"/>
      <c r="D598" s="47"/>
      <c r="E598" s="47"/>
      <c r="F598" s="47"/>
      <c r="G598" s="50"/>
      <c r="H598" s="334" t="s">
        <v>35</v>
      </c>
      <c r="I598" s="52"/>
      <c r="J598" s="52"/>
      <c r="K598" s="53"/>
      <c r="L598" s="677"/>
      <c r="M598" s="53"/>
      <c r="N598" s="53"/>
      <c r="O598" s="53"/>
      <c r="P598" s="53"/>
      <c r="Q598" s="53"/>
      <c r="R598" s="53"/>
      <c r="S598" s="53"/>
      <c r="T598" s="53"/>
      <c r="U598" s="53"/>
    </row>
    <row r="599" spans="1:21" ht="19.5" x14ac:dyDescent="0.3">
      <c r="A599" s="207"/>
      <c r="B599" s="367"/>
      <c r="C599" s="668" t="s">
        <v>18</v>
      </c>
      <c r="D599" s="1441" t="s">
        <v>19</v>
      </c>
      <c r="E599" s="1401"/>
      <c r="F599" s="1401"/>
      <c r="G599" s="1402"/>
      <c r="H599" s="380" t="s">
        <v>14</v>
      </c>
      <c r="I599" s="69"/>
      <c r="J599" s="69"/>
      <c r="K599" s="70"/>
      <c r="L599" s="940">
        <f ca="1">L600+L601</f>
        <v>49642</v>
      </c>
      <c r="M599" s="211">
        <f ca="1">M600+M601</f>
        <v>49642</v>
      </c>
      <c r="N599" s="211">
        <f ca="1">N600+N601</f>
        <v>0</v>
      </c>
      <c r="O599" s="211">
        <f t="shared" ref="O599:O607" ca="1" si="149">IF(L599&gt;0,N599*100/L599,0)</f>
        <v>0</v>
      </c>
      <c r="P599" s="211">
        <f t="shared" ref="P599:P607" ca="1" si="150">IF(M599&gt;0,N599*100/M599,0)</f>
        <v>0</v>
      </c>
      <c r="Q599" s="211">
        <f ca="1">Q600+Q601</f>
        <v>0</v>
      </c>
      <c r="R599" s="211">
        <f ca="1">R600+R601</f>
        <v>0</v>
      </c>
      <c r="S599" s="211">
        <f ca="1">S600+S601</f>
        <v>0</v>
      </c>
      <c r="T599" s="211">
        <f t="shared" ref="T599:T607" ca="1" si="151">IF(Q599&gt;0,S599*100/Q599,0)</f>
        <v>0</v>
      </c>
      <c r="U599" s="211">
        <f t="shared" ref="U599:U607" ca="1" si="152">IF(R599&gt;0,S599*100/R599,0)</f>
        <v>0</v>
      </c>
    </row>
    <row r="600" spans="1:21" ht="18.75" hidden="1" x14ac:dyDescent="0.25">
      <c r="A600" s="207"/>
      <c r="B600" s="367"/>
      <c r="C600" s="367"/>
      <c r="D600" s="229"/>
      <c r="E600" s="73" t="s">
        <v>159</v>
      </c>
      <c r="F600" s="65"/>
      <c r="G600" s="67"/>
      <c r="H600" s="216" t="s">
        <v>14</v>
      </c>
      <c r="I600" s="69"/>
      <c r="J600" s="69"/>
      <c r="K600" s="70"/>
      <c r="L600" s="685">
        <f t="shared" ref="L600:N601" si="153">L603+L606</f>
        <v>0</v>
      </c>
      <c r="M600" s="86">
        <f t="shared" si="153"/>
        <v>0</v>
      </c>
      <c r="N600" s="86">
        <f t="shared" si="153"/>
        <v>0</v>
      </c>
      <c r="O600" s="86">
        <f t="shared" si="149"/>
        <v>0</v>
      </c>
      <c r="P600" s="86">
        <f t="shared" si="150"/>
        <v>0</v>
      </c>
      <c r="Q600" s="86">
        <f t="shared" ref="Q600:S601" si="154">Q603+Q606</f>
        <v>0</v>
      </c>
      <c r="R600" s="86">
        <f t="shared" si="154"/>
        <v>0</v>
      </c>
      <c r="S600" s="86">
        <f t="shared" si="154"/>
        <v>0</v>
      </c>
      <c r="T600" s="86">
        <f t="shared" si="151"/>
        <v>0</v>
      </c>
      <c r="U600" s="86">
        <f t="shared" si="152"/>
        <v>0</v>
      </c>
    </row>
    <row r="601" spans="1:21" ht="18.75" hidden="1" x14ac:dyDescent="0.25">
      <c r="A601" s="207"/>
      <c r="B601" s="367"/>
      <c r="C601" s="367"/>
      <c r="D601" s="229"/>
      <c r="E601" s="73" t="s">
        <v>160</v>
      </c>
      <c r="F601" s="65"/>
      <c r="G601" s="67"/>
      <c r="H601" s="216" t="s">
        <v>14</v>
      </c>
      <c r="I601" s="69"/>
      <c r="J601" s="69"/>
      <c r="K601" s="70"/>
      <c r="L601" s="685">
        <f t="shared" ca="1" si="153"/>
        <v>49642</v>
      </c>
      <c r="M601" s="86">
        <f t="shared" ca="1" si="153"/>
        <v>49642</v>
      </c>
      <c r="N601" s="86">
        <f t="shared" ca="1" si="153"/>
        <v>0</v>
      </c>
      <c r="O601" s="86">
        <f t="shared" ca="1" si="149"/>
        <v>0</v>
      </c>
      <c r="P601" s="86">
        <f t="shared" ca="1" si="150"/>
        <v>0</v>
      </c>
      <c r="Q601" s="86">
        <f t="shared" ca="1" si="154"/>
        <v>0</v>
      </c>
      <c r="R601" s="86">
        <f t="shared" ca="1" si="154"/>
        <v>0</v>
      </c>
      <c r="S601" s="86">
        <f t="shared" ca="1" si="154"/>
        <v>0</v>
      </c>
      <c r="T601" s="86">
        <f t="shared" ca="1" si="151"/>
        <v>0</v>
      </c>
      <c r="U601" s="86">
        <f t="shared" ca="1" si="152"/>
        <v>0</v>
      </c>
    </row>
    <row r="602" spans="1:21" ht="18.75" x14ac:dyDescent="0.25">
      <c r="A602" s="207"/>
      <c r="B602" s="367"/>
      <c r="C602" s="367"/>
      <c r="D602" s="937" t="s">
        <v>22</v>
      </c>
      <c r="E602" s="65"/>
      <c r="F602" s="65"/>
      <c r="G602" s="67"/>
      <c r="H602" s="216" t="s">
        <v>14</v>
      </c>
      <c r="I602" s="217"/>
      <c r="J602" s="217"/>
      <c r="K602" s="218"/>
      <c r="L602" s="685">
        <f ca="1">L603+L604</f>
        <v>49642</v>
      </c>
      <c r="M602" s="86">
        <f ca="1">M603+M604</f>
        <v>49642</v>
      </c>
      <c r="N602" s="86">
        <f ca="1">N603+N604</f>
        <v>0</v>
      </c>
      <c r="O602" s="86">
        <f t="shared" ca="1" si="149"/>
        <v>0</v>
      </c>
      <c r="P602" s="86">
        <f t="shared" ca="1" si="150"/>
        <v>0</v>
      </c>
      <c r="Q602" s="86">
        <f ca="1">Q603+Q604</f>
        <v>0</v>
      </c>
      <c r="R602" s="86">
        <f ca="1">R603+R604</f>
        <v>0</v>
      </c>
      <c r="S602" s="86">
        <f ca="1">S603+S604</f>
        <v>0</v>
      </c>
      <c r="T602" s="86">
        <f t="shared" ca="1" si="151"/>
        <v>0</v>
      </c>
      <c r="U602" s="86">
        <f t="shared" ca="1" si="152"/>
        <v>0</v>
      </c>
    </row>
    <row r="603" spans="1:21" ht="18.75" hidden="1" x14ac:dyDescent="0.25">
      <c r="A603" s="207"/>
      <c r="B603" s="367"/>
      <c r="C603" s="367"/>
      <c r="D603" s="229"/>
      <c r="E603" s="73" t="s">
        <v>159</v>
      </c>
      <c r="F603" s="65"/>
      <c r="G603" s="67"/>
      <c r="H603" s="216" t="s">
        <v>14</v>
      </c>
      <c r="I603" s="69"/>
      <c r="J603" s="69"/>
      <c r="K603" s="70"/>
      <c r="L603" s="685">
        <v>0</v>
      </c>
      <c r="M603" s="86">
        <v>0</v>
      </c>
      <c r="N603" s="86">
        <v>0</v>
      </c>
      <c r="O603" s="86">
        <f t="shared" si="149"/>
        <v>0</v>
      </c>
      <c r="P603" s="86">
        <f t="shared" si="150"/>
        <v>0</v>
      </c>
      <c r="Q603" s="86">
        <v>0</v>
      </c>
      <c r="R603" s="86">
        <v>0</v>
      </c>
      <c r="S603" s="86">
        <v>0</v>
      </c>
      <c r="T603" s="86">
        <f t="shared" si="151"/>
        <v>0</v>
      </c>
      <c r="U603" s="86">
        <f t="shared" si="152"/>
        <v>0</v>
      </c>
    </row>
    <row r="604" spans="1:21" ht="18.75" hidden="1" x14ac:dyDescent="0.25">
      <c r="A604" s="207"/>
      <c r="B604" s="367"/>
      <c r="C604" s="367"/>
      <c r="D604" s="229"/>
      <c r="E604" s="73" t="s">
        <v>160</v>
      </c>
      <c r="F604" s="65"/>
      <c r="G604" s="67"/>
      <c r="H604" s="216" t="s">
        <v>14</v>
      </c>
      <c r="I604" s="69"/>
      <c r="J604" s="69"/>
      <c r="K604" s="70"/>
      <c r="L604" s="685">
        <f ca="1">IFERROR(__xludf.DUMMYFUNCTION("IMPORTRANGE(""https://docs.google.com/spreadsheets/d/1-uDff_7J0KD5mKrp0Vvzr7lt3OU09vwQwhkpOPPYv2Y/edit?usp=sharing"",""งบพรบ!HK60"")"),49642)</f>
        <v>49642</v>
      </c>
      <c r="M604" s="86">
        <f ca="1">IFERROR(__xludf.DUMMYFUNCTION("IMPORTRANGE(""https://docs.google.com/spreadsheets/d/1-uDff_7J0KD5mKrp0Vvzr7lt3OU09vwQwhkpOPPYv2Y/edit?usp=sharing"",""งบพรบ!HP60"")"),49642)</f>
        <v>49642</v>
      </c>
      <c r="N604" s="86">
        <f ca="1">IFERROR(__xludf.DUMMYFUNCTION("IMPORTRANGE(""https://docs.google.com/spreadsheets/d/1-uDff_7J0KD5mKrp0Vvzr7lt3OU09vwQwhkpOPPYv2Y/edit?usp=sharing"",""งบพรบ!HR60"")"),0)</f>
        <v>0</v>
      </c>
      <c r="O604" s="86">
        <f t="shared" ca="1" si="149"/>
        <v>0</v>
      </c>
      <c r="P604" s="86">
        <f t="shared" ca="1" si="150"/>
        <v>0</v>
      </c>
      <c r="Q604" s="86">
        <f ca="1">IFERROR(__xludf.DUMMYFUNCTION("IMPORTRANGE(""https://docs.google.com/spreadsheets/d/1ItG2mGa2ceCfYo0BwxsXqNm01IGEUdYcSSLTEv9YCik/edit?usp=sharing"",""เบิกจ่ายกองทุน!AV60"")"),0)</f>
        <v>0</v>
      </c>
      <c r="R604" s="86">
        <f ca="1">IFERROR(__xludf.DUMMYFUNCTION("IMPORTRANGE(""https://docs.google.com/spreadsheets/d/1ItG2mGa2ceCfYo0BwxsXqNm01IGEUdYcSSLTEv9YCik/edit?usp=sharing"",""เบิกจ่ายกองทุน!AW60"")"),0)</f>
        <v>0</v>
      </c>
      <c r="S604" s="86">
        <f ca="1">IFERROR(__xludf.DUMMYFUNCTION("IMPORTRANGE(""https://docs.google.com/spreadsheets/d/1ItG2mGa2ceCfYo0BwxsXqNm01IGEUdYcSSLTEv9YCik/edit?usp=sharing"",""เบิกจ่ายกองทุน!AX60"")"),0)</f>
        <v>0</v>
      </c>
      <c r="T604" s="86">
        <f t="shared" ca="1" si="151"/>
        <v>0</v>
      </c>
      <c r="U604" s="86">
        <f t="shared" ca="1" si="152"/>
        <v>0</v>
      </c>
    </row>
    <row r="605" spans="1:21" ht="18.75" x14ac:dyDescent="0.25">
      <c r="A605" s="207"/>
      <c r="B605" s="367"/>
      <c r="C605" s="367"/>
      <c r="D605" s="937" t="s">
        <v>23</v>
      </c>
      <c r="E605" s="367"/>
      <c r="F605" s="65"/>
      <c r="G605" s="67"/>
      <c r="H605" s="219" t="s">
        <v>14</v>
      </c>
      <c r="I605" s="217"/>
      <c r="J605" s="217"/>
      <c r="K605" s="218"/>
      <c r="L605" s="685">
        <f ca="1">L606+L607</f>
        <v>0</v>
      </c>
      <c r="M605" s="86">
        <f ca="1">M606+M607</f>
        <v>0</v>
      </c>
      <c r="N605" s="86">
        <f ca="1">N606+N607</f>
        <v>0</v>
      </c>
      <c r="O605" s="86">
        <f t="shared" ca="1" si="149"/>
        <v>0</v>
      </c>
      <c r="P605" s="86">
        <f t="shared" ca="1" si="150"/>
        <v>0</v>
      </c>
      <c r="Q605" s="86">
        <f ca="1">Q606+Q607</f>
        <v>0</v>
      </c>
      <c r="R605" s="86">
        <f ca="1">R606+R607</f>
        <v>0</v>
      </c>
      <c r="S605" s="86">
        <f ca="1">S606+S607</f>
        <v>0</v>
      </c>
      <c r="T605" s="86">
        <f t="shared" ca="1" si="151"/>
        <v>0</v>
      </c>
      <c r="U605" s="86">
        <f t="shared" ca="1" si="152"/>
        <v>0</v>
      </c>
    </row>
    <row r="606" spans="1:21" ht="18.75" hidden="1" x14ac:dyDescent="0.25">
      <c r="A606" s="207"/>
      <c r="B606" s="367"/>
      <c r="C606" s="367"/>
      <c r="D606" s="367"/>
      <c r="E606" s="365" t="s">
        <v>20</v>
      </c>
      <c r="F606" s="65"/>
      <c r="G606" s="67"/>
      <c r="H606" s="216" t="s">
        <v>14</v>
      </c>
      <c r="I606" s="217"/>
      <c r="J606" s="217"/>
      <c r="K606" s="218"/>
      <c r="L606" s="685">
        <v>0</v>
      </c>
      <c r="M606" s="86">
        <v>0</v>
      </c>
      <c r="N606" s="86">
        <v>0</v>
      </c>
      <c r="O606" s="86">
        <f t="shared" si="149"/>
        <v>0</v>
      </c>
      <c r="P606" s="86">
        <f t="shared" si="150"/>
        <v>0</v>
      </c>
      <c r="Q606" s="86">
        <v>0</v>
      </c>
      <c r="R606" s="86">
        <v>0</v>
      </c>
      <c r="S606" s="86">
        <v>0</v>
      </c>
      <c r="T606" s="86">
        <f t="shared" si="151"/>
        <v>0</v>
      </c>
      <c r="U606" s="86">
        <f t="shared" si="152"/>
        <v>0</v>
      </c>
    </row>
    <row r="607" spans="1:21" ht="18.75" hidden="1" x14ac:dyDescent="0.25">
      <c r="A607" s="207"/>
      <c r="B607" s="367"/>
      <c r="C607" s="367"/>
      <c r="D607" s="65"/>
      <c r="E607" s="365" t="s">
        <v>21</v>
      </c>
      <c r="F607" s="65"/>
      <c r="G607" s="67"/>
      <c r="H607" s="219" t="s">
        <v>14</v>
      </c>
      <c r="I607" s="217"/>
      <c r="J607" s="217"/>
      <c r="K607" s="218"/>
      <c r="L607" s="685">
        <f ca="1">IFERROR(__xludf.DUMMYFUNCTION("IMPORTRANGE(""https://docs.google.com/spreadsheets/d/1-uDff_7J0KD5mKrp0Vvzr7lt3OU09vwQwhkpOPPYv2Y/edit?usp=sharing"",""งบพรบ!HN60"")"),0)</f>
        <v>0</v>
      </c>
      <c r="M607" s="86">
        <f ca="1">IFERROR(__xludf.DUMMYFUNCTION("IMPORTRANGE(""https://docs.google.com/spreadsheets/d/1-uDff_7J0KD5mKrp0Vvzr7lt3OU09vwQwhkpOPPYv2Y/edit?usp=sharing"",""งบพรบ!HQ60"")"),0)</f>
        <v>0</v>
      </c>
      <c r="N607" s="86">
        <f ca="1">IFERROR(__xludf.DUMMYFUNCTION("IMPORTRANGE(""https://docs.google.com/spreadsheets/d/1-uDff_7J0KD5mKrp0Vvzr7lt3OU09vwQwhkpOPPYv2Y/edit?usp=sharing"",""งบพรบ!HS60"")"),0)</f>
        <v>0</v>
      </c>
      <c r="O607" s="86">
        <f t="shared" ca="1" si="149"/>
        <v>0</v>
      </c>
      <c r="P607" s="86">
        <f t="shared" ca="1" si="150"/>
        <v>0</v>
      </c>
      <c r="Q607" s="86">
        <f ca="1">IFERROR(__xludf.DUMMYFUNCTION("IMPORTRANGE(""https://docs.google.com/spreadsheets/d/1ItG2mGa2ceCfYo0BwxsXqNm01IGEUdYcSSLTEv9YCik/edit?usp=sharing"",""เบิกจ่ายกองทุน!AY60"")"),0)</f>
        <v>0</v>
      </c>
      <c r="R607" s="86">
        <f ca="1">IFERROR(__xludf.DUMMYFUNCTION("IMPORTRANGE(""https://docs.google.com/spreadsheets/d/1ItG2mGa2ceCfYo0BwxsXqNm01IGEUdYcSSLTEv9YCik/edit?usp=sharing"",""เบิกจ่ายกองทุน!AZ60"")"),0)</f>
        <v>0</v>
      </c>
      <c r="S607" s="86">
        <f ca="1">IFERROR(__xludf.DUMMYFUNCTION("IMPORTRANGE(""https://docs.google.com/spreadsheets/d/1ItG2mGa2ceCfYo0BwxsXqNm01IGEUdYcSSLTEv9YCik/edit?usp=sharing"",""เบิกจ่ายกองทุน!BA60"")"),0)</f>
        <v>0</v>
      </c>
      <c r="T607" s="86">
        <f t="shared" ca="1" si="151"/>
        <v>0</v>
      </c>
      <c r="U607" s="86">
        <f t="shared" ca="1" si="152"/>
        <v>0</v>
      </c>
    </row>
    <row r="608" spans="1:21" ht="19.5" hidden="1" x14ac:dyDescent="0.3">
      <c r="A608" s="220"/>
      <c r="B608" s="221"/>
      <c r="C608" s="680" t="s">
        <v>18</v>
      </c>
      <c r="D608" s="931" t="s">
        <v>38</v>
      </c>
      <c r="E608" s="223"/>
      <c r="F608" s="223"/>
      <c r="G608" s="224"/>
      <c r="H608" s="314"/>
      <c r="I608" s="217"/>
      <c r="J608" s="217"/>
      <c r="K608" s="218"/>
      <c r="L608" s="519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 ht="18.75" hidden="1" x14ac:dyDescent="0.25">
      <c r="A609" s="220"/>
      <c r="B609" s="221"/>
      <c r="C609" s="221"/>
      <c r="D609" s="687" t="s">
        <v>220</v>
      </c>
      <c r="E609" s="229"/>
      <c r="F609" s="229"/>
      <c r="G609" s="225"/>
      <c r="H609" s="216" t="s">
        <v>99</v>
      </c>
      <c r="I609" s="69"/>
      <c r="J609" s="69"/>
      <c r="K609" s="218"/>
      <c r="L609" s="519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 ht="19.5" hidden="1" x14ac:dyDescent="0.3">
      <c r="A610" s="220"/>
      <c r="B610" s="221"/>
      <c r="C610" s="221"/>
      <c r="D610" s="687" t="s">
        <v>221</v>
      </c>
      <c r="E610" s="229"/>
      <c r="F610" s="229"/>
      <c r="G610" s="225"/>
      <c r="H610" s="380" t="s">
        <v>35</v>
      </c>
      <c r="I610" s="69"/>
      <c r="J610" s="69"/>
      <c r="K610" s="218"/>
      <c r="L610" s="519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 ht="18.75" hidden="1" x14ac:dyDescent="0.25">
      <c r="A611" s="220"/>
      <c r="B611" s="221"/>
      <c r="C611" s="221"/>
      <c r="D611" s="221"/>
      <c r="E611" s="687" t="s">
        <v>222</v>
      </c>
      <c r="F611" s="229"/>
      <c r="G611" s="225"/>
      <c r="H611" s="219" t="s">
        <v>35</v>
      </c>
      <c r="I611" s="69"/>
      <c r="J611" s="69"/>
      <c r="K611" s="218"/>
      <c r="L611" s="519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 ht="19.5" hidden="1" thickBot="1" x14ac:dyDescent="0.3">
      <c r="A612" s="688"/>
      <c r="B612" s="689"/>
      <c r="C612" s="689"/>
      <c r="D612" s="689"/>
      <c r="E612" s="690" t="s">
        <v>223</v>
      </c>
      <c r="F612" s="691"/>
      <c r="G612" s="692"/>
      <c r="H612" s="693" t="s">
        <v>35</v>
      </c>
      <c r="I612" s="694"/>
      <c r="J612" s="694"/>
      <c r="K612" s="695"/>
      <c r="L612" s="697"/>
      <c r="M612" s="696"/>
      <c r="N612" s="696"/>
      <c r="O612" s="696"/>
      <c r="P612" s="696"/>
      <c r="Q612" s="696"/>
      <c r="R612" s="696"/>
      <c r="S612" s="696"/>
      <c r="T612" s="696"/>
      <c r="U612" s="696"/>
    </row>
    <row r="613" spans="1:21" ht="19.5" hidden="1" x14ac:dyDescent="0.3">
      <c r="A613" s="698" t="s">
        <v>224</v>
      </c>
      <c r="B613" s="699"/>
      <c r="C613" s="699"/>
      <c r="D613" s="700"/>
      <c r="E613" s="700"/>
      <c r="F613" s="700"/>
      <c r="G613" s="701"/>
      <c r="H613" s="702"/>
      <c r="I613" s="703"/>
      <c r="J613" s="703"/>
      <c r="K613" s="704"/>
      <c r="L613" s="705"/>
      <c r="M613" s="704"/>
      <c r="N613" s="704"/>
      <c r="O613" s="704"/>
      <c r="P613" s="704"/>
      <c r="Q613" s="704"/>
      <c r="R613" s="704"/>
      <c r="S613" s="704"/>
      <c r="T613" s="704"/>
      <c r="U613" s="704"/>
    </row>
    <row r="614" spans="1:21" ht="19.5" x14ac:dyDescent="0.3">
      <c r="A614" s="761"/>
      <c r="B614" s="707" t="s">
        <v>225</v>
      </c>
      <c r="C614" s="706"/>
      <c r="D614" s="708"/>
      <c r="E614" s="708"/>
      <c r="F614" s="708"/>
      <c r="G614" s="709"/>
      <c r="H614" s="710"/>
      <c r="I614" s="711"/>
      <c r="J614" s="711"/>
      <c r="K614" s="712"/>
      <c r="L614" s="713"/>
      <c r="M614" s="712"/>
      <c r="N614" s="712"/>
      <c r="O614" s="712"/>
      <c r="P614" s="712"/>
      <c r="Q614" s="712"/>
      <c r="R614" s="712"/>
      <c r="S614" s="712"/>
      <c r="T614" s="712"/>
      <c r="U614" s="712"/>
    </row>
    <row r="615" spans="1:21" ht="19.5" x14ac:dyDescent="0.3">
      <c r="A615" s="802"/>
      <c r="B615" s="715" t="s">
        <v>226</v>
      </c>
      <c r="C615" s="714"/>
      <c r="D615" s="716"/>
      <c r="E615" s="716"/>
      <c r="F615" s="716"/>
      <c r="G615" s="717"/>
      <c r="H615" s="718" t="s">
        <v>46</v>
      </c>
      <c r="I615" s="719">
        <f ca="1">I626</f>
        <v>50</v>
      </c>
      <c r="J615" s="719">
        <f>J626</f>
        <v>0</v>
      </c>
      <c r="K615" s="720">
        <f ca="1">IF(I615&gt;0,J615*100/I615,0)</f>
        <v>0</v>
      </c>
      <c r="L615" s="722"/>
      <c r="M615" s="721"/>
      <c r="N615" s="721"/>
      <c r="O615" s="721"/>
      <c r="P615" s="721"/>
      <c r="Q615" s="721"/>
      <c r="R615" s="721"/>
      <c r="S615" s="721"/>
      <c r="T615" s="721"/>
      <c r="U615" s="721"/>
    </row>
    <row r="616" spans="1:21" ht="19.5" x14ac:dyDescent="0.3">
      <c r="A616" s="255"/>
      <c r="B616" s="267"/>
      <c r="C616" s="668" t="s">
        <v>18</v>
      </c>
      <c r="D616" s="1442" t="s">
        <v>19</v>
      </c>
      <c r="E616" s="1401"/>
      <c r="F616" s="1401"/>
      <c r="G616" s="1402"/>
      <c r="H616" s="612" t="s">
        <v>14</v>
      </c>
      <c r="I616" s="261"/>
      <c r="J616" s="261"/>
      <c r="K616" s="85"/>
      <c r="L616" s="389">
        <f>L617+L618</f>
        <v>0</v>
      </c>
      <c r="M616" s="262">
        <f>M617+M618</f>
        <v>0</v>
      </c>
      <c r="N616" s="262">
        <f>N617+N618</f>
        <v>0</v>
      </c>
      <c r="O616" s="262">
        <f t="shared" ref="O616:O624" si="155">IF(L616&gt;0,N616*100/L616,0)</f>
        <v>0</v>
      </c>
      <c r="P616" s="262">
        <f t="shared" ref="P616:P624" si="156">IF(M616&gt;0,N616*100/M616,0)</f>
        <v>0</v>
      </c>
      <c r="Q616" s="262">
        <f ca="1">Q617+Q618</f>
        <v>7275</v>
      </c>
      <c r="R616" s="262">
        <f ca="1">R617+R618</f>
        <v>7275</v>
      </c>
      <c r="S616" s="262">
        <f ca="1">S617+S618</f>
        <v>3440</v>
      </c>
      <c r="T616" s="262">
        <f t="shared" ref="T616:T624" ca="1" si="157">IF(Q616&gt;0,S616*100/Q616,0)</f>
        <v>47.285223367697597</v>
      </c>
      <c r="U616" s="262">
        <f t="shared" ref="U616:U624" ca="1" si="158">IF(R616&gt;0,S616*100/R616,0)</f>
        <v>47.285223367697597</v>
      </c>
    </row>
    <row r="617" spans="1:21" ht="18.75" hidden="1" x14ac:dyDescent="0.25">
      <c r="A617" s="255"/>
      <c r="B617" s="267"/>
      <c r="C617" s="267"/>
      <c r="D617" s="288"/>
      <c r="E617" s="263" t="s">
        <v>159</v>
      </c>
      <c r="F617" s="256"/>
      <c r="G617" s="259"/>
      <c r="H617" s="271" t="s">
        <v>14</v>
      </c>
      <c r="I617" s="261"/>
      <c r="J617" s="261"/>
      <c r="K617" s="85"/>
      <c r="L617" s="74">
        <f t="shared" ref="L617:N618" si="159">L620+L623</f>
        <v>0</v>
      </c>
      <c r="M617" s="75">
        <f t="shared" si="159"/>
        <v>0</v>
      </c>
      <c r="N617" s="75">
        <f t="shared" si="159"/>
        <v>0</v>
      </c>
      <c r="O617" s="75">
        <f t="shared" si="155"/>
        <v>0</v>
      </c>
      <c r="P617" s="75">
        <f t="shared" si="156"/>
        <v>0</v>
      </c>
      <c r="Q617" s="75">
        <f t="shared" ref="Q617:S618" si="160">Q620+Q623</f>
        <v>0</v>
      </c>
      <c r="R617" s="75">
        <f t="shared" si="160"/>
        <v>0</v>
      </c>
      <c r="S617" s="75">
        <f t="shared" si="160"/>
        <v>0</v>
      </c>
      <c r="T617" s="75">
        <f t="shared" si="157"/>
        <v>0</v>
      </c>
      <c r="U617" s="75">
        <f t="shared" si="158"/>
        <v>0</v>
      </c>
    </row>
    <row r="618" spans="1:21" ht="18.75" hidden="1" x14ac:dyDescent="0.25">
      <c r="A618" s="255"/>
      <c r="B618" s="267"/>
      <c r="C618" s="267"/>
      <c r="D618" s="288"/>
      <c r="E618" s="265" t="s">
        <v>160</v>
      </c>
      <c r="F618" s="256"/>
      <c r="G618" s="259"/>
      <c r="H618" s="269" t="s">
        <v>14</v>
      </c>
      <c r="I618" s="261"/>
      <c r="J618" s="261"/>
      <c r="K618" s="85"/>
      <c r="L618" s="71">
        <f t="shared" si="159"/>
        <v>0</v>
      </c>
      <c r="M618" s="72">
        <f t="shared" si="159"/>
        <v>0</v>
      </c>
      <c r="N618" s="72">
        <f t="shared" si="159"/>
        <v>0</v>
      </c>
      <c r="O618" s="72">
        <f t="shared" si="155"/>
        <v>0</v>
      </c>
      <c r="P618" s="72">
        <f t="shared" si="156"/>
        <v>0</v>
      </c>
      <c r="Q618" s="72">
        <f t="shared" ca="1" si="160"/>
        <v>7275</v>
      </c>
      <c r="R618" s="72">
        <f t="shared" ca="1" si="160"/>
        <v>7275</v>
      </c>
      <c r="S618" s="72">
        <f t="shared" ca="1" si="160"/>
        <v>3440</v>
      </c>
      <c r="T618" s="72">
        <f t="shared" ca="1" si="157"/>
        <v>47.285223367697597</v>
      </c>
      <c r="U618" s="72">
        <f t="shared" ca="1" si="158"/>
        <v>47.285223367697597</v>
      </c>
    </row>
    <row r="619" spans="1:21" ht="18.75" x14ac:dyDescent="0.25">
      <c r="A619" s="255"/>
      <c r="B619" s="267"/>
      <c r="C619" s="267"/>
      <c r="D619" s="268" t="s">
        <v>22</v>
      </c>
      <c r="E619" s="256"/>
      <c r="F619" s="256"/>
      <c r="G619" s="259"/>
      <c r="H619" s="269" t="s">
        <v>14</v>
      </c>
      <c r="I619" s="270"/>
      <c r="J619" s="270"/>
      <c r="K619" s="227"/>
      <c r="L619" s="71">
        <f>L620+L621</f>
        <v>0</v>
      </c>
      <c r="M619" s="72">
        <f>M620+M621</f>
        <v>0</v>
      </c>
      <c r="N619" s="72">
        <f>N620+N621</f>
        <v>0</v>
      </c>
      <c r="O619" s="72">
        <f t="shared" si="155"/>
        <v>0</v>
      </c>
      <c r="P619" s="72">
        <f t="shared" si="156"/>
        <v>0</v>
      </c>
      <c r="Q619" s="72">
        <f ca="1">Q620+Q621</f>
        <v>7275</v>
      </c>
      <c r="R619" s="72">
        <f ca="1">R620+R621</f>
        <v>7275</v>
      </c>
      <c r="S619" s="72">
        <f ca="1">S620+S621</f>
        <v>3440</v>
      </c>
      <c r="T619" s="72">
        <f t="shared" ca="1" si="157"/>
        <v>47.285223367697597</v>
      </c>
      <c r="U619" s="72">
        <f t="shared" ca="1" si="158"/>
        <v>47.285223367697597</v>
      </c>
    </row>
    <row r="620" spans="1:21" ht="18.75" hidden="1" x14ac:dyDescent="0.25">
      <c r="A620" s="255"/>
      <c r="B620" s="267"/>
      <c r="C620" s="267"/>
      <c r="D620" s="288"/>
      <c r="E620" s="263" t="s">
        <v>159</v>
      </c>
      <c r="F620" s="256"/>
      <c r="G620" s="259"/>
      <c r="H620" s="271" t="s">
        <v>14</v>
      </c>
      <c r="I620" s="261"/>
      <c r="J620" s="261"/>
      <c r="K620" s="85"/>
      <c r="L620" s="74">
        <v>0</v>
      </c>
      <c r="M620" s="75">
        <v>0</v>
      </c>
      <c r="N620" s="75">
        <v>0</v>
      </c>
      <c r="O620" s="75">
        <f t="shared" si="155"/>
        <v>0</v>
      </c>
      <c r="P620" s="75">
        <f t="shared" si="156"/>
        <v>0</v>
      </c>
      <c r="Q620" s="75">
        <v>0</v>
      </c>
      <c r="R620" s="75">
        <v>0</v>
      </c>
      <c r="S620" s="75">
        <v>0</v>
      </c>
      <c r="T620" s="75">
        <f t="shared" si="157"/>
        <v>0</v>
      </c>
      <c r="U620" s="75">
        <f t="shared" si="158"/>
        <v>0</v>
      </c>
    </row>
    <row r="621" spans="1:21" ht="18.75" hidden="1" x14ac:dyDescent="0.25">
      <c r="A621" s="255"/>
      <c r="B621" s="267"/>
      <c r="C621" s="267"/>
      <c r="D621" s="288"/>
      <c r="E621" s="265" t="s">
        <v>160</v>
      </c>
      <c r="F621" s="256"/>
      <c r="G621" s="259"/>
      <c r="H621" s="269" t="s">
        <v>14</v>
      </c>
      <c r="I621" s="261"/>
      <c r="J621" s="261"/>
      <c r="K621" s="85"/>
      <c r="L621" s="71">
        <v>0</v>
      </c>
      <c r="M621" s="72">
        <v>0</v>
      </c>
      <c r="N621" s="72">
        <v>0</v>
      </c>
      <c r="O621" s="72">
        <f t="shared" si="155"/>
        <v>0</v>
      </c>
      <c r="P621" s="72">
        <f t="shared" si="156"/>
        <v>0</v>
      </c>
      <c r="Q621" s="72">
        <f ca="1">IFERROR(__xludf.DUMMYFUNCTION("IMPORTRANGE(""https://docs.google.com/spreadsheets/d/1ItG2mGa2ceCfYo0BwxsXqNm01IGEUdYcSSLTEv9YCik/edit?usp=sharing"",""เบิกจ่ายกองทุน!F60"")"),7275)</f>
        <v>7275</v>
      </c>
      <c r="R621" s="72">
        <f ca="1">IFERROR(__xludf.DUMMYFUNCTION("IMPORTRANGE(""https://docs.google.com/spreadsheets/d/1ItG2mGa2ceCfYo0BwxsXqNm01IGEUdYcSSLTEv9YCik/edit?usp=sharing"",""เบิกจ่ายกองทุน!G60"")"),7275)</f>
        <v>7275</v>
      </c>
      <c r="S621" s="72">
        <f ca="1">IFERROR(__xludf.DUMMYFUNCTION("IMPORTRANGE(""https://docs.google.com/spreadsheets/d/1ItG2mGa2ceCfYo0BwxsXqNm01IGEUdYcSSLTEv9YCik/edit?usp=sharing"",""เบิกจ่ายกองทุน!H60"")"),3440)</f>
        <v>3440</v>
      </c>
      <c r="T621" s="72">
        <f t="shared" ca="1" si="157"/>
        <v>47.285223367697597</v>
      </c>
      <c r="U621" s="72">
        <f t="shared" ca="1" si="158"/>
        <v>47.285223367697597</v>
      </c>
    </row>
    <row r="622" spans="1:21" ht="18.75" x14ac:dyDescent="0.25">
      <c r="A622" s="255"/>
      <c r="B622" s="267"/>
      <c r="C622" s="267"/>
      <c r="D622" s="268" t="s">
        <v>23</v>
      </c>
      <c r="E622" s="256"/>
      <c r="F622" s="256"/>
      <c r="G622" s="259"/>
      <c r="H622" s="273" t="s">
        <v>14</v>
      </c>
      <c r="I622" s="270"/>
      <c r="J622" s="270"/>
      <c r="K622" s="227"/>
      <c r="L622" s="71">
        <f>L623+L624</f>
        <v>0</v>
      </c>
      <c r="M622" s="72">
        <f>M623+M624</f>
        <v>0</v>
      </c>
      <c r="N622" s="72">
        <f>N623+N624</f>
        <v>0</v>
      </c>
      <c r="O622" s="72">
        <f t="shared" si="155"/>
        <v>0</v>
      </c>
      <c r="P622" s="72">
        <f t="shared" si="156"/>
        <v>0</v>
      </c>
      <c r="Q622" s="72">
        <f>Q623+Q624</f>
        <v>0</v>
      </c>
      <c r="R622" s="72">
        <f>R623+R624</f>
        <v>0</v>
      </c>
      <c r="S622" s="72">
        <f>S623+S624</f>
        <v>0</v>
      </c>
      <c r="T622" s="72">
        <f t="shared" si="157"/>
        <v>0</v>
      </c>
      <c r="U622" s="72">
        <f t="shared" si="158"/>
        <v>0</v>
      </c>
    </row>
    <row r="623" spans="1:21" ht="18.75" hidden="1" x14ac:dyDescent="0.25">
      <c r="A623" s="255"/>
      <c r="B623" s="267"/>
      <c r="C623" s="267"/>
      <c r="D623" s="267"/>
      <c r="E623" s="263" t="s">
        <v>20</v>
      </c>
      <c r="F623" s="256"/>
      <c r="G623" s="259"/>
      <c r="H623" s="271" t="s">
        <v>14</v>
      </c>
      <c r="I623" s="270"/>
      <c r="J623" s="270"/>
      <c r="K623" s="227"/>
      <c r="L623" s="74">
        <v>0</v>
      </c>
      <c r="M623" s="75">
        <v>0</v>
      </c>
      <c r="N623" s="75">
        <v>0</v>
      </c>
      <c r="O623" s="75">
        <f t="shared" si="155"/>
        <v>0</v>
      </c>
      <c r="P623" s="75">
        <f t="shared" si="156"/>
        <v>0</v>
      </c>
      <c r="Q623" s="75">
        <v>0</v>
      </c>
      <c r="R623" s="75">
        <v>0</v>
      </c>
      <c r="S623" s="75">
        <v>0</v>
      </c>
      <c r="T623" s="75">
        <f t="shared" si="157"/>
        <v>0</v>
      </c>
      <c r="U623" s="75">
        <f t="shared" si="158"/>
        <v>0</v>
      </c>
    </row>
    <row r="624" spans="1:21" ht="18.75" hidden="1" x14ac:dyDescent="0.25">
      <c r="A624" s="255"/>
      <c r="B624" s="267"/>
      <c r="C624" s="267"/>
      <c r="D624" s="267"/>
      <c r="E624" s="265" t="s">
        <v>21</v>
      </c>
      <c r="F624" s="256"/>
      <c r="G624" s="259"/>
      <c r="H624" s="273" t="s">
        <v>14</v>
      </c>
      <c r="I624" s="270"/>
      <c r="J624" s="270"/>
      <c r="K624" s="227"/>
      <c r="L624" s="71">
        <v>0</v>
      </c>
      <c r="M624" s="72">
        <v>0</v>
      </c>
      <c r="N624" s="72">
        <v>0</v>
      </c>
      <c r="O624" s="72">
        <f t="shared" si="155"/>
        <v>0</v>
      </c>
      <c r="P624" s="72">
        <f t="shared" si="156"/>
        <v>0</v>
      </c>
      <c r="Q624" s="72">
        <v>0</v>
      </c>
      <c r="R624" s="72">
        <v>0</v>
      </c>
      <c r="S624" s="72">
        <v>0</v>
      </c>
      <c r="T624" s="72">
        <f t="shared" si="157"/>
        <v>0</v>
      </c>
      <c r="U624" s="72">
        <f t="shared" si="158"/>
        <v>0</v>
      </c>
    </row>
    <row r="625" spans="1:21" ht="19.5" x14ac:dyDescent="0.3">
      <c r="A625" s="274"/>
      <c r="B625" s="275"/>
      <c r="C625" s="668" t="s">
        <v>18</v>
      </c>
      <c r="D625" s="792" t="s">
        <v>38</v>
      </c>
      <c r="E625" s="278"/>
      <c r="F625" s="278"/>
      <c r="G625" s="279"/>
      <c r="H625" s="305"/>
      <c r="I625" s="270"/>
      <c r="J625" s="270"/>
      <c r="K625" s="227"/>
      <c r="L625" s="226"/>
      <c r="M625" s="227"/>
      <c r="N625" s="227"/>
      <c r="O625" s="227"/>
      <c r="P625" s="227"/>
      <c r="Q625" s="227"/>
      <c r="R625" s="227"/>
      <c r="S625" s="227"/>
      <c r="T625" s="227"/>
      <c r="U625" s="227"/>
    </row>
    <row r="626" spans="1:21" ht="19.5" x14ac:dyDescent="0.3">
      <c r="A626" s="274"/>
      <c r="B626" s="275"/>
      <c r="C626" s="275"/>
      <c r="D626" s="724" t="s">
        <v>227</v>
      </c>
      <c r="E626" s="288"/>
      <c r="F626" s="288"/>
      <c r="G626" s="280"/>
      <c r="H626" s="725" t="s">
        <v>46</v>
      </c>
      <c r="I626" s="601">
        <f ca="1">IFERROR(__xludf.DUMMYFUNCTION("IMPORTRANGE(""https://docs.google.com/spreadsheets/d/1eHaY18a8A9IcSdp1K8H6x8fbOy06t2VsZHhMHf-1x7Y/edit?usp=sharing"",""แผน!ID60"")"),50)</f>
        <v>50</v>
      </c>
      <c r="J626" s="601">
        <f>J632</f>
        <v>0</v>
      </c>
      <c r="K626" s="262">
        <f ca="1">IF(I626&gt;0,J626*100/I626,0)</f>
        <v>0</v>
      </c>
      <c r="L626" s="226"/>
      <c r="M626" s="227"/>
      <c r="N626" s="227"/>
      <c r="O626" s="227"/>
      <c r="P626" s="227"/>
      <c r="Q626" s="227"/>
      <c r="R626" s="227"/>
      <c r="S626" s="227"/>
      <c r="T626" s="227"/>
      <c r="U626" s="227"/>
    </row>
    <row r="627" spans="1:21" ht="18.75" x14ac:dyDescent="0.25">
      <c r="A627" s="274"/>
      <c r="B627" s="275"/>
      <c r="C627" s="275"/>
      <c r="D627" s="275"/>
      <c r="E627" s="289" t="s">
        <v>228</v>
      </c>
      <c r="F627" s="288"/>
      <c r="G627" s="280"/>
      <c r="H627" s="273" t="s">
        <v>61</v>
      </c>
      <c r="I627" s="291">
        <f ca="1">IFERROR(__xludf.DUMMYFUNCTION("IMPORTRANGE(""https://docs.google.com/spreadsheets/d/1eHaY18a8A9IcSdp1K8H6x8fbOy06t2VsZHhMHf-1x7Y/edit?usp=sharing"",""แผน!IC60"")"),1)</f>
        <v>1</v>
      </c>
      <c r="J627" s="292">
        <v>1</v>
      </c>
      <c r="K627" s="72">
        <f ca="1">IF(I627&gt;0,(J627*100)/I627,0)</f>
        <v>100</v>
      </c>
      <c r="L627" s="226"/>
      <c r="M627" s="227"/>
      <c r="N627" s="227"/>
      <c r="O627" s="227"/>
      <c r="P627" s="227"/>
      <c r="Q627" s="227"/>
      <c r="R627" s="227"/>
      <c r="S627" s="227"/>
      <c r="T627" s="227"/>
      <c r="U627" s="227"/>
    </row>
    <row r="628" spans="1:21" ht="18.75" x14ac:dyDescent="0.25">
      <c r="A628" s="274"/>
      <c r="B628" s="275"/>
      <c r="C628" s="275"/>
      <c r="D628" s="275"/>
      <c r="E628" s="289" t="s">
        <v>229</v>
      </c>
      <c r="F628" s="288"/>
      <c r="G628" s="280"/>
      <c r="H628" s="273" t="s">
        <v>61</v>
      </c>
      <c r="I628" s="291">
        <f ca="1">IFERROR(__xludf.DUMMYFUNCTION("IMPORTRANGE(""https://docs.google.com/spreadsheets/d/1eHaY18a8A9IcSdp1K8H6x8fbOy06t2VsZHhMHf-1x7Y/edit?usp=sharing"",""แผน!IC60"")"),1)</f>
        <v>1</v>
      </c>
      <c r="J628" s="292">
        <v>1</v>
      </c>
      <c r="K628" s="72">
        <f ca="1">IF(I628&gt;0,(J628*100)/I628,0)</f>
        <v>100</v>
      </c>
      <c r="L628" s="226"/>
      <c r="M628" s="227"/>
      <c r="N628" s="227"/>
      <c r="O628" s="227"/>
      <c r="P628" s="227"/>
      <c r="Q628" s="227"/>
      <c r="R628" s="227"/>
      <c r="S628" s="227"/>
      <c r="T628" s="227"/>
      <c r="U628" s="227"/>
    </row>
    <row r="629" spans="1:21" ht="18.75" x14ac:dyDescent="0.25">
      <c r="A629" s="274"/>
      <c r="B629" s="275"/>
      <c r="C629" s="275"/>
      <c r="D629" s="275"/>
      <c r="E629" s="289" t="s">
        <v>230</v>
      </c>
      <c r="F629" s="288"/>
      <c r="G629" s="280"/>
      <c r="H629" s="273" t="s">
        <v>46</v>
      </c>
      <c r="I629" s="261"/>
      <c r="J629" s="292">
        <v>0</v>
      </c>
      <c r="K629" s="72">
        <f ca="1">IF(I$626&gt;0,J629*100/I$626,0)</f>
        <v>0</v>
      </c>
      <c r="L629" s="226"/>
      <c r="M629" s="227"/>
      <c r="N629" s="227"/>
      <c r="O629" s="227"/>
      <c r="P629" s="227"/>
      <c r="Q629" s="227"/>
      <c r="R629" s="227"/>
      <c r="S629" s="227"/>
      <c r="T629" s="227"/>
      <c r="U629" s="227"/>
    </row>
    <row r="630" spans="1:21" ht="18.75" x14ac:dyDescent="0.25">
      <c r="A630" s="274"/>
      <c r="B630" s="275"/>
      <c r="C630" s="275"/>
      <c r="D630" s="275"/>
      <c r="E630" s="289" t="s">
        <v>231</v>
      </c>
      <c r="F630" s="288"/>
      <c r="G630" s="280"/>
      <c r="H630" s="273" t="s">
        <v>46</v>
      </c>
      <c r="I630" s="261"/>
      <c r="J630" s="292">
        <v>0</v>
      </c>
      <c r="K630" s="72">
        <f ca="1">IF(I$626&gt;0,J630*100/I$626,0)</f>
        <v>0</v>
      </c>
      <c r="L630" s="226"/>
      <c r="M630" s="227"/>
      <c r="N630" s="227"/>
      <c r="O630" s="227"/>
      <c r="P630" s="227"/>
      <c r="Q630" s="227"/>
      <c r="R630" s="227"/>
      <c r="S630" s="227"/>
      <c r="T630" s="227"/>
      <c r="U630" s="227"/>
    </row>
    <row r="631" spans="1:21" ht="18.75" x14ac:dyDescent="0.25">
      <c r="A631" s="274"/>
      <c r="B631" s="275"/>
      <c r="C631" s="275"/>
      <c r="D631" s="275"/>
      <c r="E631" s="289" t="s">
        <v>232</v>
      </c>
      <c r="F631" s="288"/>
      <c r="G631" s="280"/>
      <c r="H631" s="273" t="s">
        <v>46</v>
      </c>
      <c r="I631" s="261"/>
      <c r="J631" s="292">
        <v>0</v>
      </c>
      <c r="K631" s="72">
        <f ca="1">IF(I$626&gt;0,J631*100/I$626,0)</f>
        <v>0</v>
      </c>
      <c r="L631" s="226"/>
      <c r="M631" s="227"/>
      <c r="N631" s="227"/>
      <c r="O631" s="227"/>
      <c r="P631" s="227"/>
      <c r="Q631" s="227"/>
      <c r="R631" s="227"/>
      <c r="S631" s="227"/>
      <c r="T631" s="227"/>
      <c r="U631" s="227"/>
    </row>
    <row r="632" spans="1:21" ht="19.5" x14ac:dyDescent="0.3">
      <c r="A632" s="274"/>
      <c r="B632" s="275"/>
      <c r="C632" s="275"/>
      <c r="D632" s="275"/>
      <c r="E632" s="289" t="s">
        <v>233</v>
      </c>
      <c r="F632" s="288"/>
      <c r="G632" s="280"/>
      <c r="H632" s="273" t="s">
        <v>46</v>
      </c>
      <c r="I632" s="261"/>
      <c r="J632" s="601">
        <f>J633+J634</f>
        <v>0</v>
      </c>
      <c r="K632" s="262">
        <f ca="1">IF(I626&gt;0,J632*100/I626,0)</f>
        <v>0</v>
      </c>
      <c r="L632" s="226"/>
      <c r="M632" s="227"/>
      <c r="N632" s="227"/>
      <c r="O632" s="227"/>
      <c r="P632" s="227"/>
      <c r="Q632" s="227"/>
      <c r="R632" s="227"/>
      <c r="S632" s="227"/>
      <c r="T632" s="227"/>
      <c r="U632" s="227"/>
    </row>
    <row r="633" spans="1:21" ht="18.75" x14ac:dyDescent="0.25">
      <c r="A633" s="274"/>
      <c r="B633" s="275"/>
      <c r="C633" s="275"/>
      <c r="D633" s="275"/>
      <c r="E633" s="288"/>
      <c r="F633" s="289" t="s">
        <v>234</v>
      </c>
      <c r="G633" s="280"/>
      <c r="H633" s="273" t="s">
        <v>46</v>
      </c>
      <c r="I633" s="261"/>
      <c r="J633" s="292">
        <v>0</v>
      </c>
      <c r="K633" s="85"/>
      <c r="L633" s="226"/>
      <c r="M633" s="227"/>
      <c r="N633" s="227"/>
      <c r="O633" s="227"/>
      <c r="P633" s="227"/>
      <c r="Q633" s="227"/>
      <c r="R633" s="227"/>
      <c r="S633" s="227"/>
      <c r="T633" s="227"/>
      <c r="U633" s="227"/>
    </row>
    <row r="634" spans="1:21" ht="18.75" x14ac:dyDescent="0.25">
      <c r="A634" s="274"/>
      <c r="B634" s="275"/>
      <c r="C634" s="275"/>
      <c r="D634" s="275"/>
      <c r="E634" s="288"/>
      <c r="F634" s="289" t="s">
        <v>235</v>
      </c>
      <c r="G634" s="280"/>
      <c r="H634" s="273" t="s">
        <v>46</v>
      </c>
      <c r="I634" s="261"/>
      <c r="J634" s="292">
        <v>0</v>
      </c>
      <c r="K634" s="85"/>
      <c r="L634" s="226"/>
      <c r="M634" s="227"/>
      <c r="N634" s="227"/>
      <c r="O634" s="227"/>
      <c r="P634" s="227"/>
      <c r="Q634" s="227"/>
      <c r="R634" s="227"/>
      <c r="S634" s="227"/>
      <c r="T634" s="227"/>
      <c r="U634" s="227"/>
    </row>
    <row r="635" spans="1:21" ht="19.5" x14ac:dyDescent="0.3">
      <c r="A635" s="274"/>
      <c r="B635" s="275"/>
      <c r="C635" s="275"/>
      <c r="D635" s="724" t="s">
        <v>236</v>
      </c>
      <c r="E635" s="288"/>
      <c r="F635" s="288"/>
      <c r="G635" s="280"/>
      <c r="H635" s="273" t="s">
        <v>46</v>
      </c>
      <c r="I635" s="601">
        <f ca="1">IFERROR(__xludf.DUMMYFUNCTION("IMPORTRANGE(""https://docs.google.com/spreadsheets/d/1eHaY18a8A9IcSdp1K8H6x8fbOy06t2VsZHhMHf-1x7Y/edit?usp=sharing"",""แผน!IE60"")"),0)</f>
        <v>0</v>
      </c>
      <c r="J635" s="601">
        <f>J636</f>
        <v>0</v>
      </c>
      <c r="K635" s="262">
        <f ca="1">IF(I635&gt;0,J635*100/I635,0)</f>
        <v>0</v>
      </c>
      <c r="L635" s="226"/>
      <c r="M635" s="227"/>
      <c r="N635" s="227"/>
      <c r="O635" s="227"/>
      <c r="P635" s="227"/>
      <c r="Q635" s="227"/>
      <c r="R635" s="227"/>
      <c r="S635" s="227"/>
      <c r="T635" s="227"/>
      <c r="U635" s="227"/>
    </row>
    <row r="636" spans="1:21" ht="18.75" x14ac:dyDescent="0.25">
      <c r="A636" s="274"/>
      <c r="B636" s="275"/>
      <c r="C636" s="275"/>
      <c r="D636" s="275"/>
      <c r="E636" s="289" t="s">
        <v>237</v>
      </c>
      <c r="F636" s="288"/>
      <c r="G636" s="280"/>
      <c r="H636" s="273" t="s">
        <v>46</v>
      </c>
      <c r="I636" s="261"/>
      <c r="J636" s="291">
        <f>J637+J638</f>
        <v>0</v>
      </c>
      <c r="K636" s="85"/>
      <c r="L636" s="226"/>
      <c r="M636" s="227"/>
      <c r="N636" s="227"/>
      <c r="O636" s="227"/>
      <c r="P636" s="227"/>
      <c r="Q636" s="227"/>
      <c r="R636" s="227"/>
      <c r="S636" s="227"/>
      <c r="T636" s="227"/>
      <c r="U636" s="227"/>
    </row>
    <row r="637" spans="1:21" ht="18.75" x14ac:dyDescent="0.25">
      <c r="A637" s="274"/>
      <c r="B637" s="275"/>
      <c r="C637" s="275"/>
      <c r="D637" s="275"/>
      <c r="E637" s="288"/>
      <c r="F637" s="289" t="s">
        <v>234</v>
      </c>
      <c r="G637" s="280"/>
      <c r="H637" s="273" t="s">
        <v>46</v>
      </c>
      <c r="I637" s="261"/>
      <c r="J637" s="292">
        <v>0</v>
      </c>
      <c r="K637" s="85"/>
      <c r="L637" s="226"/>
      <c r="M637" s="227"/>
      <c r="N637" s="227"/>
      <c r="O637" s="227"/>
      <c r="P637" s="227"/>
      <c r="Q637" s="227"/>
      <c r="R637" s="227"/>
      <c r="S637" s="227"/>
      <c r="T637" s="227"/>
      <c r="U637" s="227"/>
    </row>
    <row r="638" spans="1:21" ht="18.75" x14ac:dyDescent="0.25">
      <c r="A638" s="274"/>
      <c r="B638" s="275"/>
      <c r="C638" s="275"/>
      <c r="D638" s="275"/>
      <c r="E638" s="288"/>
      <c r="F638" s="289" t="s">
        <v>235</v>
      </c>
      <c r="G638" s="280"/>
      <c r="H638" s="273" t="s">
        <v>46</v>
      </c>
      <c r="I638" s="261"/>
      <c r="J638" s="292">
        <v>0</v>
      </c>
      <c r="K638" s="85"/>
      <c r="L638" s="226"/>
      <c r="M638" s="227"/>
      <c r="N638" s="227"/>
      <c r="O638" s="227"/>
      <c r="P638" s="227"/>
      <c r="Q638" s="227"/>
      <c r="R638" s="227"/>
      <c r="S638" s="227"/>
      <c r="T638" s="227"/>
      <c r="U638" s="227"/>
    </row>
    <row r="639" spans="1:21" ht="18.75" x14ac:dyDescent="0.25">
      <c r="A639" s="274"/>
      <c r="B639" s="275"/>
      <c r="C639" s="275"/>
      <c r="D639" s="275"/>
      <c r="E639" s="289" t="s">
        <v>238</v>
      </c>
      <c r="F639" s="288"/>
      <c r="G639" s="280"/>
      <c r="H639" s="273" t="s">
        <v>46</v>
      </c>
      <c r="I639" s="261"/>
      <c r="J639" s="292">
        <v>0</v>
      </c>
      <c r="K639" s="85"/>
      <c r="L639" s="226"/>
      <c r="M639" s="227"/>
      <c r="N639" s="227"/>
      <c r="O639" s="227"/>
      <c r="P639" s="227"/>
      <c r="Q639" s="227"/>
      <c r="R639" s="227"/>
      <c r="S639" s="227"/>
      <c r="T639" s="227"/>
      <c r="U639" s="227"/>
    </row>
    <row r="640" spans="1:21" ht="18.75" x14ac:dyDescent="0.25">
      <c r="A640" s="274"/>
      <c r="B640" s="275"/>
      <c r="C640" s="275"/>
      <c r="D640" s="275"/>
      <c r="E640" s="288"/>
      <c r="F640" s="289" t="s">
        <v>239</v>
      </c>
      <c r="G640" s="280"/>
      <c r="H640" s="273" t="s">
        <v>46</v>
      </c>
      <c r="I640" s="261"/>
      <c r="J640" s="292">
        <v>0</v>
      </c>
      <c r="K640" s="85"/>
      <c r="L640" s="226"/>
      <c r="M640" s="227"/>
      <c r="N640" s="227"/>
      <c r="O640" s="227"/>
      <c r="P640" s="227"/>
      <c r="Q640" s="227"/>
      <c r="R640" s="227"/>
      <c r="S640" s="227"/>
      <c r="T640" s="227"/>
      <c r="U640" s="227"/>
    </row>
    <row r="641" spans="1:21" ht="19.5" x14ac:dyDescent="0.3">
      <c r="A641" s="802"/>
      <c r="B641" s="715" t="s">
        <v>240</v>
      </c>
      <c r="C641" s="714"/>
      <c r="D641" s="716"/>
      <c r="E641" s="716"/>
      <c r="F641" s="716"/>
      <c r="G641" s="717"/>
      <c r="H641" s="726"/>
      <c r="I641" s="727"/>
      <c r="J641" s="727"/>
      <c r="K641" s="721"/>
      <c r="L641" s="722"/>
      <c r="M641" s="721"/>
      <c r="N641" s="721"/>
      <c r="O641" s="721"/>
      <c r="P641" s="721"/>
      <c r="Q641" s="721"/>
      <c r="R641" s="721"/>
      <c r="S641" s="721"/>
      <c r="T641" s="721"/>
      <c r="U641" s="721"/>
    </row>
    <row r="642" spans="1:21" ht="19.5" x14ac:dyDescent="0.3">
      <c r="A642" s="255"/>
      <c r="B642" s="267"/>
      <c r="C642" s="668" t="s">
        <v>18</v>
      </c>
      <c r="D642" s="1442" t="s">
        <v>19</v>
      </c>
      <c r="E642" s="1401"/>
      <c r="F642" s="1401"/>
      <c r="G642" s="1402"/>
      <c r="H642" s="612" t="s">
        <v>14</v>
      </c>
      <c r="I642" s="261"/>
      <c r="J642" s="261"/>
      <c r="K642" s="85"/>
      <c r="L642" s="389">
        <f>L643+L644</f>
        <v>0</v>
      </c>
      <c r="M642" s="262">
        <f>M643+M644</f>
        <v>0</v>
      </c>
      <c r="N642" s="262">
        <f>N643+N644</f>
        <v>0</v>
      </c>
      <c r="O642" s="262">
        <f t="shared" ref="O642:O650" si="161">IF(L642&gt;0,N642*100/L642,0)</f>
        <v>0</v>
      </c>
      <c r="P642" s="262">
        <f t="shared" ref="P642:P650" si="162">IF(M642&gt;0,N642*100/M642,0)</f>
        <v>0</v>
      </c>
      <c r="Q642" s="262">
        <f ca="1">Q643+Q644</f>
        <v>9360</v>
      </c>
      <c r="R642" s="262">
        <f ca="1">R643+R644</f>
        <v>9360</v>
      </c>
      <c r="S642" s="262">
        <f ca="1">S643+S644</f>
        <v>5300</v>
      </c>
      <c r="T642" s="262">
        <f t="shared" ref="T642:T650" ca="1" si="163">IF(Q642&gt;0,S642*100/Q642,0)</f>
        <v>56.623931623931625</v>
      </c>
      <c r="U642" s="262">
        <f t="shared" ref="U642:U650" ca="1" si="164">IF(R642&gt;0,S642*100/R642,0)</f>
        <v>56.623931623931625</v>
      </c>
    </row>
    <row r="643" spans="1:21" ht="18.75" hidden="1" x14ac:dyDescent="0.25">
      <c r="A643" s="255"/>
      <c r="B643" s="267"/>
      <c r="C643" s="267"/>
      <c r="D643" s="288"/>
      <c r="E643" s="263" t="s">
        <v>159</v>
      </c>
      <c r="F643" s="256"/>
      <c r="G643" s="259"/>
      <c r="H643" s="271" t="s">
        <v>14</v>
      </c>
      <c r="I643" s="261"/>
      <c r="J643" s="261"/>
      <c r="K643" s="85"/>
      <c r="L643" s="74">
        <f t="shared" ref="L643:N644" si="165">L646+L649</f>
        <v>0</v>
      </c>
      <c r="M643" s="75">
        <f t="shared" si="165"/>
        <v>0</v>
      </c>
      <c r="N643" s="75">
        <f t="shared" si="165"/>
        <v>0</v>
      </c>
      <c r="O643" s="75">
        <f t="shared" si="161"/>
        <v>0</v>
      </c>
      <c r="P643" s="75">
        <f t="shared" si="162"/>
        <v>0</v>
      </c>
      <c r="Q643" s="75">
        <f t="shared" ref="Q643:S644" si="166">Q646+Q649</f>
        <v>0</v>
      </c>
      <c r="R643" s="75">
        <f t="shared" si="166"/>
        <v>0</v>
      </c>
      <c r="S643" s="75">
        <f t="shared" si="166"/>
        <v>0</v>
      </c>
      <c r="T643" s="75">
        <f t="shared" si="163"/>
        <v>0</v>
      </c>
      <c r="U643" s="75">
        <f t="shared" si="164"/>
        <v>0</v>
      </c>
    </row>
    <row r="644" spans="1:21" ht="21" hidden="1" customHeight="1" x14ac:dyDescent="0.25">
      <c r="A644" s="255"/>
      <c r="B644" s="267"/>
      <c r="C644" s="267"/>
      <c r="D644" s="288"/>
      <c r="E644" s="265" t="s">
        <v>160</v>
      </c>
      <c r="F644" s="256"/>
      <c r="G644" s="259"/>
      <c r="H644" s="269" t="s">
        <v>14</v>
      </c>
      <c r="I644" s="261"/>
      <c r="J644" s="261"/>
      <c r="K644" s="85"/>
      <c r="L644" s="71">
        <f t="shared" si="165"/>
        <v>0</v>
      </c>
      <c r="M644" s="72">
        <f t="shared" si="165"/>
        <v>0</v>
      </c>
      <c r="N644" s="72">
        <f t="shared" si="165"/>
        <v>0</v>
      </c>
      <c r="O644" s="72">
        <f t="shared" si="161"/>
        <v>0</v>
      </c>
      <c r="P644" s="72">
        <f t="shared" si="162"/>
        <v>0</v>
      </c>
      <c r="Q644" s="72">
        <f t="shared" ca="1" si="166"/>
        <v>9360</v>
      </c>
      <c r="R644" s="72">
        <f t="shared" ca="1" si="166"/>
        <v>9360</v>
      </c>
      <c r="S644" s="72">
        <f t="shared" ca="1" si="166"/>
        <v>5300</v>
      </c>
      <c r="T644" s="72">
        <f t="shared" ca="1" si="163"/>
        <v>56.623931623931625</v>
      </c>
      <c r="U644" s="72">
        <f t="shared" ca="1" si="164"/>
        <v>56.623931623931625</v>
      </c>
    </row>
    <row r="645" spans="1:21" ht="18.75" x14ac:dyDescent="0.25">
      <c r="A645" s="255"/>
      <c r="B645" s="267"/>
      <c r="C645" s="267"/>
      <c r="D645" s="268" t="s">
        <v>22</v>
      </c>
      <c r="E645" s="256"/>
      <c r="F645" s="256"/>
      <c r="G645" s="259"/>
      <c r="H645" s="269" t="s">
        <v>14</v>
      </c>
      <c r="I645" s="270"/>
      <c r="J645" s="270"/>
      <c r="K645" s="227"/>
      <c r="L645" s="71">
        <f>L646+L647</f>
        <v>0</v>
      </c>
      <c r="M645" s="72">
        <f>M646+M647</f>
        <v>0</v>
      </c>
      <c r="N645" s="72">
        <f>N646+N647</f>
        <v>0</v>
      </c>
      <c r="O645" s="72">
        <f t="shared" si="161"/>
        <v>0</v>
      </c>
      <c r="P645" s="72">
        <f t="shared" si="162"/>
        <v>0</v>
      </c>
      <c r="Q645" s="72">
        <f ca="1">Q646+Q647</f>
        <v>9360</v>
      </c>
      <c r="R645" s="72">
        <f ca="1">R646+R647</f>
        <v>9360</v>
      </c>
      <c r="S645" s="72">
        <f ca="1">S646+S647</f>
        <v>5300</v>
      </c>
      <c r="T645" s="72">
        <f t="shared" ca="1" si="163"/>
        <v>56.623931623931625</v>
      </c>
      <c r="U645" s="72">
        <f t="shared" ca="1" si="164"/>
        <v>56.623931623931625</v>
      </c>
    </row>
    <row r="646" spans="1:21" ht="18.75" hidden="1" x14ac:dyDescent="0.25">
      <c r="A646" s="255"/>
      <c r="B646" s="267"/>
      <c r="C646" s="267"/>
      <c r="D646" s="288"/>
      <c r="E646" s="263" t="s">
        <v>159</v>
      </c>
      <c r="F646" s="256"/>
      <c r="G646" s="259"/>
      <c r="H646" s="271" t="s">
        <v>14</v>
      </c>
      <c r="I646" s="261"/>
      <c r="J646" s="261"/>
      <c r="K646" s="85"/>
      <c r="L646" s="74">
        <v>0</v>
      </c>
      <c r="M646" s="75">
        <v>0</v>
      </c>
      <c r="N646" s="75">
        <v>0</v>
      </c>
      <c r="O646" s="75">
        <f t="shared" si="161"/>
        <v>0</v>
      </c>
      <c r="P646" s="75">
        <f t="shared" si="162"/>
        <v>0</v>
      </c>
      <c r="Q646" s="75">
        <v>0</v>
      </c>
      <c r="R646" s="75">
        <v>0</v>
      </c>
      <c r="S646" s="75">
        <v>0</v>
      </c>
      <c r="T646" s="75">
        <f t="shared" si="163"/>
        <v>0</v>
      </c>
      <c r="U646" s="75">
        <f t="shared" si="164"/>
        <v>0</v>
      </c>
    </row>
    <row r="647" spans="1:21" ht="18.75" hidden="1" x14ac:dyDescent="0.25">
      <c r="A647" s="255"/>
      <c r="B647" s="267"/>
      <c r="C647" s="267"/>
      <c r="D647" s="288"/>
      <c r="E647" s="265" t="s">
        <v>160</v>
      </c>
      <c r="F647" s="256"/>
      <c r="G647" s="259"/>
      <c r="H647" s="269" t="s">
        <v>14</v>
      </c>
      <c r="I647" s="261"/>
      <c r="J647" s="261"/>
      <c r="K647" s="85"/>
      <c r="L647" s="71">
        <v>0</v>
      </c>
      <c r="M647" s="72">
        <v>0</v>
      </c>
      <c r="N647" s="72">
        <v>0</v>
      </c>
      <c r="O647" s="72">
        <f t="shared" si="161"/>
        <v>0</v>
      </c>
      <c r="P647" s="72">
        <f t="shared" si="162"/>
        <v>0</v>
      </c>
      <c r="Q647" s="72">
        <f ca="1">IFERROR(__xludf.DUMMYFUNCTION("IMPORTRANGE(""https://docs.google.com/spreadsheets/d/1ItG2mGa2ceCfYo0BwxsXqNm01IGEUdYcSSLTEv9YCik/edit?usp=sharing"",""เบิกจ่ายกองทุน!I60"")"),9360)</f>
        <v>9360</v>
      </c>
      <c r="R647" s="72">
        <f ca="1">IFERROR(__xludf.DUMMYFUNCTION("IMPORTRANGE(""https://docs.google.com/spreadsheets/d/1ItG2mGa2ceCfYo0BwxsXqNm01IGEUdYcSSLTEv9YCik/edit?usp=sharing"",""เบิกจ่ายกองทุน!J60"")"),9360)</f>
        <v>9360</v>
      </c>
      <c r="S647" s="72">
        <f ca="1">IFERROR(__xludf.DUMMYFUNCTION("IMPORTRANGE(""https://docs.google.com/spreadsheets/d/1ItG2mGa2ceCfYo0BwxsXqNm01IGEUdYcSSLTEv9YCik/edit?usp=sharing"",""เบิกจ่ายกองทุน!K60"")"),5300)</f>
        <v>5300</v>
      </c>
      <c r="T647" s="72">
        <f t="shared" ca="1" si="163"/>
        <v>56.623931623931625</v>
      </c>
      <c r="U647" s="72">
        <f t="shared" ca="1" si="164"/>
        <v>56.623931623931625</v>
      </c>
    </row>
    <row r="648" spans="1:21" ht="18.75" x14ac:dyDescent="0.25">
      <c r="A648" s="255"/>
      <c r="B648" s="267"/>
      <c r="C648" s="267"/>
      <c r="D648" s="268" t="s">
        <v>23</v>
      </c>
      <c r="E648" s="256"/>
      <c r="F648" s="256"/>
      <c r="G648" s="259"/>
      <c r="H648" s="273" t="s">
        <v>14</v>
      </c>
      <c r="I648" s="270"/>
      <c r="J648" s="270"/>
      <c r="K648" s="227"/>
      <c r="L648" s="71">
        <f>L649+L650</f>
        <v>0</v>
      </c>
      <c r="M648" s="72">
        <f>M649+M650</f>
        <v>0</v>
      </c>
      <c r="N648" s="72">
        <f>N649+N650</f>
        <v>0</v>
      </c>
      <c r="O648" s="72">
        <f t="shared" si="161"/>
        <v>0</v>
      </c>
      <c r="P648" s="72">
        <f t="shared" si="162"/>
        <v>0</v>
      </c>
      <c r="Q648" s="72">
        <f>Q649+Q650</f>
        <v>0</v>
      </c>
      <c r="R648" s="72">
        <f>R649+R650</f>
        <v>0</v>
      </c>
      <c r="S648" s="72">
        <f>S649+S650</f>
        <v>0</v>
      </c>
      <c r="T648" s="72">
        <f t="shared" si="163"/>
        <v>0</v>
      </c>
      <c r="U648" s="72">
        <f t="shared" si="164"/>
        <v>0</v>
      </c>
    </row>
    <row r="649" spans="1:21" ht="18.75" hidden="1" x14ac:dyDescent="0.25">
      <c r="A649" s="255"/>
      <c r="B649" s="267"/>
      <c r="C649" s="267"/>
      <c r="D649" s="256"/>
      <c r="E649" s="263" t="s">
        <v>20</v>
      </c>
      <c r="F649" s="256"/>
      <c r="G649" s="259"/>
      <c r="H649" s="271" t="s">
        <v>14</v>
      </c>
      <c r="I649" s="270"/>
      <c r="J649" s="270"/>
      <c r="K649" s="227"/>
      <c r="L649" s="74">
        <v>0</v>
      </c>
      <c r="M649" s="75">
        <v>0</v>
      </c>
      <c r="N649" s="75">
        <v>0</v>
      </c>
      <c r="O649" s="75">
        <f t="shared" si="161"/>
        <v>0</v>
      </c>
      <c r="P649" s="75">
        <f t="shared" si="162"/>
        <v>0</v>
      </c>
      <c r="Q649" s="75">
        <v>0</v>
      </c>
      <c r="R649" s="75">
        <v>0</v>
      </c>
      <c r="S649" s="75">
        <v>0</v>
      </c>
      <c r="T649" s="75">
        <f t="shared" si="163"/>
        <v>0</v>
      </c>
      <c r="U649" s="75">
        <f t="shared" si="164"/>
        <v>0</v>
      </c>
    </row>
    <row r="650" spans="1:21" ht="18.75" hidden="1" x14ac:dyDescent="0.25">
      <c r="A650" s="255"/>
      <c r="B650" s="267"/>
      <c r="C650" s="267"/>
      <c r="D650" s="256"/>
      <c r="E650" s="265" t="s">
        <v>21</v>
      </c>
      <c r="F650" s="256"/>
      <c r="G650" s="259"/>
      <c r="H650" s="273" t="s">
        <v>14</v>
      </c>
      <c r="I650" s="270"/>
      <c r="J650" s="270"/>
      <c r="K650" s="227"/>
      <c r="L650" s="71">
        <v>0</v>
      </c>
      <c r="M650" s="72">
        <v>0</v>
      </c>
      <c r="N650" s="72">
        <v>0</v>
      </c>
      <c r="O650" s="72">
        <f t="shared" si="161"/>
        <v>0</v>
      </c>
      <c r="P650" s="72">
        <f t="shared" si="162"/>
        <v>0</v>
      </c>
      <c r="Q650" s="72">
        <v>0</v>
      </c>
      <c r="R650" s="72">
        <v>0</v>
      </c>
      <c r="S650" s="72">
        <v>0</v>
      </c>
      <c r="T650" s="72">
        <f t="shared" si="163"/>
        <v>0</v>
      </c>
      <c r="U650" s="72">
        <f t="shared" si="164"/>
        <v>0</v>
      </c>
    </row>
    <row r="651" spans="1:21" ht="19.5" x14ac:dyDescent="0.3">
      <c r="A651" s="274"/>
      <c r="B651" s="275"/>
      <c r="C651" s="668" t="s">
        <v>18</v>
      </c>
      <c r="D651" s="801" t="s">
        <v>38</v>
      </c>
      <c r="E651" s="278"/>
      <c r="F651" s="278"/>
      <c r="G651" s="279"/>
      <c r="H651" s="305"/>
      <c r="I651" s="270"/>
      <c r="J651" s="270"/>
      <c r="K651" s="227"/>
      <c r="L651" s="226"/>
      <c r="M651" s="227"/>
      <c r="N651" s="227"/>
      <c r="O651" s="227"/>
      <c r="P651" s="227"/>
      <c r="Q651" s="85"/>
      <c r="R651" s="85"/>
      <c r="S651" s="85"/>
      <c r="T651" s="227"/>
      <c r="U651" s="227"/>
    </row>
    <row r="652" spans="1:21" ht="18.75" hidden="1" x14ac:dyDescent="0.25">
      <c r="A652" s="529"/>
      <c r="B652" s="267"/>
      <c r="C652" s="267"/>
      <c r="D652" s="265" t="s">
        <v>241</v>
      </c>
      <c r="E652" s="256"/>
      <c r="F652" s="256"/>
      <c r="G652" s="259"/>
      <c r="H652" s="273" t="s">
        <v>46</v>
      </c>
      <c r="I652" s="729">
        <f ca="1">IFERROR(__xludf.DUMMYFUNCTION("IMPORTRANGE(""https://docs.google.com/spreadsheets/d/1eHaY18a8A9IcSdp1K8H6x8fbOy06t2VsZHhMHf-1x7Y/edit?usp=sharing"",""แผน!IF60"")"),0)</f>
        <v>0</v>
      </c>
      <c r="J652" s="291">
        <f ca="1">IFERROR(__xludf.DUMMYFUNCTION("IMPORTRANGE(""https://docs.google.com/spreadsheets/d/1tdoBKaGub7dwA3U6UFTqxio9LNnvDCQjHKmttSEBsFQ/edit?usp=sharing"",""จัดที่ดิน!AU60"")"),0)</f>
        <v>0</v>
      </c>
      <c r="K652" s="72">
        <f ca="1">IF(I652&gt;0,J652*100/I652,0)</f>
        <v>0</v>
      </c>
      <c r="L652" s="84"/>
      <c r="M652" s="85"/>
      <c r="N652" s="730"/>
      <c r="O652" s="85"/>
      <c r="P652" s="85"/>
      <c r="Q652" s="85"/>
      <c r="R652" s="85"/>
      <c r="S652" s="730"/>
      <c r="T652" s="85"/>
      <c r="U652" s="85"/>
    </row>
    <row r="653" spans="1:21" ht="18.75" hidden="1" x14ac:dyDescent="0.25">
      <c r="A653" s="529"/>
      <c r="B653" s="267"/>
      <c r="C653" s="267"/>
      <c r="D653" s="265" t="s">
        <v>242</v>
      </c>
      <c r="E653" s="256"/>
      <c r="F653" s="256"/>
      <c r="G653" s="259"/>
      <c r="H653" s="273" t="s">
        <v>35</v>
      </c>
      <c r="I653" s="729">
        <f ca="1">IFERROR(__xludf.DUMMYFUNCTION("IMPORTRANGE(""https://docs.google.com/spreadsheets/d/1eHaY18a8A9IcSdp1K8H6x8fbOy06t2VsZHhMHf-1x7Y/edit?usp=sharing"",""แผน!IG60"")"),0)</f>
        <v>0</v>
      </c>
      <c r="J653" s="291">
        <f ca="1">IFERROR(__xludf.DUMMYFUNCTION("IMPORTRANGE(""https://docs.google.com/spreadsheets/d/1tdoBKaGub7dwA3U6UFTqxio9LNnvDCQjHKmttSEBsFQ/edit?usp=sharing"",""จัดที่ดิน!AW60"")"),0)</f>
        <v>0</v>
      </c>
      <c r="K653" s="72">
        <f ca="1">IF(I653&gt;0,J653*100/I653,0)</f>
        <v>0</v>
      </c>
      <c r="L653" s="84"/>
      <c r="M653" s="85"/>
      <c r="N653" s="730"/>
      <c r="O653" s="85"/>
      <c r="P653" s="85"/>
      <c r="Q653" s="85"/>
      <c r="R653" s="85"/>
      <c r="S653" s="730"/>
      <c r="T653" s="85"/>
      <c r="U653" s="85"/>
    </row>
    <row r="654" spans="1:21" ht="19.5" x14ac:dyDescent="0.3">
      <c r="A654" s="529"/>
      <c r="B654" s="267"/>
      <c r="C654" s="267"/>
      <c r="D654" s="265" t="s">
        <v>243</v>
      </c>
      <c r="E654" s="256"/>
      <c r="F654" s="256"/>
      <c r="G654" s="259"/>
      <c r="H654" s="725" t="s">
        <v>46</v>
      </c>
      <c r="I654" s="731">
        <f ca="1">IFERROR(__xludf.DUMMYFUNCTION("IMPORTRANGE(""https://docs.google.com/spreadsheets/d/1eHaY18a8A9IcSdp1K8H6x8fbOy06t2VsZHhMHf-1x7Y/edit?usp=sharing"",""แผน!IH60"")"),30)</f>
        <v>30</v>
      </c>
      <c r="J654" s="601">
        <f>J657+J660</f>
        <v>59.17</v>
      </c>
      <c r="K654" s="262">
        <f ca="1">IF(I654&gt;0,J654*100/I654,0)</f>
        <v>197.23333333333332</v>
      </c>
      <c r="L654" s="84"/>
      <c r="M654" s="85"/>
      <c r="N654" s="730"/>
      <c r="O654" s="85"/>
      <c r="P654" s="85"/>
      <c r="Q654" s="85"/>
      <c r="R654" s="85"/>
      <c r="S654" s="730"/>
      <c r="T654" s="85"/>
      <c r="U654" s="85"/>
    </row>
    <row r="655" spans="1:21" ht="18.75" x14ac:dyDescent="0.25">
      <c r="A655" s="529"/>
      <c r="B655" s="267"/>
      <c r="C655" s="267"/>
      <c r="D655" s="256"/>
      <c r="E655" s="265" t="s">
        <v>244</v>
      </c>
      <c r="F655" s="256"/>
      <c r="G655" s="259"/>
      <c r="H655" s="273" t="s">
        <v>35</v>
      </c>
      <c r="I655" s="307"/>
      <c r="J655" s="292">
        <v>4</v>
      </c>
      <c r="K655" s="85"/>
      <c r="L655" s="84"/>
      <c r="M655" s="85"/>
      <c r="N655" s="730"/>
      <c r="O655" s="85"/>
      <c r="P655" s="85"/>
      <c r="Q655" s="85"/>
      <c r="R655" s="85"/>
      <c r="S655" s="730"/>
      <c r="T655" s="85"/>
      <c r="U655" s="85"/>
    </row>
    <row r="656" spans="1:21" ht="18.75" x14ac:dyDescent="0.25">
      <c r="A656" s="529"/>
      <c r="B656" s="267"/>
      <c r="C656" s="267"/>
      <c r="D656" s="256"/>
      <c r="E656" s="256"/>
      <c r="F656" s="256"/>
      <c r="G656" s="259"/>
      <c r="H656" s="273" t="s">
        <v>34</v>
      </c>
      <c r="I656" s="307"/>
      <c r="J656" s="292">
        <v>4</v>
      </c>
      <c r="K656" s="85"/>
      <c r="L656" s="84"/>
      <c r="M656" s="85"/>
      <c r="N656" s="730"/>
      <c r="O656" s="85"/>
      <c r="P656" s="85"/>
      <c r="Q656" s="85"/>
      <c r="R656" s="85"/>
      <c r="S656" s="730"/>
      <c r="T656" s="85"/>
      <c r="U656" s="85"/>
    </row>
    <row r="657" spans="1:21" ht="18.75" x14ac:dyDescent="0.25">
      <c r="A657" s="529"/>
      <c r="B657" s="267"/>
      <c r="C657" s="267"/>
      <c r="D657" s="256"/>
      <c r="E657" s="256"/>
      <c r="F657" s="256"/>
      <c r="G657" s="259"/>
      <c r="H657" s="273" t="s">
        <v>46</v>
      </c>
      <c r="I657" s="729">
        <f ca="1">IFERROR(__xludf.DUMMYFUNCTION("IMPORTRANGE(""https://docs.google.com/spreadsheets/d/1eHaY18a8A9IcSdp1K8H6x8fbOy06t2VsZHhMHf-1x7Y/edit?usp=sharing"",""แผน!II60"")"),30)</f>
        <v>30</v>
      </c>
      <c r="J657" s="292">
        <v>59.17</v>
      </c>
      <c r="K657" s="85"/>
      <c r="L657" s="84"/>
      <c r="M657" s="85"/>
      <c r="N657" s="730"/>
      <c r="O657" s="85"/>
      <c r="P657" s="85"/>
      <c r="Q657" s="85"/>
      <c r="R657" s="85"/>
      <c r="S657" s="730"/>
      <c r="T657" s="85"/>
      <c r="U657" s="85"/>
    </row>
    <row r="658" spans="1:21" ht="18.75" x14ac:dyDescent="0.25">
      <c r="A658" s="529"/>
      <c r="B658" s="267"/>
      <c r="C658" s="267"/>
      <c r="D658" s="256"/>
      <c r="E658" s="265" t="s">
        <v>245</v>
      </c>
      <c r="F658" s="256"/>
      <c r="G658" s="259"/>
      <c r="H658" s="273" t="s">
        <v>35</v>
      </c>
      <c r="I658" s="307"/>
      <c r="J658" s="292">
        <v>0</v>
      </c>
      <c r="K658" s="85"/>
      <c r="L658" s="84"/>
      <c r="M658" s="85"/>
      <c r="N658" s="730"/>
      <c r="O658" s="85"/>
      <c r="P658" s="85"/>
      <c r="Q658" s="85"/>
      <c r="R658" s="85"/>
      <c r="S658" s="730"/>
      <c r="T658" s="85"/>
      <c r="U658" s="85"/>
    </row>
    <row r="659" spans="1:21" ht="18.75" x14ac:dyDescent="0.25">
      <c r="A659" s="529"/>
      <c r="B659" s="267"/>
      <c r="C659" s="267"/>
      <c r="D659" s="256"/>
      <c r="E659" s="256"/>
      <c r="F659" s="256"/>
      <c r="G659" s="259"/>
      <c r="H659" s="273" t="s">
        <v>34</v>
      </c>
      <c r="I659" s="307"/>
      <c r="J659" s="292">
        <v>0</v>
      </c>
      <c r="K659" s="85"/>
      <c r="L659" s="84"/>
      <c r="M659" s="85"/>
      <c r="N659" s="730"/>
      <c r="O659" s="85"/>
      <c r="P659" s="85"/>
      <c r="Q659" s="85"/>
      <c r="R659" s="85"/>
      <c r="S659" s="730"/>
      <c r="T659" s="85"/>
      <c r="U659" s="85"/>
    </row>
    <row r="660" spans="1:21" ht="18.75" x14ac:dyDescent="0.25">
      <c r="A660" s="529"/>
      <c r="B660" s="267"/>
      <c r="C660" s="267"/>
      <c r="D660" s="256"/>
      <c r="E660" s="256"/>
      <c r="F660" s="256"/>
      <c r="G660" s="259"/>
      <c r="H660" s="273" t="s">
        <v>46</v>
      </c>
      <c r="I660" s="729">
        <f ca="1">IFERROR(__xludf.DUMMYFUNCTION("IMPORTRANGE(""https://docs.google.com/spreadsheets/d/1eHaY18a8A9IcSdp1K8H6x8fbOy06t2VsZHhMHf-1x7Y/edit?usp=sharing"",""แผน!IJ60"")"),0)</f>
        <v>0</v>
      </c>
      <c r="J660" s="292">
        <v>0</v>
      </c>
      <c r="K660" s="85"/>
      <c r="L660" s="84"/>
      <c r="M660" s="85"/>
      <c r="N660" s="730"/>
      <c r="O660" s="85"/>
      <c r="P660" s="85"/>
      <c r="Q660" s="85"/>
      <c r="R660" s="85"/>
      <c r="S660" s="730"/>
      <c r="T660" s="85"/>
      <c r="U660" s="85"/>
    </row>
    <row r="661" spans="1:21" ht="19.5" x14ac:dyDescent="0.3">
      <c r="A661" s="529"/>
      <c r="B661" s="267"/>
      <c r="C661" s="267"/>
      <c r="D661" s="613" t="s">
        <v>246</v>
      </c>
      <c r="E661" s="256"/>
      <c r="F661" s="256"/>
      <c r="G661" s="259"/>
      <c r="H661" s="725" t="s">
        <v>46</v>
      </c>
      <c r="I661" s="731">
        <f ca="1">IFERROR(__xludf.DUMMYFUNCTION("IMPORTRANGE(""https://docs.google.com/spreadsheets/d/1eHaY18a8A9IcSdp1K8H6x8fbOy06t2VsZHhMHf-1x7Y/edit?usp=sharing"",""แผน!IK60"")"),21)</f>
        <v>21</v>
      </c>
      <c r="J661" s="601">
        <f>J667+J670</f>
        <v>0</v>
      </c>
      <c r="K661" s="262">
        <f ca="1">IF(I661&gt;0,J661*100/I661,0)</f>
        <v>0</v>
      </c>
      <c r="L661" s="84"/>
      <c r="M661" s="85"/>
      <c r="N661" s="730"/>
      <c r="O661" s="85"/>
      <c r="P661" s="85"/>
      <c r="Q661" s="85"/>
      <c r="R661" s="85"/>
      <c r="S661" s="730"/>
      <c r="T661" s="85"/>
      <c r="U661" s="85"/>
    </row>
    <row r="662" spans="1:21" ht="18.75" x14ac:dyDescent="0.25">
      <c r="A662" s="529"/>
      <c r="B662" s="267"/>
      <c r="C662" s="267"/>
      <c r="D662" s="256"/>
      <c r="E662" s="265" t="s">
        <v>247</v>
      </c>
      <c r="F662" s="256"/>
      <c r="G662" s="259"/>
      <c r="H662" s="273" t="s">
        <v>34</v>
      </c>
      <c r="I662" s="307"/>
      <c r="J662" s="292">
        <v>0</v>
      </c>
      <c r="K662" s="85"/>
      <c r="L662" s="732"/>
      <c r="M662" s="85"/>
      <c r="N662" s="730"/>
      <c r="O662" s="85"/>
      <c r="P662" s="85"/>
      <c r="Q662" s="730"/>
      <c r="R662" s="85"/>
      <c r="S662" s="730"/>
      <c r="T662" s="85"/>
      <c r="U662" s="85"/>
    </row>
    <row r="663" spans="1:21" ht="18.75" x14ac:dyDescent="0.25">
      <c r="A663" s="529"/>
      <c r="B663" s="267"/>
      <c r="C663" s="267"/>
      <c r="D663" s="256"/>
      <c r="E663" s="256"/>
      <c r="F663" s="256"/>
      <c r="G663" s="259"/>
      <c r="H663" s="273" t="s">
        <v>46</v>
      </c>
      <c r="I663" s="307"/>
      <c r="J663" s="292">
        <v>0</v>
      </c>
      <c r="K663" s="85"/>
      <c r="L663" s="732"/>
      <c r="M663" s="85"/>
      <c r="N663" s="730"/>
      <c r="O663" s="85"/>
      <c r="P663" s="85"/>
      <c r="Q663" s="730"/>
      <c r="R663" s="85"/>
      <c r="S663" s="730"/>
      <c r="T663" s="85"/>
      <c r="U663" s="85"/>
    </row>
    <row r="664" spans="1:21" ht="18.75" x14ac:dyDescent="0.25">
      <c r="A664" s="529"/>
      <c r="B664" s="267"/>
      <c r="C664" s="267"/>
      <c r="D664" s="256"/>
      <c r="E664" s="265" t="s">
        <v>248</v>
      </c>
      <c r="F664" s="256"/>
      <c r="G664" s="259"/>
      <c r="H664" s="305"/>
      <c r="I664" s="307"/>
      <c r="J664" s="261"/>
      <c r="K664" s="85"/>
      <c r="L664" s="732"/>
      <c r="M664" s="85"/>
      <c r="N664" s="730"/>
      <c r="O664" s="85"/>
      <c r="P664" s="85"/>
      <c r="Q664" s="730"/>
      <c r="R664" s="85"/>
      <c r="S664" s="730"/>
      <c r="T664" s="85"/>
      <c r="U664" s="85"/>
    </row>
    <row r="665" spans="1:21" ht="18.75" x14ac:dyDescent="0.25">
      <c r="A665" s="529"/>
      <c r="B665" s="267"/>
      <c r="C665" s="267"/>
      <c r="D665" s="256"/>
      <c r="E665" s="256"/>
      <c r="F665" s="265" t="s">
        <v>249</v>
      </c>
      <c r="G665" s="259"/>
      <c r="H665" s="273" t="s">
        <v>35</v>
      </c>
      <c r="I665" s="307"/>
      <c r="J665" s="292">
        <v>0</v>
      </c>
      <c r="K665" s="85"/>
      <c r="L665" s="732"/>
      <c r="M665" s="85"/>
      <c r="N665" s="730"/>
      <c r="O665" s="85"/>
      <c r="P665" s="85"/>
      <c r="Q665" s="730"/>
      <c r="R665" s="85"/>
      <c r="S665" s="730"/>
      <c r="T665" s="85"/>
      <c r="U665" s="85"/>
    </row>
    <row r="666" spans="1:21" ht="18.75" x14ac:dyDescent="0.25">
      <c r="A666" s="529"/>
      <c r="B666" s="267"/>
      <c r="C666" s="267"/>
      <c r="D666" s="256"/>
      <c r="E666" s="256"/>
      <c r="F666" s="256"/>
      <c r="G666" s="259"/>
      <c r="H666" s="273" t="s">
        <v>34</v>
      </c>
      <c r="I666" s="307"/>
      <c r="J666" s="292">
        <v>0</v>
      </c>
      <c r="K666" s="85"/>
      <c r="L666" s="732"/>
      <c r="M666" s="85"/>
      <c r="N666" s="730"/>
      <c r="O666" s="85"/>
      <c r="P666" s="85"/>
      <c r="Q666" s="730"/>
      <c r="R666" s="85"/>
      <c r="S666" s="730"/>
      <c r="T666" s="85"/>
      <c r="U666" s="85"/>
    </row>
    <row r="667" spans="1:21" ht="18.75" x14ac:dyDescent="0.25">
      <c r="A667" s="529"/>
      <c r="B667" s="267"/>
      <c r="C667" s="267"/>
      <c r="D667" s="256"/>
      <c r="E667" s="256"/>
      <c r="F667" s="256"/>
      <c r="G667" s="259"/>
      <c r="H667" s="273" t="s">
        <v>46</v>
      </c>
      <c r="I667" s="307"/>
      <c r="J667" s="292">
        <v>0</v>
      </c>
      <c r="K667" s="85"/>
      <c r="L667" s="732"/>
      <c r="M667" s="85"/>
      <c r="N667" s="730"/>
      <c r="O667" s="85"/>
      <c r="P667" s="85"/>
      <c r="Q667" s="730"/>
      <c r="R667" s="85"/>
      <c r="S667" s="730"/>
      <c r="T667" s="85"/>
      <c r="U667" s="85"/>
    </row>
    <row r="668" spans="1:21" ht="18.75" x14ac:dyDescent="0.25">
      <c r="A668" s="529"/>
      <c r="B668" s="267"/>
      <c r="C668" s="267"/>
      <c r="D668" s="256"/>
      <c r="E668" s="256"/>
      <c r="F668" s="265" t="s">
        <v>250</v>
      </c>
      <c r="G668" s="259"/>
      <c r="H668" s="273" t="s">
        <v>35</v>
      </c>
      <c r="I668" s="307"/>
      <c r="J668" s="292">
        <v>0</v>
      </c>
      <c r="K668" s="85"/>
      <c r="L668" s="732"/>
      <c r="M668" s="85"/>
      <c r="N668" s="730"/>
      <c r="O668" s="85"/>
      <c r="P668" s="85"/>
      <c r="Q668" s="730"/>
      <c r="R668" s="85"/>
      <c r="S668" s="730"/>
      <c r="T668" s="85"/>
      <c r="U668" s="85"/>
    </row>
    <row r="669" spans="1:21" ht="18.75" x14ac:dyDescent="0.25">
      <c r="A669" s="529"/>
      <c r="B669" s="267"/>
      <c r="C669" s="267"/>
      <c r="D669" s="256"/>
      <c r="E669" s="256"/>
      <c r="F669" s="256"/>
      <c r="G669" s="259"/>
      <c r="H669" s="273" t="s">
        <v>34</v>
      </c>
      <c r="I669" s="307"/>
      <c r="J669" s="292">
        <v>0</v>
      </c>
      <c r="K669" s="85"/>
      <c r="L669" s="732"/>
      <c r="M669" s="85"/>
      <c r="N669" s="730"/>
      <c r="O669" s="85"/>
      <c r="P669" s="85"/>
      <c r="Q669" s="730"/>
      <c r="R669" s="85"/>
      <c r="S669" s="730"/>
      <c r="T669" s="85"/>
      <c r="U669" s="85"/>
    </row>
    <row r="670" spans="1:21" ht="18.75" x14ac:dyDescent="0.25">
      <c r="A670" s="529"/>
      <c r="B670" s="267"/>
      <c r="C670" s="267"/>
      <c r="D670" s="256"/>
      <c r="E670" s="256"/>
      <c r="F670" s="256"/>
      <c r="G670" s="259"/>
      <c r="H670" s="273" t="s">
        <v>46</v>
      </c>
      <c r="I670" s="307"/>
      <c r="J670" s="292">
        <v>0</v>
      </c>
      <c r="K670" s="85"/>
      <c r="L670" s="732"/>
      <c r="M670" s="85"/>
      <c r="N670" s="730"/>
      <c r="O670" s="85"/>
      <c r="P670" s="85"/>
      <c r="Q670" s="730"/>
      <c r="R670" s="85"/>
      <c r="S670" s="730"/>
      <c r="T670" s="85"/>
      <c r="U670" s="85"/>
    </row>
    <row r="671" spans="1:21" ht="18.75" x14ac:dyDescent="0.25">
      <c r="A671" s="529"/>
      <c r="B671" s="267"/>
      <c r="C671" s="267"/>
      <c r="D671" s="265" t="s">
        <v>251</v>
      </c>
      <c r="E671" s="256"/>
      <c r="F671" s="256"/>
      <c r="G671" s="259"/>
      <c r="H671" s="273" t="s">
        <v>35</v>
      </c>
      <c r="I671" s="307"/>
      <c r="J671" s="291">
        <f ca="1">IFERROR(__xludf.DUMMYFUNCTION("IMPORTRANGE(""https://docs.google.com/spreadsheets/d/1tdoBKaGub7dwA3U6UFTqxio9LNnvDCQjHKmttSEBsFQ/edit?usp=sharing"",""จัดที่ดิน!AY60"")"),2)</f>
        <v>2</v>
      </c>
      <c r="K671" s="85"/>
      <c r="L671" s="84"/>
      <c r="M671" s="85"/>
      <c r="N671" s="730"/>
      <c r="O671" s="85"/>
      <c r="P671" s="85"/>
      <c r="Q671" s="85"/>
      <c r="R671" s="85"/>
      <c r="S671" s="730"/>
      <c r="T671" s="85"/>
      <c r="U671" s="85"/>
    </row>
    <row r="672" spans="1:21" ht="18.75" x14ac:dyDescent="0.25">
      <c r="A672" s="529"/>
      <c r="B672" s="267"/>
      <c r="C672" s="267"/>
      <c r="D672" s="256"/>
      <c r="E672" s="256"/>
      <c r="F672" s="256"/>
      <c r="G672" s="259"/>
      <c r="H672" s="273" t="s">
        <v>34</v>
      </c>
      <c r="I672" s="307"/>
      <c r="J672" s="291">
        <f ca="1">IFERROR(__xludf.DUMMYFUNCTION("IMPORTRANGE(""https://docs.google.com/spreadsheets/d/1tdoBKaGub7dwA3U6UFTqxio9LNnvDCQjHKmttSEBsFQ/edit?usp=sharing"",""จัดที่ดิน!AZ60"")"),2)</f>
        <v>2</v>
      </c>
      <c r="K672" s="85"/>
      <c r="L672" s="732"/>
      <c r="M672" s="85"/>
      <c r="N672" s="730"/>
      <c r="O672" s="85"/>
      <c r="P672" s="85"/>
      <c r="Q672" s="730"/>
      <c r="R672" s="85"/>
      <c r="S672" s="730"/>
      <c r="T672" s="85"/>
      <c r="U672" s="85"/>
    </row>
    <row r="673" spans="1:21" ht="18.75" x14ac:dyDescent="0.25">
      <c r="A673" s="529"/>
      <c r="B673" s="267"/>
      <c r="C673" s="267"/>
      <c r="D673" s="256"/>
      <c r="E673" s="256"/>
      <c r="F673" s="256"/>
      <c r="G673" s="259"/>
      <c r="H673" s="273" t="s">
        <v>46</v>
      </c>
      <c r="I673" s="729">
        <f ca="1">IFERROR(__xludf.DUMMYFUNCTION("IMPORTRANGE(""https://docs.google.com/spreadsheets/d/1eHaY18a8A9IcSdp1K8H6x8fbOy06t2VsZHhMHf-1x7Y/edit?usp=sharing"",""แผน!IL60"")"),20)</f>
        <v>20</v>
      </c>
      <c r="J673" s="291">
        <f ca="1">IFERROR(__xludf.DUMMYFUNCTION("IMPORTRANGE(""https://docs.google.com/spreadsheets/d/1tdoBKaGub7dwA3U6UFTqxio9LNnvDCQjHKmttSEBsFQ/edit?usp=sharing"",""จัดที่ดิน!BA60"")"),27.08)</f>
        <v>27.08</v>
      </c>
      <c r="K673" s="72">
        <f ca="1">IF(I673&gt;0,J673*100/I673,0)</f>
        <v>135.4</v>
      </c>
      <c r="L673" s="732"/>
      <c r="M673" s="85"/>
      <c r="N673" s="730"/>
      <c r="O673" s="85"/>
      <c r="P673" s="85"/>
      <c r="Q673" s="730"/>
      <c r="R673" s="85"/>
      <c r="S673" s="730"/>
      <c r="T673" s="85"/>
      <c r="U673" s="85"/>
    </row>
    <row r="674" spans="1:21" ht="19.5" x14ac:dyDescent="0.3">
      <c r="A674" s="529"/>
      <c r="B674" s="267"/>
      <c r="C674" s="267"/>
      <c r="D674" s="265" t="s">
        <v>252</v>
      </c>
      <c r="E674" s="256"/>
      <c r="F674" s="256"/>
      <c r="G674" s="259"/>
      <c r="H674" s="725" t="s">
        <v>35</v>
      </c>
      <c r="I674" s="731">
        <f ca="1">IFERROR(__xludf.DUMMYFUNCTION("IMPORTRANGE(""https://docs.google.com/spreadsheets/d/1eHaY18a8A9IcSdp1K8H6x8fbOy06t2VsZHhMHf-1x7Y/edit?usp=sharing"",""แผน!IM60"")"),6)</f>
        <v>6</v>
      </c>
      <c r="J674" s="601">
        <f ca="1">J676+J679</f>
        <v>6</v>
      </c>
      <c r="K674" s="262">
        <f ca="1">IF(I674&gt;0,J674*100/I674,0)</f>
        <v>100</v>
      </c>
      <c r="L674" s="732"/>
      <c r="M674" s="85"/>
      <c r="N674" s="730"/>
      <c r="O674" s="85"/>
      <c r="P674" s="85"/>
      <c r="Q674" s="730"/>
      <c r="R674" s="85"/>
      <c r="S674" s="730"/>
      <c r="T674" s="85"/>
      <c r="U674" s="85"/>
    </row>
    <row r="675" spans="1:21" ht="19.5" x14ac:dyDescent="0.3">
      <c r="A675" s="529"/>
      <c r="B675" s="267"/>
      <c r="C675" s="267"/>
      <c r="D675" s="256"/>
      <c r="E675" s="256"/>
      <c r="F675" s="256"/>
      <c r="G675" s="259"/>
      <c r="H675" s="725" t="s">
        <v>46</v>
      </c>
      <c r="I675" s="731">
        <f ca="1">IFERROR(__xludf.DUMMYFUNCTION("IMPORTRANGE(""https://docs.google.com/spreadsheets/d/1eHaY18a8A9IcSdp1K8H6x8fbOy06t2VsZHhMHf-1x7Y/edit?usp=sharing"",""แผน!IN60"")"),65)</f>
        <v>65</v>
      </c>
      <c r="J675" s="601">
        <f ca="1">J678+J681</f>
        <v>41.91</v>
      </c>
      <c r="K675" s="262">
        <f ca="1">IF(I675&gt;0,J675*100/I675,0)</f>
        <v>64.476923076923072</v>
      </c>
      <c r="L675" s="84"/>
      <c r="M675" s="85"/>
      <c r="N675" s="730"/>
      <c r="O675" s="85"/>
      <c r="P675" s="85"/>
      <c r="Q675" s="85"/>
      <c r="R675" s="85"/>
      <c r="S675" s="730"/>
      <c r="T675" s="85"/>
      <c r="U675" s="85"/>
    </row>
    <row r="676" spans="1:21" ht="18.75" x14ac:dyDescent="0.25">
      <c r="A676" s="529"/>
      <c r="B676" s="267"/>
      <c r="C676" s="267"/>
      <c r="D676" s="256"/>
      <c r="E676" s="265" t="s">
        <v>253</v>
      </c>
      <c r="F676" s="256"/>
      <c r="G676" s="259"/>
      <c r="H676" s="273" t="s">
        <v>35</v>
      </c>
      <c r="I676" s="729">
        <f ca="1">IFERROR(__xludf.DUMMYFUNCTION("IMPORTRANGE(""https://docs.google.com/spreadsheets/d/1eHaY18a8A9IcSdp1K8H6x8fbOy06t2VsZHhMHf-1x7Y/edit?usp=sharing"",""แผน!IO60"")"),2)</f>
        <v>2</v>
      </c>
      <c r="J676" s="291">
        <f ca="1">IFERROR(__xludf.DUMMYFUNCTION("IMPORTRANGE(""https://docs.google.com/spreadsheets/d/1tdoBKaGub7dwA3U6UFTqxio9LNnvDCQjHKmttSEBsFQ/edit?usp=sharing"",""จัดที่ดิน!BF60"")"),6)</f>
        <v>6</v>
      </c>
      <c r="K676" s="72">
        <f ca="1">IF(I676&gt;0,J676*100/I676,0)</f>
        <v>300</v>
      </c>
      <c r="L676" s="84"/>
      <c r="M676" s="85"/>
      <c r="N676" s="730"/>
      <c r="O676" s="85"/>
      <c r="P676" s="85"/>
      <c r="Q676" s="85"/>
      <c r="R676" s="85"/>
      <c r="S676" s="730"/>
      <c r="T676" s="85"/>
      <c r="U676" s="85"/>
    </row>
    <row r="677" spans="1:21" ht="18.75" x14ac:dyDescent="0.25">
      <c r="A677" s="529"/>
      <c r="B677" s="267"/>
      <c r="C677" s="267"/>
      <c r="D677" s="256"/>
      <c r="E677" s="256"/>
      <c r="F677" s="256"/>
      <c r="G677" s="259"/>
      <c r="H677" s="273" t="s">
        <v>34</v>
      </c>
      <c r="I677" s="307"/>
      <c r="J677" s="291">
        <f ca="1">IFERROR(__xludf.DUMMYFUNCTION("IMPORTRANGE(""https://docs.google.com/spreadsheets/d/1tdoBKaGub7dwA3U6UFTqxio9LNnvDCQjHKmttSEBsFQ/edit?usp=sharing"",""จัดที่ดิน!BG60"")"),6)</f>
        <v>6</v>
      </c>
      <c r="K677" s="85"/>
      <c r="L677" s="732"/>
      <c r="M677" s="85"/>
      <c r="N677" s="730"/>
      <c r="O677" s="85"/>
      <c r="P677" s="85"/>
      <c r="Q677" s="730"/>
      <c r="R677" s="85"/>
      <c r="S677" s="730"/>
      <c r="T677" s="85"/>
      <c r="U677" s="85"/>
    </row>
    <row r="678" spans="1:21" ht="18.75" x14ac:dyDescent="0.25">
      <c r="A678" s="529"/>
      <c r="B678" s="267"/>
      <c r="C678" s="267"/>
      <c r="D678" s="256"/>
      <c r="E678" s="256"/>
      <c r="F678" s="256"/>
      <c r="G678" s="259"/>
      <c r="H678" s="273" t="s">
        <v>46</v>
      </c>
      <c r="I678" s="729">
        <f ca="1">IFERROR(__xludf.DUMMYFUNCTION("IMPORTRANGE(""https://docs.google.com/spreadsheets/d/1eHaY18a8A9IcSdp1K8H6x8fbOy06t2VsZHhMHf-1x7Y/edit?usp=sharing"",""แผน!IP60"")"),15)</f>
        <v>15</v>
      </c>
      <c r="J678" s="291">
        <f ca="1">IFERROR(__xludf.DUMMYFUNCTION("IMPORTRANGE(""https://docs.google.com/spreadsheets/d/1tdoBKaGub7dwA3U6UFTqxio9LNnvDCQjHKmttSEBsFQ/edit?usp=sharing"",""จัดที่ดิน!BH60"")"),41.91)</f>
        <v>41.91</v>
      </c>
      <c r="K678" s="72">
        <f ca="1">IF(I678&gt;0,J678*100/I678,0)</f>
        <v>279.39999999999998</v>
      </c>
      <c r="L678" s="732"/>
      <c r="M678" s="85"/>
      <c r="N678" s="730"/>
      <c r="O678" s="85"/>
      <c r="P678" s="85"/>
      <c r="Q678" s="730"/>
      <c r="R678" s="85"/>
      <c r="S678" s="730"/>
      <c r="T678" s="85"/>
      <c r="U678" s="85"/>
    </row>
    <row r="679" spans="1:21" ht="18.75" x14ac:dyDescent="0.25">
      <c r="A679" s="529"/>
      <c r="B679" s="267"/>
      <c r="C679" s="267"/>
      <c r="D679" s="256"/>
      <c r="E679" s="265" t="s">
        <v>254</v>
      </c>
      <c r="F679" s="256"/>
      <c r="G679" s="259"/>
      <c r="H679" s="273" t="s">
        <v>35</v>
      </c>
      <c r="I679" s="729">
        <f ca="1">IFERROR(__xludf.DUMMYFUNCTION("IMPORTRANGE(""https://docs.google.com/spreadsheets/d/1eHaY18a8A9IcSdp1K8H6x8fbOy06t2VsZHhMHf-1x7Y/edit?usp=sharing"",""แผน!IQ60"")"),4)</f>
        <v>4</v>
      </c>
      <c r="J679" s="291">
        <f ca="1">IFERROR(__xludf.DUMMYFUNCTION("IMPORTRANGE(""https://docs.google.com/spreadsheets/d/1tdoBKaGub7dwA3U6UFTqxio9LNnvDCQjHKmttSEBsFQ/edit?usp=sharing"",""จัดที่ดิน!BK60"")"),0)</f>
        <v>0</v>
      </c>
      <c r="K679" s="72">
        <f ca="1">IF(I679&gt;0,J679*100/I679,0)</f>
        <v>0</v>
      </c>
      <c r="L679" s="84"/>
      <c r="M679" s="85"/>
      <c r="N679" s="730"/>
      <c r="O679" s="85"/>
      <c r="P679" s="85"/>
      <c r="Q679" s="85"/>
      <c r="R679" s="85"/>
      <c r="S679" s="730"/>
      <c r="T679" s="85"/>
      <c r="U679" s="85"/>
    </row>
    <row r="680" spans="1:21" ht="18.75" x14ac:dyDescent="0.25">
      <c r="A680" s="529"/>
      <c r="B680" s="267"/>
      <c r="C680" s="267"/>
      <c r="D680" s="256"/>
      <c r="E680" s="256"/>
      <c r="F680" s="256"/>
      <c r="G680" s="259"/>
      <c r="H680" s="273" t="s">
        <v>34</v>
      </c>
      <c r="I680" s="307"/>
      <c r="J680" s="291">
        <f ca="1">IFERROR(__xludf.DUMMYFUNCTION("IMPORTRANGE(""https://docs.google.com/spreadsheets/d/1tdoBKaGub7dwA3U6UFTqxio9LNnvDCQjHKmttSEBsFQ/edit?usp=sharing"",""จัดที่ดิน!BL60"")"),0)</f>
        <v>0</v>
      </c>
      <c r="K680" s="85"/>
      <c r="L680" s="732"/>
      <c r="M680" s="85"/>
      <c r="N680" s="730"/>
      <c r="O680" s="85"/>
      <c r="P680" s="85"/>
      <c r="Q680" s="730"/>
      <c r="R680" s="85"/>
      <c r="S680" s="730"/>
      <c r="T680" s="85"/>
      <c r="U680" s="85"/>
    </row>
    <row r="681" spans="1:21" ht="18.75" x14ac:dyDescent="0.25">
      <c r="A681" s="529"/>
      <c r="B681" s="267"/>
      <c r="C681" s="267"/>
      <c r="D681" s="256"/>
      <c r="E681" s="256"/>
      <c r="F681" s="256"/>
      <c r="G681" s="259"/>
      <c r="H681" s="273" t="s">
        <v>46</v>
      </c>
      <c r="I681" s="729">
        <f ca="1">IFERROR(__xludf.DUMMYFUNCTION("IMPORTRANGE(""https://docs.google.com/spreadsheets/d/1eHaY18a8A9IcSdp1K8H6x8fbOy06t2VsZHhMHf-1x7Y/edit?usp=sharing"",""แผน!IR60"")"),50)</f>
        <v>50</v>
      </c>
      <c r="J681" s="291">
        <f ca="1">IFERROR(__xludf.DUMMYFUNCTION("IMPORTRANGE(""https://docs.google.com/spreadsheets/d/1tdoBKaGub7dwA3U6UFTqxio9LNnvDCQjHKmttSEBsFQ/edit?usp=sharing"",""จัดที่ดิน!BM60"")"),0)</f>
        <v>0</v>
      </c>
      <c r="K681" s="72">
        <f ca="1">IF(I681&gt;0,J681*100/I681,0)</f>
        <v>0</v>
      </c>
      <c r="L681" s="732"/>
      <c r="M681" s="85"/>
      <c r="N681" s="730"/>
      <c r="O681" s="85"/>
      <c r="P681" s="85"/>
      <c r="Q681" s="730"/>
      <c r="R681" s="85"/>
      <c r="S681" s="730"/>
      <c r="T681" s="85"/>
      <c r="U681" s="85"/>
    </row>
    <row r="682" spans="1:21" ht="19.5" hidden="1" x14ac:dyDescent="0.3">
      <c r="A682" s="529"/>
      <c r="B682" s="267"/>
      <c r="C682" s="267"/>
      <c r="D682" s="265" t="s">
        <v>255</v>
      </c>
      <c r="E682" s="256"/>
      <c r="F682" s="256"/>
      <c r="G682" s="259"/>
      <c r="H682" s="725" t="s">
        <v>46</v>
      </c>
      <c r="I682" s="731">
        <f ca="1">IFERROR(__xludf.DUMMYFUNCTION("IMPORTRANGE(""https://docs.google.com/spreadsheets/d/1eHaY18a8A9IcSdp1K8H6x8fbOy06t2VsZHhMHf-1x7Y/edit?usp=sharing"",""แผน!IS60"")"),0)</f>
        <v>0</v>
      </c>
      <c r="J682" s="601">
        <f>J685+J688</f>
        <v>0</v>
      </c>
      <c r="K682" s="262">
        <f ca="1">IF(I682&gt;0,J682*100/I682,0)</f>
        <v>0</v>
      </c>
      <c r="L682" s="84"/>
      <c r="M682" s="85"/>
      <c r="N682" s="730"/>
      <c r="O682" s="85"/>
      <c r="P682" s="85"/>
      <c r="Q682" s="85"/>
      <c r="R682" s="85"/>
      <c r="S682" s="730"/>
      <c r="T682" s="85"/>
      <c r="U682" s="85"/>
    </row>
    <row r="683" spans="1:21" ht="18.75" hidden="1" x14ac:dyDescent="0.25">
      <c r="A683" s="529"/>
      <c r="B683" s="267"/>
      <c r="C683" s="267"/>
      <c r="D683" s="256"/>
      <c r="E683" s="265" t="s">
        <v>256</v>
      </c>
      <c r="F683" s="256"/>
      <c r="G683" s="259"/>
      <c r="H683" s="273" t="s">
        <v>35</v>
      </c>
      <c r="I683" s="307"/>
      <c r="J683" s="292">
        <v>0</v>
      </c>
      <c r="K683" s="85"/>
      <c r="L683" s="732"/>
      <c r="M683" s="85"/>
      <c r="N683" s="730"/>
      <c r="O683" s="85"/>
      <c r="P683" s="85"/>
      <c r="Q683" s="730"/>
      <c r="R683" s="85"/>
      <c r="S683" s="730"/>
      <c r="T683" s="85"/>
      <c r="U683" s="85"/>
    </row>
    <row r="684" spans="1:21" ht="18.75" hidden="1" x14ac:dyDescent="0.25">
      <c r="A684" s="529"/>
      <c r="B684" s="267"/>
      <c r="C684" s="267"/>
      <c r="D684" s="256"/>
      <c r="E684" s="256"/>
      <c r="F684" s="256"/>
      <c r="G684" s="259"/>
      <c r="H684" s="273" t="s">
        <v>34</v>
      </c>
      <c r="I684" s="307"/>
      <c r="J684" s="292">
        <v>0</v>
      </c>
      <c r="K684" s="85"/>
      <c r="L684" s="732"/>
      <c r="M684" s="85"/>
      <c r="N684" s="730"/>
      <c r="O684" s="85"/>
      <c r="P684" s="85"/>
      <c r="Q684" s="730"/>
      <c r="R684" s="85"/>
      <c r="S684" s="730"/>
      <c r="T684" s="85"/>
      <c r="U684" s="85"/>
    </row>
    <row r="685" spans="1:21" ht="18.75" hidden="1" x14ac:dyDescent="0.25">
      <c r="A685" s="529"/>
      <c r="B685" s="267"/>
      <c r="C685" s="267"/>
      <c r="D685" s="256"/>
      <c r="E685" s="256"/>
      <c r="F685" s="256"/>
      <c r="G685" s="259"/>
      <c r="H685" s="273" t="s">
        <v>46</v>
      </c>
      <c r="I685" s="307"/>
      <c r="J685" s="292">
        <v>0</v>
      </c>
      <c r="K685" s="85"/>
      <c r="L685" s="732"/>
      <c r="M685" s="85"/>
      <c r="N685" s="730"/>
      <c r="O685" s="85"/>
      <c r="P685" s="85"/>
      <c r="Q685" s="730"/>
      <c r="R685" s="85"/>
      <c r="S685" s="730"/>
      <c r="T685" s="85"/>
      <c r="U685" s="85"/>
    </row>
    <row r="686" spans="1:21" ht="18.75" hidden="1" x14ac:dyDescent="0.25">
      <c r="A686" s="529"/>
      <c r="B686" s="267"/>
      <c r="C686" s="267"/>
      <c r="D686" s="256"/>
      <c r="E686" s="265" t="s">
        <v>257</v>
      </c>
      <c r="F686" s="256"/>
      <c r="G686" s="259"/>
      <c r="H686" s="273" t="s">
        <v>35</v>
      </c>
      <c r="I686" s="307"/>
      <c r="J686" s="292">
        <v>0</v>
      </c>
      <c r="K686" s="85"/>
      <c r="L686" s="732"/>
      <c r="M686" s="85"/>
      <c r="N686" s="730"/>
      <c r="O686" s="85"/>
      <c r="P686" s="85"/>
      <c r="Q686" s="730"/>
      <c r="R686" s="85"/>
      <c r="S686" s="730"/>
      <c r="T686" s="85"/>
      <c r="U686" s="85"/>
    </row>
    <row r="687" spans="1:21" ht="18.75" hidden="1" x14ac:dyDescent="0.25">
      <c r="A687" s="529"/>
      <c r="B687" s="267"/>
      <c r="C687" s="267"/>
      <c r="D687" s="256"/>
      <c r="E687" s="256"/>
      <c r="F687" s="256"/>
      <c r="G687" s="259"/>
      <c r="H687" s="273" t="s">
        <v>34</v>
      </c>
      <c r="I687" s="307"/>
      <c r="J687" s="292">
        <v>0</v>
      </c>
      <c r="K687" s="85"/>
      <c r="L687" s="732"/>
      <c r="M687" s="85"/>
      <c r="N687" s="730"/>
      <c r="O687" s="85"/>
      <c r="P687" s="85"/>
      <c r="Q687" s="730"/>
      <c r="R687" s="85"/>
      <c r="S687" s="730"/>
      <c r="T687" s="85"/>
      <c r="U687" s="85"/>
    </row>
    <row r="688" spans="1:21" ht="19.5" hidden="1" x14ac:dyDescent="0.3">
      <c r="A688" s="733"/>
      <c r="B688" s="734" t="s">
        <v>258</v>
      </c>
      <c r="C688" s="735"/>
      <c r="D688" s="736"/>
      <c r="E688" s="736"/>
      <c r="F688" s="736"/>
      <c r="G688" s="737"/>
      <c r="H688" s="738" t="s">
        <v>46</v>
      </c>
      <c r="I688" s="608"/>
      <c r="J688" s="739">
        <v>0</v>
      </c>
      <c r="K688" s="96"/>
      <c r="L688" s="741"/>
      <c r="M688" s="96"/>
      <c r="N688" s="740"/>
      <c r="O688" s="96"/>
      <c r="P688" s="96"/>
      <c r="Q688" s="740"/>
      <c r="R688" s="96"/>
      <c r="S688" s="740"/>
      <c r="T688" s="96"/>
      <c r="U688" s="96"/>
    </row>
    <row r="689" spans="1:21" ht="19.5" hidden="1" x14ac:dyDescent="0.3">
      <c r="A689" s="761"/>
      <c r="B689" s="707" t="s">
        <v>259</v>
      </c>
      <c r="C689" s="706"/>
      <c r="D689" s="708"/>
      <c r="E689" s="708"/>
      <c r="F689" s="708"/>
      <c r="G689" s="709"/>
      <c r="H689" s="1100" t="s">
        <v>35</v>
      </c>
      <c r="I689" s="1099">
        <f ca="1">I707</f>
        <v>0</v>
      </c>
      <c r="J689" s="1099">
        <f ca="1">J707</f>
        <v>0</v>
      </c>
      <c r="K689" s="744">
        <f ca="1">IF(I689&gt;0,J689*100/I689,0)</f>
        <v>0</v>
      </c>
      <c r="L689" s="713"/>
      <c r="M689" s="712"/>
      <c r="N689" s="712"/>
      <c r="O689" s="712"/>
      <c r="P689" s="712"/>
      <c r="Q689" s="712"/>
      <c r="R689" s="712"/>
      <c r="S689" s="712"/>
      <c r="T689" s="712"/>
      <c r="U689" s="712"/>
    </row>
    <row r="690" spans="1:21" ht="19.5" hidden="1" x14ac:dyDescent="0.3">
      <c r="A690" s="255"/>
      <c r="B690" s="267"/>
      <c r="C690" s="304" t="s">
        <v>18</v>
      </c>
      <c r="D690" s="1442" t="s">
        <v>19</v>
      </c>
      <c r="E690" s="1401"/>
      <c r="F690" s="1401"/>
      <c r="G690" s="1402"/>
      <c r="H690" s="612" t="s">
        <v>14</v>
      </c>
      <c r="I690" s="261"/>
      <c r="J690" s="261"/>
      <c r="K690" s="85"/>
      <c r="L690" s="389">
        <f>L691+L692</f>
        <v>0</v>
      </c>
      <c r="M690" s="262">
        <f>M691+M692</f>
        <v>0</v>
      </c>
      <c r="N690" s="262">
        <f>N691+N692</f>
        <v>0</v>
      </c>
      <c r="O690" s="262">
        <f t="shared" ref="O690:O698" si="167">IF(L690&gt;0,N690*100/L690,0)</f>
        <v>0</v>
      </c>
      <c r="P690" s="262">
        <f t="shared" ref="P690:P698" si="168">IF(M690&gt;0,N690*100/M690,0)</f>
        <v>0</v>
      </c>
      <c r="Q690" s="262">
        <f ca="1">Q691+Q692</f>
        <v>0</v>
      </c>
      <c r="R690" s="262">
        <f ca="1">R691+R692</f>
        <v>0</v>
      </c>
      <c r="S690" s="262">
        <f ca="1">S691+S692</f>
        <v>0</v>
      </c>
      <c r="T690" s="262">
        <f t="shared" ref="T690:T698" ca="1" si="169">IF(Q690&gt;0,S690*100/Q690,0)</f>
        <v>0</v>
      </c>
      <c r="U690" s="262">
        <f t="shared" ref="U690:U698" ca="1" si="170">IF(R690&gt;0,S690*100/R690,0)</f>
        <v>0</v>
      </c>
    </row>
    <row r="691" spans="1:21" ht="18.75" hidden="1" x14ac:dyDescent="0.25">
      <c r="A691" s="255"/>
      <c r="B691" s="267"/>
      <c r="C691" s="267"/>
      <c r="D691" s="288"/>
      <c r="E691" s="263" t="s">
        <v>159</v>
      </c>
      <c r="F691" s="256"/>
      <c r="G691" s="259"/>
      <c r="H691" s="271" t="s">
        <v>14</v>
      </c>
      <c r="I691" s="261"/>
      <c r="J691" s="261"/>
      <c r="K691" s="85"/>
      <c r="L691" s="74">
        <f t="shared" ref="L691:N692" si="171">L694+L697</f>
        <v>0</v>
      </c>
      <c r="M691" s="75">
        <f t="shared" si="171"/>
        <v>0</v>
      </c>
      <c r="N691" s="75">
        <f t="shared" si="171"/>
        <v>0</v>
      </c>
      <c r="O691" s="75">
        <f t="shared" si="167"/>
        <v>0</v>
      </c>
      <c r="P691" s="75">
        <f t="shared" si="168"/>
        <v>0</v>
      </c>
      <c r="Q691" s="75">
        <f t="shared" ref="Q691:S692" si="172">Q694+Q697</f>
        <v>0</v>
      </c>
      <c r="R691" s="75">
        <f t="shared" si="172"/>
        <v>0</v>
      </c>
      <c r="S691" s="75">
        <f t="shared" si="172"/>
        <v>0</v>
      </c>
      <c r="T691" s="75">
        <f t="shared" si="169"/>
        <v>0</v>
      </c>
      <c r="U691" s="75">
        <f t="shared" si="170"/>
        <v>0</v>
      </c>
    </row>
    <row r="692" spans="1:21" ht="18.75" hidden="1" x14ac:dyDescent="0.25">
      <c r="A692" s="255"/>
      <c r="B692" s="267"/>
      <c r="C692" s="267"/>
      <c r="D692" s="288"/>
      <c r="E692" s="265" t="s">
        <v>160</v>
      </c>
      <c r="F692" s="256"/>
      <c r="G692" s="259"/>
      <c r="H692" s="269" t="s">
        <v>14</v>
      </c>
      <c r="I692" s="261"/>
      <c r="J692" s="261"/>
      <c r="K692" s="85"/>
      <c r="L692" s="71">
        <f t="shared" si="171"/>
        <v>0</v>
      </c>
      <c r="M692" s="72">
        <f t="shared" si="171"/>
        <v>0</v>
      </c>
      <c r="N692" s="72">
        <f t="shared" si="171"/>
        <v>0</v>
      </c>
      <c r="O692" s="72">
        <f t="shared" si="167"/>
        <v>0</v>
      </c>
      <c r="P692" s="72">
        <f t="shared" si="168"/>
        <v>0</v>
      </c>
      <c r="Q692" s="72">
        <f t="shared" ca="1" si="172"/>
        <v>0</v>
      </c>
      <c r="R692" s="72">
        <f t="shared" ca="1" si="172"/>
        <v>0</v>
      </c>
      <c r="S692" s="72">
        <f t="shared" ca="1" si="172"/>
        <v>0</v>
      </c>
      <c r="T692" s="72">
        <f t="shared" ca="1" si="169"/>
        <v>0</v>
      </c>
      <c r="U692" s="72">
        <f t="shared" ca="1" si="170"/>
        <v>0</v>
      </c>
    </row>
    <row r="693" spans="1:21" ht="18.75" hidden="1" x14ac:dyDescent="0.25">
      <c r="A693" s="255"/>
      <c r="B693" s="267"/>
      <c r="C693" s="267"/>
      <c r="D693" s="268" t="s">
        <v>22</v>
      </c>
      <c r="E693" s="256"/>
      <c r="F693" s="256"/>
      <c r="G693" s="259"/>
      <c r="H693" s="269" t="s">
        <v>14</v>
      </c>
      <c r="I693" s="270"/>
      <c r="J693" s="270"/>
      <c r="K693" s="227"/>
      <c r="L693" s="71">
        <f>L694+L695</f>
        <v>0</v>
      </c>
      <c r="M693" s="72">
        <f>M694+M695</f>
        <v>0</v>
      </c>
      <c r="N693" s="72">
        <f>N694+N695</f>
        <v>0</v>
      </c>
      <c r="O693" s="72">
        <f t="shared" si="167"/>
        <v>0</v>
      </c>
      <c r="P693" s="72">
        <f t="shared" si="168"/>
        <v>0</v>
      </c>
      <c r="Q693" s="72">
        <f ca="1">Q694+Q695</f>
        <v>0</v>
      </c>
      <c r="R693" s="72">
        <f ca="1">R694+R695</f>
        <v>0</v>
      </c>
      <c r="S693" s="72">
        <f ca="1">S694+S695</f>
        <v>0</v>
      </c>
      <c r="T693" s="72">
        <f t="shared" ca="1" si="169"/>
        <v>0</v>
      </c>
      <c r="U693" s="72">
        <f t="shared" ca="1" si="170"/>
        <v>0</v>
      </c>
    </row>
    <row r="694" spans="1:21" ht="18.75" hidden="1" x14ac:dyDescent="0.25">
      <c r="A694" s="255"/>
      <c r="B694" s="267"/>
      <c r="C694" s="267"/>
      <c r="D694" s="288"/>
      <c r="E694" s="263" t="s">
        <v>159</v>
      </c>
      <c r="F694" s="256"/>
      <c r="G694" s="259"/>
      <c r="H694" s="271" t="s">
        <v>14</v>
      </c>
      <c r="I694" s="261"/>
      <c r="J694" s="261"/>
      <c r="K694" s="85"/>
      <c r="L694" s="74">
        <v>0</v>
      </c>
      <c r="M694" s="75">
        <v>0</v>
      </c>
      <c r="N694" s="75">
        <v>0</v>
      </c>
      <c r="O694" s="75">
        <f t="shared" si="167"/>
        <v>0</v>
      </c>
      <c r="P694" s="75">
        <f t="shared" si="168"/>
        <v>0</v>
      </c>
      <c r="Q694" s="75">
        <v>0</v>
      </c>
      <c r="R694" s="75">
        <v>0</v>
      </c>
      <c r="S694" s="75">
        <v>0</v>
      </c>
      <c r="T694" s="75">
        <f t="shared" si="169"/>
        <v>0</v>
      </c>
      <c r="U694" s="75">
        <f t="shared" si="170"/>
        <v>0</v>
      </c>
    </row>
    <row r="695" spans="1:21" ht="18.75" hidden="1" x14ac:dyDescent="0.25">
      <c r="A695" s="255"/>
      <c r="B695" s="267"/>
      <c r="C695" s="267"/>
      <c r="D695" s="288"/>
      <c r="E695" s="265" t="s">
        <v>160</v>
      </c>
      <c r="F695" s="256"/>
      <c r="G695" s="259"/>
      <c r="H695" s="269" t="s">
        <v>14</v>
      </c>
      <c r="I695" s="261"/>
      <c r="J695" s="261"/>
      <c r="K695" s="85"/>
      <c r="L695" s="71">
        <v>0</v>
      </c>
      <c r="M695" s="72">
        <v>0</v>
      </c>
      <c r="N695" s="72">
        <v>0</v>
      </c>
      <c r="O695" s="72">
        <f t="shared" si="167"/>
        <v>0</v>
      </c>
      <c r="P695" s="72">
        <f t="shared" si="168"/>
        <v>0</v>
      </c>
      <c r="Q695" s="72">
        <f ca="1">IFERROR(__xludf.DUMMYFUNCTION("IMPORTRANGE(""https://docs.google.com/spreadsheets/d/1ItG2mGa2ceCfYo0BwxsXqNm01IGEUdYcSSLTEv9YCik/edit?usp=sharing"",""เบิกจ่ายกองทุน!L60"")"),0)</f>
        <v>0</v>
      </c>
      <c r="R695" s="72">
        <f ca="1">IFERROR(__xludf.DUMMYFUNCTION("IMPORTRANGE(""https://docs.google.com/spreadsheets/d/1ItG2mGa2ceCfYo0BwxsXqNm01IGEUdYcSSLTEv9YCik/edit?usp=sharing"",""เบิกจ่ายกองทุน!M60"")"),0)</f>
        <v>0</v>
      </c>
      <c r="S695" s="72">
        <f ca="1">IFERROR(__xludf.DUMMYFUNCTION("IMPORTRANGE(""https://docs.google.com/spreadsheets/d/1ItG2mGa2ceCfYo0BwxsXqNm01IGEUdYcSSLTEv9YCik/edit?usp=sharing"",""เบิกจ่ายกองทุน!N60"")"),0)</f>
        <v>0</v>
      </c>
      <c r="T695" s="72">
        <f t="shared" ca="1" si="169"/>
        <v>0</v>
      </c>
      <c r="U695" s="72">
        <f t="shared" ca="1" si="170"/>
        <v>0</v>
      </c>
    </row>
    <row r="696" spans="1:21" ht="18.75" hidden="1" x14ac:dyDescent="0.25">
      <c r="A696" s="255"/>
      <c r="B696" s="267"/>
      <c r="C696" s="267"/>
      <c r="D696" s="268" t="s">
        <v>23</v>
      </c>
      <c r="E696" s="256"/>
      <c r="F696" s="256"/>
      <c r="G696" s="259"/>
      <c r="H696" s="273" t="s">
        <v>14</v>
      </c>
      <c r="I696" s="270"/>
      <c r="J696" s="270"/>
      <c r="K696" s="227"/>
      <c r="L696" s="71">
        <f>L697+L698</f>
        <v>0</v>
      </c>
      <c r="M696" s="72">
        <f>M697+M698</f>
        <v>0</v>
      </c>
      <c r="N696" s="72">
        <f>N697+N698</f>
        <v>0</v>
      </c>
      <c r="O696" s="72">
        <f t="shared" si="167"/>
        <v>0</v>
      </c>
      <c r="P696" s="72">
        <f t="shared" si="168"/>
        <v>0</v>
      </c>
      <c r="Q696" s="72">
        <f>Q697+Q698</f>
        <v>0</v>
      </c>
      <c r="R696" s="72">
        <f>R697+R698</f>
        <v>0</v>
      </c>
      <c r="S696" s="72">
        <f>S697+S698</f>
        <v>0</v>
      </c>
      <c r="T696" s="72">
        <f t="shared" si="169"/>
        <v>0</v>
      </c>
      <c r="U696" s="72">
        <f t="shared" si="170"/>
        <v>0</v>
      </c>
    </row>
    <row r="697" spans="1:21" ht="18.75" hidden="1" x14ac:dyDescent="0.25">
      <c r="A697" s="255"/>
      <c r="B697" s="267"/>
      <c r="C697" s="267"/>
      <c r="D697" s="256"/>
      <c r="E697" s="263" t="s">
        <v>20</v>
      </c>
      <c r="F697" s="256"/>
      <c r="G697" s="259"/>
      <c r="H697" s="271" t="s">
        <v>14</v>
      </c>
      <c r="I697" s="270"/>
      <c r="J697" s="270"/>
      <c r="K697" s="227"/>
      <c r="L697" s="74">
        <v>0</v>
      </c>
      <c r="M697" s="75">
        <v>0</v>
      </c>
      <c r="N697" s="75">
        <v>0</v>
      </c>
      <c r="O697" s="75">
        <f t="shared" si="167"/>
        <v>0</v>
      </c>
      <c r="P697" s="75">
        <f t="shared" si="168"/>
        <v>0</v>
      </c>
      <c r="Q697" s="75">
        <v>0</v>
      </c>
      <c r="R697" s="75">
        <v>0</v>
      </c>
      <c r="S697" s="75">
        <v>0</v>
      </c>
      <c r="T697" s="75">
        <f t="shared" si="169"/>
        <v>0</v>
      </c>
      <c r="U697" s="75">
        <f t="shared" si="170"/>
        <v>0</v>
      </c>
    </row>
    <row r="698" spans="1:21" ht="18.75" hidden="1" x14ac:dyDescent="0.25">
      <c r="A698" s="255"/>
      <c r="B698" s="267"/>
      <c r="C698" s="267"/>
      <c r="D698" s="256"/>
      <c r="E698" s="265" t="s">
        <v>21</v>
      </c>
      <c r="F698" s="256"/>
      <c r="G698" s="259"/>
      <c r="H698" s="273" t="s">
        <v>14</v>
      </c>
      <c r="I698" s="270"/>
      <c r="J698" s="270"/>
      <c r="K698" s="227"/>
      <c r="L698" s="71">
        <v>0</v>
      </c>
      <c r="M698" s="72">
        <v>0</v>
      </c>
      <c r="N698" s="72">
        <v>0</v>
      </c>
      <c r="O698" s="72">
        <f t="shared" si="167"/>
        <v>0</v>
      </c>
      <c r="P698" s="72">
        <f t="shared" si="168"/>
        <v>0</v>
      </c>
      <c r="Q698" s="72">
        <v>0</v>
      </c>
      <c r="R698" s="72">
        <v>0</v>
      </c>
      <c r="S698" s="72">
        <v>0</v>
      </c>
      <c r="T698" s="72">
        <f t="shared" si="169"/>
        <v>0</v>
      </c>
      <c r="U698" s="72">
        <f t="shared" si="170"/>
        <v>0</v>
      </c>
    </row>
    <row r="699" spans="1:21" ht="19.5" hidden="1" x14ac:dyDescent="0.3">
      <c r="A699" s="274"/>
      <c r="B699" s="275"/>
      <c r="C699" s="304" t="s">
        <v>18</v>
      </c>
      <c r="D699" s="800" t="s">
        <v>38</v>
      </c>
      <c r="E699" s="278"/>
      <c r="F699" s="278"/>
      <c r="G699" s="278"/>
      <c r="H699" s="305"/>
      <c r="I699" s="270"/>
      <c r="J699" s="270"/>
      <c r="K699" s="227"/>
      <c r="L699" s="84"/>
      <c r="M699" s="85"/>
      <c r="N699" s="85"/>
      <c r="O699" s="85"/>
      <c r="P699" s="85"/>
      <c r="Q699" s="85"/>
      <c r="R699" s="85"/>
      <c r="S699" s="85"/>
      <c r="T699" s="85"/>
      <c r="U699" s="85"/>
    </row>
    <row r="700" spans="1:21" ht="18.75" hidden="1" x14ac:dyDescent="0.25">
      <c r="A700" s="529"/>
      <c r="B700" s="267"/>
      <c r="C700" s="267"/>
      <c r="D700" s="288"/>
      <c r="E700" s="745" t="s">
        <v>260</v>
      </c>
      <c r="F700" s="288"/>
      <c r="G700" s="280"/>
      <c r="H700" s="273" t="s">
        <v>261</v>
      </c>
      <c r="I700" s="291">
        <f ca="1">IFERROR(__xludf.DUMMYFUNCTION("IMPORTRANGE(""https://docs.google.com/spreadsheets/d/1eHaY18a8A9IcSdp1K8H6x8fbOy06t2VsZHhMHf-1x7Y/edit?usp=sharing"",""แผน!LC60"")"),0)</f>
        <v>0</v>
      </c>
      <c r="J700" s="292">
        <v>0</v>
      </c>
      <c r="K700" s="746">
        <f t="shared" ref="K700:K710" ca="1" si="173">IF(I700&gt;0,J700*100/I700,0)</f>
        <v>0</v>
      </c>
      <c r="L700" s="226"/>
      <c r="M700" s="227"/>
      <c r="N700" s="85"/>
      <c r="O700" s="227"/>
      <c r="P700" s="227"/>
      <c r="Q700" s="227"/>
      <c r="R700" s="227"/>
      <c r="S700" s="85"/>
      <c r="T700" s="227"/>
      <c r="U700" s="227"/>
    </row>
    <row r="701" spans="1:21" ht="19.5" hidden="1" x14ac:dyDescent="0.3">
      <c r="A701" s="529"/>
      <c r="B701" s="267"/>
      <c r="C701" s="267"/>
      <c r="D701" s="288"/>
      <c r="E701" s="747" t="s">
        <v>262</v>
      </c>
      <c r="F701" s="288"/>
      <c r="G701" s="280"/>
      <c r="H701" s="260" t="s">
        <v>35</v>
      </c>
      <c r="I701" s="601">
        <f ca="1">I703+I705</f>
        <v>0</v>
      </c>
      <c r="J701" s="601">
        <f ca="1">J703+J705</f>
        <v>0</v>
      </c>
      <c r="K701" s="262">
        <f t="shared" ca="1" si="173"/>
        <v>0</v>
      </c>
      <c r="L701" s="226"/>
      <c r="M701" s="227"/>
      <c r="N701" s="227"/>
      <c r="O701" s="227"/>
      <c r="P701" s="227"/>
      <c r="Q701" s="227"/>
      <c r="R701" s="227"/>
      <c r="S701" s="227"/>
      <c r="T701" s="227"/>
      <c r="U701" s="227"/>
    </row>
    <row r="702" spans="1:21" ht="19.5" hidden="1" x14ac:dyDescent="0.3">
      <c r="A702" s="529"/>
      <c r="B702" s="267"/>
      <c r="C702" s="267"/>
      <c r="D702" s="288"/>
      <c r="E702" s="288"/>
      <c r="F702" s="288"/>
      <c r="G702" s="280"/>
      <c r="H702" s="260" t="s">
        <v>46</v>
      </c>
      <c r="I702" s="601">
        <v>0</v>
      </c>
      <c r="J702" s="601">
        <f ca="1">J704+J706</f>
        <v>0</v>
      </c>
      <c r="K702" s="262">
        <f t="shared" si="173"/>
        <v>0</v>
      </c>
      <c r="L702" s="226"/>
      <c r="M702" s="227"/>
      <c r="N702" s="227"/>
      <c r="O702" s="227"/>
      <c r="P702" s="227"/>
      <c r="Q702" s="227"/>
      <c r="R702" s="227"/>
      <c r="S702" s="227"/>
      <c r="T702" s="227"/>
      <c r="U702" s="227"/>
    </row>
    <row r="703" spans="1:21" ht="18.75" hidden="1" x14ac:dyDescent="0.25">
      <c r="A703" s="529"/>
      <c r="B703" s="267"/>
      <c r="C703" s="267"/>
      <c r="D703" s="288"/>
      <c r="E703" s="288"/>
      <c r="F703" s="745" t="s">
        <v>263</v>
      </c>
      <c r="G703" s="280"/>
      <c r="H703" s="273" t="s">
        <v>35</v>
      </c>
      <c r="I703" s="291">
        <f ca="1">IFERROR(__xludf.DUMMYFUNCTION("IMPORTRANGE(""https://docs.google.com/spreadsheets/d/1eHaY18a8A9IcSdp1K8H6x8fbOy06t2VsZHhMHf-1x7Y/edit?usp=sharing"",""แผน!LJ60"")"),0)</f>
        <v>0</v>
      </c>
      <c r="J703" s="291">
        <f ca="1">IFERROR(__xludf.DUMMYFUNCTION("IMPORTRANGE(""https://docs.google.com/spreadsheets/d/1tdoBKaGub7dwA3U6UFTqxio9LNnvDCQjHKmttSEBsFQ/edit?usp=sharing"",""จัดที่ดิน!AP60"")"),0)</f>
        <v>0</v>
      </c>
      <c r="K703" s="72">
        <f t="shared" ca="1" si="173"/>
        <v>0</v>
      </c>
      <c r="L703" s="226"/>
      <c r="M703" s="227"/>
      <c r="N703" s="227"/>
      <c r="O703" s="227"/>
      <c r="P703" s="227"/>
      <c r="Q703" s="227"/>
      <c r="R703" s="227"/>
      <c r="S703" s="227"/>
      <c r="T703" s="227"/>
      <c r="U703" s="227"/>
    </row>
    <row r="704" spans="1:21" ht="18.75" hidden="1" x14ac:dyDescent="0.25">
      <c r="A704" s="529"/>
      <c r="B704" s="267"/>
      <c r="C704" s="267"/>
      <c r="D704" s="288"/>
      <c r="E704" s="288"/>
      <c r="F704" s="288"/>
      <c r="G704" s="280"/>
      <c r="H704" s="273" t="s">
        <v>46</v>
      </c>
      <c r="I704" s="291">
        <v>0</v>
      </c>
      <c r="J704" s="291">
        <f ca="1">IFERROR(__xludf.DUMMYFUNCTION("IMPORTRANGE(""https://docs.google.com/spreadsheets/d/1tdoBKaGub7dwA3U6UFTqxio9LNnvDCQjHKmttSEBsFQ/edit?usp=sharing"",""จัดที่ดิน!AQ60"")"),0)</f>
        <v>0</v>
      </c>
      <c r="K704" s="72">
        <f t="shared" si="173"/>
        <v>0</v>
      </c>
      <c r="L704" s="226"/>
      <c r="M704" s="227"/>
      <c r="N704" s="227"/>
      <c r="O704" s="227"/>
      <c r="P704" s="227"/>
      <c r="Q704" s="227"/>
      <c r="R704" s="227"/>
      <c r="S704" s="227"/>
      <c r="T704" s="227"/>
      <c r="U704" s="227"/>
    </row>
    <row r="705" spans="1:21" ht="18.75" hidden="1" x14ac:dyDescent="0.25">
      <c r="A705" s="529"/>
      <c r="B705" s="267"/>
      <c r="C705" s="267"/>
      <c r="D705" s="288"/>
      <c r="E705" s="288"/>
      <c r="F705" s="745" t="s">
        <v>264</v>
      </c>
      <c r="G705" s="280"/>
      <c r="H705" s="273" t="s">
        <v>35</v>
      </c>
      <c r="I705" s="291">
        <f ca="1">IFERROR(__xludf.DUMMYFUNCTION("IMPORTRANGE(""https://docs.google.com/spreadsheets/d/1eHaY18a8A9IcSdp1K8H6x8fbOy06t2VsZHhMHf-1x7Y/edit?usp=sharing"",""แผน!LK60"")"),0)</f>
        <v>0</v>
      </c>
      <c r="J705" s="291">
        <f ca="1">IFERROR(__xludf.DUMMYFUNCTION("IMPORTRANGE(""https://docs.google.com/spreadsheets/d/1tdoBKaGub7dwA3U6UFTqxio9LNnvDCQjHKmttSEBsFQ/edit?usp=sharing"",""จัดที่ดิน!AR60"")"),0)</f>
        <v>0</v>
      </c>
      <c r="K705" s="746">
        <f t="shared" ca="1" si="173"/>
        <v>0</v>
      </c>
      <c r="L705" s="226"/>
      <c r="M705" s="227"/>
      <c r="N705" s="227"/>
      <c r="O705" s="227"/>
      <c r="P705" s="227"/>
      <c r="Q705" s="227"/>
      <c r="R705" s="227"/>
      <c r="S705" s="227"/>
      <c r="T705" s="227"/>
      <c r="U705" s="227"/>
    </row>
    <row r="706" spans="1:21" ht="18.75" hidden="1" x14ac:dyDescent="0.25">
      <c r="A706" s="529"/>
      <c r="B706" s="267"/>
      <c r="C706" s="267"/>
      <c r="D706" s="288"/>
      <c r="E706" s="288"/>
      <c r="F706" s="288"/>
      <c r="G706" s="280"/>
      <c r="H706" s="273" t="s">
        <v>46</v>
      </c>
      <c r="I706" s="291">
        <v>0</v>
      </c>
      <c r="J706" s="291">
        <f ca="1">IFERROR(__xludf.DUMMYFUNCTION("IMPORTRANGE(""https://docs.google.com/spreadsheets/d/1tdoBKaGub7dwA3U6UFTqxio9LNnvDCQjHKmttSEBsFQ/edit?usp=sharing"",""จัดที่ดิน!AS60"")"),0)</f>
        <v>0</v>
      </c>
      <c r="K706" s="72">
        <f t="shared" si="173"/>
        <v>0</v>
      </c>
      <c r="L706" s="226"/>
      <c r="M706" s="227"/>
      <c r="N706" s="227"/>
      <c r="O706" s="227"/>
      <c r="P706" s="227"/>
      <c r="Q706" s="227"/>
      <c r="R706" s="227"/>
      <c r="S706" s="227"/>
      <c r="T706" s="227"/>
      <c r="U706" s="227"/>
    </row>
    <row r="707" spans="1:21" ht="18.75" hidden="1" x14ac:dyDescent="0.25">
      <c r="A707" s="529"/>
      <c r="B707" s="267"/>
      <c r="C707" s="267"/>
      <c r="D707" s="288"/>
      <c r="E707" s="745" t="s">
        <v>265</v>
      </c>
      <c r="F707" s="288"/>
      <c r="G707" s="280"/>
      <c r="H707" s="269" t="s">
        <v>35</v>
      </c>
      <c r="I707" s="291">
        <f ca="1">IFERROR(__xludf.DUMMYFUNCTION("IMPORTRANGE(""https://docs.google.com/spreadsheets/d/1eHaY18a8A9IcSdp1K8H6x8fbOy06t2VsZHhMHf-1x7Y/edit?usp=sharing"",""แผน!LJ60"")"),0)</f>
        <v>0</v>
      </c>
      <c r="J707" s="291">
        <f ca="1">IFERROR(__xludf.DUMMYFUNCTION("IMPORTRANGE(""https://docs.google.com/spreadsheets/d/1tdoBKaGub7dwA3U6UFTqxio9LNnvDCQjHKmttSEBsFQ/edit?usp=sharing"",""จัดที่ดิน!BN60"")"),0)</f>
        <v>0</v>
      </c>
      <c r="K707" s="72">
        <f t="shared" ca="1" si="173"/>
        <v>0</v>
      </c>
      <c r="L707" s="226"/>
      <c r="M707" s="227"/>
      <c r="N707" s="227"/>
      <c r="O707" s="227"/>
      <c r="P707" s="227"/>
      <c r="Q707" s="227"/>
      <c r="R707" s="227"/>
      <c r="S707" s="227"/>
      <c r="T707" s="227"/>
      <c r="U707" s="227"/>
    </row>
    <row r="708" spans="1:21" ht="18.75" hidden="1" x14ac:dyDescent="0.25">
      <c r="A708" s="529"/>
      <c r="B708" s="267"/>
      <c r="C708" s="267"/>
      <c r="D708" s="288"/>
      <c r="E708" s="748" t="s">
        <v>266</v>
      </c>
      <c r="F708" s="288"/>
      <c r="G708" s="280"/>
      <c r="H708" s="269" t="s">
        <v>46</v>
      </c>
      <c r="I708" s="291">
        <v>0</v>
      </c>
      <c r="J708" s="291">
        <f ca="1">IFERROR(__xludf.DUMMYFUNCTION("IMPORTRANGE(""https://docs.google.com/spreadsheets/d/1tdoBKaGub7dwA3U6UFTqxio9LNnvDCQjHKmttSEBsFQ/edit?usp=sharing"",""จัดที่ดิน!BO60"")"),0)</f>
        <v>0</v>
      </c>
      <c r="K708" s="72">
        <f t="shared" si="173"/>
        <v>0</v>
      </c>
      <c r="L708" s="226"/>
      <c r="M708" s="227"/>
      <c r="N708" s="227"/>
      <c r="O708" s="227"/>
      <c r="P708" s="227"/>
      <c r="Q708" s="227"/>
      <c r="R708" s="227"/>
      <c r="S708" s="227"/>
      <c r="T708" s="227"/>
      <c r="U708" s="227"/>
    </row>
    <row r="709" spans="1:21" ht="18.75" hidden="1" x14ac:dyDescent="0.25">
      <c r="A709" s="529"/>
      <c r="B709" s="267"/>
      <c r="C709" s="267"/>
      <c r="D709" s="256"/>
      <c r="E709" s="265" t="s">
        <v>267</v>
      </c>
      <c r="F709" s="256"/>
      <c r="G709" s="259"/>
      <c r="H709" s="302" t="s">
        <v>35</v>
      </c>
      <c r="I709" s="291">
        <f ca="1">IFERROR(__xludf.DUMMYFUNCTION("IMPORTRANGE(""https://docs.google.com/spreadsheets/d/1eHaY18a8A9IcSdp1K8H6x8fbOy06t2VsZHhMHf-1x7Y/edit?usp=sharing"",""แผน!LK60"")"),0)</f>
        <v>0</v>
      </c>
      <c r="J709" s="291">
        <f ca="1">IFERROR(__xludf.DUMMYFUNCTION("IMPORTRANGE(""https://docs.google.com/spreadsheets/d/1tdoBKaGub7dwA3U6UFTqxio9LNnvDCQjHKmttSEBsFQ/edit?usp=sharing"",""จัดที่ดิน!BP60"")"),0)</f>
        <v>0</v>
      </c>
      <c r="K709" s="72">
        <f t="shared" ca="1" si="173"/>
        <v>0</v>
      </c>
      <c r="L709" s="84"/>
      <c r="M709" s="85"/>
      <c r="N709" s="85"/>
      <c r="O709" s="85"/>
      <c r="P709" s="85"/>
      <c r="Q709" s="85"/>
      <c r="R709" s="85"/>
      <c r="S709" s="85"/>
      <c r="T709" s="85"/>
      <c r="U709" s="85"/>
    </row>
    <row r="710" spans="1:21" ht="18.75" hidden="1" x14ac:dyDescent="0.25">
      <c r="A710" s="529"/>
      <c r="B710" s="267"/>
      <c r="C710" s="267"/>
      <c r="D710" s="256"/>
      <c r="E710" s="748" t="s">
        <v>268</v>
      </c>
      <c r="F710" s="256"/>
      <c r="G710" s="259"/>
      <c r="H710" s="302" t="s">
        <v>46</v>
      </c>
      <c r="I710" s="291">
        <v>0</v>
      </c>
      <c r="J710" s="291">
        <f ca="1">IFERROR(__xludf.DUMMYFUNCTION("IMPORTRANGE(""https://docs.google.com/spreadsheets/d/1tdoBKaGub7dwA3U6UFTqxio9LNnvDCQjHKmttSEBsFQ/edit?usp=sharing"",""จัดที่ดิน!BQ60"")"),0)</f>
        <v>0</v>
      </c>
      <c r="K710" s="72">
        <f t="shared" si="173"/>
        <v>0</v>
      </c>
      <c r="L710" s="84"/>
      <c r="M710" s="85"/>
      <c r="N710" s="85"/>
      <c r="O710" s="85"/>
      <c r="P710" s="85"/>
      <c r="Q710" s="85"/>
      <c r="R710" s="85"/>
      <c r="S710" s="85"/>
      <c r="T710" s="85"/>
      <c r="U710" s="85"/>
    </row>
    <row r="711" spans="1:21" ht="12.75" hidden="1" x14ac:dyDescent="0.2">
      <c r="A711" s="657"/>
      <c r="B711" s="576"/>
      <c r="C711" s="576"/>
      <c r="D711" s="658"/>
      <c r="E711" s="658"/>
      <c r="F711" s="658"/>
      <c r="G711" s="659"/>
      <c r="H711" s="577"/>
      <c r="I711" s="578"/>
      <c r="J711" s="578"/>
      <c r="K711" s="579"/>
      <c r="L711" s="580"/>
      <c r="M711" s="579"/>
      <c r="N711" s="579"/>
      <c r="O711" s="579"/>
      <c r="P711" s="579"/>
      <c r="Q711" s="579"/>
      <c r="R711" s="579"/>
      <c r="S711" s="579"/>
      <c r="T711" s="579"/>
      <c r="U711" s="579"/>
    </row>
    <row r="712" spans="1:21" ht="19.5" hidden="1" x14ac:dyDescent="0.3">
      <c r="A712" s="761"/>
      <c r="B712" s="749" t="s">
        <v>269</v>
      </c>
      <c r="C712" s="706"/>
      <c r="D712" s="708"/>
      <c r="E712" s="708"/>
      <c r="F712" s="708"/>
      <c r="G712" s="709"/>
      <c r="H712" s="750" t="s">
        <v>46</v>
      </c>
      <c r="I712" s="711"/>
      <c r="J712" s="711">
        <f>J724</f>
        <v>0</v>
      </c>
      <c r="K712" s="752">
        <f>IF(I712&gt;0,J712*100/I712,0)</f>
        <v>0</v>
      </c>
      <c r="L712" s="713"/>
      <c r="M712" s="712"/>
      <c r="N712" s="712"/>
      <c r="O712" s="712"/>
      <c r="P712" s="712"/>
      <c r="Q712" s="712"/>
      <c r="R712" s="712"/>
      <c r="S712" s="712"/>
      <c r="T712" s="712"/>
      <c r="U712" s="712"/>
    </row>
    <row r="713" spans="1:21" ht="19.5" hidden="1" x14ac:dyDescent="0.3">
      <c r="A713" s="761"/>
      <c r="B713" s="749" t="s">
        <v>270</v>
      </c>
      <c r="C713" s="706"/>
      <c r="D713" s="708"/>
      <c r="E713" s="708"/>
      <c r="F713" s="708"/>
      <c r="G713" s="709"/>
      <c r="H713" s="710"/>
      <c r="I713" s="711"/>
      <c r="J713" s="711"/>
      <c r="K713" s="712"/>
      <c r="L713" s="713"/>
      <c r="M713" s="712"/>
      <c r="N713" s="712"/>
      <c r="O713" s="712"/>
      <c r="P713" s="712"/>
      <c r="Q713" s="712"/>
      <c r="R713" s="712"/>
      <c r="S713" s="712"/>
      <c r="T713" s="712"/>
      <c r="U713" s="712"/>
    </row>
    <row r="714" spans="1:21" ht="19.5" hidden="1" x14ac:dyDescent="0.3">
      <c r="A714" s="255"/>
      <c r="B714" s="267"/>
      <c r="C714" s="569" t="s">
        <v>18</v>
      </c>
      <c r="D714" s="1444" t="s">
        <v>19</v>
      </c>
      <c r="E714" s="1401"/>
      <c r="F714" s="1401"/>
      <c r="G714" s="1402"/>
      <c r="H714" s="753" t="s">
        <v>14</v>
      </c>
      <c r="I714" s="261"/>
      <c r="J714" s="261"/>
      <c r="K714" s="85"/>
      <c r="L714" s="389">
        <f>L715+L716</f>
        <v>0</v>
      </c>
      <c r="M714" s="262">
        <f>M715+M716</f>
        <v>0</v>
      </c>
      <c r="N714" s="262">
        <f>N715+N716</f>
        <v>0</v>
      </c>
      <c r="O714" s="262">
        <f t="shared" ref="O714:O722" si="174">IF(L714&gt;0,N714*100/L714,0)</f>
        <v>0</v>
      </c>
      <c r="P714" s="262">
        <f t="shared" ref="P714:P722" si="175">IF(M714&gt;0,N714*100/M714,0)</f>
        <v>0</v>
      </c>
      <c r="Q714" s="262">
        <f>Q715+Q716</f>
        <v>0</v>
      </c>
      <c r="R714" s="262">
        <f>R715+R716</f>
        <v>0</v>
      </c>
      <c r="S714" s="262">
        <f>S715+S716</f>
        <v>0</v>
      </c>
      <c r="T714" s="262">
        <f t="shared" ref="T714:T722" si="176">IF(Q714&gt;0,S714*100/Q714,0)</f>
        <v>0</v>
      </c>
      <c r="U714" s="262">
        <f t="shared" ref="U714:U722" si="177">IF(R714&gt;0,S714*100/R714,0)</f>
        <v>0</v>
      </c>
    </row>
    <row r="715" spans="1:21" ht="18.75" hidden="1" x14ac:dyDescent="0.25">
      <c r="A715" s="255"/>
      <c r="B715" s="267"/>
      <c r="C715" s="267"/>
      <c r="D715" s="288"/>
      <c r="E715" s="263" t="s">
        <v>159</v>
      </c>
      <c r="F715" s="256"/>
      <c r="G715" s="259"/>
      <c r="H715" s="271" t="s">
        <v>14</v>
      </c>
      <c r="I715" s="261"/>
      <c r="J715" s="261"/>
      <c r="K715" s="85"/>
      <c r="L715" s="74">
        <f t="shared" ref="L715:N716" si="178">L718+L721</f>
        <v>0</v>
      </c>
      <c r="M715" s="75">
        <f t="shared" si="178"/>
        <v>0</v>
      </c>
      <c r="N715" s="75">
        <f t="shared" si="178"/>
        <v>0</v>
      </c>
      <c r="O715" s="75">
        <f t="shared" si="174"/>
        <v>0</v>
      </c>
      <c r="P715" s="75">
        <f t="shared" si="175"/>
        <v>0</v>
      </c>
      <c r="Q715" s="75">
        <f t="shared" ref="Q715:S716" si="179">Q718+Q721</f>
        <v>0</v>
      </c>
      <c r="R715" s="75">
        <f t="shared" si="179"/>
        <v>0</v>
      </c>
      <c r="S715" s="75">
        <f t="shared" si="179"/>
        <v>0</v>
      </c>
      <c r="T715" s="75">
        <f t="shared" si="176"/>
        <v>0</v>
      </c>
      <c r="U715" s="75">
        <f t="shared" si="177"/>
        <v>0</v>
      </c>
    </row>
    <row r="716" spans="1:21" ht="18.75" hidden="1" x14ac:dyDescent="0.25">
      <c r="A716" s="255"/>
      <c r="B716" s="267"/>
      <c r="C716" s="267"/>
      <c r="D716" s="288"/>
      <c r="E716" s="263" t="s">
        <v>160</v>
      </c>
      <c r="F716" s="256"/>
      <c r="G716" s="259"/>
      <c r="H716" s="271" t="s">
        <v>14</v>
      </c>
      <c r="I716" s="261"/>
      <c r="J716" s="261"/>
      <c r="K716" s="85"/>
      <c r="L716" s="71">
        <f t="shared" si="178"/>
        <v>0</v>
      </c>
      <c r="M716" s="72">
        <f t="shared" si="178"/>
        <v>0</v>
      </c>
      <c r="N716" s="72">
        <f t="shared" si="178"/>
        <v>0</v>
      </c>
      <c r="O716" s="72">
        <f t="shared" si="174"/>
        <v>0</v>
      </c>
      <c r="P716" s="72">
        <f t="shared" si="175"/>
        <v>0</v>
      </c>
      <c r="Q716" s="72">
        <f t="shared" si="179"/>
        <v>0</v>
      </c>
      <c r="R716" s="72">
        <f t="shared" si="179"/>
        <v>0</v>
      </c>
      <c r="S716" s="72">
        <f t="shared" si="179"/>
        <v>0</v>
      </c>
      <c r="T716" s="72">
        <f t="shared" si="176"/>
        <v>0</v>
      </c>
      <c r="U716" s="72">
        <f t="shared" si="177"/>
        <v>0</v>
      </c>
    </row>
    <row r="717" spans="1:21" ht="19.5" hidden="1" x14ac:dyDescent="0.3">
      <c r="A717" s="255"/>
      <c r="B717" s="267"/>
      <c r="C717" s="267"/>
      <c r="D717" s="799" t="s">
        <v>22</v>
      </c>
      <c r="E717" s="256"/>
      <c r="F717" s="256"/>
      <c r="G717" s="259"/>
      <c r="H717" s="753" t="s">
        <v>14</v>
      </c>
      <c r="I717" s="270"/>
      <c r="J717" s="270"/>
      <c r="K717" s="227"/>
      <c r="L717" s="71">
        <f>L718+L719</f>
        <v>0</v>
      </c>
      <c r="M717" s="72">
        <f>M718+M719</f>
        <v>0</v>
      </c>
      <c r="N717" s="72">
        <f>N718+N719</f>
        <v>0</v>
      </c>
      <c r="O717" s="72">
        <f t="shared" si="174"/>
        <v>0</v>
      </c>
      <c r="P717" s="72">
        <f t="shared" si="175"/>
        <v>0</v>
      </c>
      <c r="Q717" s="72">
        <f>Q718+Q719</f>
        <v>0</v>
      </c>
      <c r="R717" s="72">
        <f>R718+R719</f>
        <v>0</v>
      </c>
      <c r="S717" s="72">
        <f>S718+S719</f>
        <v>0</v>
      </c>
      <c r="T717" s="72">
        <f t="shared" si="176"/>
        <v>0</v>
      </c>
      <c r="U717" s="72">
        <f t="shared" si="177"/>
        <v>0</v>
      </c>
    </row>
    <row r="718" spans="1:21" ht="18.75" hidden="1" x14ac:dyDescent="0.25">
      <c r="A718" s="255"/>
      <c r="B718" s="267"/>
      <c r="C718" s="267"/>
      <c r="D718" s="288"/>
      <c r="E718" s="263" t="s">
        <v>159</v>
      </c>
      <c r="F718" s="256"/>
      <c r="G718" s="259"/>
      <c r="H718" s="271" t="s">
        <v>14</v>
      </c>
      <c r="I718" s="261"/>
      <c r="J718" s="261"/>
      <c r="K718" s="85"/>
      <c r="L718" s="74">
        <v>0</v>
      </c>
      <c r="M718" s="75">
        <v>0</v>
      </c>
      <c r="N718" s="75">
        <v>0</v>
      </c>
      <c r="O718" s="75">
        <f t="shared" si="174"/>
        <v>0</v>
      </c>
      <c r="P718" s="75">
        <f t="shared" si="175"/>
        <v>0</v>
      </c>
      <c r="Q718" s="75">
        <v>0</v>
      </c>
      <c r="R718" s="75">
        <v>0</v>
      </c>
      <c r="S718" s="75">
        <v>0</v>
      </c>
      <c r="T718" s="75">
        <f t="shared" si="176"/>
        <v>0</v>
      </c>
      <c r="U718" s="75">
        <f t="shared" si="177"/>
        <v>0</v>
      </c>
    </row>
    <row r="719" spans="1:21" ht="18.75" hidden="1" x14ac:dyDescent="0.25">
      <c r="A719" s="255"/>
      <c r="B719" s="267"/>
      <c r="C719" s="267"/>
      <c r="D719" s="288"/>
      <c r="E719" s="263" t="s">
        <v>160</v>
      </c>
      <c r="F719" s="256"/>
      <c r="G719" s="259"/>
      <c r="H719" s="271" t="s">
        <v>14</v>
      </c>
      <c r="I719" s="261"/>
      <c r="J719" s="261"/>
      <c r="K719" s="85"/>
      <c r="L719" s="71">
        <v>0</v>
      </c>
      <c r="M719" s="72">
        <v>0</v>
      </c>
      <c r="N719" s="72">
        <v>0</v>
      </c>
      <c r="O719" s="72">
        <f t="shared" si="174"/>
        <v>0</v>
      </c>
      <c r="P719" s="72">
        <f t="shared" si="175"/>
        <v>0</v>
      </c>
      <c r="Q719" s="72">
        <v>0</v>
      </c>
      <c r="R719" s="72">
        <v>0</v>
      </c>
      <c r="S719" s="72">
        <v>0</v>
      </c>
      <c r="T719" s="72">
        <f t="shared" si="176"/>
        <v>0</v>
      </c>
      <c r="U719" s="72">
        <f t="shared" si="177"/>
        <v>0</v>
      </c>
    </row>
    <row r="720" spans="1:21" ht="19.5" hidden="1" x14ac:dyDescent="0.3">
      <c r="A720" s="255"/>
      <c r="B720" s="267"/>
      <c r="C720" s="267"/>
      <c r="D720" s="799" t="s">
        <v>23</v>
      </c>
      <c r="E720" s="256"/>
      <c r="F720" s="256"/>
      <c r="G720" s="259"/>
      <c r="H720" s="755" t="s">
        <v>14</v>
      </c>
      <c r="I720" s="270"/>
      <c r="J720" s="270"/>
      <c r="K720" s="227"/>
      <c r="L720" s="71">
        <f>L721+L722</f>
        <v>0</v>
      </c>
      <c r="M720" s="72">
        <f>M721+M722</f>
        <v>0</v>
      </c>
      <c r="N720" s="72">
        <f>N721+N722</f>
        <v>0</v>
      </c>
      <c r="O720" s="72">
        <f t="shared" si="174"/>
        <v>0</v>
      </c>
      <c r="P720" s="72">
        <f t="shared" si="175"/>
        <v>0</v>
      </c>
      <c r="Q720" s="72">
        <f>Q721+Q722</f>
        <v>0</v>
      </c>
      <c r="R720" s="72">
        <f>R721+R722</f>
        <v>0</v>
      </c>
      <c r="S720" s="72">
        <f>S721+S722</f>
        <v>0</v>
      </c>
      <c r="T720" s="72">
        <f t="shared" si="176"/>
        <v>0</v>
      </c>
      <c r="U720" s="72">
        <f t="shared" si="177"/>
        <v>0</v>
      </c>
    </row>
    <row r="721" spans="1:21" ht="18.75" hidden="1" x14ac:dyDescent="0.25">
      <c r="A721" s="255"/>
      <c r="B721" s="267"/>
      <c r="C721" s="267"/>
      <c r="D721" s="256"/>
      <c r="E721" s="263" t="s">
        <v>20</v>
      </c>
      <c r="F721" s="256"/>
      <c r="G721" s="259"/>
      <c r="H721" s="271" t="s">
        <v>14</v>
      </c>
      <c r="I721" s="270"/>
      <c r="J721" s="270"/>
      <c r="K721" s="227"/>
      <c r="L721" s="74">
        <v>0</v>
      </c>
      <c r="M721" s="75">
        <v>0</v>
      </c>
      <c r="N721" s="75">
        <v>0</v>
      </c>
      <c r="O721" s="75">
        <f t="shared" si="174"/>
        <v>0</v>
      </c>
      <c r="P721" s="75">
        <f t="shared" si="175"/>
        <v>0</v>
      </c>
      <c r="Q721" s="75">
        <v>0</v>
      </c>
      <c r="R721" s="75">
        <v>0</v>
      </c>
      <c r="S721" s="75">
        <v>0</v>
      </c>
      <c r="T721" s="75">
        <f t="shared" si="176"/>
        <v>0</v>
      </c>
      <c r="U721" s="75">
        <f t="shared" si="177"/>
        <v>0</v>
      </c>
    </row>
    <row r="722" spans="1:21" ht="18.75" hidden="1" x14ac:dyDescent="0.25">
      <c r="A722" s="255"/>
      <c r="B722" s="267"/>
      <c r="C722" s="267"/>
      <c r="D722" s="256"/>
      <c r="E722" s="263" t="s">
        <v>21</v>
      </c>
      <c r="F722" s="256"/>
      <c r="G722" s="259"/>
      <c r="H722" s="756" t="s">
        <v>14</v>
      </c>
      <c r="I722" s="270"/>
      <c r="J722" s="270"/>
      <c r="K722" s="227"/>
      <c r="L722" s="71">
        <v>0</v>
      </c>
      <c r="M722" s="72">
        <v>0</v>
      </c>
      <c r="N722" s="72">
        <v>0</v>
      </c>
      <c r="O722" s="72">
        <f t="shared" si="174"/>
        <v>0</v>
      </c>
      <c r="P722" s="72">
        <f t="shared" si="175"/>
        <v>0</v>
      </c>
      <c r="Q722" s="72">
        <v>0</v>
      </c>
      <c r="R722" s="72">
        <v>0</v>
      </c>
      <c r="S722" s="72">
        <v>0</v>
      </c>
      <c r="T722" s="72">
        <f t="shared" si="176"/>
        <v>0</v>
      </c>
      <c r="U722" s="72">
        <f t="shared" si="177"/>
        <v>0</v>
      </c>
    </row>
    <row r="723" spans="1:21" ht="19.5" hidden="1" x14ac:dyDescent="0.3">
      <c r="A723" s="274"/>
      <c r="B723" s="275"/>
      <c r="C723" s="569" t="s">
        <v>18</v>
      </c>
      <c r="D723" s="798" t="s">
        <v>38</v>
      </c>
      <c r="E723" s="278"/>
      <c r="F723" s="278"/>
      <c r="G723" s="279"/>
      <c r="H723" s="305"/>
      <c r="I723" s="270"/>
      <c r="J723" s="270"/>
      <c r="K723" s="227"/>
      <c r="L723" s="226"/>
      <c r="M723" s="227"/>
      <c r="N723" s="227"/>
      <c r="O723" s="227"/>
      <c r="P723" s="227"/>
      <c r="Q723" s="227"/>
      <c r="R723" s="227"/>
      <c r="S723" s="227"/>
      <c r="T723" s="227"/>
      <c r="U723" s="227"/>
    </row>
    <row r="724" spans="1:21" ht="18.75" hidden="1" x14ac:dyDescent="0.25">
      <c r="A724" s="529"/>
      <c r="B724" s="267"/>
      <c r="C724" s="267"/>
      <c r="D724" s="256"/>
      <c r="E724" s="263" t="s">
        <v>271</v>
      </c>
      <c r="F724" s="256"/>
      <c r="G724" s="259"/>
      <c r="H724" s="271" t="s">
        <v>46</v>
      </c>
      <c r="I724" s="570">
        <v>0</v>
      </c>
      <c r="J724" s="261"/>
      <c r="K724" s="85"/>
      <c r="L724" s="84"/>
      <c r="M724" s="85"/>
      <c r="N724" s="85"/>
      <c r="O724" s="85"/>
      <c r="P724" s="85"/>
      <c r="Q724" s="85"/>
      <c r="R724" s="85"/>
      <c r="S724" s="85"/>
      <c r="T724" s="85"/>
      <c r="U724" s="85"/>
    </row>
    <row r="725" spans="1:21" ht="18.75" hidden="1" x14ac:dyDescent="0.25">
      <c r="A725" s="606"/>
      <c r="B725" s="607"/>
      <c r="C725" s="607"/>
      <c r="D725" s="615"/>
      <c r="E725" s="758" t="s">
        <v>272</v>
      </c>
      <c r="F725" s="615"/>
      <c r="G725" s="616"/>
      <c r="H725" s="759" t="s">
        <v>46</v>
      </c>
      <c r="I725" s="760">
        <v>0</v>
      </c>
      <c r="J725" s="610"/>
      <c r="K725" s="96"/>
      <c r="L725" s="95"/>
      <c r="M725" s="96"/>
      <c r="N725" s="96"/>
      <c r="O725" s="96"/>
      <c r="P725" s="96"/>
      <c r="Q725" s="96"/>
      <c r="R725" s="96"/>
      <c r="S725" s="96"/>
      <c r="T725" s="96"/>
      <c r="U725" s="96"/>
    </row>
    <row r="726" spans="1:21" ht="19.5" hidden="1" x14ac:dyDescent="0.3">
      <c r="A726" s="761"/>
      <c r="B726" s="707" t="s">
        <v>273</v>
      </c>
      <c r="C726" s="706"/>
      <c r="D726" s="708"/>
      <c r="E726" s="708"/>
      <c r="F726" s="708"/>
      <c r="G726" s="709"/>
      <c r="H726" s="742" t="s">
        <v>35</v>
      </c>
      <c r="I726" s="743">
        <f ca="1">IFERROR(__xludf.DUMMYFUNCTION("IMPORTRANGE(""https://docs.google.com/spreadsheets/d/1eHaY18a8A9IcSdp1K8H6x8fbOy06t2VsZHhMHf-1x7Y/edit?usp=sharing"",""แผน!FZ60"")"),0)</f>
        <v>0</v>
      </c>
      <c r="J726" s="743">
        <f>J742+J746+J749</f>
        <v>0</v>
      </c>
      <c r="K726" s="744">
        <f ca="1">IF(I726&gt;0,J726*100/I726,0)</f>
        <v>0</v>
      </c>
      <c r="L726" s="713"/>
      <c r="M726" s="712"/>
      <c r="N726" s="712"/>
      <c r="O726" s="712"/>
      <c r="P726" s="712"/>
      <c r="Q726" s="712"/>
      <c r="R726" s="712"/>
      <c r="S726" s="712"/>
      <c r="T726" s="712"/>
      <c r="U726" s="712"/>
    </row>
    <row r="727" spans="1:21" ht="19.5" hidden="1" x14ac:dyDescent="0.3">
      <c r="A727" s="761"/>
      <c r="B727" s="706"/>
      <c r="C727" s="706"/>
      <c r="D727" s="708"/>
      <c r="E727" s="708"/>
      <c r="F727" s="708"/>
      <c r="G727" s="709"/>
      <c r="H727" s="742" t="s">
        <v>46</v>
      </c>
      <c r="I727" s="743">
        <f ca="1">IFERROR(__xludf.DUMMYFUNCTION("IMPORTRANGE(""https://docs.google.com/spreadsheets/d/1eHaY18a8A9IcSdp1K8H6x8fbOy06t2VsZHhMHf-1x7Y/edit?usp=sharing"",""แผน!GA60"")"),0)</f>
        <v>0</v>
      </c>
      <c r="J727" s="743">
        <f>J752+J755</f>
        <v>0</v>
      </c>
      <c r="K727" s="744">
        <f ca="1">IF(I727&gt;0,J727*100/I727,0)</f>
        <v>0</v>
      </c>
      <c r="L727" s="713"/>
      <c r="M727" s="712"/>
      <c r="N727" s="712"/>
      <c r="O727" s="712"/>
      <c r="P727" s="712"/>
      <c r="Q727" s="712"/>
      <c r="R727" s="712"/>
      <c r="S727" s="712"/>
      <c r="T727" s="712"/>
      <c r="U727" s="712"/>
    </row>
    <row r="728" spans="1:21" ht="19.5" hidden="1" x14ac:dyDescent="0.3">
      <c r="A728" s="255"/>
      <c r="B728" s="267"/>
      <c r="C728" s="304" t="s">
        <v>18</v>
      </c>
      <c r="D728" s="1442" t="s">
        <v>19</v>
      </c>
      <c r="E728" s="1401"/>
      <c r="F728" s="1401"/>
      <c r="G728" s="1402"/>
      <c r="H728" s="612" t="s">
        <v>14</v>
      </c>
      <c r="I728" s="261"/>
      <c r="J728" s="261"/>
      <c r="K728" s="85"/>
      <c r="L728" s="389">
        <f>L729+L730</f>
        <v>0</v>
      </c>
      <c r="M728" s="262">
        <f>M729+M730</f>
        <v>0</v>
      </c>
      <c r="N728" s="262">
        <f>N729+N730</f>
        <v>0</v>
      </c>
      <c r="O728" s="262">
        <f t="shared" ref="O728:O736" si="180">IF(L728&gt;0,N728*100/L728,0)</f>
        <v>0</v>
      </c>
      <c r="P728" s="262">
        <f t="shared" ref="P728:P736" si="181">IF(M728&gt;0,N728*100/M728,0)</f>
        <v>0</v>
      </c>
      <c r="Q728" s="262">
        <f ca="1">Q729+Q730</f>
        <v>0</v>
      </c>
      <c r="R728" s="262">
        <f ca="1">R729+R730</f>
        <v>0</v>
      </c>
      <c r="S728" s="262">
        <f ca="1">S729+S730</f>
        <v>0</v>
      </c>
      <c r="T728" s="262">
        <f t="shared" ref="T728:T736" ca="1" si="182">IF(Q728&gt;0,S728*100/Q728,0)</f>
        <v>0</v>
      </c>
      <c r="U728" s="262">
        <f t="shared" ref="U728:U736" ca="1" si="183">IF(R728&gt;0,S728*100/R728,0)</f>
        <v>0</v>
      </c>
    </row>
    <row r="729" spans="1:21" ht="18.75" hidden="1" x14ac:dyDescent="0.25">
      <c r="A729" s="255"/>
      <c r="B729" s="267"/>
      <c r="C729" s="267"/>
      <c r="D729" s="288"/>
      <c r="E729" s="263" t="s">
        <v>159</v>
      </c>
      <c r="F729" s="256"/>
      <c r="G729" s="259"/>
      <c r="H729" s="271" t="s">
        <v>14</v>
      </c>
      <c r="I729" s="261"/>
      <c r="J729" s="261"/>
      <c r="K729" s="85"/>
      <c r="L729" s="74">
        <f t="shared" ref="L729:N730" si="184">L732+L735</f>
        <v>0</v>
      </c>
      <c r="M729" s="75">
        <f t="shared" si="184"/>
        <v>0</v>
      </c>
      <c r="N729" s="75">
        <f t="shared" si="184"/>
        <v>0</v>
      </c>
      <c r="O729" s="75">
        <f t="shared" si="180"/>
        <v>0</v>
      </c>
      <c r="P729" s="75">
        <f t="shared" si="181"/>
        <v>0</v>
      </c>
      <c r="Q729" s="75">
        <f t="shared" ref="Q729:S730" si="185">Q732+Q735</f>
        <v>0</v>
      </c>
      <c r="R729" s="75">
        <f t="shared" si="185"/>
        <v>0</v>
      </c>
      <c r="S729" s="75">
        <f t="shared" si="185"/>
        <v>0</v>
      </c>
      <c r="T729" s="75">
        <f t="shared" si="182"/>
        <v>0</v>
      </c>
      <c r="U729" s="75">
        <f t="shared" si="183"/>
        <v>0</v>
      </c>
    </row>
    <row r="730" spans="1:21" ht="18.75" hidden="1" x14ac:dyDescent="0.25">
      <c r="A730" s="255"/>
      <c r="B730" s="267"/>
      <c r="C730" s="267"/>
      <c r="D730" s="288"/>
      <c r="E730" s="265" t="s">
        <v>160</v>
      </c>
      <c r="F730" s="256"/>
      <c r="G730" s="259"/>
      <c r="H730" s="269" t="s">
        <v>14</v>
      </c>
      <c r="I730" s="261"/>
      <c r="J730" s="261"/>
      <c r="K730" s="85"/>
      <c r="L730" s="71">
        <f t="shared" si="184"/>
        <v>0</v>
      </c>
      <c r="M730" s="72">
        <f t="shared" si="184"/>
        <v>0</v>
      </c>
      <c r="N730" s="72">
        <f t="shared" si="184"/>
        <v>0</v>
      </c>
      <c r="O730" s="72">
        <f t="shared" si="180"/>
        <v>0</v>
      </c>
      <c r="P730" s="72">
        <f t="shared" si="181"/>
        <v>0</v>
      </c>
      <c r="Q730" s="72">
        <f t="shared" ca="1" si="185"/>
        <v>0</v>
      </c>
      <c r="R730" s="72">
        <f t="shared" ca="1" si="185"/>
        <v>0</v>
      </c>
      <c r="S730" s="72">
        <f t="shared" ca="1" si="185"/>
        <v>0</v>
      </c>
      <c r="T730" s="72">
        <f t="shared" ca="1" si="182"/>
        <v>0</v>
      </c>
      <c r="U730" s="72">
        <f t="shared" ca="1" si="183"/>
        <v>0</v>
      </c>
    </row>
    <row r="731" spans="1:21" ht="18.75" hidden="1" x14ac:dyDescent="0.25">
      <c r="A731" s="255"/>
      <c r="B731" s="267"/>
      <c r="C731" s="267"/>
      <c r="D731" s="268" t="s">
        <v>22</v>
      </c>
      <c r="E731" s="256"/>
      <c r="F731" s="256"/>
      <c r="G731" s="259"/>
      <c r="H731" s="269" t="s">
        <v>14</v>
      </c>
      <c r="I731" s="270"/>
      <c r="J731" s="270"/>
      <c r="K731" s="227"/>
      <c r="L731" s="71">
        <f>L732+L733</f>
        <v>0</v>
      </c>
      <c r="M731" s="72">
        <f>M732+M733</f>
        <v>0</v>
      </c>
      <c r="N731" s="72">
        <f>N732+N733</f>
        <v>0</v>
      </c>
      <c r="O731" s="72">
        <f t="shared" si="180"/>
        <v>0</v>
      </c>
      <c r="P731" s="72">
        <f t="shared" si="181"/>
        <v>0</v>
      </c>
      <c r="Q731" s="72">
        <f ca="1">Q732+Q733</f>
        <v>0</v>
      </c>
      <c r="R731" s="72">
        <f ca="1">R732+R733</f>
        <v>0</v>
      </c>
      <c r="S731" s="72">
        <f ca="1">S732+S733</f>
        <v>0</v>
      </c>
      <c r="T731" s="72">
        <f t="shared" ca="1" si="182"/>
        <v>0</v>
      </c>
      <c r="U731" s="72">
        <f t="shared" ca="1" si="183"/>
        <v>0</v>
      </c>
    </row>
    <row r="732" spans="1:21" ht="18.75" hidden="1" x14ac:dyDescent="0.25">
      <c r="A732" s="255"/>
      <c r="B732" s="267"/>
      <c r="C732" s="267"/>
      <c r="D732" s="288"/>
      <c r="E732" s="263" t="s">
        <v>159</v>
      </c>
      <c r="F732" s="256"/>
      <c r="G732" s="259"/>
      <c r="H732" s="271" t="s">
        <v>14</v>
      </c>
      <c r="I732" s="261"/>
      <c r="J732" s="261"/>
      <c r="K732" s="85"/>
      <c r="L732" s="74">
        <v>0</v>
      </c>
      <c r="M732" s="75">
        <v>0</v>
      </c>
      <c r="N732" s="75">
        <v>0</v>
      </c>
      <c r="O732" s="75">
        <f t="shared" si="180"/>
        <v>0</v>
      </c>
      <c r="P732" s="75">
        <f t="shared" si="181"/>
        <v>0</v>
      </c>
      <c r="Q732" s="75">
        <v>0</v>
      </c>
      <c r="R732" s="75">
        <v>0</v>
      </c>
      <c r="S732" s="75">
        <v>0</v>
      </c>
      <c r="T732" s="75">
        <f t="shared" si="182"/>
        <v>0</v>
      </c>
      <c r="U732" s="75">
        <f t="shared" si="183"/>
        <v>0</v>
      </c>
    </row>
    <row r="733" spans="1:21" ht="18.75" hidden="1" x14ac:dyDescent="0.25">
      <c r="A733" s="255"/>
      <c r="B733" s="267"/>
      <c r="C733" s="267"/>
      <c r="D733" s="288"/>
      <c r="E733" s="265" t="s">
        <v>160</v>
      </c>
      <c r="F733" s="256"/>
      <c r="G733" s="259"/>
      <c r="H733" s="269" t="s">
        <v>14</v>
      </c>
      <c r="I733" s="261"/>
      <c r="J733" s="261"/>
      <c r="K733" s="85"/>
      <c r="L733" s="71">
        <v>0</v>
      </c>
      <c r="M733" s="72">
        <v>0</v>
      </c>
      <c r="N733" s="72">
        <v>0</v>
      </c>
      <c r="O733" s="72">
        <f t="shared" si="180"/>
        <v>0</v>
      </c>
      <c r="P733" s="72">
        <f t="shared" si="181"/>
        <v>0</v>
      </c>
      <c r="Q733" s="72">
        <f ca="1">IFERROR(__xludf.DUMMYFUNCTION("IMPORTRANGE(""https://docs.google.com/spreadsheets/d/1ItG2mGa2ceCfYo0BwxsXqNm01IGEUdYcSSLTEv9YCik/edit?usp=sharing"",""เบิกจ่ายกองทุน!O60"")"),0)</f>
        <v>0</v>
      </c>
      <c r="R733" s="72">
        <f ca="1">IFERROR(__xludf.DUMMYFUNCTION("IMPORTRANGE(""https://docs.google.com/spreadsheets/d/1ItG2mGa2ceCfYo0BwxsXqNm01IGEUdYcSSLTEv9YCik/edit?usp=sharing"",""เบิกจ่ายกองทุน!P60"")"),0)</f>
        <v>0</v>
      </c>
      <c r="S733" s="72">
        <f ca="1">IFERROR(__xludf.DUMMYFUNCTION("IMPORTRANGE(""https://docs.google.com/spreadsheets/d/1ItG2mGa2ceCfYo0BwxsXqNm01IGEUdYcSSLTEv9YCik/edit?usp=sharing"",""เบิกจ่ายกองทุน!Q60"")"),0)</f>
        <v>0</v>
      </c>
      <c r="T733" s="72">
        <f t="shared" ca="1" si="182"/>
        <v>0</v>
      </c>
      <c r="U733" s="72">
        <f t="shared" ca="1" si="183"/>
        <v>0</v>
      </c>
    </row>
    <row r="734" spans="1:21" ht="18.75" hidden="1" x14ac:dyDescent="0.25">
      <c r="A734" s="255"/>
      <c r="B734" s="267"/>
      <c r="C734" s="267"/>
      <c r="D734" s="268" t="s">
        <v>23</v>
      </c>
      <c r="E734" s="267"/>
      <c r="F734" s="267"/>
      <c r="G734" s="259"/>
      <c r="H734" s="273" t="s">
        <v>14</v>
      </c>
      <c r="I734" s="270"/>
      <c r="J734" s="270"/>
      <c r="K734" s="227"/>
      <c r="L734" s="71">
        <f>L735+L736</f>
        <v>0</v>
      </c>
      <c r="M734" s="72">
        <f>M735+M736</f>
        <v>0</v>
      </c>
      <c r="N734" s="72">
        <f>N735+N736</f>
        <v>0</v>
      </c>
      <c r="O734" s="72">
        <f t="shared" si="180"/>
        <v>0</v>
      </c>
      <c r="P734" s="72">
        <f t="shared" si="181"/>
        <v>0</v>
      </c>
      <c r="Q734" s="72">
        <f>Q735+Q736</f>
        <v>0</v>
      </c>
      <c r="R734" s="72">
        <f>R735+R736</f>
        <v>0</v>
      </c>
      <c r="S734" s="72">
        <f>S735+S736</f>
        <v>0</v>
      </c>
      <c r="T734" s="72">
        <f t="shared" si="182"/>
        <v>0</v>
      </c>
      <c r="U734" s="72">
        <f t="shared" si="183"/>
        <v>0</v>
      </c>
    </row>
    <row r="735" spans="1:21" ht="18.75" hidden="1" x14ac:dyDescent="0.25">
      <c r="A735" s="255"/>
      <c r="B735" s="267"/>
      <c r="C735" s="267"/>
      <c r="D735" s="267"/>
      <c r="E735" s="569" t="s">
        <v>20</v>
      </c>
      <c r="F735" s="267"/>
      <c r="G735" s="259"/>
      <c r="H735" s="271" t="s">
        <v>14</v>
      </c>
      <c r="I735" s="270"/>
      <c r="J735" s="270"/>
      <c r="K735" s="227"/>
      <c r="L735" s="74">
        <v>0</v>
      </c>
      <c r="M735" s="75">
        <v>0</v>
      </c>
      <c r="N735" s="75">
        <v>0</v>
      </c>
      <c r="O735" s="75">
        <f t="shared" si="180"/>
        <v>0</v>
      </c>
      <c r="P735" s="75">
        <f t="shared" si="181"/>
        <v>0</v>
      </c>
      <c r="Q735" s="75">
        <v>0</v>
      </c>
      <c r="R735" s="75">
        <v>0</v>
      </c>
      <c r="S735" s="75">
        <v>0</v>
      </c>
      <c r="T735" s="75">
        <f t="shared" si="182"/>
        <v>0</v>
      </c>
      <c r="U735" s="75">
        <f t="shared" si="183"/>
        <v>0</v>
      </c>
    </row>
    <row r="736" spans="1:21" ht="18.75" hidden="1" x14ac:dyDescent="0.25">
      <c r="A736" s="255"/>
      <c r="B736" s="267"/>
      <c r="C736" s="267"/>
      <c r="D736" s="267"/>
      <c r="E736" s="567" t="s">
        <v>21</v>
      </c>
      <c r="F736" s="267"/>
      <c r="G736" s="259"/>
      <c r="H736" s="273" t="s">
        <v>14</v>
      </c>
      <c r="I736" s="270"/>
      <c r="J736" s="270"/>
      <c r="K736" s="227"/>
      <c r="L736" s="71">
        <v>0</v>
      </c>
      <c r="M736" s="72">
        <v>0</v>
      </c>
      <c r="N736" s="72">
        <v>0</v>
      </c>
      <c r="O736" s="72">
        <f t="shared" si="180"/>
        <v>0</v>
      </c>
      <c r="P736" s="72">
        <f t="shared" si="181"/>
        <v>0</v>
      </c>
      <c r="Q736" s="72">
        <v>0</v>
      </c>
      <c r="R736" s="72">
        <v>0</v>
      </c>
      <c r="S736" s="72">
        <v>0</v>
      </c>
      <c r="T736" s="72">
        <f t="shared" si="182"/>
        <v>0</v>
      </c>
      <c r="U736" s="72">
        <f t="shared" si="183"/>
        <v>0</v>
      </c>
    </row>
    <row r="737" spans="1:21" ht="19.5" hidden="1" x14ac:dyDescent="0.3">
      <c r="A737" s="274"/>
      <c r="B737" s="275"/>
      <c r="C737" s="304" t="s">
        <v>18</v>
      </c>
      <c r="D737" s="797" t="s">
        <v>38</v>
      </c>
      <c r="E737" s="762"/>
      <c r="F737" s="278"/>
      <c r="G737" s="279"/>
      <c r="H737" s="305"/>
      <c r="I737" s="261"/>
      <c r="J737" s="261"/>
      <c r="K737" s="85"/>
      <c r="L737" s="84"/>
      <c r="M737" s="85"/>
      <c r="N737" s="85"/>
      <c r="O737" s="85"/>
      <c r="P737" s="85"/>
      <c r="Q737" s="85"/>
      <c r="R737" s="85"/>
      <c r="S737" s="85"/>
      <c r="T737" s="85"/>
      <c r="U737" s="85"/>
    </row>
    <row r="738" spans="1:21" ht="19.5" hidden="1" x14ac:dyDescent="0.3">
      <c r="A738" s="274"/>
      <c r="B738" s="275"/>
      <c r="C738" s="275"/>
      <c r="D738" s="763" t="s">
        <v>121</v>
      </c>
      <c r="E738" s="275"/>
      <c r="F738" s="275"/>
      <c r="G738" s="280"/>
      <c r="H738" s="307"/>
      <c r="I738" s="261"/>
      <c r="J738" s="261"/>
      <c r="K738" s="85"/>
      <c r="L738" s="84"/>
      <c r="M738" s="85"/>
      <c r="N738" s="85"/>
      <c r="O738" s="85"/>
      <c r="P738" s="85"/>
      <c r="Q738" s="85"/>
      <c r="R738" s="85"/>
      <c r="S738" s="85"/>
      <c r="T738" s="85"/>
      <c r="U738" s="85"/>
    </row>
    <row r="739" spans="1:21" ht="18.75" hidden="1" x14ac:dyDescent="0.25">
      <c r="A739" s="274"/>
      <c r="B739" s="275"/>
      <c r="C739" s="275"/>
      <c r="D739" s="275"/>
      <c r="E739" s="724" t="s">
        <v>274</v>
      </c>
      <c r="F739" s="275"/>
      <c r="G739" s="280"/>
      <c r="H739" s="307"/>
      <c r="I739" s="261"/>
      <c r="J739" s="261"/>
      <c r="K739" s="85"/>
      <c r="L739" s="84"/>
      <c r="M739" s="85"/>
      <c r="N739" s="85"/>
      <c r="O739" s="85"/>
      <c r="P739" s="85"/>
      <c r="Q739" s="85"/>
      <c r="R739" s="85"/>
      <c r="S739" s="85"/>
      <c r="T739" s="85"/>
      <c r="U739" s="85"/>
    </row>
    <row r="740" spans="1:21" ht="18.75" hidden="1" x14ac:dyDescent="0.25">
      <c r="A740" s="274"/>
      <c r="B740" s="275"/>
      <c r="C740" s="275"/>
      <c r="D740" s="275"/>
      <c r="E740" s="275"/>
      <c r="F740" s="724" t="s">
        <v>275</v>
      </c>
      <c r="G740" s="280"/>
      <c r="H740" s="266" t="s">
        <v>46</v>
      </c>
      <c r="I740" s="291">
        <f ca="1">IFERROR(__xludf.DUMMYFUNCTION("IMPORTRANGE(""https://docs.google.com/spreadsheets/d/1eHaY18a8A9IcSdp1K8H6x8fbOy06t2VsZHhMHf-1x7Y/edit?usp=sharing"",""แผน!GB60"")"),0)</f>
        <v>0</v>
      </c>
      <c r="J740" s="292">
        <v>0</v>
      </c>
      <c r="K740" s="72">
        <f ca="1">IF(I740&gt;0,J740*100/I740,0)</f>
        <v>0</v>
      </c>
      <c r="L740" s="84"/>
      <c r="M740" s="85"/>
      <c r="N740" s="85"/>
      <c r="O740" s="85"/>
      <c r="P740" s="85"/>
      <c r="Q740" s="85"/>
      <c r="R740" s="85"/>
      <c r="S740" s="85"/>
      <c r="T740" s="85"/>
      <c r="U740" s="85"/>
    </row>
    <row r="741" spans="1:21" ht="18.75" hidden="1" x14ac:dyDescent="0.25">
      <c r="A741" s="274"/>
      <c r="B741" s="275"/>
      <c r="C741" s="275"/>
      <c r="D741" s="275"/>
      <c r="E741" s="275"/>
      <c r="F741" s="724" t="s">
        <v>276</v>
      </c>
      <c r="G741" s="280"/>
      <c r="H741" s="266" t="s">
        <v>35</v>
      </c>
      <c r="I741" s="261"/>
      <c r="J741" s="292">
        <v>0</v>
      </c>
      <c r="K741" s="85"/>
      <c r="L741" s="84"/>
      <c r="M741" s="85"/>
      <c r="N741" s="85"/>
      <c r="O741" s="85"/>
      <c r="P741" s="85"/>
      <c r="Q741" s="85"/>
      <c r="R741" s="85"/>
      <c r="S741" s="85"/>
      <c r="T741" s="85"/>
      <c r="U741" s="85"/>
    </row>
    <row r="742" spans="1:21" ht="18.75" hidden="1" x14ac:dyDescent="0.25">
      <c r="A742" s="274"/>
      <c r="B742" s="275"/>
      <c r="C742" s="275"/>
      <c r="D742" s="275"/>
      <c r="E742" s="275"/>
      <c r="F742" s="724" t="s">
        <v>277</v>
      </c>
      <c r="G742" s="280"/>
      <c r="H742" s="266" t="s">
        <v>35</v>
      </c>
      <c r="I742" s="291">
        <f ca="1">IFERROR(__xludf.DUMMYFUNCTION("IMPORTRANGE(""https://docs.google.com/spreadsheets/d/1eHaY18a8A9IcSdp1K8H6x8fbOy06t2VsZHhMHf-1x7Y/edit?usp=sharing"",""แผน!GC60"")"),0)</f>
        <v>0</v>
      </c>
      <c r="J742" s="292">
        <v>0</v>
      </c>
      <c r="K742" s="72">
        <f ca="1">IF(I742&gt;0,J742*100/I742,0)</f>
        <v>0</v>
      </c>
      <c r="L742" s="84"/>
      <c r="M742" s="85"/>
      <c r="N742" s="85"/>
      <c r="O742" s="85"/>
      <c r="P742" s="85"/>
      <c r="Q742" s="85"/>
      <c r="R742" s="85"/>
      <c r="S742" s="85"/>
      <c r="T742" s="85"/>
      <c r="U742" s="85"/>
    </row>
    <row r="743" spans="1:21" ht="18.75" hidden="1" x14ac:dyDescent="0.25">
      <c r="A743" s="274"/>
      <c r="B743" s="275"/>
      <c r="C743" s="275"/>
      <c r="D743" s="275"/>
      <c r="E743" s="724" t="s">
        <v>278</v>
      </c>
      <c r="F743" s="275"/>
      <c r="G743" s="280"/>
      <c r="H743" s="307"/>
      <c r="I743" s="261"/>
      <c r="J743" s="261"/>
      <c r="K743" s="85"/>
      <c r="L743" s="84"/>
      <c r="M743" s="85"/>
      <c r="N743" s="85"/>
      <c r="O743" s="85"/>
      <c r="P743" s="85"/>
      <c r="Q743" s="85"/>
      <c r="R743" s="85"/>
      <c r="S743" s="85"/>
      <c r="T743" s="85"/>
      <c r="U743" s="85"/>
    </row>
    <row r="744" spans="1:21" ht="18.75" hidden="1" x14ac:dyDescent="0.25">
      <c r="A744" s="274"/>
      <c r="B744" s="275"/>
      <c r="C744" s="275"/>
      <c r="D744" s="275"/>
      <c r="E744" s="275"/>
      <c r="F744" s="724" t="s">
        <v>275</v>
      </c>
      <c r="G744" s="280"/>
      <c r="H744" s="266" t="s">
        <v>46</v>
      </c>
      <c r="I744" s="291">
        <f ca="1">IFERROR(__xludf.DUMMYFUNCTION("IMPORTRANGE(""https://docs.google.com/spreadsheets/d/1eHaY18a8A9IcSdp1K8H6x8fbOy06t2VsZHhMHf-1x7Y/edit?usp=sharing"",""แผน!GD60"")"),0)</f>
        <v>0</v>
      </c>
      <c r="J744" s="292">
        <v>0</v>
      </c>
      <c r="K744" s="72">
        <f ca="1">IF(I744&gt;0,J744*100/I744,0)</f>
        <v>0</v>
      </c>
      <c r="L744" s="84"/>
      <c r="M744" s="85"/>
      <c r="N744" s="85"/>
      <c r="O744" s="85"/>
      <c r="P744" s="85"/>
      <c r="Q744" s="85"/>
      <c r="R744" s="85"/>
      <c r="S744" s="85"/>
      <c r="T744" s="85"/>
      <c r="U744" s="85"/>
    </row>
    <row r="745" spans="1:21" ht="18.75" hidden="1" x14ac:dyDescent="0.25">
      <c r="A745" s="274"/>
      <c r="B745" s="275"/>
      <c r="C745" s="275"/>
      <c r="D745" s="275"/>
      <c r="E745" s="275"/>
      <c r="F745" s="724" t="s">
        <v>279</v>
      </c>
      <c r="G745" s="280"/>
      <c r="H745" s="266" t="s">
        <v>35</v>
      </c>
      <c r="I745" s="261"/>
      <c r="J745" s="292">
        <v>0</v>
      </c>
      <c r="K745" s="85"/>
      <c r="L745" s="84"/>
      <c r="M745" s="85"/>
      <c r="N745" s="85"/>
      <c r="O745" s="85"/>
      <c r="P745" s="85"/>
      <c r="Q745" s="85"/>
      <c r="R745" s="85"/>
      <c r="S745" s="85"/>
      <c r="T745" s="85"/>
      <c r="U745" s="85"/>
    </row>
    <row r="746" spans="1:21" ht="18.75" hidden="1" x14ac:dyDescent="0.25">
      <c r="A746" s="274"/>
      <c r="B746" s="275"/>
      <c r="C746" s="275"/>
      <c r="D746" s="275"/>
      <c r="E746" s="275"/>
      <c r="F746" s="724" t="s">
        <v>280</v>
      </c>
      <c r="G746" s="280"/>
      <c r="H746" s="266" t="s">
        <v>35</v>
      </c>
      <c r="I746" s="291">
        <f ca="1">IFERROR(__xludf.DUMMYFUNCTION("IMPORTRANGE(""https://docs.google.com/spreadsheets/d/1eHaY18a8A9IcSdp1K8H6x8fbOy06t2VsZHhMHf-1x7Y/edit?usp=sharing"",""แผน!GE60"")"),0)</f>
        <v>0</v>
      </c>
      <c r="J746" s="292">
        <v>0</v>
      </c>
      <c r="K746" s="72">
        <f ca="1">IF(I746&gt;0,J746*100/I746,0)</f>
        <v>0</v>
      </c>
      <c r="L746" s="84"/>
      <c r="M746" s="85"/>
      <c r="N746" s="85"/>
      <c r="O746" s="85"/>
      <c r="P746" s="85"/>
      <c r="Q746" s="85"/>
      <c r="R746" s="85"/>
      <c r="S746" s="85"/>
      <c r="T746" s="85"/>
      <c r="U746" s="85"/>
    </row>
    <row r="747" spans="1:21" ht="18.75" hidden="1" x14ac:dyDescent="0.25">
      <c r="A747" s="274"/>
      <c r="B747" s="275"/>
      <c r="C747" s="275"/>
      <c r="D747" s="275"/>
      <c r="E747" s="724" t="s">
        <v>281</v>
      </c>
      <c r="F747" s="288"/>
      <c r="G747" s="280"/>
      <c r="H747" s="307"/>
      <c r="I747" s="261"/>
      <c r="J747" s="261"/>
      <c r="K747" s="85"/>
      <c r="L747" s="84"/>
      <c r="M747" s="85"/>
      <c r="N747" s="85"/>
      <c r="O747" s="85"/>
      <c r="P747" s="85"/>
      <c r="Q747" s="85"/>
      <c r="R747" s="85"/>
      <c r="S747" s="85"/>
      <c r="T747" s="85"/>
      <c r="U747" s="85"/>
    </row>
    <row r="748" spans="1:21" ht="18.75" hidden="1" x14ac:dyDescent="0.25">
      <c r="A748" s="274"/>
      <c r="B748" s="275"/>
      <c r="C748" s="275"/>
      <c r="D748" s="275"/>
      <c r="E748" s="275"/>
      <c r="F748" s="724" t="s">
        <v>282</v>
      </c>
      <c r="G748" s="280"/>
      <c r="H748" s="266" t="s">
        <v>35</v>
      </c>
      <c r="I748" s="261"/>
      <c r="J748" s="292">
        <v>0</v>
      </c>
      <c r="K748" s="85"/>
      <c r="L748" s="84"/>
      <c r="M748" s="85"/>
      <c r="N748" s="85"/>
      <c r="O748" s="85"/>
      <c r="P748" s="85"/>
      <c r="Q748" s="85"/>
      <c r="R748" s="85"/>
      <c r="S748" s="85"/>
      <c r="T748" s="85"/>
      <c r="U748" s="85"/>
    </row>
    <row r="749" spans="1:21" ht="18.75" hidden="1" x14ac:dyDescent="0.25">
      <c r="A749" s="274"/>
      <c r="B749" s="275"/>
      <c r="C749" s="275"/>
      <c r="D749" s="275"/>
      <c r="E749" s="275"/>
      <c r="F749" s="724" t="s">
        <v>283</v>
      </c>
      <c r="G749" s="280"/>
      <c r="H749" s="266" t="s">
        <v>35</v>
      </c>
      <c r="I749" s="291">
        <f ca="1">IFERROR(__xludf.DUMMYFUNCTION("IMPORTRANGE(""https://docs.google.com/spreadsheets/d/1eHaY18a8A9IcSdp1K8H6x8fbOy06t2VsZHhMHf-1x7Y/edit?usp=sharing"",""แผน!GF60"")"),0)</f>
        <v>0</v>
      </c>
      <c r="J749" s="292">
        <v>0</v>
      </c>
      <c r="K749" s="72">
        <f ca="1">IF(I749&gt;0,J749*100/I749,0)</f>
        <v>0</v>
      </c>
      <c r="L749" s="84"/>
      <c r="M749" s="85"/>
      <c r="N749" s="85"/>
      <c r="O749" s="85"/>
      <c r="P749" s="85"/>
      <c r="Q749" s="85"/>
      <c r="R749" s="85"/>
      <c r="S749" s="85"/>
      <c r="T749" s="85"/>
      <c r="U749" s="85"/>
    </row>
    <row r="750" spans="1:21" ht="19.5" hidden="1" x14ac:dyDescent="0.3">
      <c r="A750" s="274"/>
      <c r="B750" s="275"/>
      <c r="C750" s="275"/>
      <c r="D750" s="763" t="s">
        <v>50</v>
      </c>
      <c r="E750" s="275"/>
      <c r="F750" s="288"/>
      <c r="G750" s="280"/>
      <c r="H750" s="307"/>
      <c r="I750" s="261"/>
      <c r="J750" s="261"/>
      <c r="K750" s="85"/>
      <c r="L750" s="84"/>
      <c r="M750" s="85"/>
      <c r="N750" s="85"/>
      <c r="O750" s="85"/>
      <c r="P750" s="85"/>
      <c r="Q750" s="85"/>
      <c r="R750" s="85"/>
      <c r="S750" s="85"/>
      <c r="T750" s="85"/>
      <c r="U750" s="85"/>
    </row>
    <row r="751" spans="1:21" ht="18.75" hidden="1" x14ac:dyDescent="0.25">
      <c r="A751" s="274"/>
      <c r="B751" s="275"/>
      <c r="C751" s="275"/>
      <c r="D751" s="275"/>
      <c r="E751" s="724" t="s">
        <v>274</v>
      </c>
      <c r="F751" s="288"/>
      <c r="G751" s="280"/>
      <c r="H751" s="307"/>
      <c r="I751" s="261"/>
      <c r="J751" s="261"/>
      <c r="K751" s="85"/>
      <c r="L751" s="84"/>
      <c r="M751" s="85"/>
      <c r="N751" s="85"/>
      <c r="O751" s="85"/>
      <c r="P751" s="85"/>
      <c r="Q751" s="85"/>
      <c r="R751" s="85"/>
      <c r="S751" s="85"/>
      <c r="T751" s="85"/>
      <c r="U751" s="85"/>
    </row>
    <row r="752" spans="1:21" ht="18.75" hidden="1" x14ac:dyDescent="0.25">
      <c r="A752" s="274"/>
      <c r="B752" s="275"/>
      <c r="C752" s="275"/>
      <c r="D752" s="275"/>
      <c r="E752" s="275"/>
      <c r="F752" s="289" t="s">
        <v>284</v>
      </c>
      <c r="G752" s="280"/>
      <c r="H752" s="266" t="s">
        <v>46</v>
      </c>
      <c r="I752" s="291">
        <f ca="1">IFERROR(__xludf.DUMMYFUNCTION("IMPORTRANGE(""https://docs.google.com/spreadsheets/d/1eHaY18a8A9IcSdp1K8H6x8fbOy06t2VsZHhMHf-1x7Y/edit?usp=sharing"",""แผน!GC60"")"),0)</f>
        <v>0</v>
      </c>
      <c r="J752" s="292">
        <v>0</v>
      </c>
      <c r="K752" s="72">
        <f ca="1">IF(I752&gt;0,J752*100/I752,0)</f>
        <v>0</v>
      </c>
      <c r="L752" s="84"/>
      <c r="M752" s="85"/>
      <c r="N752" s="85"/>
      <c r="O752" s="85"/>
      <c r="P752" s="85"/>
      <c r="Q752" s="85"/>
      <c r="R752" s="85"/>
      <c r="S752" s="85"/>
      <c r="T752" s="85"/>
      <c r="U752" s="85"/>
    </row>
    <row r="753" spans="1:21" ht="18.75" hidden="1" x14ac:dyDescent="0.25">
      <c r="A753" s="274"/>
      <c r="B753" s="275"/>
      <c r="C753" s="275"/>
      <c r="D753" s="275"/>
      <c r="E753" s="275"/>
      <c r="F753" s="289" t="s">
        <v>285</v>
      </c>
      <c r="G753" s="280"/>
      <c r="H753" s="266" t="s">
        <v>46</v>
      </c>
      <c r="I753" s="261"/>
      <c r="J753" s="292">
        <v>0</v>
      </c>
      <c r="K753" s="85"/>
      <c r="L753" s="84"/>
      <c r="M753" s="85"/>
      <c r="N753" s="85"/>
      <c r="O753" s="85"/>
      <c r="P753" s="85"/>
      <c r="Q753" s="85"/>
      <c r="R753" s="85"/>
      <c r="S753" s="85"/>
      <c r="T753" s="85"/>
      <c r="U753" s="85"/>
    </row>
    <row r="754" spans="1:21" ht="18.75" hidden="1" x14ac:dyDescent="0.25">
      <c r="A754" s="274"/>
      <c r="B754" s="275"/>
      <c r="C754" s="275"/>
      <c r="D754" s="275"/>
      <c r="E754" s="724" t="s">
        <v>278</v>
      </c>
      <c r="F754" s="288"/>
      <c r="G754" s="280"/>
      <c r="H754" s="307"/>
      <c r="I754" s="261"/>
      <c r="J754" s="261"/>
      <c r="K754" s="85"/>
      <c r="L754" s="84"/>
      <c r="M754" s="85"/>
      <c r="N754" s="85"/>
      <c r="O754" s="85"/>
      <c r="P754" s="85"/>
      <c r="Q754" s="85"/>
      <c r="R754" s="85"/>
      <c r="S754" s="85"/>
      <c r="T754" s="85"/>
      <c r="U754" s="85"/>
    </row>
    <row r="755" spans="1:21" ht="18.75" hidden="1" x14ac:dyDescent="0.25">
      <c r="A755" s="274"/>
      <c r="B755" s="275"/>
      <c r="C755" s="275"/>
      <c r="D755" s="275"/>
      <c r="E755" s="288"/>
      <c r="F755" s="289" t="s">
        <v>286</v>
      </c>
      <c r="G755" s="280"/>
      <c r="H755" s="266" t="s">
        <v>46</v>
      </c>
      <c r="I755" s="291">
        <f ca="1">IFERROR(__xludf.DUMMYFUNCTION("IMPORTRANGE(""https://docs.google.com/spreadsheets/d/1eHaY18a8A9IcSdp1K8H6x8fbOy06t2VsZHhMHf-1x7Y/edit?usp=sharing"",""แผน!GE60"")"),0)</f>
        <v>0</v>
      </c>
      <c r="J755" s="292">
        <v>0</v>
      </c>
      <c r="K755" s="72">
        <f ca="1">IF(I755&gt;0,J755*100/I755,0)</f>
        <v>0</v>
      </c>
      <c r="L755" s="84"/>
      <c r="M755" s="85"/>
      <c r="N755" s="85"/>
      <c r="O755" s="85"/>
      <c r="P755" s="85"/>
      <c r="Q755" s="85"/>
      <c r="R755" s="85"/>
      <c r="S755" s="85"/>
      <c r="T755" s="85"/>
      <c r="U755" s="85"/>
    </row>
    <row r="756" spans="1:21" ht="18.75" hidden="1" x14ac:dyDescent="0.25">
      <c r="A756" s="274"/>
      <c r="B756" s="275"/>
      <c r="C756" s="275"/>
      <c r="D756" s="275"/>
      <c r="E756" s="288"/>
      <c r="F756" s="289" t="s">
        <v>287</v>
      </c>
      <c r="G756" s="280"/>
      <c r="H756" s="266" t="s">
        <v>46</v>
      </c>
      <c r="I756" s="261"/>
      <c r="J756" s="292">
        <v>0</v>
      </c>
      <c r="K756" s="85"/>
      <c r="L756" s="84"/>
      <c r="M756" s="85"/>
      <c r="N756" s="85"/>
      <c r="O756" s="85"/>
      <c r="P756" s="85"/>
      <c r="Q756" s="85"/>
      <c r="R756" s="85"/>
      <c r="S756" s="85"/>
      <c r="T756" s="85"/>
      <c r="U756" s="85"/>
    </row>
    <row r="757" spans="1:21" ht="18.75" hidden="1" x14ac:dyDescent="0.25">
      <c r="A757" s="793"/>
      <c r="B757" s="764"/>
      <c r="C757" s="764"/>
      <c r="D757" s="765"/>
      <c r="E757" s="766" t="s">
        <v>288</v>
      </c>
      <c r="F757" s="765"/>
      <c r="G757" s="767"/>
      <c r="H757" s="768" t="s">
        <v>35</v>
      </c>
      <c r="I757" s="769"/>
      <c r="J757" s="672">
        <v>0</v>
      </c>
      <c r="K757" s="770"/>
      <c r="L757" s="770"/>
      <c r="M757" s="770"/>
      <c r="N757" s="770"/>
      <c r="O757" s="770"/>
      <c r="P757" s="770"/>
      <c r="Q757" s="770"/>
      <c r="R757" s="770"/>
      <c r="S757" s="770"/>
      <c r="T757" s="770"/>
      <c r="U757" s="770"/>
    </row>
    <row r="758" spans="1:21" ht="19.5" hidden="1" x14ac:dyDescent="0.3">
      <c r="A758" s="761"/>
      <c r="B758" s="707" t="s">
        <v>289</v>
      </c>
      <c r="C758" s="706"/>
      <c r="D758" s="708"/>
      <c r="E758" s="708"/>
      <c r="F758" s="708"/>
      <c r="G758" s="709"/>
      <c r="H758" s="742" t="s">
        <v>35</v>
      </c>
      <c r="I758" s="743">
        <f ca="1">I772</f>
        <v>0</v>
      </c>
      <c r="J758" s="743">
        <f>J772</f>
        <v>0</v>
      </c>
      <c r="K758" s="744">
        <f ca="1">IF(I758&gt;0,J758*100/I758,0)</f>
        <v>0</v>
      </c>
      <c r="L758" s="713"/>
      <c r="M758" s="712"/>
      <c r="N758" s="712"/>
      <c r="O758" s="712"/>
      <c r="P758" s="712"/>
      <c r="Q758" s="712"/>
      <c r="R758" s="712"/>
      <c r="S758" s="712"/>
      <c r="T758" s="712"/>
      <c r="U758" s="712"/>
    </row>
    <row r="759" spans="1:21" ht="19.5" hidden="1" x14ac:dyDescent="0.3">
      <c r="A759" s="761"/>
      <c r="B759" s="706"/>
      <c r="C759" s="706"/>
      <c r="D759" s="708"/>
      <c r="E759" s="708"/>
      <c r="F759" s="708"/>
      <c r="G759" s="709"/>
      <c r="H759" s="742" t="s">
        <v>46</v>
      </c>
      <c r="I759" s="743">
        <f ca="1">I774</f>
        <v>0</v>
      </c>
      <c r="J759" s="743">
        <f>J774</f>
        <v>0</v>
      </c>
      <c r="K759" s="744">
        <f ca="1">IF(I759&gt;0,J759*100/I759,0)</f>
        <v>0</v>
      </c>
      <c r="L759" s="713"/>
      <c r="M759" s="712"/>
      <c r="N759" s="712"/>
      <c r="O759" s="712"/>
      <c r="P759" s="712"/>
      <c r="Q759" s="712"/>
      <c r="R759" s="712"/>
      <c r="S759" s="712"/>
      <c r="T759" s="712"/>
      <c r="U759" s="712"/>
    </row>
    <row r="760" spans="1:21" ht="19.5" hidden="1" x14ac:dyDescent="0.3">
      <c r="A760" s="255"/>
      <c r="B760" s="267"/>
      <c r="C760" s="304" t="s">
        <v>18</v>
      </c>
      <c r="D760" s="1442" t="s">
        <v>19</v>
      </c>
      <c r="E760" s="1401"/>
      <c r="F760" s="1401"/>
      <c r="G760" s="1402"/>
      <c r="H760" s="612" t="s">
        <v>14</v>
      </c>
      <c r="I760" s="261"/>
      <c r="J760" s="261"/>
      <c r="K760" s="85"/>
      <c r="L760" s="389">
        <f>L761+L762</f>
        <v>0</v>
      </c>
      <c r="M760" s="262">
        <f>M761+M762</f>
        <v>0</v>
      </c>
      <c r="N760" s="262">
        <f>N761+N762</f>
        <v>0</v>
      </c>
      <c r="O760" s="262">
        <f t="shared" ref="O760:O768" si="186">IF(L760&gt;0,N760*100/L760,0)</f>
        <v>0</v>
      </c>
      <c r="P760" s="262">
        <f t="shared" ref="P760:P768" si="187">IF(M760&gt;0,N760*100/M760,0)</f>
        <v>0</v>
      </c>
      <c r="Q760" s="262">
        <f ca="1">Q761+Q762</f>
        <v>0</v>
      </c>
      <c r="R760" s="262">
        <f ca="1">R761+R762</f>
        <v>0</v>
      </c>
      <c r="S760" s="262">
        <f ca="1">S761+S762</f>
        <v>0</v>
      </c>
      <c r="T760" s="262">
        <f t="shared" ref="T760:T768" ca="1" si="188">IF(Q760&gt;0,S760*100/Q760,0)</f>
        <v>0</v>
      </c>
      <c r="U760" s="262">
        <f t="shared" ref="U760:U768" ca="1" si="189">IF(R760&gt;0,S760*100/R760,0)</f>
        <v>0</v>
      </c>
    </row>
    <row r="761" spans="1:21" ht="18.75" hidden="1" x14ac:dyDescent="0.25">
      <c r="A761" s="255"/>
      <c r="B761" s="267"/>
      <c r="C761" s="267"/>
      <c r="D761" s="288"/>
      <c r="E761" s="263" t="s">
        <v>159</v>
      </c>
      <c r="F761" s="256"/>
      <c r="G761" s="259"/>
      <c r="H761" s="271" t="s">
        <v>14</v>
      </c>
      <c r="I761" s="261"/>
      <c r="J761" s="261"/>
      <c r="K761" s="85"/>
      <c r="L761" s="74">
        <f t="shared" ref="L761:N762" si="190">L764+L767</f>
        <v>0</v>
      </c>
      <c r="M761" s="75">
        <f t="shared" si="190"/>
        <v>0</v>
      </c>
      <c r="N761" s="75">
        <f t="shared" si="190"/>
        <v>0</v>
      </c>
      <c r="O761" s="75">
        <f t="shared" si="186"/>
        <v>0</v>
      </c>
      <c r="P761" s="75">
        <f t="shared" si="187"/>
        <v>0</v>
      </c>
      <c r="Q761" s="75">
        <f t="shared" ref="Q761:S762" si="191">Q764+Q767</f>
        <v>0</v>
      </c>
      <c r="R761" s="75">
        <f t="shared" si="191"/>
        <v>0</v>
      </c>
      <c r="S761" s="75">
        <f t="shared" si="191"/>
        <v>0</v>
      </c>
      <c r="T761" s="75">
        <f t="shared" si="188"/>
        <v>0</v>
      </c>
      <c r="U761" s="75">
        <f t="shared" si="189"/>
        <v>0</v>
      </c>
    </row>
    <row r="762" spans="1:21" ht="18.75" hidden="1" x14ac:dyDescent="0.25">
      <c r="A762" s="255"/>
      <c r="B762" s="267"/>
      <c r="C762" s="301"/>
      <c r="D762" s="288"/>
      <c r="E762" s="265" t="s">
        <v>160</v>
      </c>
      <c r="F762" s="256"/>
      <c r="G762" s="259"/>
      <c r="H762" s="269" t="s">
        <v>14</v>
      </c>
      <c r="I762" s="261"/>
      <c r="J762" s="261"/>
      <c r="K762" s="85"/>
      <c r="L762" s="71">
        <f t="shared" si="190"/>
        <v>0</v>
      </c>
      <c r="M762" s="72">
        <f t="shared" si="190"/>
        <v>0</v>
      </c>
      <c r="N762" s="72">
        <f t="shared" si="190"/>
        <v>0</v>
      </c>
      <c r="O762" s="72">
        <f t="shared" si="186"/>
        <v>0</v>
      </c>
      <c r="P762" s="72">
        <f t="shared" si="187"/>
        <v>0</v>
      </c>
      <c r="Q762" s="72">
        <f t="shared" ca="1" si="191"/>
        <v>0</v>
      </c>
      <c r="R762" s="72">
        <f t="shared" ca="1" si="191"/>
        <v>0</v>
      </c>
      <c r="S762" s="72">
        <f t="shared" ca="1" si="191"/>
        <v>0</v>
      </c>
      <c r="T762" s="72">
        <f t="shared" ca="1" si="188"/>
        <v>0</v>
      </c>
      <c r="U762" s="72">
        <f t="shared" ca="1" si="189"/>
        <v>0</v>
      </c>
    </row>
    <row r="763" spans="1:21" ht="18.75" hidden="1" x14ac:dyDescent="0.25">
      <c r="A763" s="255"/>
      <c r="B763" s="267"/>
      <c r="C763" s="301"/>
      <c r="D763" s="268" t="s">
        <v>22</v>
      </c>
      <c r="E763" s="256"/>
      <c r="F763" s="256"/>
      <c r="G763" s="259"/>
      <c r="H763" s="269" t="s">
        <v>14</v>
      </c>
      <c r="I763" s="270"/>
      <c r="J763" s="270"/>
      <c r="K763" s="227"/>
      <c r="L763" s="71">
        <f>L764+L765</f>
        <v>0</v>
      </c>
      <c r="M763" s="72">
        <f>M764+M765</f>
        <v>0</v>
      </c>
      <c r="N763" s="72">
        <f>N764+N765</f>
        <v>0</v>
      </c>
      <c r="O763" s="72">
        <f t="shared" si="186"/>
        <v>0</v>
      </c>
      <c r="P763" s="72">
        <f t="shared" si="187"/>
        <v>0</v>
      </c>
      <c r="Q763" s="72">
        <f ca="1">Q764+Q765</f>
        <v>0</v>
      </c>
      <c r="R763" s="72">
        <f ca="1">R764+R765</f>
        <v>0</v>
      </c>
      <c r="S763" s="72">
        <f ca="1">S764+S765</f>
        <v>0</v>
      </c>
      <c r="T763" s="72">
        <f t="shared" ca="1" si="188"/>
        <v>0</v>
      </c>
      <c r="U763" s="72">
        <f t="shared" ca="1" si="189"/>
        <v>0</v>
      </c>
    </row>
    <row r="764" spans="1:21" ht="18.75" hidden="1" x14ac:dyDescent="0.25">
      <c r="A764" s="255"/>
      <c r="B764" s="267"/>
      <c r="C764" s="301"/>
      <c r="D764" s="288"/>
      <c r="E764" s="263" t="s">
        <v>159</v>
      </c>
      <c r="F764" s="256"/>
      <c r="G764" s="259"/>
      <c r="H764" s="271" t="s">
        <v>14</v>
      </c>
      <c r="I764" s="261"/>
      <c r="J764" s="261"/>
      <c r="K764" s="85"/>
      <c r="L764" s="74">
        <v>0</v>
      </c>
      <c r="M764" s="75">
        <v>0</v>
      </c>
      <c r="N764" s="75">
        <v>0</v>
      </c>
      <c r="O764" s="75">
        <f t="shared" si="186"/>
        <v>0</v>
      </c>
      <c r="P764" s="75">
        <f t="shared" si="187"/>
        <v>0</v>
      </c>
      <c r="Q764" s="75">
        <v>0</v>
      </c>
      <c r="R764" s="75">
        <v>0</v>
      </c>
      <c r="S764" s="75">
        <v>0</v>
      </c>
      <c r="T764" s="75">
        <f t="shared" si="188"/>
        <v>0</v>
      </c>
      <c r="U764" s="75">
        <f t="shared" si="189"/>
        <v>0</v>
      </c>
    </row>
    <row r="765" spans="1:21" ht="18.75" hidden="1" x14ac:dyDescent="0.25">
      <c r="A765" s="255"/>
      <c r="B765" s="267"/>
      <c r="C765" s="301"/>
      <c r="D765" s="288"/>
      <c r="E765" s="265" t="s">
        <v>160</v>
      </c>
      <c r="F765" s="256"/>
      <c r="G765" s="259"/>
      <c r="H765" s="269" t="s">
        <v>14</v>
      </c>
      <c r="I765" s="261"/>
      <c r="J765" s="261"/>
      <c r="K765" s="85"/>
      <c r="L765" s="71">
        <v>0</v>
      </c>
      <c r="M765" s="72">
        <v>0</v>
      </c>
      <c r="N765" s="72">
        <v>0</v>
      </c>
      <c r="O765" s="72">
        <f t="shared" si="186"/>
        <v>0</v>
      </c>
      <c r="P765" s="72">
        <f t="shared" si="187"/>
        <v>0</v>
      </c>
      <c r="Q765" s="72">
        <f ca="1">IFERROR(__xludf.DUMMYFUNCTION("IMPORTRANGE(""https://docs.google.com/spreadsheets/d/1ItG2mGa2ceCfYo0BwxsXqNm01IGEUdYcSSLTEv9YCik/edit?usp=sharing"",""เบิกจ่ายกองทุน!AA60"")"),0)</f>
        <v>0</v>
      </c>
      <c r="R765" s="72">
        <f ca="1">IFERROR(__xludf.DUMMYFUNCTION("IMPORTRANGE(""https://docs.google.com/spreadsheets/d/1ItG2mGa2ceCfYo0BwxsXqNm01IGEUdYcSSLTEv9YCik/edit?usp=sharing"",""เบิกจ่ายกองทุน!AB60"")"),0)</f>
        <v>0</v>
      </c>
      <c r="S765" s="72">
        <f ca="1">IFERROR(__xludf.DUMMYFUNCTION("IMPORTRANGE(""https://docs.google.com/spreadsheets/d/1ItG2mGa2ceCfYo0BwxsXqNm01IGEUdYcSSLTEv9YCik/edit?usp=sharing"",""เบิกจ่ายกองทุน!AC60"")"),0)</f>
        <v>0</v>
      </c>
      <c r="T765" s="72">
        <f t="shared" ca="1" si="188"/>
        <v>0</v>
      </c>
      <c r="U765" s="72">
        <f t="shared" ca="1" si="189"/>
        <v>0</v>
      </c>
    </row>
    <row r="766" spans="1:21" ht="18.75" hidden="1" x14ac:dyDescent="0.25">
      <c r="A766" s="255"/>
      <c r="B766" s="267"/>
      <c r="C766" s="267"/>
      <c r="D766" s="268" t="s">
        <v>23</v>
      </c>
      <c r="E766" s="267"/>
      <c r="F766" s="256"/>
      <c r="G766" s="259"/>
      <c r="H766" s="273" t="s">
        <v>14</v>
      </c>
      <c r="I766" s="270"/>
      <c r="J766" s="270"/>
      <c r="K766" s="227"/>
      <c r="L766" s="71">
        <f>L767+L768</f>
        <v>0</v>
      </c>
      <c r="M766" s="72">
        <f>M767+M768</f>
        <v>0</v>
      </c>
      <c r="N766" s="72">
        <f>N767+N768</f>
        <v>0</v>
      </c>
      <c r="O766" s="72">
        <f t="shared" si="186"/>
        <v>0</v>
      </c>
      <c r="P766" s="72">
        <f t="shared" si="187"/>
        <v>0</v>
      </c>
      <c r="Q766" s="72">
        <f>Q767+Q768</f>
        <v>0</v>
      </c>
      <c r="R766" s="72">
        <f>R767+R768</f>
        <v>0</v>
      </c>
      <c r="S766" s="72">
        <f>S767+S768</f>
        <v>0</v>
      </c>
      <c r="T766" s="72">
        <f t="shared" si="188"/>
        <v>0</v>
      </c>
      <c r="U766" s="72">
        <f t="shared" si="189"/>
        <v>0</v>
      </c>
    </row>
    <row r="767" spans="1:21" ht="18.75" hidden="1" x14ac:dyDescent="0.25">
      <c r="A767" s="255"/>
      <c r="B767" s="267"/>
      <c r="C767" s="267"/>
      <c r="D767" s="267"/>
      <c r="E767" s="569" t="s">
        <v>20</v>
      </c>
      <c r="F767" s="256"/>
      <c r="G767" s="259"/>
      <c r="H767" s="271" t="s">
        <v>14</v>
      </c>
      <c r="I767" s="270"/>
      <c r="J767" s="270"/>
      <c r="K767" s="227"/>
      <c r="L767" s="74">
        <v>0</v>
      </c>
      <c r="M767" s="75">
        <v>0</v>
      </c>
      <c r="N767" s="75">
        <v>0</v>
      </c>
      <c r="O767" s="75">
        <f t="shared" si="186"/>
        <v>0</v>
      </c>
      <c r="P767" s="75">
        <f t="shared" si="187"/>
        <v>0</v>
      </c>
      <c r="Q767" s="75">
        <v>0</v>
      </c>
      <c r="R767" s="75">
        <v>0</v>
      </c>
      <c r="S767" s="75">
        <v>0</v>
      </c>
      <c r="T767" s="75">
        <f t="shared" si="188"/>
        <v>0</v>
      </c>
      <c r="U767" s="75">
        <f t="shared" si="189"/>
        <v>0</v>
      </c>
    </row>
    <row r="768" spans="1:21" ht="18.75" hidden="1" x14ac:dyDescent="0.25">
      <c r="A768" s="255"/>
      <c r="B768" s="267"/>
      <c r="C768" s="267"/>
      <c r="D768" s="267"/>
      <c r="E768" s="567" t="s">
        <v>21</v>
      </c>
      <c r="F768" s="256"/>
      <c r="G768" s="259"/>
      <c r="H768" s="273" t="s">
        <v>14</v>
      </c>
      <c r="I768" s="270"/>
      <c r="J768" s="270"/>
      <c r="K768" s="227"/>
      <c r="L768" s="71">
        <v>0</v>
      </c>
      <c r="M768" s="72">
        <v>0</v>
      </c>
      <c r="N768" s="72">
        <v>0</v>
      </c>
      <c r="O768" s="72">
        <f t="shared" si="186"/>
        <v>0</v>
      </c>
      <c r="P768" s="72">
        <f t="shared" si="187"/>
        <v>0</v>
      </c>
      <c r="Q768" s="72">
        <v>0</v>
      </c>
      <c r="R768" s="72">
        <v>0</v>
      </c>
      <c r="S768" s="72">
        <v>0</v>
      </c>
      <c r="T768" s="72">
        <f t="shared" si="188"/>
        <v>0</v>
      </c>
      <c r="U768" s="72">
        <f t="shared" si="189"/>
        <v>0</v>
      </c>
    </row>
    <row r="769" spans="1:21" ht="19.5" hidden="1" x14ac:dyDescent="0.3">
      <c r="A769" s="274"/>
      <c r="B769" s="275"/>
      <c r="C769" s="771" t="s">
        <v>18</v>
      </c>
      <c r="D769" s="792" t="s">
        <v>38</v>
      </c>
      <c r="E769" s="762"/>
      <c r="F769" s="278"/>
      <c r="G769" s="279"/>
      <c r="H769" s="305"/>
      <c r="I769" s="261"/>
      <c r="J769" s="261"/>
      <c r="K769" s="85"/>
      <c r="L769" s="84"/>
      <c r="M769" s="85"/>
      <c r="N769" s="85"/>
      <c r="O769" s="85"/>
      <c r="P769" s="85"/>
      <c r="Q769" s="85"/>
      <c r="R769" s="85"/>
      <c r="S769" s="85"/>
      <c r="T769" s="85"/>
      <c r="U769" s="85"/>
    </row>
    <row r="770" spans="1:21" ht="18.75" hidden="1" x14ac:dyDescent="0.25">
      <c r="A770" s="274"/>
      <c r="B770" s="275"/>
      <c r="C770" s="275"/>
      <c r="D770" s="772" t="s">
        <v>290</v>
      </c>
      <c r="E770" s="275"/>
      <c r="F770" s="288"/>
      <c r="G770" s="280"/>
      <c r="H770" s="756" t="s">
        <v>35</v>
      </c>
      <c r="I770" s="570">
        <f ca="1">IFERROR(__xludf.DUMMYFUNCTION("IMPORTRANGE(""https://docs.google.com/spreadsheets/d/1eHaY18a8A9IcSdp1K8H6x8fbOy06t2VsZHhMHf-1x7Y/edit?usp=sharing"",""แผน!FI60"")"),0)</f>
        <v>0</v>
      </c>
      <c r="J770" s="570">
        <v>0</v>
      </c>
      <c r="K770" s="75">
        <f ca="1">IF(I770&gt;0,J770*100/I770,0)</f>
        <v>0</v>
      </c>
      <c r="L770" s="84"/>
      <c r="M770" s="85"/>
      <c r="N770" s="85"/>
      <c r="O770" s="85"/>
      <c r="P770" s="85"/>
      <c r="Q770" s="85"/>
      <c r="R770" s="85"/>
      <c r="S770" s="85"/>
      <c r="T770" s="85"/>
      <c r="U770" s="85"/>
    </row>
    <row r="771" spans="1:21" ht="18.75" hidden="1" x14ac:dyDescent="0.25">
      <c r="A771" s="274"/>
      <c r="B771" s="275"/>
      <c r="C771" s="275"/>
      <c r="D771" s="772" t="s">
        <v>291</v>
      </c>
      <c r="E771" s="275"/>
      <c r="F771" s="288"/>
      <c r="G771" s="280"/>
      <c r="H771" s="305"/>
      <c r="I771" s="261"/>
      <c r="J771" s="261"/>
      <c r="K771" s="85"/>
      <c r="L771" s="84"/>
      <c r="M771" s="85"/>
      <c r="N771" s="85"/>
      <c r="O771" s="85"/>
      <c r="P771" s="85"/>
      <c r="Q771" s="85"/>
      <c r="R771" s="85"/>
      <c r="S771" s="85"/>
      <c r="T771" s="85"/>
      <c r="U771" s="85"/>
    </row>
    <row r="772" spans="1:21" ht="18.75" hidden="1" x14ac:dyDescent="0.25">
      <c r="A772" s="274"/>
      <c r="B772" s="275"/>
      <c r="C772" s="275"/>
      <c r="D772" s="724" t="s">
        <v>292</v>
      </c>
      <c r="E772" s="275"/>
      <c r="F772" s="288"/>
      <c r="G772" s="280"/>
      <c r="H772" s="273" t="s">
        <v>35</v>
      </c>
      <c r="I772" s="291">
        <f ca="1">IFERROR(__xludf.DUMMYFUNCTION("IMPORTRANGE(""https://docs.google.com/spreadsheets/d/1eHaY18a8A9IcSdp1K8H6x8fbOy06t2VsZHhMHf-1x7Y/edit?usp=sharing"",""แผน!FQ60"")"),0)</f>
        <v>0</v>
      </c>
      <c r="J772" s="292">
        <v>0</v>
      </c>
      <c r="K772" s="72">
        <f ca="1">IF(I772&gt;0,J772*100/I772,0)</f>
        <v>0</v>
      </c>
      <c r="L772" s="84"/>
      <c r="M772" s="85"/>
      <c r="N772" s="85"/>
      <c r="O772" s="85"/>
      <c r="P772" s="85"/>
      <c r="Q772" s="85"/>
      <c r="R772" s="85"/>
      <c r="S772" s="85"/>
      <c r="T772" s="85"/>
      <c r="U772" s="85"/>
    </row>
    <row r="773" spans="1:21" ht="18.75" hidden="1" x14ac:dyDescent="0.25">
      <c r="A773" s="274"/>
      <c r="B773" s="275"/>
      <c r="C773" s="275"/>
      <c r="D773" s="724" t="s">
        <v>293</v>
      </c>
      <c r="E773" s="275"/>
      <c r="F773" s="288"/>
      <c r="G773" s="280"/>
      <c r="H773" s="305"/>
      <c r="I773" s="261"/>
      <c r="J773" s="261"/>
      <c r="K773" s="85"/>
      <c r="L773" s="84"/>
      <c r="M773" s="85"/>
      <c r="N773" s="85"/>
      <c r="O773" s="85"/>
      <c r="P773" s="85"/>
      <c r="Q773" s="85"/>
      <c r="R773" s="85"/>
      <c r="S773" s="85"/>
      <c r="T773" s="85"/>
      <c r="U773" s="85"/>
    </row>
    <row r="774" spans="1:21" ht="18.75" hidden="1" x14ac:dyDescent="0.25">
      <c r="A774" s="274"/>
      <c r="B774" s="275"/>
      <c r="C774" s="275"/>
      <c r="D774" s="724" t="s">
        <v>294</v>
      </c>
      <c r="E774" s="275"/>
      <c r="F774" s="288"/>
      <c r="G774" s="280"/>
      <c r="H774" s="273" t="s">
        <v>46</v>
      </c>
      <c r="I774" s="291">
        <f ca="1">IFERROR(__xludf.DUMMYFUNCTION("IMPORTRANGE(""https://docs.google.com/spreadsheets/d/1eHaY18a8A9IcSdp1K8H6x8fbOy06t2VsZHhMHf-1x7Y/edit?usp=sharing"",""แผน!FR60"")"),0)</f>
        <v>0</v>
      </c>
      <c r="J774" s="292">
        <v>0</v>
      </c>
      <c r="K774" s="72">
        <f ca="1">IF(I774&gt;0,J774*100/I774,0)</f>
        <v>0</v>
      </c>
      <c r="L774" s="84"/>
      <c r="M774" s="85"/>
      <c r="N774" s="85"/>
      <c r="O774" s="85"/>
      <c r="P774" s="85"/>
      <c r="Q774" s="85"/>
      <c r="R774" s="85"/>
      <c r="S774" s="85"/>
      <c r="T774" s="85"/>
      <c r="U774" s="85"/>
    </row>
    <row r="775" spans="1:21" ht="18.75" hidden="1" x14ac:dyDescent="0.25">
      <c r="A775" s="274"/>
      <c r="B775" s="275"/>
      <c r="C775" s="275"/>
      <c r="D775" s="724" t="s">
        <v>50</v>
      </c>
      <c r="E775" s="288"/>
      <c r="F775" s="256"/>
      <c r="G775" s="259"/>
      <c r="H775" s="273" t="s">
        <v>46</v>
      </c>
      <c r="I775" s="291">
        <f ca="1">IFERROR(__xludf.DUMMYFUNCTION("IMPORTRANGE(""https://docs.google.com/spreadsheets/d/1eHaY18a8A9IcSdp1K8H6x8fbOy06t2VsZHhMHf-1x7Y/edit?usp=sharing"",""แผน!FS60"")"),0)</f>
        <v>0</v>
      </c>
      <c r="J775" s="292">
        <v>0</v>
      </c>
      <c r="K775" s="85"/>
      <c r="L775" s="84"/>
      <c r="M775" s="85"/>
      <c r="N775" s="85"/>
      <c r="O775" s="85"/>
      <c r="P775" s="85"/>
      <c r="Q775" s="85"/>
      <c r="R775" s="85"/>
      <c r="S775" s="85"/>
      <c r="T775" s="85"/>
      <c r="U775" s="85"/>
    </row>
    <row r="776" spans="1:21" ht="18.75" hidden="1" x14ac:dyDescent="0.25">
      <c r="A776" s="733"/>
      <c r="B776" s="735"/>
      <c r="C776" s="735"/>
      <c r="D776" s="735"/>
      <c r="E776" s="736"/>
      <c r="F776" s="736"/>
      <c r="G776" s="616"/>
      <c r="H776" s="738" t="s">
        <v>35</v>
      </c>
      <c r="I776" s="773">
        <f ca="1">IFERROR(__xludf.DUMMYFUNCTION("IMPORTRANGE(""https://docs.google.com/spreadsheets/d/1eHaY18a8A9IcSdp1K8H6x8fbOy06t2VsZHhMHf-1x7Y/edit?usp=sharing"",""แผน!FT60"")"),0)</f>
        <v>0</v>
      </c>
      <c r="J776" s="739">
        <v>0</v>
      </c>
      <c r="K776" s="96"/>
      <c r="L776" s="95"/>
      <c r="M776" s="96"/>
      <c r="N776" s="96"/>
      <c r="O776" s="96"/>
      <c r="P776" s="96"/>
      <c r="Q776" s="96"/>
      <c r="R776" s="96"/>
      <c r="S776" s="96"/>
      <c r="T776" s="96"/>
      <c r="U776" s="96"/>
    </row>
    <row r="777" spans="1:21" ht="19.5" x14ac:dyDescent="0.3">
      <c r="A777" s="791" t="s">
        <v>295</v>
      </c>
      <c r="B777" s="776"/>
      <c r="C777" s="776"/>
      <c r="D777" s="775"/>
      <c r="E777" s="776"/>
      <c r="F777" s="776"/>
      <c r="G777" s="777"/>
      <c r="H777" s="790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789"/>
      <c r="B778" s="265" t="s">
        <v>296</v>
      </c>
      <c r="C778" s="256"/>
      <c r="D778" s="267"/>
      <c r="E778" s="256"/>
      <c r="F778" s="256"/>
      <c r="G778" s="259"/>
      <c r="H778" s="290" t="s">
        <v>14</v>
      </c>
      <c r="I778" s="291">
        <f ca="1">IFERROR(__xludf.DUMMYFUNCTION("IMPORTRANGE(""https://docs.google.com/spreadsheets/d/10OvvATaaLtwErnr3qtWFcTmtbfpFEt5Bsqel9sXx0uE/edit?usp=sharing"",""งานกองทุน!D60"")"),1900000)</f>
        <v>1900000</v>
      </c>
      <c r="J778" s="291">
        <f ca="1">IFERROR(__xludf.DUMMYFUNCTION("IMPORTRANGE(""https://docs.google.com/spreadsheets/d/10OvvATaaLtwErnr3qtWFcTmtbfpFEt5Bsqel9sXx0uE/edit?usp=sharing"",""งานกองทุน!F60"")"),1310000)</f>
        <v>1310000</v>
      </c>
      <c r="K778" s="72">
        <f t="shared" ref="K778:K785" ca="1" si="192">IF(I778&gt;0,J778*100/I778,0)</f>
        <v>68.94736842105263</v>
      </c>
      <c r="L778" s="85"/>
      <c r="M778" s="85"/>
      <c r="N778" s="85"/>
      <c r="O778" s="85"/>
      <c r="P778" s="85"/>
      <c r="Q778" s="85"/>
      <c r="R778" s="85"/>
      <c r="S778" s="85"/>
      <c r="T778" s="85"/>
      <c r="U778" s="85"/>
    </row>
    <row r="779" spans="1:21" ht="18.75" x14ac:dyDescent="0.25">
      <c r="A779" s="789"/>
      <c r="B779" s="256"/>
      <c r="C779" s="256"/>
      <c r="D779" s="267"/>
      <c r="E779" s="256"/>
      <c r="F779" s="256"/>
      <c r="G779" s="259"/>
      <c r="H779" s="290" t="s">
        <v>35</v>
      </c>
      <c r="I779" s="291">
        <f ca="1">IFERROR(__xludf.DUMMYFUNCTION("IMPORTRANGE(""https://docs.google.com/spreadsheets/d/10OvvATaaLtwErnr3qtWFcTmtbfpFEt5Bsqel9sXx0uE/edit?usp=sharing"",""งานกองทุน!C60"")"),40)</f>
        <v>40</v>
      </c>
      <c r="J779" s="291">
        <f ca="1">IFERROR(__xludf.DUMMYFUNCTION("IMPORTRANGE(""https://docs.google.com/spreadsheets/d/10OvvATaaLtwErnr3qtWFcTmtbfpFEt5Bsqel9sXx0uE/edit?usp=sharing"",""งานกองทุน!E60"")"),27)</f>
        <v>27</v>
      </c>
      <c r="K779" s="72">
        <f t="shared" ca="1" si="192"/>
        <v>67.5</v>
      </c>
      <c r="L779" s="85"/>
      <c r="M779" s="85"/>
      <c r="N779" s="85"/>
      <c r="O779" s="85"/>
      <c r="P779" s="85"/>
      <c r="Q779" s="85"/>
      <c r="R779" s="85"/>
      <c r="S779" s="85"/>
      <c r="T779" s="85"/>
      <c r="U779" s="85"/>
    </row>
    <row r="780" spans="1:21" ht="18.75" x14ac:dyDescent="0.25">
      <c r="A780" s="789"/>
      <c r="B780" s="265" t="s">
        <v>297</v>
      </c>
      <c r="C780" s="256"/>
      <c r="D780" s="267"/>
      <c r="E780" s="256"/>
      <c r="F780" s="256"/>
      <c r="G780" s="259"/>
      <c r="H780" s="290" t="s">
        <v>14</v>
      </c>
      <c r="I780" s="291">
        <f ca="1">IFERROR(__xludf.DUMMYFUNCTION("IMPORTRANGE(""https://docs.google.com/spreadsheets/d/10OvvATaaLtwErnr3qtWFcTmtbfpFEt5Bsqel9sXx0uE/edit?usp=sharing"",""งานกองทุน!I60"")"),350516.37)</f>
        <v>350516.37</v>
      </c>
      <c r="J780" s="291">
        <f ca="1">IFERROR(__xludf.DUMMYFUNCTION("IMPORTRANGE(""https://docs.google.com/spreadsheets/d/10OvvATaaLtwErnr3qtWFcTmtbfpFEt5Bsqel9sXx0uE/edit?usp=sharing"",""งานกองทุน!K60"")"),224678.21)</f>
        <v>224678.21</v>
      </c>
      <c r="K780" s="72">
        <f t="shared" ca="1" si="192"/>
        <v>64.099205980023129</v>
      </c>
      <c r="L780" s="85"/>
      <c r="M780" s="85"/>
      <c r="N780" s="85"/>
      <c r="O780" s="85"/>
      <c r="P780" s="85"/>
      <c r="Q780" s="85"/>
      <c r="R780" s="85"/>
      <c r="S780" s="85"/>
      <c r="T780" s="85"/>
      <c r="U780" s="85"/>
    </row>
    <row r="781" spans="1:21" ht="18.75" x14ac:dyDescent="0.25">
      <c r="A781" s="789"/>
      <c r="B781" s="256"/>
      <c r="C781" s="256"/>
      <c r="D781" s="267"/>
      <c r="E781" s="256"/>
      <c r="F781" s="256"/>
      <c r="G781" s="259"/>
      <c r="H781" s="290" t="s">
        <v>35</v>
      </c>
      <c r="I781" s="291">
        <f ca="1">IFERROR(__xludf.DUMMYFUNCTION("IMPORTRANGE(""https://docs.google.com/spreadsheets/d/10OvvATaaLtwErnr3qtWFcTmtbfpFEt5Bsqel9sXx0uE/edit?usp=sharing"",""งานกองทุน!H60"")"),16)</f>
        <v>16</v>
      </c>
      <c r="J781" s="291">
        <f ca="1">IFERROR(__xludf.DUMMYFUNCTION("IMPORTRANGE(""https://docs.google.com/spreadsheets/d/10OvvATaaLtwErnr3qtWFcTmtbfpFEt5Bsqel9sXx0uE/edit?usp=sharing"",""งานกองทุน!J60"")"),16)</f>
        <v>16</v>
      </c>
      <c r="K781" s="72">
        <f t="shared" ca="1" si="192"/>
        <v>100</v>
      </c>
      <c r="L781" s="85"/>
      <c r="M781" s="85"/>
      <c r="N781" s="85"/>
      <c r="O781" s="85"/>
      <c r="P781" s="85"/>
      <c r="Q781" s="85"/>
      <c r="R781" s="85"/>
      <c r="S781" s="85"/>
      <c r="T781" s="85"/>
      <c r="U781" s="85"/>
    </row>
    <row r="782" spans="1:21" ht="18.75" x14ac:dyDescent="0.25">
      <c r="A782" s="789"/>
      <c r="B782" s="265" t="s">
        <v>298</v>
      </c>
      <c r="C782" s="256"/>
      <c r="D782" s="267"/>
      <c r="E782" s="256"/>
      <c r="F782" s="256"/>
      <c r="G782" s="259"/>
      <c r="H782" s="290" t="s">
        <v>14</v>
      </c>
      <c r="I782" s="291">
        <f ca="1">IFERROR(__xludf.DUMMYFUNCTION("IMPORTRANGE(""https://docs.google.com/spreadsheets/d/10OvvATaaLtwErnr3qtWFcTmtbfpFEt5Bsqel9sXx0uE/edit?usp=sharing"",""งานกองทุน!N60"")"),420430.64)</f>
        <v>420430.64</v>
      </c>
      <c r="J782" s="291">
        <f ca="1">IFERROR(__xludf.DUMMYFUNCTION("IMPORTRANGE(""https://docs.google.com/spreadsheets/d/10OvvATaaLtwErnr3qtWFcTmtbfpFEt5Bsqel9sXx0uE/edit?usp=sharing"",""งานกองทุน!P60"")"),302199.06)</f>
        <v>302199.06</v>
      </c>
      <c r="K782" s="72">
        <f t="shared" ca="1" si="192"/>
        <v>71.878457764162945</v>
      </c>
      <c r="L782" s="85"/>
      <c r="M782" s="85"/>
      <c r="N782" s="85"/>
      <c r="O782" s="85"/>
      <c r="P782" s="85"/>
      <c r="Q782" s="85"/>
      <c r="R782" s="85"/>
      <c r="S782" s="85"/>
      <c r="T782" s="85"/>
      <c r="U782" s="85"/>
    </row>
    <row r="783" spans="1:21" ht="18.75" x14ac:dyDescent="0.25">
      <c r="A783" s="789"/>
      <c r="B783" s="256"/>
      <c r="C783" s="256"/>
      <c r="D783" s="267"/>
      <c r="E783" s="256"/>
      <c r="F783" s="256"/>
      <c r="G783" s="259"/>
      <c r="H783" s="290" t="s">
        <v>35</v>
      </c>
      <c r="I783" s="291">
        <f ca="1">IFERROR(__xludf.DUMMYFUNCTION("IMPORTRANGE(""https://docs.google.com/spreadsheets/d/10OvvATaaLtwErnr3qtWFcTmtbfpFEt5Bsqel9sXx0uE/edit?usp=sharing"",""งานกองทุน!M60"")"),255)</f>
        <v>255</v>
      </c>
      <c r="J783" s="291">
        <f ca="1">IFERROR(__xludf.DUMMYFUNCTION("IMPORTRANGE(""https://docs.google.com/spreadsheets/d/10OvvATaaLtwErnr3qtWFcTmtbfpFEt5Bsqel9sXx0uE/edit?usp=sharing"",""งานกองทุน!O60"")"),29)</f>
        <v>29</v>
      </c>
      <c r="K783" s="72">
        <f t="shared" ca="1" si="192"/>
        <v>11.372549019607844</v>
      </c>
      <c r="L783" s="85"/>
      <c r="M783" s="85"/>
      <c r="N783" s="85"/>
      <c r="O783" s="85"/>
      <c r="P783" s="85"/>
      <c r="Q783" s="85"/>
      <c r="R783" s="85"/>
      <c r="S783" s="85"/>
      <c r="T783" s="85"/>
      <c r="U783" s="85"/>
    </row>
    <row r="784" spans="1:21" ht="18.75" x14ac:dyDescent="0.25">
      <c r="A784" s="789"/>
      <c r="B784" s="265" t="s">
        <v>299</v>
      </c>
      <c r="C784" s="256"/>
      <c r="D784" s="267"/>
      <c r="E784" s="256"/>
      <c r="F784" s="256"/>
      <c r="G784" s="259"/>
      <c r="H784" s="290" t="s">
        <v>14</v>
      </c>
      <c r="I784" s="291">
        <f ca="1">IFERROR(__xludf.DUMMYFUNCTION("IMPORTRANGE(""https://docs.google.com/spreadsheets/d/10OvvATaaLtwErnr3qtWFcTmtbfpFEt5Bsqel9sXx0uE/edit?usp=sharing"",""งานกองทุน!S60"")"),2492000)</f>
        <v>2492000</v>
      </c>
      <c r="J784" s="291">
        <f ca="1">IFERROR(__xludf.DUMMYFUNCTION("IMPORTRANGE(""https://docs.google.com/spreadsheets/d/10OvvATaaLtwErnr3qtWFcTmtbfpFEt5Bsqel9sXx0uE/edit?usp=sharing"",""งานกองทุน!U60"")"),1700000)</f>
        <v>1700000</v>
      </c>
      <c r="K784" s="72">
        <f t="shared" ca="1" si="192"/>
        <v>68.218298555377203</v>
      </c>
      <c r="L784" s="85"/>
      <c r="M784" s="85"/>
      <c r="N784" s="85"/>
      <c r="O784" s="85"/>
      <c r="P784" s="85"/>
      <c r="Q784" s="85"/>
      <c r="R784" s="85"/>
      <c r="S784" s="85"/>
      <c r="T784" s="85"/>
      <c r="U784" s="85"/>
    </row>
    <row r="785" spans="1:21" ht="18.75" x14ac:dyDescent="0.25">
      <c r="A785" s="788"/>
      <c r="B785" s="615"/>
      <c r="C785" s="615"/>
      <c r="D785" s="607"/>
      <c r="E785" s="615"/>
      <c r="F785" s="615"/>
      <c r="G785" s="616"/>
      <c r="H785" s="787" t="s">
        <v>35</v>
      </c>
      <c r="I785" s="773">
        <f ca="1">IFERROR(__xludf.DUMMYFUNCTION("IMPORTRANGE(""https://docs.google.com/spreadsheets/d/10OvvATaaLtwErnr3qtWFcTmtbfpFEt5Bsqel9sXx0uE/edit?usp=sharing"",""งานกองทุน!R60"")"),89)</f>
        <v>89</v>
      </c>
      <c r="J785" s="773">
        <f ca="1">IFERROR(__xludf.DUMMYFUNCTION("IMPORTRANGE(""https://docs.google.com/spreadsheets/d/10OvvATaaLtwErnr3qtWFcTmtbfpFEt5Bsqel9sXx0uE/edit?usp=sharing"",""งานกองทุน!T60"")"),38)</f>
        <v>38</v>
      </c>
      <c r="K785" s="181">
        <f t="shared" ca="1" si="192"/>
        <v>42.696629213483149</v>
      </c>
      <c r="L785" s="96"/>
      <c r="M785" s="96"/>
      <c r="N785" s="96"/>
      <c r="O785" s="96"/>
      <c r="P785" s="96"/>
      <c r="Q785" s="96"/>
      <c r="R785" s="96"/>
      <c r="S785" s="96"/>
      <c r="T785" s="96"/>
      <c r="U785" s="96"/>
    </row>
    <row r="786" spans="1:21" ht="12.75" x14ac:dyDescent="0.2">
      <c r="A786" s="28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</row>
    <row r="787" spans="1:21" ht="16.5" x14ac:dyDescent="0.25">
      <c r="A787" s="786" t="s">
        <v>300</v>
      </c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</row>
    <row r="788" spans="1:21" ht="16.5" x14ac:dyDescent="0.25">
      <c r="A788" s="785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30 มิถุนายน 67</v>
      </c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</row>
    <row r="789" spans="1:21" ht="16.5" x14ac:dyDescent="0.25">
      <c r="A789" s="78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29 มิ.ย. 67 เวลา 18.34 น.</v>
      </c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</row>
  </sheetData>
  <mergeCells count="26"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L5:M5"/>
    <mergeCell ref="N5:P5"/>
    <mergeCell ref="Q5:R5"/>
    <mergeCell ref="H4:H6"/>
    <mergeCell ref="L4:P4"/>
    <mergeCell ref="Q4:U4"/>
    <mergeCell ref="S5:U5"/>
    <mergeCell ref="I4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23</vt:i4>
      </vt:variant>
    </vt:vector>
  </HeadingPairs>
  <TitlesOfParts>
    <vt:vector size="45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  <vt:lpstr>ฟ117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2024-07-05T04:57:06Z</dcterms:modified>
</cp:coreProperties>
</file>